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sz val="11.0"/>
      <color rgb="FF000000"/>
      <name val="Inconsolata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IFERROR(__xludf.DUMMYFUNCTION("GOOGLEFINANCE(""NSE:RELIANCE"", ""all"", DATE(2000,1,1),TODAY(), ""DAILY"")"),"Date")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IFERROR(__xludf.DUMMYFUNCTION("""COMPUTED_VALUE"""),37438.645833333336)</f>
        <v>37438.64583</v>
      </c>
      <c r="B2" s="2">
        <f>IFERROR(__xludf.DUMMYFUNCTION("""COMPUTED_VALUE"""),54.37)</f>
        <v>54.37</v>
      </c>
      <c r="C2" s="2">
        <f>IFERROR(__xludf.DUMMYFUNCTION("""COMPUTED_VALUE"""),55.17)</f>
        <v>55.17</v>
      </c>
      <c r="D2" s="2">
        <f>IFERROR(__xludf.DUMMYFUNCTION("""COMPUTED_VALUE"""),54.07)</f>
        <v>54.07</v>
      </c>
      <c r="E2" s="2">
        <f>IFERROR(__xludf.DUMMYFUNCTION("""COMPUTED_VALUE"""),54.7)</f>
        <v>54.7</v>
      </c>
      <c r="F2" s="2">
        <f>IFERROR(__xludf.DUMMYFUNCTION("""COMPUTED_VALUE"""),870456.0)</f>
        <v>870456</v>
      </c>
    </row>
    <row r="3">
      <c r="A3" s="3">
        <f>IFERROR(__xludf.DUMMYFUNCTION("""COMPUTED_VALUE"""),37439.645833333336)</f>
        <v>37439.64583</v>
      </c>
      <c r="B3" s="2">
        <f>IFERROR(__xludf.DUMMYFUNCTION("""COMPUTED_VALUE"""),54.58)</f>
        <v>54.58</v>
      </c>
      <c r="C3" s="2">
        <f>IFERROR(__xludf.DUMMYFUNCTION("""COMPUTED_VALUE"""),54.75)</f>
        <v>54.75</v>
      </c>
      <c r="D3" s="2">
        <f>IFERROR(__xludf.DUMMYFUNCTION("""COMPUTED_VALUE"""),53.63)</f>
        <v>53.63</v>
      </c>
      <c r="E3" s="2">
        <f>IFERROR(__xludf.DUMMYFUNCTION("""COMPUTED_VALUE"""),53.78)</f>
        <v>53.78</v>
      </c>
      <c r="F3" s="2">
        <f>IFERROR(__xludf.DUMMYFUNCTION("""COMPUTED_VALUE"""),961467.0)</f>
        <v>961467</v>
      </c>
    </row>
    <row r="4">
      <c r="A4" s="3">
        <f>IFERROR(__xludf.DUMMYFUNCTION("""COMPUTED_VALUE"""),37440.645833333336)</f>
        <v>37440.64583</v>
      </c>
      <c r="B4" s="2">
        <f>IFERROR(__xludf.DUMMYFUNCTION("""COMPUTED_VALUE"""),53.76)</f>
        <v>53.76</v>
      </c>
      <c r="C4" s="2">
        <f>IFERROR(__xludf.DUMMYFUNCTION("""COMPUTED_VALUE"""),54.96)</f>
        <v>54.96</v>
      </c>
      <c r="D4" s="2">
        <f>IFERROR(__xludf.DUMMYFUNCTION("""COMPUTED_VALUE"""),53.58)</f>
        <v>53.58</v>
      </c>
      <c r="E4" s="2">
        <f>IFERROR(__xludf.DUMMYFUNCTION("""COMPUTED_VALUE"""),53.99)</f>
        <v>53.99</v>
      </c>
      <c r="F4" s="2">
        <f>IFERROR(__xludf.DUMMYFUNCTION("""COMPUTED_VALUE"""),2370174.0)</f>
        <v>2370174</v>
      </c>
    </row>
    <row r="5">
      <c r="A5" s="3">
        <f>IFERROR(__xludf.DUMMYFUNCTION("""COMPUTED_VALUE"""),37441.645833333336)</f>
        <v>37441.64583</v>
      </c>
      <c r="B5" s="2">
        <f>IFERROR(__xludf.DUMMYFUNCTION("""COMPUTED_VALUE"""),54.16)</f>
        <v>54.16</v>
      </c>
      <c r="C5" s="2">
        <f>IFERROR(__xludf.DUMMYFUNCTION("""COMPUTED_VALUE"""),54.55)</f>
        <v>54.55</v>
      </c>
      <c r="D5" s="2">
        <f>IFERROR(__xludf.DUMMYFUNCTION("""COMPUTED_VALUE"""),53.66)</f>
        <v>53.66</v>
      </c>
      <c r="E5" s="2">
        <f>IFERROR(__xludf.DUMMYFUNCTION("""COMPUTED_VALUE"""),53.76)</f>
        <v>53.76</v>
      </c>
      <c r="F5" s="2">
        <f>IFERROR(__xludf.DUMMYFUNCTION("""COMPUTED_VALUE"""),1034747.0)</f>
        <v>1034747</v>
      </c>
    </row>
    <row r="6">
      <c r="A6" s="3">
        <f>IFERROR(__xludf.DUMMYFUNCTION("""COMPUTED_VALUE"""),37442.645833333336)</f>
        <v>37442.64583</v>
      </c>
      <c r="B6" s="2">
        <f>IFERROR(__xludf.DUMMYFUNCTION("""COMPUTED_VALUE"""),53.96)</f>
        <v>53.96</v>
      </c>
      <c r="C6" s="2">
        <f>IFERROR(__xludf.DUMMYFUNCTION("""COMPUTED_VALUE"""),54.12)</f>
        <v>54.12</v>
      </c>
      <c r="D6" s="2">
        <f>IFERROR(__xludf.DUMMYFUNCTION("""COMPUTED_VALUE"""),52.8)</f>
        <v>52.8</v>
      </c>
      <c r="E6" s="2">
        <f>IFERROR(__xludf.DUMMYFUNCTION("""COMPUTED_VALUE"""),53.01)</f>
        <v>53.01</v>
      </c>
      <c r="F6" s="2">
        <f>IFERROR(__xludf.DUMMYFUNCTION("""COMPUTED_VALUE"""),2140759.0)</f>
        <v>2140759</v>
      </c>
    </row>
    <row r="7">
      <c r="A7" s="3">
        <f>IFERROR(__xludf.DUMMYFUNCTION("""COMPUTED_VALUE"""),37445.645833333336)</f>
        <v>37445.64583</v>
      </c>
      <c r="B7" s="2">
        <f>IFERROR(__xludf.DUMMYFUNCTION("""COMPUTED_VALUE"""),52.35)</f>
        <v>52.35</v>
      </c>
      <c r="C7" s="2">
        <f>IFERROR(__xludf.DUMMYFUNCTION("""COMPUTED_VALUE"""),55.13)</f>
        <v>55.13</v>
      </c>
      <c r="D7" s="2">
        <f>IFERROR(__xludf.DUMMYFUNCTION("""COMPUTED_VALUE"""),52.35)</f>
        <v>52.35</v>
      </c>
      <c r="E7" s="2">
        <f>IFERROR(__xludf.DUMMYFUNCTION("""COMPUTED_VALUE"""),54.73)</f>
        <v>54.73</v>
      </c>
      <c r="F7" s="2">
        <f>IFERROR(__xludf.DUMMYFUNCTION("""COMPUTED_VALUE"""),4601204.0)</f>
        <v>4601204</v>
      </c>
    </row>
    <row r="8">
      <c r="A8" s="3">
        <f>IFERROR(__xludf.DUMMYFUNCTION("""COMPUTED_VALUE"""),37446.645833333336)</f>
        <v>37446.64583</v>
      </c>
      <c r="B8" s="2">
        <f>IFERROR(__xludf.DUMMYFUNCTION("""COMPUTED_VALUE"""),54.77)</f>
        <v>54.77</v>
      </c>
      <c r="C8" s="2">
        <f>IFERROR(__xludf.DUMMYFUNCTION("""COMPUTED_VALUE"""),56.09)</f>
        <v>56.09</v>
      </c>
      <c r="D8" s="2">
        <f>IFERROR(__xludf.DUMMYFUNCTION("""COMPUTED_VALUE"""),54.38)</f>
        <v>54.38</v>
      </c>
      <c r="E8" s="2">
        <f>IFERROR(__xludf.DUMMYFUNCTION("""COMPUTED_VALUE"""),55.75)</f>
        <v>55.75</v>
      </c>
      <c r="F8" s="2">
        <f>IFERROR(__xludf.DUMMYFUNCTION("""COMPUTED_VALUE"""),3660312.0)</f>
        <v>3660312</v>
      </c>
    </row>
    <row r="9">
      <c r="A9" s="3">
        <f>IFERROR(__xludf.DUMMYFUNCTION("""COMPUTED_VALUE"""),37447.645833333336)</f>
        <v>37447.64583</v>
      </c>
      <c r="B9" s="2">
        <f>IFERROR(__xludf.DUMMYFUNCTION("""COMPUTED_VALUE"""),55.17)</f>
        <v>55.17</v>
      </c>
      <c r="C9" s="2">
        <f>IFERROR(__xludf.DUMMYFUNCTION("""COMPUTED_VALUE"""),56.16)</f>
        <v>56.16</v>
      </c>
      <c r="D9" s="2">
        <f>IFERROR(__xludf.DUMMYFUNCTION("""COMPUTED_VALUE"""),55.17)</f>
        <v>55.17</v>
      </c>
      <c r="E9" s="2">
        <f>IFERROR(__xludf.DUMMYFUNCTION("""COMPUTED_VALUE"""),55.84)</f>
        <v>55.84</v>
      </c>
      <c r="F9" s="2">
        <f>IFERROR(__xludf.DUMMYFUNCTION("""COMPUTED_VALUE"""),2715701.0)</f>
        <v>2715701</v>
      </c>
    </row>
    <row r="10">
      <c r="A10" s="3">
        <f>IFERROR(__xludf.DUMMYFUNCTION("""COMPUTED_VALUE"""),37448.645833333336)</f>
        <v>37448.64583</v>
      </c>
      <c r="B10" s="2">
        <f>IFERROR(__xludf.DUMMYFUNCTION("""COMPUTED_VALUE"""),55.57)</f>
        <v>55.57</v>
      </c>
      <c r="C10" s="2">
        <f>IFERROR(__xludf.DUMMYFUNCTION("""COMPUTED_VALUE"""),55.69)</f>
        <v>55.69</v>
      </c>
      <c r="D10" s="2">
        <f>IFERROR(__xludf.DUMMYFUNCTION("""COMPUTED_VALUE"""),53.29)</f>
        <v>53.29</v>
      </c>
      <c r="E10" s="2">
        <f>IFERROR(__xludf.DUMMYFUNCTION("""COMPUTED_VALUE"""),53.49)</f>
        <v>53.49</v>
      </c>
      <c r="F10" s="2">
        <f>IFERROR(__xludf.DUMMYFUNCTION("""COMPUTED_VALUE"""),2568911.0)</f>
        <v>2568911</v>
      </c>
    </row>
    <row r="11">
      <c r="A11" s="3">
        <f>IFERROR(__xludf.DUMMYFUNCTION("""COMPUTED_VALUE"""),37449.645833333336)</f>
        <v>37449.64583</v>
      </c>
      <c r="B11" s="2">
        <f>IFERROR(__xludf.DUMMYFUNCTION("""COMPUTED_VALUE"""),54.06)</f>
        <v>54.06</v>
      </c>
      <c r="C11" s="2">
        <f>IFERROR(__xludf.DUMMYFUNCTION("""COMPUTED_VALUE"""),54.23)</f>
        <v>54.23</v>
      </c>
      <c r="D11" s="2">
        <f>IFERROR(__xludf.DUMMYFUNCTION("""COMPUTED_VALUE"""),53.22)</f>
        <v>53.22</v>
      </c>
      <c r="E11" s="2">
        <f>IFERROR(__xludf.DUMMYFUNCTION("""COMPUTED_VALUE"""),53.41)</f>
        <v>53.41</v>
      </c>
      <c r="F11" s="2">
        <f>IFERROR(__xludf.DUMMYFUNCTION("""COMPUTED_VALUE"""),1557646.0)</f>
        <v>1557646</v>
      </c>
    </row>
    <row r="12">
      <c r="A12" s="3">
        <f>IFERROR(__xludf.DUMMYFUNCTION("""COMPUTED_VALUE"""),37452.645833333336)</f>
        <v>37452.64583</v>
      </c>
      <c r="B12" s="2">
        <f>IFERROR(__xludf.DUMMYFUNCTION("""COMPUTED_VALUE"""),53.76)</f>
        <v>53.76</v>
      </c>
      <c r="C12" s="2">
        <f>IFERROR(__xludf.DUMMYFUNCTION("""COMPUTED_VALUE"""),53.76)</f>
        <v>53.76</v>
      </c>
      <c r="D12" s="2">
        <f>IFERROR(__xludf.DUMMYFUNCTION("""COMPUTED_VALUE"""),52.35)</f>
        <v>52.35</v>
      </c>
      <c r="E12" s="2">
        <f>IFERROR(__xludf.DUMMYFUNCTION("""COMPUTED_VALUE"""),53.53)</f>
        <v>53.53</v>
      </c>
      <c r="F12" s="2">
        <f>IFERROR(__xludf.DUMMYFUNCTION("""COMPUTED_VALUE"""),1056344.0)</f>
        <v>1056344</v>
      </c>
    </row>
    <row r="13">
      <c r="A13" s="3">
        <f>IFERROR(__xludf.DUMMYFUNCTION("""COMPUTED_VALUE"""),37453.645833333336)</f>
        <v>37453.64583</v>
      </c>
      <c r="B13" s="2">
        <f>IFERROR(__xludf.DUMMYFUNCTION("""COMPUTED_VALUE"""),53.56)</f>
        <v>53.56</v>
      </c>
      <c r="C13" s="2">
        <f>IFERROR(__xludf.DUMMYFUNCTION("""COMPUTED_VALUE"""),53.82)</f>
        <v>53.82</v>
      </c>
      <c r="D13" s="2">
        <f>IFERROR(__xludf.DUMMYFUNCTION("""COMPUTED_VALUE"""),51.56)</f>
        <v>51.56</v>
      </c>
      <c r="E13" s="2">
        <f>IFERROR(__xludf.DUMMYFUNCTION("""COMPUTED_VALUE"""),51.93)</f>
        <v>51.93</v>
      </c>
      <c r="F13" s="2">
        <f>IFERROR(__xludf.DUMMYFUNCTION("""COMPUTED_VALUE"""),2256701.0)</f>
        <v>2256701</v>
      </c>
    </row>
    <row r="14">
      <c r="A14" s="3">
        <f>IFERROR(__xludf.DUMMYFUNCTION("""COMPUTED_VALUE"""),37454.645833333336)</f>
        <v>37454.64583</v>
      </c>
      <c r="B14" s="2">
        <f>IFERROR(__xludf.DUMMYFUNCTION("""COMPUTED_VALUE"""),51.79)</f>
        <v>51.79</v>
      </c>
      <c r="C14" s="2">
        <f>IFERROR(__xludf.DUMMYFUNCTION("""COMPUTED_VALUE"""),52.04)</f>
        <v>52.04</v>
      </c>
      <c r="D14" s="2">
        <f>IFERROR(__xludf.DUMMYFUNCTION("""COMPUTED_VALUE"""),50.7)</f>
        <v>50.7</v>
      </c>
      <c r="E14" s="2">
        <f>IFERROR(__xludf.DUMMYFUNCTION("""COMPUTED_VALUE"""),51.12)</f>
        <v>51.12</v>
      </c>
      <c r="F14" s="2">
        <f>IFERROR(__xludf.DUMMYFUNCTION("""COMPUTED_VALUE"""),3721631.0)</f>
        <v>3721631</v>
      </c>
    </row>
    <row r="15">
      <c r="A15" s="3">
        <f>IFERROR(__xludf.DUMMYFUNCTION("""COMPUTED_VALUE"""),37455.645833333336)</f>
        <v>37455.64583</v>
      </c>
      <c r="B15" s="2">
        <f>IFERROR(__xludf.DUMMYFUNCTION("""COMPUTED_VALUE"""),51.34)</f>
        <v>51.34</v>
      </c>
      <c r="C15" s="2">
        <f>IFERROR(__xludf.DUMMYFUNCTION("""COMPUTED_VALUE"""),52.43)</f>
        <v>52.43</v>
      </c>
      <c r="D15" s="2">
        <f>IFERROR(__xludf.DUMMYFUNCTION("""COMPUTED_VALUE"""),51.17)</f>
        <v>51.17</v>
      </c>
      <c r="E15" s="2">
        <f>IFERROR(__xludf.DUMMYFUNCTION("""COMPUTED_VALUE"""),52.22)</f>
        <v>52.22</v>
      </c>
      <c r="F15" s="2">
        <f>IFERROR(__xludf.DUMMYFUNCTION("""COMPUTED_VALUE"""),1784020.0)</f>
        <v>1784020</v>
      </c>
    </row>
    <row r="16">
      <c r="A16" s="3">
        <f>IFERROR(__xludf.DUMMYFUNCTION("""COMPUTED_VALUE"""),37456.645833333336)</f>
        <v>37456.64583</v>
      </c>
      <c r="B16" s="2">
        <f>IFERROR(__xludf.DUMMYFUNCTION("""COMPUTED_VALUE"""),51.54)</f>
        <v>51.54</v>
      </c>
      <c r="C16" s="2">
        <f>IFERROR(__xludf.DUMMYFUNCTION("""COMPUTED_VALUE"""),52.82)</f>
        <v>52.82</v>
      </c>
      <c r="D16" s="2">
        <f>IFERROR(__xludf.DUMMYFUNCTION("""COMPUTED_VALUE"""),51.54)</f>
        <v>51.54</v>
      </c>
      <c r="E16" s="2">
        <f>IFERROR(__xludf.DUMMYFUNCTION("""COMPUTED_VALUE"""),52.31)</f>
        <v>52.31</v>
      </c>
      <c r="F16" s="2">
        <f>IFERROR(__xludf.DUMMYFUNCTION("""COMPUTED_VALUE"""),2267280.0)</f>
        <v>2267280</v>
      </c>
    </row>
    <row r="17">
      <c r="A17" s="3">
        <f>IFERROR(__xludf.DUMMYFUNCTION("""COMPUTED_VALUE"""),37459.645833333336)</f>
        <v>37459.64583</v>
      </c>
      <c r="B17" s="2">
        <f>IFERROR(__xludf.DUMMYFUNCTION("""COMPUTED_VALUE"""),51.74)</f>
        <v>51.74</v>
      </c>
      <c r="C17" s="2">
        <f>IFERROR(__xludf.DUMMYFUNCTION("""COMPUTED_VALUE"""),51.93)</f>
        <v>51.93</v>
      </c>
      <c r="D17" s="2">
        <f>IFERROR(__xludf.DUMMYFUNCTION("""COMPUTED_VALUE"""),51.14)</f>
        <v>51.14</v>
      </c>
      <c r="E17" s="2">
        <f>IFERROR(__xludf.DUMMYFUNCTION("""COMPUTED_VALUE"""),51.7)</f>
        <v>51.7</v>
      </c>
      <c r="F17" s="2">
        <f>IFERROR(__xludf.DUMMYFUNCTION("""COMPUTED_VALUE"""),1400428.0)</f>
        <v>1400428</v>
      </c>
    </row>
    <row r="18">
      <c r="A18" s="3">
        <f>IFERROR(__xludf.DUMMYFUNCTION("""COMPUTED_VALUE"""),37460.645833333336)</f>
        <v>37460.64583</v>
      </c>
      <c r="B18" s="2">
        <f>IFERROR(__xludf.DUMMYFUNCTION("""COMPUTED_VALUE"""),51.26)</f>
        <v>51.26</v>
      </c>
      <c r="C18" s="2">
        <f>IFERROR(__xludf.DUMMYFUNCTION("""COMPUTED_VALUE"""),52.31)</f>
        <v>52.31</v>
      </c>
      <c r="D18" s="2">
        <f>IFERROR(__xludf.DUMMYFUNCTION("""COMPUTED_VALUE"""),50.88)</f>
        <v>50.88</v>
      </c>
      <c r="E18" s="2">
        <f>IFERROR(__xludf.DUMMYFUNCTION("""COMPUTED_VALUE"""),51.69)</f>
        <v>51.69</v>
      </c>
      <c r="F18" s="2">
        <f>IFERROR(__xludf.DUMMYFUNCTION("""COMPUTED_VALUE"""),2323311.0)</f>
        <v>2323311</v>
      </c>
    </row>
    <row r="19">
      <c r="A19" s="3">
        <f>IFERROR(__xludf.DUMMYFUNCTION("""COMPUTED_VALUE"""),37461.645833333336)</f>
        <v>37461.64583</v>
      </c>
      <c r="B19" s="2">
        <f>IFERROR(__xludf.DUMMYFUNCTION("""COMPUTED_VALUE"""),51.64)</f>
        <v>51.64</v>
      </c>
      <c r="C19" s="2">
        <f>IFERROR(__xludf.DUMMYFUNCTION("""COMPUTED_VALUE"""),51.72)</f>
        <v>51.72</v>
      </c>
      <c r="D19" s="2">
        <f>IFERROR(__xludf.DUMMYFUNCTION("""COMPUTED_VALUE"""),50.35)</f>
        <v>50.35</v>
      </c>
      <c r="E19" s="2">
        <f>IFERROR(__xludf.DUMMYFUNCTION("""COMPUTED_VALUE"""),50.65)</f>
        <v>50.65</v>
      </c>
      <c r="F19" s="2">
        <f>IFERROR(__xludf.DUMMYFUNCTION("""COMPUTED_VALUE"""),2198390.0)</f>
        <v>2198390</v>
      </c>
    </row>
    <row r="20">
      <c r="A20" s="3">
        <f>IFERROR(__xludf.DUMMYFUNCTION("""COMPUTED_VALUE"""),37462.645833333336)</f>
        <v>37462.64583</v>
      </c>
      <c r="B20" s="2">
        <f>IFERROR(__xludf.DUMMYFUNCTION("""COMPUTED_VALUE"""),51.34)</f>
        <v>51.34</v>
      </c>
      <c r="C20" s="2">
        <f>IFERROR(__xludf.DUMMYFUNCTION("""COMPUTED_VALUE"""),52.28)</f>
        <v>52.28</v>
      </c>
      <c r="D20" s="2">
        <f>IFERROR(__xludf.DUMMYFUNCTION("""COMPUTED_VALUE"""),50.34)</f>
        <v>50.34</v>
      </c>
      <c r="E20" s="2">
        <f>IFERROR(__xludf.DUMMYFUNCTION("""COMPUTED_VALUE"""),50.7)</f>
        <v>50.7</v>
      </c>
      <c r="F20" s="2">
        <f>IFERROR(__xludf.DUMMYFUNCTION("""COMPUTED_VALUE"""),6039297.0)</f>
        <v>6039297</v>
      </c>
    </row>
    <row r="21">
      <c r="A21" s="3">
        <f>IFERROR(__xludf.DUMMYFUNCTION("""COMPUTED_VALUE"""),37463.645833333336)</f>
        <v>37463.64583</v>
      </c>
      <c r="B21" s="2">
        <f>IFERROR(__xludf.DUMMYFUNCTION("""COMPUTED_VALUE"""),50.72)</f>
        <v>50.72</v>
      </c>
      <c r="C21" s="2">
        <f>IFERROR(__xludf.DUMMYFUNCTION("""COMPUTED_VALUE"""),50.72)</f>
        <v>50.72</v>
      </c>
      <c r="D21" s="2">
        <f>IFERROR(__xludf.DUMMYFUNCTION("""COMPUTED_VALUE"""),49.11)</f>
        <v>49.11</v>
      </c>
      <c r="E21" s="2">
        <f>IFERROR(__xludf.DUMMYFUNCTION("""COMPUTED_VALUE"""),49.41)</f>
        <v>49.41</v>
      </c>
      <c r="F21" s="2">
        <f>IFERROR(__xludf.DUMMYFUNCTION("""COMPUTED_VALUE"""),2916772.0)</f>
        <v>2916772</v>
      </c>
    </row>
    <row r="22">
      <c r="A22" s="3">
        <f>IFERROR(__xludf.DUMMYFUNCTION("""COMPUTED_VALUE"""),37466.645833333336)</f>
        <v>37466.64583</v>
      </c>
      <c r="B22" s="2">
        <f>IFERROR(__xludf.DUMMYFUNCTION("""COMPUTED_VALUE"""),49.24)</f>
        <v>49.24</v>
      </c>
      <c r="C22" s="2">
        <f>IFERROR(__xludf.DUMMYFUNCTION("""COMPUTED_VALUE"""),50.44)</f>
        <v>50.44</v>
      </c>
      <c r="D22" s="2">
        <f>IFERROR(__xludf.DUMMYFUNCTION("""COMPUTED_VALUE"""),48.08)</f>
        <v>48.08</v>
      </c>
      <c r="E22" s="2">
        <f>IFERROR(__xludf.DUMMYFUNCTION("""COMPUTED_VALUE"""),49.88)</f>
        <v>49.88</v>
      </c>
      <c r="F22" s="2">
        <f>IFERROR(__xludf.DUMMYFUNCTION("""COMPUTED_VALUE"""),4331956.0)</f>
        <v>4331956</v>
      </c>
    </row>
    <row r="23">
      <c r="A23" s="3">
        <f>IFERROR(__xludf.DUMMYFUNCTION("""COMPUTED_VALUE"""),37467.645833333336)</f>
        <v>37467.64583</v>
      </c>
      <c r="B23" s="2">
        <f>IFERROR(__xludf.DUMMYFUNCTION("""COMPUTED_VALUE"""),50.62)</f>
        <v>50.62</v>
      </c>
      <c r="C23" s="2">
        <f>IFERROR(__xludf.DUMMYFUNCTION("""COMPUTED_VALUE"""),50.9)</f>
        <v>50.9</v>
      </c>
      <c r="D23" s="2">
        <f>IFERROR(__xludf.DUMMYFUNCTION("""COMPUTED_VALUE"""),49.39)</f>
        <v>49.39</v>
      </c>
      <c r="E23" s="2">
        <f>IFERROR(__xludf.DUMMYFUNCTION("""COMPUTED_VALUE"""),49.69)</f>
        <v>49.69</v>
      </c>
      <c r="F23" s="2">
        <f>IFERROR(__xludf.DUMMYFUNCTION("""COMPUTED_VALUE"""),3108870.0)</f>
        <v>3108870</v>
      </c>
    </row>
    <row r="24">
      <c r="A24" s="3">
        <f>IFERROR(__xludf.DUMMYFUNCTION("""COMPUTED_VALUE"""),37468.645833333336)</f>
        <v>37468.64583</v>
      </c>
      <c r="B24" s="2">
        <f>IFERROR(__xludf.DUMMYFUNCTION("""COMPUTED_VALUE"""),49.32)</f>
        <v>49.32</v>
      </c>
      <c r="C24" s="2">
        <f>IFERROR(__xludf.DUMMYFUNCTION("""COMPUTED_VALUE"""),49.88)</f>
        <v>49.88</v>
      </c>
      <c r="D24" s="2">
        <f>IFERROR(__xludf.DUMMYFUNCTION("""COMPUTED_VALUE"""),48.53)</f>
        <v>48.53</v>
      </c>
      <c r="E24" s="2">
        <f>IFERROR(__xludf.DUMMYFUNCTION("""COMPUTED_VALUE"""),49.2)</f>
        <v>49.2</v>
      </c>
      <c r="F24" s="2">
        <f>IFERROR(__xludf.DUMMYFUNCTION("""COMPUTED_VALUE"""),3412258.0)</f>
        <v>3412258</v>
      </c>
    </row>
    <row r="25">
      <c r="A25" s="3">
        <f>IFERROR(__xludf.DUMMYFUNCTION("""COMPUTED_VALUE"""),37469.645833333336)</f>
        <v>37469.64583</v>
      </c>
      <c r="B25" s="2">
        <f>IFERROR(__xludf.DUMMYFUNCTION("""COMPUTED_VALUE"""),49.63)</f>
        <v>49.63</v>
      </c>
      <c r="C25" s="2">
        <f>IFERROR(__xludf.DUMMYFUNCTION("""COMPUTED_VALUE"""),50.13)</f>
        <v>50.13</v>
      </c>
      <c r="D25" s="2">
        <f>IFERROR(__xludf.DUMMYFUNCTION("""COMPUTED_VALUE"""),48.87)</f>
        <v>48.87</v>
      </c>
      <c r="E25" s="2">
        <f>IFERROR(__xludf.DUMMYFUNCTION("""COMPUTED_VALUE"""),49.34)</f>
        <v>49.34</v>
      </c>
      <c r="F25" s="2">
        <f>IFERROR(__xludf.DUMMYFUNCTION("""COMPUTED_VALUE"""),1950796.0)</f>
        <v>1950796</v>
      </c>
    </row>
    <row r="26">
      <c r="A26" s="3">
        <f>IFERROR(__xludf.DUMMYFUNCTION("""COMPUTED_VALUE"""),37470.645833333336)</f>
        <v>37470.64583</v>
      </c>
      <c r="B26" s="2">
        <f>IFERROR(__xludf.DUMMYFUNCTION("""COMPUTED_VALUE"""),48.74)</f>
        <v>48.74</v>
      </c>
      <c r="C26" s="2">
        <f>IFERROR(__xludf.DUMMYFUNCTION("""COMPUTED_VALUE"""),49.23)</f>
        <v>49.23</v>
      </c>
      <c r="D26" s="2">
        <f>IFERROR(__xludf.DUMMYFUNCTION("""COMPUTED_VALUE"""),48.13)</f>
        <v>48.13</v>
      </c>
      <c r="E26" s="2">
        <f>IFERROR(__xludf.DUMMYFUNCTION("""COMPUTED_VALUE"""),48.89)</f>
        <v>48.89</v>
      </c>
      <c r="F26" s="2">
        <f>IFERROR(__xludf.DUMMYFUNCTION("""COMPUTED_VALUE"""),1987066.0)</f>
        <v>1987066</v>
      </c>
    </row>
    <row r="27">
      <c r="A27" s="3">
        <f>IFERROR(__xludf.DUMMYFUNCTION("""COMPUTED_VALUE"""),37473.645833333336)</f>
        <v>37473.64583</v>
      </c>
      <c r="B27" s="2">
        <f>IFERROR(__xludf.DUMMYFUNCTION("""COMPUTED_VALUE"""),49.33)</f>
        <v>49.33</v>
      </c>
      <c r="C27" s="2">
        <f>IFERROR(__xludf.DUMMYFUNCTION("""COMPUTED_VALUE"""),49.45)</f>
        <v>49.45</v>
      </c>
      <c r="D27" s="2">
        <f>IFERROR(__xludf.DUMMYFUNCTION("""COMPUTED_VALUE"""),48.68)</f>
        <v>48.68</v>
      </c>
      <c r="E27" s="2">
        <f>IFERROR(__xludf.DUMMYFUNCTION("""COMPUTED_VALUE"""),49.12)</f>
        <v>49.12</v>
      </c>
      <c r="F27" s="2">
        <f>IFERROR(__xludf.DUMMYFUNCTION("""COMPUTED_VALUE"""),2169109.0)</f>
        <v>2169109</v>
      </c>
    </row>
    <row r="28">
      <c r="A28" s="3">
        <f>IFERROR(__xludf.DUMMYFUNCTION("""COMPUTED_VALUE"""),37474.645833333336)</f>
        <v>37474.64583</v>
      </c>
      <c r="B28" s="2">
        <f>IFERROR(__xludf.DUMMYFUNCTION("""COMPUTED_VALUE"""),48.92)</f>
        <v>48.92</v>
      </c>
      <c r="C28" s="2">
        <f>IFERROR(__xludf.DUMMYFUNCTION("""COMPUTED_VALUE"""),49.12)</f>
        <v>49.12</v>
      </c>
      <c r="D28" s="2">
        <f>IFERROR(__xludf.DUMMYFUNCTION("""COMPUTED_VALUE"""),48.44)</f>
        <v>48.44</v>
      </c>
      <c r="E28" s="2">
        <f>IFERROR(__xludf.DUMMYFUNCTION("""COMPUTED_VALUE"""),48.63)</f>
        <v>48.63</v>
      </c>
      <c r="F28" s="2">
        <f>IFERROR(__xludf.DUMMYFUNCTION("""COMPUTED_VALUE"""),1681055.0)</f>
        <v>1681055</v>
      </c>
    </row>
    <row r="29">
      <c r="A29" s="3">
        <f>IFERROR(__xludf.DUMMYFUNCTION("""COMPUTED_VALUE"""),37475.645833333336)</f>
        <v>37475.64583</v>
      </c>
      <c r="B29" s="2">
        <f>IFERROR(__xludf.DUMMYFUNCTION("""COMPUTED_VALUE"""),49.13)</f>
        <v>49.13</v>
      </c>
      <c r="C29" s="2">
        <f>IFERROR(__xludf.DUMMYFUNCTION("""COMPUTED_VALUE"""),49.7)</f>
        <v>49.7</v>
      </c>
      <c r="D29" s="2">
        <f>IFERROR(__xludf.DUMMYFUNCTION("""COMPUTED_VALUE"""),48.26)</f>
        <v>48.26</v>
      </c>
      <c r="E29" s="2">
        <f>IFERROR(__xludf.DUMMYFUNCTION("""COMPUTED_VALUE"""),48.57)</f>
        <v>48.57</v>
      </c>
      <c r="F29" s="2">
        <f>IFERROR(__xludf.DUMMYFUNCTION("""COMPUTED_VALUE"""),2468829.0)</f>
        <v>2468829</v>
      </c>
    </row>
    <row r="30">
      <c r="A30" s="3">
        <f>IFERROR(__xludf.DUMMYFUNCTION("""COMPUTED_VALUE"""),37476.645833333336)</f>
        <v>37476.64583</v>
      </c>
      <c r="B30" s="2">
        <f>IFERROR(__xludf.DUMMYFUNCTION("""COMPUTED_VALUE"""),48.67)</f>
        <v>48.67</v>
      </c>
      <c r="C30" s="2">
        <f>IFERROR(__xludf.DUMMYFUNCTION("""COMPUTED_VALUE"""),48.87)</f>
        <v>48.87</v>
      </c>
      <c r="D30" s="2">
        <f>IFERROR(__xludf.DUMMYFUNCTION("""COMPUTED_VALUE"""),46.58)</f>
        <v>46.58</v>
      </c>
      <c r="E30" s="2">
        <f>IFERROR(__xludf.DUMMYFUNCTION("""COMPUTED_VALUE"""),46.94)</f>
        <v>46.94</v>
      </c>
      <c r="F30" s="2">
        <f>IFERROR(__xludf.DUMMYFUNCTION("""COMPUTED_VALUE"""),3662096.0)</f>
        <v>3662096</v>
      </c>
    </row>
    <row r="31">
      <c r="A31" s="3">
        <f>IFERROR(__xludf.DUMMYFUNCTION("""COMPUTED_VALUE"""),37477.645833333336)</f>
        <v>37477.64583</v>
      </c>
      <c r="B31" s="2">
        <f>IFERROR(__xludf.DUMMYFUNCTION("""COMPUTED_VALUE"""),47.13)</f>
        <v>47.13</v>
      </c>
      <c r="C31" s="2">
        <f>IFERROR(__xludf.DUMMYFUNCTION("""COMPUTED_VALUE"""),47.45)</f>
        <v>47.45</v>
      </c>
      <c r="D31" s="2">
        <f>IFERROR(__xludf.DUMMYFUNCTION("""COMPUTED_VALUE"""),46.23)</f>
        <v>46.23</v>
      </c>
      <c r="E31" s="2">
        <f>IFERROR(__xludf.DUMMYFUNCTION("""COMPUTED_VALUE"""),47.24)</f>
        <v>47.24</v>
      </c>
      <c r="F31" s="2">
        <f>IFERROR(__xludf.DUMMYFUNCTION("""COMPUTED_VALUE"""),3369119.0)</f>
        <v>3369119</v>
      </c>
    </row>
    <row r="32">
      <c r="A32" s="3">
        <f>IFERROR(__xludf.DUMMYFUNCTION("""COMPUTED_VALUE"""),37480.645833333336)</f>
        <v>37480.64583</v>
      </c>
      <c r="B32" s="2">
        <f>IFERROR(__xludf.DUMMYFUNCTION("""COMPUTED_VALUE"""),47.87)</f>
        <v>47.87</v>
      </c>
      <c r="C32" s="2">
        <f>IFERROR(__xludf.DUMMYFUNCTION("""COMPUTED_VALUE"""),48.99)</f>
        <v>48.99</v>
      </c>
      <c r="D32" s="2">
        <f>IFERROR(__xludf.DUMMYFUNCTION("""COMPUTED_VALUE"""),47.17)</f>
        <v>47.17</v>
      </c>
      <c r="E32" s="2">
        <f>IFERROR(__xludf.DUMMYFUNCTION("""COMPUTED_VALUE"""),48.51)</f>
        <v>48.51</v>
      </c>
      <c r="F32" s="2">
        <f>IFERROR(__xludf.DUMMYFUNCTION("""COMPUTED_VALUE"""),4440241.0)</f>
        <v>4440241</v>
      </c>
    </row>
    <row r="33">
      <c r="A33" s="3">
        <f>IFERROR(__xludf.DUMMYFUNCTION("""COMPUTED_VALUE"""),37481.645833333336)</f>
        <v>37481.64583</v>
      </c>
      <c r="B33" s="2">
        <f>IFERROR(__xludf.DUMMYFUNCTION("""COMPUTED_VALUE"""),48.82)</f>
        <v>48.82</v>
      </c>
      <c r="C33" s="2">
        <f>IFERROR(__xludf.DUMMYFUNCTION("""COMPUTED_VALUE"""),49.13)</f>
        <v>49.13</v>
      </c>
      <c r="D33" s="2">
        <f>IFERROR(__xludf.DUMMYFUNCTION("""COMPUTED_VALUE"""),48.58)</f>
        <v>48.58</v>
      </c>
      <c r="E33" s="2">
        <f>IFERROR(__xludf.DUMMYFUNCTION("""COMPUTED_VALUE"""),48.84)</f>
        <v>48.84</v>
      </c>
      <c r="F33" s="2">
        <f>IFERROR(__xludf.DUMMYFUNCTION("""COMPUTED_VALUE"""),1554070.0)</f>
        <v>1554070</v>
      </c>
    </row>
    <row r="34">
      <c r="A34" s="3">
        <f>IFERROR(__xludf.DUMMYFUNCTION("""COMPUTED_VALUE"""),37482.645833333336)</f>
        <v>37482.64583</v>
      </c>
      <c r="B34" s="2">
        <f>IFERROR(__xludf.DUMMYFUNCTION("""COMPUTED_VALUE"""),48.74)</f>
        <v>48.74</v>
      </c>
      <c r="C34" s="2">
        <f>IFERROR(__xludf.DUMMYFUNCTION("""COMPUTED_VALUE"""),49.03)</f>
        <v>49.03</v>
      </c>
      <c r="D34" s="2">
        <f>IFERROR(__xludf.DUMMYFUNCTION("""COMPUTED_VALUE"""),47.95)</f>
        <v>47.95</v>
      </c>
      <c r="E34" s="2">
        <f>IFERROR(__xludf.DUMMYFUNCTION("""COMPUTED_VALUE"""),48.03)</f>
        <v>48.03</v>
      </c>
      <c r="F34" s="2">
        <f>IFERROR(__xludf.DUMMYFUNCTION("""COMPUTED_VALUE"""),2417646.0)</f>
        <v>2417646</v>
      </c>
    </row>
    <row r="35">
      <c r="A35" s="3">
        <f>IFERROR(__xludf.DUMMYFUNCTION("""COMPUTED_VALUE"""),37484.645833333336)</f>
        <v>37484.64583</v>
      </c>
      <c r="B35" s="2">
        <f>IFERROR(__xludf.DUMMYFUNCTION("""COMPUTED_VALUE"""),48.52)</f>
        <v>48.52</v>
      </c>
      <c r="C35" s="2">
        <f>IFERROR(__xludf.DUMMYFUNCTION("""COMPUTED_VALUE"""),49.11)</f>
        <v>49.11</v>
      </c>
      <c r="D35" s="2">
        <f>IFERROR(__xludf.DUMMYFUNCTION("""COMPUTED_VALUE"""),48.38)</f>
        <v>48.38</v>
      </c>
      <c r="E35" s="2">
        <f>IFERROR(__xludf.DUMMYFUNCTION("""COMPUTED_VALUE"""),48.88)</f>
        <v>48.88</v>
      </c>
      <c r="F35" s="2">
        <f>IFERROR(__xludf.DUMMYFUNCTION("""COMPUTED_VALUE"""),1975544.0)</f>
        <v>1975544</v>
      </c>
    </row>
    <row r="36">
      <c r="A36" s="3">
        <f>IFERROR(__xludf.DUMMYFUNCTION("""COMPUTED_VALUE"""),37487.645833333336)</f>
        <v>37487.64583</v>
      </c>
      <c r="B36" s="2">
        <f>IFERROR(__xludf.DUMMYFUNCTION("""COMPUTED_VALUE"""),49.15)</f>
        <v>49.15</v>
      </c>
      <c r="C36" s="2">
        <f>IFERROR(__xludf.DUMMYFUNCTION("""COMPUTED_VALUE"""),49.67)</f>
        <v>49.67</v>
      </c>
      <c r="D36" s="2">
        <f>IFERROR(__xludf.DUMMYFUNCTION("""COMPUTED_VALUE"""),49.15)</f>
        <v>49.15</v>
      </c>
      <c r="E36" s="2">
        <f>IFERROR(__xludf.DUMMYFUNCTION("""COMPUTED_VALUE"""),49.38)</f>
        <v>49.38</v>
      </c>
      <c r="F36" s="2">
        <f>IFERROR(__xludf.DUMMYFUNCTION("""COMPUTED_VALUE"""),2054911.0)</f>
        <v>2054911</v>
      </c>
    </row>
    <row r="37">
      <c r="A37" s="3">
        <f>IFERROR(__xludf.DUMMYFUNCTION("""COMPUTED_VALUE"""),37488.645833333336)</f>
        <v>37488.64583</v>
      </c>
      <c r="B37" s="2">
        <f>IFERROR(__xludf.DUMMYFUNCTION("""COMPUTED_VALUE"""),49.63)</f>
        <v>49.63</v>
      </c>
      <c r="C37" s="2">
        <f>IFERROR(__xludf.DUMMYFUNCTION("""COMPUTED_VALUE"""),50.44)</f>
        <v>50.44</v>
      </c>
      <c r="D37" s="2">
        <f>IFERROR(__xludf.DUMMYFUNCTION("""COMPUTED_VALUE"""),49.41)</f>
        <v>49.41</v>
      </c>
      <c r="E37" s="2">
        <f>IFERROR(__xludf.DUMMYFUNCTION("""COMPUTED_VALUE"""),50.11)</f>
        <v>50.11</v>
      </c>
      <c r="F37" s="2">
        <f>IFERROR(__xludf.DUMMYFUNCTION("""COMPUTED_VALUE"""),3269448.0)</f>
        <v>3269448</v>
      </c>
    </row>
    <row r="38">
      <c r="A38" s="3">
        <f>IFERROR(__xludf.DUMMYFUNCTION("""COMPUTED_VALUE"""),37489.645833333336)</f>
        <v>37489.64583</v>
      </c>
      <c r="B38" s="2">
        <f>IFERROR(__xludf.DUMMYFUNCTION("""COMPUTED_VALUE"""),50.14)</f>
        <v>50.14</v>
      </c>
      <c r="C38" s="2">
        <f>IFERROR(__xludf.DUMMYFUNCTION("""COMPUTED_VALUE"""),50.55)</f>
        <v>50.55</v>
      </c>
      <c r="D38" s="2">
        <f>IFERROR(__xludf.DUMMYFUNCTION("""COMPUTED_VALUE"""),49.29)</f>
        <v>49.29</v>
      </c>
      <c r="E38" s="2">
        <f>IFERROR(__xludf.DUMMYFUNCTION("""COMPUTED_VALUE"""),49.37)</f>
        <v>49.37</v>
      </c>
      <c r="F38" s="2">
        <f>IFERROR(__xludf.DUMMYFUNCTION("""COMPUTED_VALUE"""),1991301.0)</f>
        <v>1991301</v>
      </c>
    </row>
    <row r="39">
      <c r="A39" s="3">
        <f>IFERROR(__xludf.DUMMYFUNCTION("""COMPUTED_VALUE"""),37490.645833333336)</f>
        <v>37490.64583</v>
      </c>
      <c r="B39" s="2">
        <f>IFERROR(__xludf.DUMMYFUNCTION("""COMPUTED_VALUE"""),49.73)</f>
        <v>49.73</v>
      </c>
      <c r="C39" s="2">
        <f>IFERROR(__xludf.DUMMYFUNCTION("""COMPUTED_VALUE"""),50.21)</f>
        <v>50.21</v>
      </c>
      <c r="D39" s="2">
        <f>IFERROR(__xludf.DUMMYFUNCTION("""COMPUTED_VALUE"""),49.53)</f>
        <v>49.53</v>
      </c>
      <c r="E39" s="2">
        <f>IFERROR(__xludf.DUMMYFUNCTION("""COMPUTED_VALUE"""),49.86)</f>
        <v>49.86</v>
      </c>
      <c r="F39" s="2">
        <f>IFERROR(__xludf.DUMMYFUNCTION("""COMPUTED_VALUE"""),1792486.0)</f>
        <v>1792486</v>
      </c>
    </row>
    <row r="40">
      <c r="A40" s="3">
        <f>IFERROR(__xludf.DUMMYFUNCTION("""COMPUTED_VALUE"""),37491.645833333336)</f>
        <v>37491.64583</v>
      </c>
      <c r="B40" s="2">
        <f>IFERROR(__xludf.DUMMYFUNCTION("""COMPUTED_VALUE"""),50.31)</f>
        <v>50.31</v>
      </c>
      <c r="C40" s="2">
        <f>IFERROR(__xludf.DUMMYFUNCTION("""COMPUTED_VALUE"""),50.43)</f>
        <v>50.43</v>
      </c>
      <c r="D40" s="2">
        <f>IFERROR(__xludf.DUMMYFUNCTION("""COMPUTED_VALUE"""),49.65)</f>
        <v>49.65</v>
      </c>
      <c r="E40" s="2">
        <f>IFERROR(__xludf.DUMMYFUNCTION("""COMPUTED_VALUE"""),50.28)</f>
        <v>50.28</v>
      </c>
      <c r="F40" s="2">
        <f>IFERROR(__xludf.DUMMYFUNCTION("""COMPUTED_VALUE"""),1411719.0)</f>
        <v>1411719</v>
      </c>
    </row>
    <row r="41">
      <c r="A41" s="3">
        <f>IFERROR(__xludf.DUMMYFUNCTION("""COMPUTED_VALUE"""),37494.645833333336)</f>
        <v>37494.64583</v>
      </c>
      <c r="B41" s="2">
        <f>IFERROR(__xludf.DUMMYFUNCTION("""COMPUTED_VALUE"""),50.34)</f>
        <v>50.34</v>
      </c>
      <c r="C41" s="2">
        <f>IFERROR(__xludf.DUMMYFUNCTION("""COMPUTED_VALUE"""),50.9)</f>
        <v>50.9</v>
      </c>
      <c r="D41" s="2">
        <f>IFERROR(__xludf.DUMMYFUNCTION("""COMPUTED_VALUE"""),50.17)</f>
        <v>50.17</v>
      </c>
      <c r="E41" s="2">
        <f>IFERROR(__xludf.DUMMYFUNCTION("""COMPUTED_VALUE"""),50.52)</f>
        <v>50.52</v>
      </c>
      <c r="F41" s="2">
        <f>IFERROR(__xludf.DUMMYFUNCTION("""COMPUTED_VALUE"""),1648160.0)</f>
        <v>1648160</v>
      </c>
    </row>
    <row r="42">
      <c r="A42" s="3">
        <f>IFERROR(__xludf.DUMMYFUNCTION("""COMPUTED_VALUE"""),37495.645833333336)</f>
        <v>37495.64583</v>
      </c>
      <c r="B42" s="2">
        <f>IFERROR(__xludf.DUMMYFUNCTION("""COMPUTED_VALUE"""),52.35)</f>
        <v>52.35</v>
      </c>
      <c r="C42" s="2">
        <f>IFERROR(__xludf.DUMMYFUNCTION("""COMPUTED_VALUE"""),52.35)</f>
        <v>52.35</v>
      </c>
      <c r="D42" s="2">
        <f>IFERROR(__xludf.DUMMYFUNCTION("""COMPUTED_VALUE"""),49.53)</f>
        <v>49.53</v>
      </c>
      <c r="E42" s="2">
        <f>IFERROR(__xludf.DUMMYFUNCTION("""COMPUTED_VALUE"""),49.65)</f>
        <v>49.65</v>
      </c>
      <c r="F42" s="2">
        <f>IFERROR(__xludf.DUMMYFUNCTION("""COMPUTED_VALUE"""),1337440.0)</f>
        <v>1337440</v>
      </c>
    </row>
    <row r="43">
      <c r="A43" s="3">
        <f>IFERROR(__xludf.DUMMYFUNCTION("""COMPUTED_VALUE"""),37496.645833333336)</f>
        <v>37496.64583</v>
      </c>
      <c r="B43" s="2">
        <f>IFERROR(__xludf.DUMMYFUNCTION("""COMPUTED_VALUE"""),49.43)</f>
        <v>49.43</v>
      </c>
      <c r="C43" s="2">
        <f>IFERROR(__xludf.DUMMYFUNCTION("""COMPUTED_VALUE"""),49.73)</f>
        <v>49.73</v>
      </c>
      <c r="D43" s="2">
        <f>IFERROR(__xludf.DUMMYFUNCTION("""COMPUTED_VALUE"""),49.17)</f>
        <v>49.17</v>
      </c>
      <c r="E43" s="2">
        <f>IFERROR(__xludf.DUMMYFUNCTION("""COMPUTED_VALUE"""),49.47)</f>
        <v>49.47</v>
      </c>
      <c r="F43" s="2">
        <f>IFERROR(__xludf.DUMMYFUNCTION("""COMPUTED_VALUE"""),956877.0)</f>
        <v>956877</v>
      </c>
    </row>
    <row r="44">
      <c r="A44" s="3">
        <f>IFERROR(__xludf.DUMMYFUNCTION("""COMPUTED_VALUE"""),37497.645833333336)</f>
        <v>37497.64583</v>
      </c>
      <c r="B44" s="2">
        <f>IFERROR(__xludf.DUMMYFUNCTION("""COMPUTED_VALUE"""),49.33)</f>
        <v>49.33</v>
      </c>
      <c r="C44" s="2">
        <f>IFERROR(__xludf.DUMMYFUNCTION("""COMPUTED_VALUE"""),50.33)</f>
        <v>50.33</v>
      </c>
      <c r="D44" s="2">
        <f>IFERROR(__xludf.DUMMYFUNCTION("""COMPUTED_VALUE"""),49.25)</f>
        <v>49.25</v>
      </c>
      <c r="E44" s="2">
        <f>IFERROR(__xludf.DUMMYFUNCTION("""COMPUTED_VALUE"""),50.25)</f>
        <v>50.25</v>
      </c>
      <c r="F44" s="2">
        <f>IFERROR(__xludf.DUMMYFUNCTION("""COMPUTED_VALUE"""),2058052.0)</f>
        <v>2058052</v>
      </c>
    </row>
    <row r="45">
      <c r="A45" s="3">
        <f>IFERROR(__xludf.DUMMYFUNCTION("""COMPUTED_VALUE"""),37498.645833333336)</f>
        <v>37498.64583</v>
      </c>
      <c r="B45" s="2">
        <f>IFERROR(__xludf.DUMMYFUNCTION("""COMPUTED_VALUE"""),50.47)</f>
        <v>50.47</v>
      </c>
      <c r="C45" s="2">
        <f>IFERROR(__xludf.DUMMYFUNCTION("""COMPUTED_VALUE"""),51.62)</f>
        <v>51.62</v>
      </c>
      <c r="D45" s="2">
        <f>IFERROR(__xludf.DUMMYFUNCTION("""COMPUTED_VALUE"""),50.13)</f>
        <v>50.13</v>
      </c>
      <c r="E45" s="2">
        <f>IFERROR(__xludf.DUMMYFUNCTION("""COMPUTED_VALUE"""),51.44)</f>
        <v>51.44</v>
      </c>
      <c r="F45" s="2">
        <f>IFERROR(__xludf.DUMMYFUNCTION("""COMPUTED_VALUE"""),3381295.0)</f>
        <v>3381295</v>
      </c>
    </row>
    <row r="46">
      <c r="A46" s="3">
        <f>IFERROR(__xludf.DUMMYFUNCTION("""COMPUTED_VALUE"""),37501.645833333336)</f>
        <v>37501.64583</v>
      </c>
      <c r="B46" s="2">
        <f>IFERROR(__xludf.DUMMYFUNCTION("""COMPUTED_VALUE"""),52.35)</f>
        <v>52.35</v>
      </c>
      <c r="C46" s="2">
        <f>IFERROR(__xludf.DUMMYFUNCTION("""COMPUTED_VALUE"""),53.96)</f>
        <v>53.96</v>
      </c>
      <c r="D46" s="2">
        <f>IFERROR(__xludf.DUMMYFUNCTION("""COMPUTED_VALUE"""),52.35)</f>
        <v>52.35</v>
      </c>
      <c r="E46" s="2">
        <f>IFERROR(__xludf.DUMMYFUNCTION("""COMPUTED_VALUE"""),53.4)</f>
        <v>53.4</v>
      </c>
      <c r="F46" s="2">
        <f>IFERROR(__xludf.DUMMYFUNCTION("""COMPUTED_VALUE"""),4126554.0)</f>
        <v>4126554</v>
      </c>
    </row>
    <row r="47">
      <c r="A47" s="3">
        <f>IFERROR(__xludf.DUMMYFUNCTION("""COMPUTED_VALUE"""),37502.645833333336)</f>
        <v>37502.64583</v>
      </c>
      <c r="B47" s="2">
        <f>IFERROR(__xludf.DUMMYFUNCTION("""COMPUTED_VALUE"""),53.64)</f>
        <v>53.64</v>
      </c>
      <c r="C47" s="2">
        <f>IFERROR(__xludf.DUMMYFUNCTION("""COMPUTED_VALUE"""),53.74)</f>
        <v>53.74</v>
      </c>
      <c r="D47" s="2">
        <f>IFERROR(__xludf.DUMMYFUNCTION("""COMPUTED_VALUE"""),52.57)</f>
        <v>52.57</v>
      </c>
      <c r="E47" s="2">
        <f>IFERROR(__xludf.DUMMYFUNCTION("""COMPUTED_VALUE"""),53.21)</f>
        <v>53.21</v>
      </c>
      <c r="F47" s="2">
        <f>IFERROR(__xludf.DUMMYFUNCTION("""COMPUTED_VALUE"""),2146322.0)</f>
        <v>2146322</v>
      </c>
    </row>
    <row r="48">
      <c r="A48" s="3">
        <f>IFERROR(__xludf.DUMMYFUNCTION("""COMPUTED_VALUE"""),37503.645833333336)</f>
        <v>37503.64583</v>
      </c>
      <c r="B48" s="2">
        <f>IFERROR(__xludf.DUMMYFUNCTION("""COMPUTED_VALUE"""),52.75)</f>
        <v>52.75</v>
      </c>
      <c r="C48" s="2">
        <f>IFERROR(__xludf.DUMMYFUNCTION("""COMPUTED_VALUE"""),54.55)</f>
        <v>54.55</v>
      </c>
      <c r="D48" s="2">
        <f>IFERROR(__xludf.DUMMYFUNCTION("""COMPUTED_VALUE"""),52.55)</f>
        <v>52.55</v>
      </c>
      <c r="E48" s="2">
        <f>IFERROR(__xludf.DUMMYFUNCTION("""COMPUTED_VALUE"""),54.22)</f>
        <v>54.22</v>
      </c>
      <c r="F48" s="2">
        <f>IFERROR(__xludf.DUMMYFUNCTION("""COMPUTED_VALUE"""),4934888.0)</f>
        <v>4934888</v>
      </c>
    </row>
    <row r="49">
      <c r="A49" s="3">
        <f>IFERROR(__xludf.DUMMYFUNCTION("""COMPUTED_VALUE"""),37504.645833333336)</f>
        <v>37504.64583</v>
      </c>
      <c r="B49" s="2">
        <f>IFERROR(__xludf.DUMMYFUNCTION("""COMPUTED_VALUE"""),54.36)</f>
        <v>54.36</v>
      </c>
      <c r="C49" s="2">
        <f>IFERROR(__xludf.DUMMYFUNCTION("""COMPUTED_VALUE"""),54.53)</f>
        <v>54.53</v>
      </c>
      <c r="D49" s="2">
        <f>IFERROR(__xludf.DUMMYFUNCTION("""COMPUTED_VALUE"""),53.35)</f>
        <v>53.35</v>
      </c>
      <c r="E49" s="2">
        <f>IFERROR(__xludf.DUMMYFUNCTION("""COMPUTED_VALUE"""),53.55)</f>
        <v>53.55</v>
      </c>
      <c r="F49" s="2">
        <f>IFERROR(__xludf.DUMMYFUNCTION("""COMPUTED_VALUE"""),2123615.0)</f>
        <v>2123615</v>
      </c>
    </row>
    <row r="50">
      <c r="A50" s="3">
        <f>IFERROR(__xludf.DUMMYFUNCTION("""COMPUTED_VALUE"""),37505.645833333336)</f>
        <v>37505.64583</v>
      </c>
      <c r="B50" s="2">
        <f>IFERROR(__xludf.DUMMYFUNCTION("""COMPUTED_VALUE"""),53.56)</f>
        <v>53.56</v>
      </c>
      <c r="C50" s="2">
        <f>IFERROR(__xludf.DUMMYFUNCTION("""COMPUTED_VALUE"""),54.04)</f>
        <v>54.04</v>
      </c>
      <c r="D50" s="2">
        <f>IFERROR(__xludf.DUMMYFUNCTION("""COMPUTED_VALUE"""),53.0)</f>
        <v>53</v>
      </c>
      <c r="E50" s="2">
        <f>IFERROR(__xludf.DUMMYFUNCTION("""COMPUTED_VALUE"""),53.49)</f>
        <v>53.49</v>
      </c>
      <c r="F50" s="2">
        <f>IFERROR(__xludf.DUMMYFUNCTION("""COMPUTED_VALUE"""),2514536.0)</f>
        <v>2514536</v>
      </c>
    </row>
    <row r="51">
      <c r="A51" s="3">
        <f>IFERROR(__xludf.DUMMYFUNCTION("""COMPUTED_VALUE"""),37508.645833333336)</f>
        <v>37508.64583</v>
      </c>
      <c r="B51" s="2">
        <f>IFERROR(__xludf.DUMMYFUNCTION("""COMPUTED_VALUE"""),53.33)</f>
        <v>53.33</v>
      </c>
      <c r="C51" s="2">
        <f>IFERROR(__xludf.DUMMYFUNCTION("""COMPUTED_VALUE"""),53.56)</f>
        <v>53.56</v>
      </c>
      <c r="D51" s="2">
        <f>IFERROR(__xludf.DUMMYFUNCTION("""COMPUTED_VALUE"""),51.89)</f>
        <v>51.89</v>
      </c>
      <c r="E51" s="2">
        <f>IFERROR(__xludf.DUMMYFUNCTION("""COMPUTED_VALUE"""),52.54)</f>
        <v>52.54</v>
      </c>
      <c r="F51" s="2">
        <f>IFERROR(__xludf.DUMMYFUNCTION("""COMPUTED_VALUE"""),2470540.0)</f>
        <v>2470540</v>
      </c>
    </row>
    <row r="52">
      <c r="A52" s="3">
        <f>IFERROR(__xludf.DUMMYFUNCTION("""COMPUTED_VALUE"""),37510.645833333336)</f>
        <v>37510.64583</v>
      </c>
      <c r="B52" s="2">
        <f>IFERROR(__xludf.DUMMYFUNCTION("""COMPUTED_VALUE"""),52.55)</f>
        <v>52.55</v>
      </c>
      <c r="C52" s="2">
        <f>IFERROR(__xludf.DUMMYFUNCTION("""COMPUTED_VALUE"""),52.77)</f>
        <v>52.77</v>
      </c>
      <c r="D52" s="2">
        <f>IFERROR(__xludf.DUMMYFUNCTION("""COMPUTED_VALUE"""),51.64)</f>
        <v>51.64</v>
      </c>
      <c r="E52" s="2">
        <f>IFERROR(__xludf.DUMMYFUNCTION("""COMPUTED_VALUE"""),51.82)</f>
        <v>51.82</v>
      </c>
      <c r="F52" s="2">
        <f>IFERROR(__xludf.DUMMYFUNCTION("""COMPUTED_VALUE"""),2066219.0)</f>
        <v>2066219</v>
      </c>
    </row>
    <row r="53">
      <c r="A53" s="3">
        <f>IFERROR(__xludf.DUMMYFUNCTION("""COMPUTED_VALUE"""),37511.645833333336)</f>
        <v>37511.64583</v>
      </c>
      <c r="B53" s="2">
        <f>IFERROR(__xludf.DUMMYFUNCTION("""COMPUTED_VALUE"""),51.9)</f>
        <v>51.9</v>
      </c>
      <c r="C53" s="2">
        <f>IFERROR(__xludf.DUMMYFUNCTION("""COMPUTED_VALUE"""),53.08)</f>
        <v>53.08</v>
      </c>
      <c r="D53" s="2">
        <f>IFERROR(__xludf.DUMMYFUNCTION("""COMPUTED_VALUE"""),51.84)</f>
        <v>51.84</v>
      </c>
      <c r="E53" s="2">
        <f>IFERROR(__xludf.DUMMYFUNCTION("""COMPUTED_VALUE"""),52.45)</f>
        <v>52.45</v>
      </c>
      <c r="F53" s="2">
        <f>IFERROR(__xludf.DUMMYFUNCTION("""COMPUTED_VALUE"""),2786878.0)</f>
        <v>2786878</v>
      </c>
    </row>
    <row r="54">
      <c r="A54" s="3">
        <f>IFERROR(__xludf.DUMMYFUNCTION("""COMPUTED_VALUE"""),37512.645833333336)</f>
        <v>37512.64583</v>
      </c>
      <c r="B54" s="2">
        <f>IFERROR(__xludf.DUMMYFUNCTION("""COMPUTED_VALUE"""),52.58)</f>
        <v>52.58</v>
      </c>
      <c r="C54" s="2">
        <f>IFERROR(__xludf.DUMMYFUNCTION("""COMPUTED_VALUE"""),53.34)</f>
        <v>53.34</v>
      </c>
      <c r="D54" s="2">
        <f>IFERROR(__xludf.DUMMYFUNCTION("""COMPUTED_VALUE"""),51.88)</f>
        <v>51.88</v>
      </c>
      <c r="E54" s="2">
        <f>IFERROR(__xludf.DUMMYFUNCTION("""COMPUTED_VALUE"""),52.15)</f>
        <v>52.15</v>
      </c>
      <c r="F54" s="2">
        <f>IFERROR(__xludf.DUMMYFUNCTION("""COMPUTED_VALUE"""),3702270.0)</f>
        <v>3702270</v>
      </c>
    </row>
    <row r="55">
      <c r="A55" s="3">
        <f>IFERROR(__xludf.DUMMYFUNCTION("""COMPUTED_VALUE"""),37515.645833333336)</f>
        <v>37515.64583</v>
      </c>
      <c r="B55" s="2">
        <f>IFERROR(__xludf.DUMMYFUNCTION("""COMPUTED_VALUE"""),52.35)</f>
        <v>52.35</v>
      </c>
      <c r="C55" s="2">
        <f>IFERROR(__xludf.DUMMYFUNCTION("""COMPUTED_VALUE"""),52.59)</f>
        <v>52.59</v>
      </c>
      <c r="D55" s="2">
        <f>IFERROR(__xludf.DUMMYFUNCTION("""COMPUTED_VALUE"""),51.74)</f>
        <v>51.74</v>
      </c>
      <c r="E55" s="2">
        <f>IFERROR(__xludf.DUMMYFUNCTION("""COMPUTED_VALUE"""),51.96)</f>
        <v>51.96</v>
      </c>
      <c r="F55" s="2">
        <f>IFERROR(__xludf.DUMMYFUNCTION("""COMPUTED_VALUE"""),2115338.0)</f>
        <v>2115338</v>
      </c>
    </row>
    <row r="56">
      <c r="A56" s="3">
        <f>IFERROR(__xludf.DUMMYFUNCTION("""COMPUTED_VALUE"""),37516.645833333336)</f>
        <v>37516.64583</v>
      </c>
      <c r="B56" s="2">
        <f>IFERROR(__xludf.DUMMYFUNCTION("""COMPUTED_VALUE"""),52.0)</f>
        <v>52</v>
      </c>
      <c r="C56" s="2">
        <f>IFERROR(__xludf.DUMMYFUNCTION("""COMPUTED_VALUE"""),52.94)</f>
        <v>52.94</v>
      </c>
      <c r="D56" s="2">
        <f>IFERROR(__xludf.DUMMYFUNCTION("""COMPUTED_VALUE"""),52.0)</f>
        <v>52</v>
      </c>
      <c r="E56" s="2">
        <f>IFERROR(__xludf.DUMMYFUNCTION("""COMPUTED_VALUE"""),52.67)</f>
        <v>52.67</v>
      </c>
      <c r="F56" s="2">
        <f>IFERROR(__xludf.DUMMYFUNCTION("""COMPUTED_VALUE"""),1336037.0)</f>
        <v>1336037</v>
      </c>
    </row>
    <row r="57">
      <c r="A57" s="3">
        <f>IFERROR(__xludf.DUMMYFUNCTION("""COMPUTED_VALUE"""),37517.645833333336)</f>
        <v>37517.64583</v>
      </c>
      <c r="B57" s="2">
        <f>IFERROR(__xludf.DUMMYFUNCTION("""COMPUTED_VALUE"""),52.35)</f>
        <v>52.35</v>
      </c>
      <c r="C57" s="2">
        <f>IFERROR(__xludf.DUMMYFUNCTION("""COMPUTED_VALUE"""),52.71)</f>
        <v>52.71</v>
      </c>
      <c r="D57" s="2">
        <f>IFERROR(__xludf.DUMMYFUNCTION("""COMPUTED_VALUE"""),51.95)</f>
        <v>51.95</v>
      </c>
      <c r="E57" s="2">
        <f>IFERROR(__xludf.DUMMYFUNCTION("""COMPUTED_VALUE"""),52.08)</f>
        <v>52.08</v>
      </c>
      <c r="F57" s="2">
        <f>IFERROR(__xludf.DUMMYFUNCTION("""COMPUTED_VALUE"""),1227802.0)</f>
        <v>1227802</v>
      </c>
    </row>
    <row r="58">
      <c r="A58" s="3">
        <f>IFERROR(__xludf.DUMMYFUNCTION("""COMPUTED_VALUE"""),37518.645833333336)</f>
        <v>37518.64583</v>
      </c>
      <c r="B58" s="2">
        <f>IFERROR(__xludf.DUMMYFUNCTION("""COMPUTED_VALUE"""),52.24)</f>
        <v>52.24</v>
      </c>
      <c r="C58" s="2">
        <f>IFERROR(__xludf.DUMMYFUNCTION("""COMPUTED_VALUE"""),52.24)</f>
        <v>52.24</v>
      </c>
      <c r="D58" s="2">
        <f>IFERROR(__xludf.DUMMYFUNCTION("""COMPUTED_VALUE"""),51.44)</f>
        <v>51.44</v>
      </c>
      <c r="E58" s="2">
        <f>IFERROR(__xludf.DUMMYFUNCTION("""COMPUTED_VALUE"""),51.97)</f>
        <v>51.97</v>
      </c>
      <c r="F58" s="2">
        <f>IFERROR(__xludf.DUMMYFUNCTION("""COMPUTED_VALUE"""),1510321.0)</f>
        <v>1510321</v>
      </c>
    </row>
    <row r="59">
      <c r="A59" s="3">
        <f>IFERROR(__xludf.DUMMYFUNCTION("""COMPUTED_VALUE"""),37519.645833333336)</f>
        <v>37519.64583</v>
      </c>
      <c r="B59" s="2">
        <f>IFERROR(__xludf.DUMMYFUNCTION("""COMPUTED_VALUE"""),51.34)</f>
        <v>51.34</v>
      </c>
      <c r="C59" s="2">
        <f>IFERROR(__xludf.DUMMYFUNCTION("""COMPUTED_VALUE"""),51.82)</f>
        <v>51.82</v>
      </c>
      <c r="D59" s="2">
        <f>IFERROR(__xludf.DUMMYFUNCTION("""COMPUTED_VALUE"""),50.95)</f>
        <v>50.95</v>
      </c>
      <c r="E59" s="2">
        <f>IFERROR(__xludf.DUMMYFUNCTION("""COMPUTED_VALUE"""),51.44)</f>
        <v>51.44</v>
      </c>
      <c r="F59" s="2">
        <f>IFERROR(__xludf.DUMMYFUNCTION("""COMPUTED_VALUE"""),1757760.0)</f>
        <v>1757760</v>
      </c>
    </row>
    <row r="60">
      <c r="A60" s="3">
        <f>IFERROR(__xludf.DUMMYFUNCTION("""COMPUTED_VALUE"""),37522.645833333336)</f>
        <v>37522.64583</v>
      </c>
      <c r="B60" s="2">
        <f>IFERROR(__xludf.DUMMYFUNCTION("""COMPUTED_VALUE"""),51.74)</f>
        <v>51.74</v>
      </c>
      <c r="C60" s="2">
        <f>IFERROR(__xludf.DUMMYFUNCTION("""COMPUTED_VALUE"""),52.74)</f>
        <v>52.74</v>
      </c>
      <c r="D60" s="2">
        <f>IFERROR(__xludf.DUMMYFUNCTION("""COMPUTED_VALUE"""),51.34)</f>
        <v>51.34</v>
      </c>
      <c r="E60" s="2">
        <f>IFERROR(__xludf.DUMMYFUNCTION("""COMPUTED_VALUE"""),52.35)</f>
        <v>52.35</v>
      </c>
      <c r="F60" s="2">
        <f>IFERROR(__xludf.DUMMYFUNCTION("""COMPUTED_VALUE"""),1821705.0)</f>
        <v>1821705</v>
      </c>
    </row>
    <row r="61">
      <c r="A61" s="3">
        <f>IFERROR(__xludf.DUMMYFUNCTION("""COMPUTED_VALUE"""),37523.645833333336)</f>
        <v>37523.64583</v>
      </c>
      <c r="B61" s="2">
        <f>IFERROR(__xludf.DUMMYFUNCTION("""COMPUTED_VALUE"""),52.15)</f>
        <v>52.15</v>
      </c>
      <c r="C61" s="2">
        <f>IFERROR(__xludf.DUMMYFUNCTION("""COMPUTED_VALUE"""),52.61)</f>
        <v>52.61</v>
      </c>
      <c r="D61" s="2">
        <f>IFERROR(__xludf.DUMMYFUNCTION("""COMPUTED_VALUE"""),51.2)</f>
        <v>51.2</v>
      </c>
      <c r="E61" s="2">
        <f>IFERROR(__xludf.DUMMYFUNCTION("""COMPUTED_VALUE"""),51.44)</f>
        <v>51.44</v>
      </c>
      <c r="F61" s="2">
        <f>IFERROR(__xludf.DUMMYFUNCTION("""COMPUTED_VALUE"""),2417212.0)</f>
        <v>2417212</v>
      </c>
    </row>
    <row r="62">
      <c r="A62" s="3">
        <f>IFERROR(__xludf.DUMMYFUNCTION("""COMPUTED_VALUE"""),37524.645833333336)</f>
        <v>37524.64583</v>
      </c>
      <c r="B62" s="2">
        <f>IFERROR(__xludf.DUMMYFUNCTION("""COMPUTED_VALUE"""),51.16)</f>
        <v>51.16</v>
      </c>
      <c r="C62" s="2">
        <f>IFERROR(__xludf.DUMMYFUNCTION("""COMPUTED_VALUE"""),51.53)</f>
        <v>51.53</v>
      </c>
      <c r="D62" s="2">
        <f>IFERROR(__xludf.DUMMYFUNCTION("""COMPUTED_VALUE"""),50.74)</f>
        <v>50.74</v>
      </c>
      <c r="E62" s="2">
        <f>IFERROR(__xludf.DUMMYFUNCTION("""COMPUTED_VALUE"""),51.41)</f>
        <v>51.41</v>
      </c>
      <c r="F62" s="2">
        <f>IFERROR(__xludf.DUMMYFUNCTION("""COMPUTED_VALUE"""),1211786.0)</f>
        <v>1211786</v>
      </c>
    </row>
    <row r="63">
      <c r="A63" s="3">
        <f>IFERROR(__xludf.DUMMYFUNCTION("""COMPUTED_VALUE"""),37525.645833333336)</f>
        <v>37525.64583</v>
      </c>
      <c r="B63" s="2">
        <f>IFERROR(__xludf.DUMMYFUNCTION("""COMPUTED_VALUE"""),51.74)</f>
        <v>51.74</v>
      </c>
      <c r="C63" s="2">
        <f>IFERROR(__xludf.DUMMYFUNCTION("""COMPUTED_VALUE"""),51.76)</f>
        <v>51.76</v>
      </c>
      <c r="D63" s="2">
        <f>IFERROR(__xludf.DUMMYFUNCTION("""COMPUTED_VALUE"""),51.29)</f>
        <v>51.29</v>
      </c>
      <c r="E63" s="2">
        <f>IFERROR(__xludf.DUMMYFUNCTION("""COMPUTED_VALUE"""),51.48)</f>
        <v>51.48</v>
      </c>
      <c r="F63" s="2">
        <f>IFERROR(__xludf.DUMMYFUNCTION("""COMPUTED_VALUE"""),584209.0)</f>
        <v>584209</v>
      </c>
    </row>
    <row r="64">
      <c r="A64" s="3">
        <f>IFERROR(__xludf.DUMMYFUNCTION("""COMPUTED_VALUE"""),37526.645833333336)</f>
        <v>37526.64583</v>
      </c>
      <c r="B64" s="2">
        <f>IFERROR(__xludf.DUMMYFUNCTION("""COMPUTED_VALUE"""),51.49)</f>
        <v>51.49</v>
      </c>
      <c r="C64" s="2">
        <f>IFERROR(__xludf.DUMMYFUNCTION("""COMPUTED_VALUE"""),52.25)</f>
        <v>52.25</v>
      </c>
      <c r="D64" s="2">
        <f>IFERROR(__xludf.DUMMYFUNCTION("""COMPUTED_VALUE"""),51.1)</f>
        <v>51.1</v>
      </c>
      <c r="E64" s="2">
        <f>IFERROR(__xludf.DUMMYFUNCTION("""COMPUTED_VALUE"""),51.94)</f>
        <v>51.94</v>
      </c>
      <c r="F64" s="2">
        <f>IFERROR(__xludf.DUMMYFUNCTION("""COMPUTED_VALUE"""),1865491.0)</f>
        <v>1865491</v>
      </c>
    </row>
    <row r="65">
      <c r="A65" s="3">
        <f>IFERROR(__xludf.DUMMYFUNCTION("""COMPUTED_VALUE"""),37529.645833333336)</f>
        <v>37529.64583</v>
      </c>
      <c r="B65" s="2">
        <f>IFERROR(__xludf.DUMMYFUNCTION("""COMPUTED_VALUE"""),51.79)</f>
        <v>51.79</v>
      </c>
      <c r="C65" s="2">
        <f>IFERROR(__xludf.DUMMYFUNCTION("""COMPUTED_VALUE"""),52.35)</f>
        <v>52.35</v>
      </c>
      <c r="D65" s="2">
        <f>IFERROR(__xludf.DUMMYFUNCTION("""COMPUTED_VALUE"""),51.76)</f>
        <v>51.76</v>
      </c>
      <c r="E65" s="2">
        <f>IFERROR(__xludf.DUMMYFUNCTION("""COMPUTED_VALUE"""),51.96)</f>
        <v>51.96</v>
      </c>
      <c r="F65" s="2">
        <f>IFERROR(__xludf.DUMMYFUNCTION("""COMPUTED_VALUE"""),2254774.0)</f>
        <v>2254774</v>
      </c>
    </row>
    <row r="66">
      <c r="A66" s="3">
        <f>IFERROR(__xludf.DUMMYFUNCTION("""COMPUTED_VALUE"""),37530.645833333336)</f>
        <v>37530.64583</v>
      </c>
      <c r="B66" s="2">
        <f>IFERROR(__xludf.DUMMYFUNCTION("""COMPUTED_VALUE"""),51.56)</f>
        <v>51.56</v>
      </c>
      <c r="C66" s="2">
        <f>IFERROR(__xludf.DUMMYFUNCTION("""COMPUTED_VALUE"""),51.84)</f>
        <v>51.84</v>
      </c>
      <c r="D66" s="2">
        <f>IFERROR(__xludf.DUMMYFUNCTION("""COMPUTED_VALUE"""),50.14)</f>
        <v>50.14</v>
      </c>
      <c r="E66" s="2">
        <f>IFERROR(__xludf.DUMMYFUNCTION("""COMPUTED_VALUE"""),50.33)</f>
        <v>50.33</v>
      </c>
      <c r="F66" s="2">
        <f>IFERROR(__xludf.DUMMYFUNCTION("""COMPUTED_VALUE"""),2075680.0)</f>
        <v>2075680</v>
      </c>
    </row>
    <row r="67">
      <c r="A67" s="3">
        <f>IFERROR(__xludf.DUMMYFUNCTION("""COMPUTED_VALUE"""),37532.645833333336)</f>
        <v>37532.64583</v>
      </c>
      <c r="B67" s="2">
        <f>IFERROR(__xludf.DUMMYFUNCTION("""COMPUTED_VALUE"""),50.13)</f>
        <v>50.13</v>
      </c>
      <c r="C67" s="2">
        <f>IFERROR(__xludf.DUMMYFUNCTION("""COMPUTED_VALUE"""),50.23)</f>
        <v>50.23</v>
      </c>
      <c r="D67" s="2">
        <f>IFERROR(__xludf.DUMMYFUNCTION("""COMPUTED_VALUE"""),48.42)</f>
        <v>48.42</v>
      </c>
      <c r="E67" s="2">
        <f>IFERROR(__xludf.DUMMYFUNCTION("""COMPUTED_VALUE"""),48.74)</f>
        <v>48.74</v>
      </c>
      <c r="F67" s="2">
        <f>IFERROR(__xludf.DUMMYFUNCTION("""COMPUTED_VALUE"""),4891437.0)</f>
        <v>4891437</v>
      </c>
    </row>
    <row r="68">
      <c r="A68" s="3">
        <f>IFERROR(__xludf.DUMMYFUNCTION("""COMPUTED_VALUE"""),37533.645833333336)</f>
        <v>37533.64583</v>
      </c>
      <c r="B68" s="2">
        <f>IFERROR(__xludf.DUMMYFUNCTION("""COMPUTED_VALUE"""),48.54)</f>
        <v>48.54</v>
      </c>
      <c r="C68" s="2">
        <f>IFERROR(__xludf.DUMMYFUNCTION("""COMPUTED_VALUE"""),48.69)</f>
        <v>48.69</v>
      </c>
      <c r="D68" s="2">
        <f>IFERROR(__xludf.DUMMYFUNCTION("""COMPUTED_VALUE"""),47.32)</f>
        <v>47.32</v>
      </c>
      <c r="E68" s="2">
        <f>IFERROR(__xludf.DUMMYFUNCTION("""COMPUTED_VALUE"""),47.55)</f>
        <v>47.55</v>
      </c>
      <c r="F68" s="2">
        <f>IFERROR(__xludf.DUMMYFUNCTION("""COMPUTED_VALUE"""),3961069.0)</f>
        <v>3961069</v>
      </c>
    </row>
    <row r="69">
      <c r="A69" s="3">
        <f>IFERROR(__xludf.DUMMYFUNCTION("""COMPUTED_VALUE"""),37536.645833333336)</f>
        <v>37536.64583</v>
      </c>
      <c r="B69" s="2">
        <f>IFERROR(__xludf.DUMMYFUNCTION("""COMPUTED_VALUE"""),47.31)</f>
        <v>47.31</v>
      </c>
      <c r="C69" s="2">
        <f>IFERROR(__xludf.DUMMYFUNCTION("""COMPUTED_VALUE"""),48.65)</f>
        <v>48.65</v>
      </c>
      <c r="D69" s="2">
        <f>IFERROR(__xludf.DUMMYFUNCTION("""COMPUTED_VALUE"""),47.23)</f>
        <v>47.23</v>
      </c>
      <c r="E69" s="2">
        <f>IFERROR(__xludf.DUMMYFUNCTION("""COMPUTED_VALUE"""),48.35)</f>
        <v>48.35</v>
      </c>
      <c r="F69" s="2">
        <f>IFERROR(__xludf.DUMMYFUNCTION("""COMPUTED_VALUE"""),2026576.0)</f>
        <v>2026576</v>
      </c>
    </row>
    <row r="70">
      <c r="A70" s="3">
        <f>IFERROR(__xludf.DUMMYFUNCTION("""COMPUTED_VALUE"""),37537.645833333336)</f>
        <v>37537.64583</v>
      </c>
      <c r="B70" s="2">
        <f>IFERROR(__xludf.DUMMYFUNCTION("""COMPUTED_VALUE"""),48.45)</f>
        <v>48.45</v>
      </c>
      <c r="C70" s="2">
        <f>IFERROR(__xludf.DUMMYFUNCTION("""COMPUTED_VALUE"""),49.09)</f>
        <v>49.09</v>
      </c>
      <c r="D70" s="2">
        <f>IFERROR(__xludf.DUMMYFUNCTION("""COMPUTED_VALUE"""),48.28)</f>
        <v>48.28</v>
      </c>
      <c r="E70" s="2">
        <f>IFERROR(__xludf.DUMMYFUNCTION("""COMPUTED_VALUE"""),48.79)</f>
        <v>48.79</v>
      </c>
      <c r="F70" s="2">
        <f>IFERROR(__xludf.DUMMYFUNCTION("""COMPUTED_VALUE"""),1331793.0)</f>
        <v>1331793</v>
      </c>
    </row>
    <row r="71">
      <c r="A71" s="3">
        <f>IFERROR(__xludf.DUMMYFUNCTION("""COMPUTED_VALUE"""),37538.645833333336)</f>
        <v>37538.64583</v>
      </c>
      <c r="B71" s="2">
        <f>IFERROR(__xludf.DUMMYFUNCTION("""COMPUTED_VALUE"""),48.87)</f>
        <v>48.87</v>
      </c>
      <c r="C71" s="2">
        <f>IFERROR(__xludf.DUMMYFUNCTION("""COMPUTED_VALUE"""),49.01)</f>
        <v>49.01</v>
      </c>
      <c r="D71" s="2">
        <f>IFERROR(__xludf.DUMMYFUNCTION("""COMPUTED_VALUE"""),47.86)</f>
        <v>47.86</v>
      </c>
      <c r="E71" s="2">
        <f>IFERROR(__xludf.DUMMYFUNCTION("""COMPUTED_VALUE"""),48.0)</f>
        <v>48</v>
      </c>
      <c r="F71" s="2">
        <f>IFERROR(__xludf.DUMMYFUNCTION("""COMPUTED_VALUE"""),1444782.0)</f>
        <v>1444782</v>
      </c>
    </row>
    <row r="72">
      <c r="A72" s="3">
        <f>IFERROR(__xludf.DUMMYFUNCTION("""COMPUTED_VALUE"""),37539.645833333336)</f>
        <v>37539.64583</v>
      </c>
      <c r="B72" s="2">
        <f>IFERROR(__xludf.DUMMYFUNCTION("""COMPUTED_VALUE"""),47.72)</f>
        <v>47.72</v>
      </c>
      <c r="C72" s="2">
        <f>IFERROR(__xludf.DUMMYFUNCTION("""COMPUTED_VALUE"""),48.2)</f>
        <v>48.2</v>
      </c>
      <c r="D72" s="2">
        <f>IFERROR(__xludf.DUMMYFUNCTION("""COMPUTED_VALUE"""),47.36)</f>
        <v>47.36</v>
      </c>
      <c r="E72" s="2">
        <f>IFERROR(__xludf.DUMMYFUNCTION("""COMPUTED_VALUE"""),47.7)</f>
        <v>47.7</v>
      </c>
      <c r="F72" s="2">
        <f>IFERROR(__xludf.DUMMYFUNCTION("""COMPUTED_VALUE"""),1495105.0)</f>
        <v>1495105</v>
      </c>
    </row>
    <row r="73">
      <c r="A73" s="3">
        <f>IFERROR(__xludf.DUMMYFUNCTION("""COMPUTED_VALUE"""),37540.645833333336)</f>
        <v>37540.64583</v>
      </c>
      <c r="B73" s="2">
        <f>IFERROR(__xludf.DUMMYFUNCTION("""COMPUTED_VALUE"""),50.54)</f>
        <v>50.54</v>
      </c>
      <c r="C73" s="2">
        <f>IFERROR(__xludf.DUMMYFUNCTION("""COMPUTED_VALUE"""),50.54)</f>
        <v>50.54</v>
      </c>
      <c r="D73" s="2">
        <f>IFERROR(__xludf.DUMMYFUNCTION("""COMPUTED_VALUE"""),47.94)</f>
        <v>47.94</v>
      </c>
      <c r="E73" s="2">
        <f>IFERROR(__xludf.DUMMYFUNCTION("""COMPUTED_VALUE"""),48.24)</f>
        <v>48.24</v>
      </c>
      <c r="F73" s="2">
        <f>IFERROR(__xludf.DUMMYFUNCTION("""COMPUTED_VALUE"""),1287555.0)</f>
        <v>1287555</v>
      </c>
    </row>
    <row r="74">
      <c r="A74" s="3">
        <f>IFERROR(__xludf.DUMMYFUNCTION("""COMPUTED_VALUE"""),37543.645833333336)</f>
        <v>37543.64583</v>
      </c>
      <c r="B74" s="2">
        <f>IFERROR(__xludf.DUMMYFUNCTION("""COMPUTED_VALUE"""),48.52)</f>
        <v>48.52</v>
      </c>
      <c r="C74" s="2">
        <f>IFERROR(__xludf.DUMMYFUNCTION("""COMPUTED_VALUE"""),49.01)</f>
        <v>49.01</v>
      </c>
      <c r="D74" s="2">
        <f>IFERROR(__xludf.DUMMYFUNCTION("""COMPUTED_VALUE"""),48.32)</f>
        <v>48.32</v>
      </c>
      <c r="E74" s="2">
        <f>IFERROR(__xludf.DUMMYFUNCTION("""COMPUTED_VALUE"""),48.76)</f>
        <v>48.76</v>
      </c>
      <c r="F74" s="2">
        <f>IFERROR(__xludf.DUMMYFUNCTION("""COMPUTED_VALUE"""),1047072.0)</f>
        <v>1047072</v>
      </c>
    </row>
    <row r="75">
      <c r="A75" s="3">
        <f>IFERROR(__xludf.DUMMYFUNCTION("""COMPUTED_VALUE"""),37545.645833333336)</f>
        <v>37545.64583</v>
      </c>
      <c r="B75" s="2">
        <f>IFERROR(__xludf.DUMMYFUNCTION("""COMPUTED_VALUE"""),49.03)</f>
        <v>49.03</v>
      </c>
      <c r="C75" s="2">
        <f>IFERROR(__xludf.DUMMYFUNCTION("""COMPUTED_VALUE"""),49.78)</f>
        <v>49.78</v>
      </c>
      <c r="D75" s="2">
        <f>IFERROR(__xludf.DUMMYFUNCTION("""COMPUTED_VALUE"""),48.88)</f>
        <v>48.88</v>
      </c>
      <c r="E75" s="2">
        <f>IFERROR(__xludf.DUMMYFUNCTION("""COMPUTED_VALUE"""),49.17)</f>
        <v>49.17</v>
      </c>
      <c r="F75" s="2">
        <f>IFERROR(__xludf.DUMMYFUNCTION("""COMPUTED_VALUE"""),1966995.0)</f>
        <v>1966995</v>
      </c>
    </row>
    <row r="76">
      <c r="A76" s="3">
        <f>IFERROR(__xludf.DUMMYFUNCTION("""COMPUTED_VALUE"""),37546.645833333336)</f>
        <v>37546.64583</v>
      </c>
      <c r="B76" s="2">
        <f>IFERROR(__xludf.DUMMYFUNCTION("""COMPUTED_VALUE"""),49.03)</f>
        <v>49.03</v>
      </c>
      <c r="C76" s="2">
        <f>IFERROR(__xludf.DUMMYFUNCTION("""COMPUTED_VALUE"""),49.29)</f>
        <v>49.29</v>
      </c>
      <c r="D76" s="2">
        <f>IFERROR(__xludf.DUMMYFUNCTION("""COMPUTED_VALUE"""),48.65)</f>
        <v>48.65</v>
      </c>
      <c r="E76" s="2">
        <f>IFERROR(__xludf.DUMMYFUNCTION("""COMPUTED_VALUE"""),49.06)</f>
        <v>49.06</v>
      </c>
      <c r="F76" s="2">
        <f>IFERROR(__xludf.DUMMYFUNCTION("""COMPUTED_VALUE"""),1207311.0)</f>
        <v>1207311</v>
      </c>
    </row>
    <row r="77">
      <c r="A77" s="3">
        <f>IFERROR(__xludf.DUMMYFUNCTION("""COMPUTED_VALUE"""),37547.645833333336)</f>
        <v>37547.64583</v>
      </c>
      <c r="B77" s="2">
        <f>IFERROR(__xludf.DUMMYFUNCTION("""COMPUTED_VALUE"""),49.27)</f>
        <v>49.27</v>
      </c>
      <c r="C77" s="2">
        <f>IFERROR(__xludf.DUMMYFUNCTION("""COMPUTED_VALUE"""),49.8)</f>
        <v>49.8</v>
      </c>
      <c r="D77" s="2">
        <f>IFERROR(__xludf.DUMMYFUNCTION("""COMPUTED_VALUE"""),48.63)</f>
        <v>48.63</v>
      </c>
      <c r="E77" s="2">
        <f>IFERROR(__xludf.DUMMYFUNCTION("""COMPUTED_VALUE"""),48.9)</f>
        <v>48.9</v>
      </c>
      <c r="F77" s="2">
        <f>IFERROR(__xludf.DUMMYFUNCTION("""COMPUTED_VALUE"""),1421229.0)</f>
        <v>1421229</v>
      </c>
    </row>
    <row r="78">
      <c r="A78" s="3">
        <f>IFERROR(__xludf.DUMMYFUNCTION("""COMPUTED_VALUE"""),37550.645833333336)</f>
        <v>37550.64583</v>
      </c>
      <c r="B78" s="2">
        <f>IFERROR(__xludf.DUMMYFUNCTION("""COMPUTED_VALUE"""),49.13)</f>
        <v>49.13</v>
      </c>
      <c r="C78" s="2">
        <f>IFERROR(__xludf.DUMMYFUNCTION("""COMPUTED_VALUE"""),49.17)</f>
        <v>49.17</v>
      </c>
      <c r="D78" s="2">
        <f>IFERROR(__xludf.DUMMYFUNCTION("""COMPUTED_VALUE"""),48.56)</f>
        <v>48.56</v>
      </c>
      <c r="E78" s="2">
        <f>IFERROR(__xludf.DUMMYFUNCTION("""COMPUTED_VALUE"""),48.75)</f>
        <v>48.75</v>
      </c>
      <c r="F78" s="2">
        <f>IFERROR(__xludf.DUMMYFUNCTION("""COMPUTED_VALUE"""),792887.0)</f>
        <v>792887</v>
      </c>
    </row>
    <row r="79">
      <c r="A79" s="3">
        <f>IFERROR(__xludf.DUMMYFUNCTION("""COMPUTED_VALUE"""),37551.645833333336)</f>
        <v>37551.64583</v>
      </c>
      <c r="B79" s="2">
        <f>IFERROR(__xludf.DUMMYFUNCTION("""COMPUTED_VALUE"""),48.94)</f>
        <v>48.94</v>
      </c>
      <c r="C79" s="2">
        <f>IFERROR(__xludf.DUMMYFUNCTION("""COMPUTED_VALUE"""),48.99)</f>
        <v>48.99</v>
      </c>
      <c r="D79" s="2">
        <f>IFERROR(__xludf.DUMMYFUNCTION("""COMPUTED_VALUE"""),48.13)</f>
        <v>48.13</v>
      </c>
      <c r="E79" s="2">
        <f>IFERROR(__xludf.DUMMYFUNCTION("""COMPUTED_VALUE"""),48.31)</f>
        <v>48.31</v>
      </c>
      <c r="F79" s="2">
        <f>IFERROR(__xludf.DUMMYFUNCTION("""COMPUTED_VALUE"""),1114776.0)</f>
        <v>1114776</v>
      </c>
    </row>
    <row r="80">
      <c r="A80" s="3">
        <f>IFERROR(__xludf.DUMMYFUNCTION("""COMPUTED_VALUE"""),37552.645833333336)</f>
        <v>37552.64583</v>
      </c>
      <c r="B80" s="2">
        <f>IFERROR(__xludf.DUMMYFUNCTION("""COMPUTED_VALUE"""),47.88)</f>
        <v>47.88</v>
      </c>
      <c r="C80" s="2">
        <f>IFERROR(__xludf.DUMMYFUNCTION("""COMPUTED_VALUE"""),47.88)</f>
        <v>47.88</v>
      </c>
      <c r="D80" s="2">
        <f>IFERROR(__xludf.DUMMYFUNCTION("""COMPUTED_VALUE"""),47.39)</f>
        <v>47.39</v>
      </c>
      <c r="E80" s="2">
        <f>IFERROR(__xludf.DUMMYFUNCTION("""COMPUTED_VALUE"""),47.51)</f>
        <v>47.51</v>
      </c>
      <c r="F80" s="2">
        <f>IFERROR(__xludf.DUMMYFUNCTION("""COMPUTED_VALUE"""),1364316.0)</f>
        <v>1364316</v>
      </c>
    </row>
    <row r="81">
      <c r="A81" s="3">
        <f>IFERROR(__xludf.DUMMYFUNCTION("""COMPUTED_VALUE"""),37553.645833333336)</f>
        <v>37553.64583</v>
      </c>
      <c r="B81" s="2">
        <f>IFERROR(__xludf.DUMMYFUNCTION("""COMPUTED_VALUE"""),47.31)</f>
        <v>47.31</v>
      </c>
      <c r="C81" s="2">
        <f>IFERROR(__xludf.DUMMYFUNCTION("""COMPUTED_VALUE"""),47.72)</f>
        <v>47.72</v>
      </c>
      <c r="D81" s="2">
        <f>IFERROR(__xludf.DUMMYFUNCTION("""COMPUTED_VALUE"""),46.13)</f>
        <v>46.13</v>
      </c>
      <c r="E81" s="2">
        <f>IFERROR(__xludf.DUMMYFUNCTION("""COMPUTED_VALUE"""),46.29)</f>
        <v>46.29</v>
      </c>
      <c r="F81" s="2">
        <f>IFERROR(__xludf.DUMMYFUNCTION("""COMPUTED_VALUE"""),2871456.0)</f>
        <v>2871456</v>
      </c>
    </row>
    <row r="82">
      <c r="A82" s="3">
        <f>IFERROR(__xludf.DUMMYFUNCTION("""COMPUTED_VALUE"""),37554.645833333336)</f>
        <v>37554.64583</v>
      </c>
      <c r="B82" s="2">
        <f>IFERROR(__xludf.DUMMYFUNCTION("""COMPUTED_VALUE"""),46.21)</f>
        <v>46.21</v>
      </c>
      <c r="C82" s="2">
        <f>IFERROR(__xludf.DUMMYFUNCTION("""COMPUTED_VALUE"""),46.49)</f>
        <v>46.49</v>
      </c>
      <c r="D82" s="2">
        <f>IFERROR(__xludf.DUMMYFUNCTION("""COMPUTED_VALUE"""),44.61)</f>
        <v>44.61</v>
      </c>
      <c r="E82" s="2">
        <f>IFERROR(__xludf.DUMMYFUNCTION("""COMPUTED_VALUE"""),44.91)</f>
        <v>44.91</v>
      </c>
      <c r="F82" s="2">
        <f>IFERROR(__xludf.DUMMYFUNCTION("""COMPUTED_VALUE"""),4726002.0)</f>
        <v>4726002</v>
      </c>
    </row>
    <row r="83">
      <c r="A83" s="3">
        <f>IFERROR(__xludf.DUMMYFUNCTION("""COMPUTED_VALUE"""),37557.645833333336)</f>
        <v>37557.64583</v>
      </c>
      <c r="B83" s="2">
        <f>IFERROR(__xludf.DUMMYFUNCTION("""COMPUTED_VALUE"""),44.86)</f>
        <v>44.86</v>
      </c>
      <c r="C83" s="2">
        <f>IFERROR(__xludf.DUMMYFUNCTION("""COMPUTED_VALUE"""),45.22)</f>
        <v>45.22</v>
      </c>
      <c r="D83" s="2">
        <f>IFERROR(__xludf.DUMMYFUNCTION("""COMPUTED_VALUE"""),43.9)</f>
        <v>43.9</v>
      </c>
      <c r="E83" s="2">
        <f>IFERROR(__xludf.DUMMYFUNCTION("""COMPUTED_VALUE"""),44.25)</f>
        <v>44.25</v>
      </c>
      <c r="F83" s="2">
        <f>IFERROR(__xludf.DUMMYFUNCTION("""COMPUTED_VALUE"""),2880309.0)</f>
        <v>2880309</v>
      </c>
    </row>
    <row r="84">
      <c r="A84" s="3">
        <f>IFERROR(__xludf.DUMMYFUNCTION("""COMPUTED_VALUE"""),37558.645833333336)</f>
        <v>37558.64583</v>
      </c>
      <c r="B84" s="2">
        <f>IFERROR(__xludf.DUMMYFUNCTION("""COMPUTED_VALUE"""),45.4)</f>
        <v>45.4</v>
      </c>
      <c r="C84" s="2">
        <f>IFERROR(__xludf.DUMMYFUNCTION("""COMPUTED_VALUE"""),46.81)</f>
        <v>46.81</v>
      </c>
      <c r="D84" s="2">
        <f>IFERROR(__xludf.DUMMYFUNCTION("""COMPUTED_VALUE"""),45.12)</f>
        <v>45.12</v>
      </c>
      <c r="E84" s="2">
        <f>IFERROR(__xludf.DUMMYFUNCTION("""COMPUTED_VALUE"""),46.42)</f>
        <v>46.42</v>
      </c>
      <c r="F84" s="2">
        <f>IFERROR(__xludf.DUMMYFUNCTION("""COMPUTED_VALUE"""),5708486.0)</f>
        <v>5708486</v>
      </c>
    </row>
    <row r="85">
      <c r="A85" s="3">
        <f>IFERROR(__xludf.DUMMYFUNCTION("""COMPUTED_VALUE"""),37559.645833333336)</f>
        <v>37559.64583</v>
      </c>
      <c r="B85" s="2">
        <f>IFERROR(__xludf.DUMMYFUNCTION("""COMPUTED_VALUE"""),46.83)</f>
        <v>46.83</v>
      </c>
      <c r="C85" s="2">
        <f>IFERROR(__xludf.DUMMYFUNCTION("""COMPUTED_VALUE"""),47.5)</f>
        <v>47.5</v>
      </c>
      <c r="D85" s="2">
        <f>IFERROR(__xludf.DUMMYFUNCTION("""COMPUTED_VALUE"""),46.83)</f>
        <v>46.83</v>
      </c>
      <c r="E85" s="2">
        <f>IFERROR(__xludf.DUMMYFUNCTION("""COMPUTED_VALUE"""),47.19)</f>
        <v>47.19</v>
      </c>
      <c r="F85" s="2">
        <f>IFERROR(__xludf.DUMMYFUNCTION("""COMPUTED_VALUE"""),3855740.0)</f>
        <v>3855740</v>
      </c>
    </row>
    <row r="86">
      <c r="A86" s="3">
        <f>IFERROR(__xludf.DUMMYFUNCTION("""COMPUTED_VALUE"""),37560.645833333336)</f>
        <v>37560.64583</v>
      </c>
      <c r="B86" s="2">
        <f>IFERROR(__xludf.DUMMYFUNCTION("""COMPUTED_VALUE"""),47.73)</f>
        <v>47.73</v>
      </c>
      <c r="C86" s="2">
        <f>IFERROR(__xludf.DUMMYFUNCTION("""COMPUTED_VALUE"""),54.24)</f>
        <v>54.24</v>
      </c>
      <c r="D86" s="2">
        <f>IFERROR(__xludf.DUMMYFUNCTION("""COMPUTED_VALUE"""),47.73)</f>
        <v>47.73</v>
      </c>
      <c r="E86" s="2">
        <f>IFERROR(__xludf.DUMMYFUNCTION("""COMPUTED_VALUE"""),53.45)</f>
        <v>53.45</v>
      </c>
      <c r="F86" s="2">
        <f>IFERROR(__xludf.DUMMYFUNCTION("""COMPUTED_VALUE"""),3.6393864E7)</f>
        <v>36393864</v>
      </c>
    </row>
    <row r="87">
      <c r="A87" s="3">
        <f>IFERROR(__xludf.DUMMYFUNCTION("""COMPUTED_VALUE"""),37561.645833333336)</f>
        <v>37561.64583</v>
      </c>
      <c r="B87" s="2">
        <f>IFERROR(__xludf.DUMMYFUNCTION("""COMPUTED_VALUE"""),53.52)</f>
        <v>53.52</v>
      </c>
      <c r="C87" s="2">
        <f>IFERROR(__xludf.DUMMYFUNCTION("""COMPUTED_VALUE"""),53.9)</f>
        <v>53.9</v>
      </c>
      <c r="D87" s="2">
        <f>IFERROR(__xludf.DUMMYFUNCTION("""COMPUTED_VALUE"""),50.69)</f>
        <v>50.69</v>
      </c>
      <c r="E87" s="2">
        <f>IFERROR(__xludf.DUMMYFUNCTION("""COMPUTED_VALUE"""),51.89)</f>
        <v>51.89</v>
      </c>
      <c r="F87" s="2">
        <f>IFERROR(__xludf.DUMMYFUNCTION("""COMPUTED_VALUE"""),2.2687604E7)</f>
        <v>22687604</v>
      </c>
    </row>
    <row r="88">
      <c r="A88" s="3">
        <f>IFERROR(__xludf.DUMMYFUNCTION("""COMPUTED_VALUE"""),37564.645833333336)</f>
        <v>37564.64583</v>
      </c>
      <c r="B88" s="2">
        <f>IFERROR(__xludf.DUMMYFUNCTION("""COMPUTED_VALUE"""),52.96)</f>
        <v>52.96</v>
      </c>
      <c r="C88" s="2">
        <f>IFERROR(__xludf.DUMMYFUNCTION("""COMPUTED_VALUE"""),53.21)</f>
        <v>53.21</v>
      </c>
      <c r="D88" s="2">
        <f>IFERROR(__xludf.DUMMYFUNCTION("""COMPUTED_VALUE"""),52.41)</f>
        <v>52.41</v>
      </c>
      <c r="E88" s="2">
        <f>IFERROR(__xludf.DUMMYFUNCTION("""COMPUTED_VALUE"""),53.0)</f>
        <v>53</v>
      </c>
      <c r="F88" s="2">
        <f>IFERROR(__xludf.DUMMYFUNCTION("""COMPUTED_VALUE"""),5166758.0)</f>
        <v>5166758</v>
      </c>
    </row>
    <row r="89">
      <c r="A89" s="3">
        <f>IFERROR(__xludf.DUMMYFUNCTION("""COMPUTED_VALUE"""),37565.645833333336)</f>
        <v>37565.64583</v>
      </c>
      <c r="B89" s="2">
        <f>IFERROR(__xludf.DUMMYFUNCTION("""COMPUTED_VALUE"""),53.35)</f>
        <v>53.35</v>
      </c>
      <c r="C89" s="2">
        <f>IFERROR(__xludf.DUMMYFUNCTION("""COMPUTED_VALUE"""),53.35)</f>
        <v>53.35</v>
      </c>
      <c r="D89" s="2">
        <f>IFERROR(__xludf.DUMMYFUNCTION("""COMPUTED_VALUE"""),52.29)</f>
        <v>52.29</v>
      </c>
      <c r="E89" s="2">
        <f>IFERROR(__xludf.DUMMYFUNCTION("""COMPUTED_VALUE"""),52.59)</f>
        <v>52.59</v>
      </c>
      <c r="F89" s="2">
        <f>IFERROR(__xludf.DUMMYFUNCTION("""COMPUTED_VALUE"""),5126794.0)</f>
        <v>5126794</v>
      </c>
    </row>
    <row r="90">
      <c r="A90" s="3">
        <f>IFERROR(__xludf.DUMMYFUNCTION("""COMPUTED_VALUE"""),37567.645833333336)</f>
        <v>37567.64583</v>
      </c>
      <c r="B90" s="2">
        <f>IFERROR(__xludf.DUMMYFUNCTION("""COMPUTED_VALUE"""),53.05)</f>
        <v>53.05</v>
      </c>
      <c r="C90" s="2">
        <f>IFERROR(__xludf.DUMMYFUNCTION("""COMPUTED_VALUE"""),54.63)</f>
        <v>54.63</v>
      </c>
      <c r="D90" s="2">
        <f>IFERROR(__xludf.DUMMYFUNCTION("""COMPUTED_VALUE"""),51.86)</f>
        <v>51.86</v>
      </c>
      <c r="E90" s="2">
        <f>IFERROR(__xludf.DUMMYFUNCTION("""COMPUTED_VALUE"""),52.28)</f>
        <v>52.28</v>
      </c>
      <c r="F90" s="2">
        <f>IFERROR(__xludf.DUMMYFUNCTION("""COMPUTED_VALUE"""),8984720.0)</f>
        <v>8984720</v>
      </c>
    </row>
    <row r="91">
      <c r="A91" s="3">
        <f>IFERROR(__xludf.DUMMYFUNCTION("""COMPUTED_VALUE"""),37568.645833333336)</f>
        <v>37568.64583</v>
      </c>
      <c r="B91" s="2">
        <f>IFERROR(__xludf.DUMMYFUNCTION("""COMPUTED_VALUE"""),51.14)</f>
        <v>51.14</v>
      </c>
      <c r="C91" s="2">
        <f>IFERROR(__xludf.DUMMYFUNCTION("""COMPUTED_VALUE"""),52.78)</f>
        <v>52.78</v>
      </c>
      <c r="D91" s="2">
        <f>IFERROR(__xludf.DUMMYFUNCTION("""COMPUTED_VALUE"""),51.14)</f>
        <v>51.14</v>
      </c>
      <c r="E91" s="2">
        <f>IFERROR(__xludf.DUMMYFUNCTION("""COMPUTED_VALUE"""),51.95)</f>
        <v>51.95</v>
      </c>
      <c r="F91" s="2">
        <f>IFERROR(__xludf.DUMMYFUNCTION("""COMPUTED_VALUE"""),6836817.0)</f>
        <v>6836817</v>
      </c>
    </row>
    <row r="92">
      <c r="A92" s="3">
        <f>IFERROR(__xludf.DUMMYFUNCTION("""COMPUTED_VALUE"""),37571.645833333336)</f>
        <v>37571.64583</v>
      </c>
      <c r="B92" s="2">
        <f>IFERROR(__xludf.DUMMYFUNCTION("""COMPUTED_VALUE"""),51.95)</f>
        <v>51.95</v>
      </c>
      <c r="C92" s="2">
        <f>IFERROR(__xludf.DUMMYFUNCTION("""COMPUTED_VALUE"""),52.02)</f>
        <v>52.02</v>
      </c>
      <c r="D92" s="2">
        <f>IFERROR(__xludf.DUMMYFUNCTION("""COMPUTED_VALUE"""),51.25)</f>
        <v>51.25</v>
      </c>
      <c r="E92" s="2">
        <f>IFERROR(__xludf.DUMMYFUNCTION("""COMPUTED_VALUE"""),51.54)</f>
        <v>51.54</v>
      </c>
      <c r="F92" s="2">
        <f>IFERROR(__xludf.DUMMYFUNCTION("""COMPUTED_VALUE"""),2908551.0)</f>
        <v>2908551</v>
      </c>
    </row>
    <row r="93">
      <c r="A93" s="3">
        <f>IFERROR(__xludf.DUMMYFUNCTION("""COMPUTED_VALUE"""),37572.645833333336)</f>
        <v>37572.64583</v>
      </c>
      <c r="B93" s="2">
        <f>IFERROR(__xludf.DUMMYFUNCTION("""COMPUTED_VALUE"""),51.14)</f>
        <v>51.14</v>
      </c>
      <c r="C93" s="2">
        <f>IFERROR(__xludf.DUMMYFUNCTION("""COMPUTED_VALUE"""),52.69)</f>
        <v>52.69</v>
      </c>
      <c r="D93" s="2">
        <f>IFERROR(__xludf.DUMMYFUNCTION("""COMPUTED_VALUE"""),51.07)</f>
        <v>51.07</v>
      </c>
      <c r="E93" s="2">
        <f>IFERROR(__xludf.DUMMYFUNCTION("""COMPUTED_VALUE"""),52.51)</f>
        <v>52.51</v>
      </c>
      <c r="F93" s="2">
        <f>IFERROR(__xludf.DUMMYFUNCTION("""COMPUTED_VALUE"""),5578331.0)</f>
        <v>5578331</v>
      </c>
    </row>
    <row r="94">
      <c r="A94" s="3">
        <f>IFERROR(__xludf.DUMMYFUNCTION("""COMPUTED_VALUE"""),37573.645833333336)</f>
        <v>37573.64583</v>
      </c>
      <c r="B94" s="2">
        <f>IFERROR(__xludf.DUMMYFUNCTION("""COMPUTED_VALUE"""),54.31)</f>
        <v>54.31</v>
      </c>
      <c r="C94" s="2">
        <f>IFERROR(__xludf.DUMMYFUNCTION("""COMPUTED_VALUE"""),54.31)</f>
        <v>54.31</v>
      </c>
      <c r="D94" s="2">
        <f>IFERROR(__xludf.DUMMYFUNCTION("""COMPUTED_VALUE"""),52.43)</f>
        <v>52.43</v>
      </c>
      <c r="E94" s="2">
        <f>IFERROR(__xludf.DUMMYFUNCTION("""COMPUTED_VALUE"""),52.92)</f>
        <v>52.92</v>
      </c>
      <c r="F94" s="2">
        <f>IFERROR(__xludf.DUMMYFUNCTION("""COMPUTED_VALUE"""),8159262.0)</f>
        <v>8159262</v>
      </c>
    </row>
    <row r="95">
      <c r="A95" s="3">
        <f>IFERROR(__xludf.DUMMYFUNCTION("""COMPUTED_VALUE"""),37574.645833333336)</f>
        <v>37574.64583</v>
      </c>
      <c r="B95" s="2">
        <f>IFERROR(__xludf.DUMMYFUNCTION("""COMPUTED_VALUE"""),53.05)</f>
        <v>53.05</v>
      </c>
      <c r="C95" s="2">
        <f>IFERROR(__xludf.DUMMYFUNCTION("""COMPUTED_VALUE"""),53.5)</f>
        <v>53.5</v>
      </c>
      <c r="D95" s="2">
        <f>IFERROR(__xludf.DUMMYFUNCTION("""COMPUTED_VALUE"""),52.8)</f>
        <v>52.8</v>
      </c>
      <c r="E95" s="2">
        <f>IFERROR(__xludf.DUMMYFUNCTION("""COMPUTED_VALUE"""),53.33)</f>
        <v>53.33</v>
      </c>
      <c r="F95" s="2">
        <f>IFERROR(__xludf.DUMMYFUNCTION("""COMPUTED_VALUE"""),5058403.0)</f>
        <v>5058403</v>
      </c>
    </row>
    <row r="96">
      <c r="A96" s="3">
        <f>IFERROR(__xludf.DUMMYFUNCTION("""COMPUTED_VALUE"""),37575.645833333336)</f>
        <v>37575.64583</v>
      </c>
      <c r="B96" s="2">
        <f>IFERROR(__xludf.DUMMYFUNCTION("""COMPUTED_VALUE"""),53.78)</f>
        <v>53.78</v>
      </c>
      <c r="C96" s="2">
        <f>IFERROR(__xludf.DUMMYFUNCTION("""COMPUTED_VALUE"""),54.26)</f>
        <v>54.26</v>
      </c>
      <c r="D96" s="2">
        <f>IFERROR(__xludf.DUMMYFUNCTION("""COMPUTED_VALUE"""),53.58)</f>
        <v>53.58</v>
      </c>
      <c r="E96" s="2">
        <f>IFERROR(__xludf.DUMMYFUNCTION("""COMPUTED_VALUE"""),54.0)</f>
        <v>54</v>
      </c>
      <c r="F96" s="2">
        <f>IFERROR(__xludf.DUMMYFUNCTION("""COMPUTED_VALUE"""),4908203.0)</f>
        <v>4908203</v>
      </c>
    </row>
    <row r="97">
      <c r="A97" s="3">
        <f>IFERROR(__xludf.DUMMYFUNCTION("""COMPUTED_VALUE"""),37578.645833333336)</f>
        <v>37578.64583</v>
      </c>
      <c r="B97" s="2">
        <f>IFERROR(__xludf.DUMMYFUNCTION("""COMPUTED_VALUE"""),53.96)</f>
        <v>53.96</v>
      </c>
      <c r="C97" s="2">
        <f>IFERROR(__xludf.DUMMYFUNCTION("""COMPUTED_VALUE"""),55.73)</f>
        <v>55.73</v>
      </c>
      <c r="D97" s="2">
        <f>IFERROR(__xludf.DUMMYFUNCTION("""COMPUTED_VALUE"""),53.78)</f>
        <v>53.78</v>
      </c>
      <c r="E97" s="2">
        <f>IFERROR(__xludf.DUMMYFUNCTION("""COMPUTED_VALUE"""),54.73)</f>
        <v>54.73</v>
      </c>
      <c r="F97" s="2">
        <f>IFERROR(__xludf.DUMMYFUNCTION("""COMPUTED_VALUE"""),6630375.0)</f>
        <v>6630375</v>
      </c>
    </row>
    <row r="98">
      <c r="A98" s="3">
        <f>IFERROR(__xludf.DUMMYFUNCTION("""COMPUTED_VALUE"""),37580.645833333336)</f>
        <v>37580.64583</v>
      </c>
      <c r="B98" s="2">
        <f>IFERROR(__xludf.DUMMYFUNCTION("""COMPUTED_VALUE"""),54.87)</f>
        <v>54.87</v>
      </c>
      <c r="C98" s="2">
        <f>IFERROR(__xludf.DUMMYFUNCTION("""COMPUTED_VALUE"""),55.95)</f>
        <v>55.95</v>
      </c>
      <c r="D98" s="2">
        <f>IFERROR(__xludf.DUMMYFUNCTION("""COMPUTED_VALUE"""),54.56)</f>
        <v>54.56</v>
      </c>
      <c r="E98" s="2">
        <f>IFERROR(__xludf.DUMMYFUNCTION("""COMPUTED_VALUE"""),55.06)</f>
        <v>55.06</v>
      </c>
      <c r="F98" s="2">
        <f>IFERROR(__xludf.DUMMYFUNCTION("""COMPUTED_VALUE"""),7450726.0)</f>
        <v>7450726</v>
      </c>
    </row>
    <row r="99">
      <c r="A99" s="3">
        <f>IFERROR(__xludf.DUMMYFUNCTION("""COMPUTED_VALUE"""),37581.645833333336)</f>
        <v>37581.64583</v>
      </c>
      <c r="B99" s="2">
        <f>IFERROR(__xludf.DUMMYFUNCTION("""COMPUTED_VALUE"""),55.42)</f>
        <v>55.42</v>
      </c>
      <c r="C99" s="2">
        <f>IFERROR(__xludf.DUMMYFUNCTION("""COMPUTED_VALUE"""),55.77)</f>
        <v>55.77</v>
      </c>
      <c r="D99" s="2">
        <f>IFERROR(__xludf.DUMMYFUNCTION("""COMPUTED_VALUE"""),55.03)</f>
        <v>55.03</v>
      </c>
      <c r="E99" s="2">
        <f>IFERROR(__xludf.DUMMYFUNCTION("""COMPUTED_VALUE"""),55.31)</f>
        <v>55.31</v>
      </c>
      <c r="F99" s="2">
        <f>IFERROR(__xludf.DUMMYFUNCTION("""COMPUTED_VALUE"""),4353172.0)</f>
        <v>4353172</v>
      </c>
    </row>
    <row r="100">
      <c r="A100" s="3">
        <f>IFERROR(__xludf.DUMMYFUNCTION("""COMPUTED_VALUE"""),37582.645833333336)</f>
        <v>37582.64583</v>
      </c>
      <c r="B100" s="2">
        <f>IFERROR(__xludf.DUMMYFUNCTION("""COMPUTED_VALUE"""),55.67)</f>
        <v>55.67</v>
      </c>
      <c r="C100" s="2">
        <f>IFERROR(__xludf.DUMMYFUNCTION("""COMPUTED_VALUE"""),58.06)</f>
        <v>58.06</v>
      </c>
      <c r="D100" s="2">
        <f>IFERROR(__xludf.DUMMYFUNCTION("""COMPUTED_VALUE"""),55.67)</f>
        <v>55.67</v>
      </c>
      <c r="E100" s="2">
        <f>IFERROR(__xludf.DUMMYFUNCTION("""COMPUTED_VALUE"""),57.45)</f>
        <v>57.45</v>
      </c>
      <c r="F100" s="2">
        <f>IFERROR(__xludf.DUMMYFUNCTION("""COMPUTED_VALUE"""),1.3556557E7)</f>
        <v>13556557</v>
      </c>
    </row>
    <row r="101">
      <c r="A101" s="3">
        <f>IFERROR(__xludf.DUMMYFUNCTION("""COMPUTED_VALUE"""),37585.645833333336)</f>
        <v>37585.64583</v>
      </c>
      <c r="B101" s="2">
        <f>IFERROR(__xludf.DUMMYFUNCTION("""COMPUTED_VALUE"""),57.28)</f>
        <v>57.28</v>
      </c>
      <c r="C101" s="2">
        <f>IFERROR(__xludf.DUMMYFUNCTION("""COMPUTED_VALUE"""),58.73)</f>
        <v>58.73</v>
      </c>
      <c r="D101" s="2">
        <f>IFERROR(__xludf.DUMMYFUNCTION("""COMPUTED_VALUE"""),56.73)</f>
        <v>56.73</v>
      </c>
      <c r="E101" s="2">
        <f>IFERROR(__xludf.DUMMYFUNCTION("""COMPUTED_VALUE"""),57.69)</f>
        <v>57.69</v>
      </c>
      <c r="F101" s="2">
        <f>IFERROR(__xludf.DUMMYFUNCTION("""COMPUTED_VALUE"""),9464779.0)</f>
        <v>9464779</v>
      </c>
    </row>
    <row r="102">
      <c r="A102" s="3">
        <f>IFERROR(__xludf.DUMMYFUNCTION("""COMPUTED_VALUE"""),37586.645833333336)</f>
        <v>37586.64583</v>
      </c>
      <c r="B102" s="2">
        <f>IFERROR(__xludf.DUMMYFUNCTION("""COMPUTED_VALUE"""),58.33)</f>
        <v>58.33</v>
      </c>
      <c r="C102" s="2">
        <f>IFERROR(__xludf.DUMMYFUNCTION("""COMPUTED_VALUE"""),59.56)</f>
        <v>59.56</v>
      </c>
      <c r="D102" s="2">
        <f>IFERROR(__xludf.DUMMYFUNCTION("""COMPUTED_VALUE"""),58.3)</f>
        <v>58.3</v>
      </c>
      <c r="E102" s="2">
        <f>IFERROR(__xludf.DUMMYFUNCTION("""COMPUTED_VALUE"""),58.87)</f>
        <v>58.87</v>
      </c>
      <c r="F102" s="2">
        <f>IFERROR(__xludf.DUMMYFUNCTION("""COMPUTED_VALUE"""),1.3852575E7)</f>
        <v>13852575</v>
      </c>
    </row>
    <row r="103">
      <c r="A103" s="3">
        <f>IFERROR(__xludf.DUMMYFUNCTION("""COMPUTED_VALUE"""),37587.645833333336)</f>
        <v>37587.64583</v>
      </c>
      <c r="B103" s="2">
        <f>IFERROR(__xludf.DUMMYFUNCTION("""COMPUTED_VALUE"""),58.69)</f>
        <v>58.69</v>
      </c>
      <c r="C103" s="2">
        <f>IFERROR(__xludf.DUMMYFUNCTION("""COMPUTED_VALUE"""),58.98)</f>
        <v>58.98</v>
      </c>
      <c r="D103" s="2">
        <f>IFERROR(__xludf.DUMMYFUNCTION("""COMPUTED_VALUE"""),57.61)</f>
        <v>57.61</v>
      </c>
      <c r="E103" s="2">
        <f>IFERROR(__xludf.DUMMYFUNCTION("""COMPUTED_VALUE"""),57.84)</f>
        <v>57.84</v>
      </c>
      <c r="F103" s="2">
        <f>IFERROR(__xludf.DUMMYFUNCTION("""COMPUTED_VALUE"""),7021521.0)</f>
        <v>7021521</v>
      </c>
    </row>
    <row r="104">
      <c r="A104" s="3">
        <f>IFERROR(__xludf.DUMMYFUNCTION("""COMPUTED_VALUE"""),37588.645833333336)</f>
        <v>37588.64583</v>
      </c>
      <c r="B104" s="2">
        <f>IFERROR(__xludf.DUMMYFUNCTION("""COMPUTED_VALUE"""),58.39)</f>
        <v>58.39</v>
      </c>
      <c r="C104" s="2">
        <f>IFERROR(__xludf.DUMMYFUNCTION("""COMPUTED_VALUE"""),58.98)</f>
        <v>58.98</v>
      </c>
      <c r="D104" s="2">
        <f>IFERROR(__xludf.DUMMYFUNCTION("""COMPUTED_VALUE"""),58.22)</f>
        <v>58.22</v>
      </c>
      <c r="E104" s="2">
        <f>IFERROR(__xludf.DUMMYFUNCTION("""COMPUTED_VALUE"""),58.55)</f>
        <v>58.55</v>
      </c>
      <c r="F104" s="2">
        <f>IFERROR(__xludf.DUMMYFUNCTION("""COMPUTED_VALUE"""),7071612.0)</f>
        <v>7071612</v>
      </c>
    </row>
    <row r="105">
      <c r="A105" s="3">
        <f>IFERROR(__xludf.DUMMYFUNCTION("""COMPUTED_VALUE"""),37589.645833333336)</f>
        <v>37589.64583</v>
      </c>
      <c r="B105" s="2">
        <f>IFERROR(__xludf.DUMMYFUNCTION("""COMPUTED_VALUE"""),58.89)</f>
        <v>58.89</v>
      </c>
      <c r="C105" s="2">
        <f>IFERROR(__xludf.DUMMYFUNCTION("""COMPUTED_VALUE"""),59.34)</f>
        <v>59.34</v>
      </c>
      <c r="D105" s="2">
        <f>IFERROR(__xludf.DUMMYFUNCTION("""COMPUTED_VALUE"""),57.13)</f>
        <v>57.13</v>
      </c>
      <c r="E105" s="2">
        <f>IFERROR(__xludf.DUMMYFUNCTION("""COMPUTED_VALUE"""),57.97)</f>
        <v>57.97</v>
      </c>
      <c r="F105" s="2">
        <f>IFERROR(__xludf.DUMMYFUNCTION("""COMPUTED_VALUE"""),7928814.0)</f>
        <v>7928814</v>
      </c>
    </row>
    <row r="106">
      <c r="A106" s="3">
        <f>IFERROR(__xludf.DUMMYFUNCTION("""COMPUTED_VALUE"""),37592.645833333336)</f>
        <v>37592.64583</v>
      </c>
      <c r="B106" s="2">
        <f>IFERROR(__xludf.DUMMYFUNCTION("""COMPUTED_VALUE"""),58.37)</f>
        <v>58.37</v>
      </c>
      <c r="C106" s="2">
        <f>IFERROR(__xludf.DUMMYFUNCTION("""COMPUTED_VALUE"""),59.83)</f>
        <v>59.83</v>
      </c>
      <c r="D106" s="2">
        <f>IFERROR(__xludf.DUMMYFUNCTION("""COMPUTED_VALUE"""),57.99)</f>
        <v>57.99</v>
      </c>
      <c r="E106" s="2">
        <f>IFERROR(__xludf.DUMMYFUNCTION("""COMPUTED_VALUE"""),59.3)</f>
        <v>59.3</v>
      </c>
      <c r="F106" s="2">
        <f>IFERROR(__xludf.DUMMYFUNCTION("""COMPUTED_VALUE"""),5907463.0)</f>
        <v>5907463</v>
      </c>
    </row>
    <row r="107">
      <c r="A107" s="3">
        <f>IFERROR(__xludf.DUMMYFUNCTION("""COMPUTED_VALUE"""),37593.645833333336)</f>
        <v>37593.64583</v>
      </c>
      <c r="B107" s="2">
        <f>IFERROR(__xludf.DUMMYFUNCTION("""COMPUTED_VALUE"""),59.99)</f>
        <v>59.99</v>
      </c>
      <c r="C107" s="2">
        <f>IFERROR(__xludf.DUMMYFUNCTION("""COMPUTED_VALUE"""),60.75)</f>
        <v>60.75</v>
      </c>
      <c r="D107" s="2">
        <f>IFERROR(__xludf.DUMMYFUNCTION("""COMPUTED_VALUE"""),58.29)</f>
        <v>58.29</v>
      </c>
      <c r="E107" s="2">
        <f>IFERROR(__xludf.DUMMYFUNCTION("""COMPUTED_VALUE"""),58.66)</f>
        <v>58.66</v>
      </c>
      <c r="F107" s="2">
        <f>IFERROR(__xludf.DUMMYFUNCTION("""COMPUTED_VALUE"""),7823413.0)</f>
        <v>7823413</v>
      </c>
    </row>
    <row r="108">
      <c r="A108" s="3">
        <f>IFERROR(__xludf.DUMMYFUNCTION("""COMPUTED_VALUE"""),37594.645833333336)</f>
        <v>37594.64583</v>
      </c>
      <c r="B108" s="2">
        <f>IFERROR(__xludf.DUMMYFUNCTION("""COMPUTED_VALUE"""),58.99)</f>
        <v>58.99</v>
      </c>
      <c r="C108" s="2">
        <f>IFERROR(__xludf.DUMMYFUNCTION("""COMPUTED_VALUE"""),59.26)</f>
        <v>59.26</v>
      </c>
      <c r="D108" s="2">
        <f>IFERROR(__xludf.DUMMYFUNCTION("""COMPUTED_VALUE"""),57.74)</f>
        <v>57.74</v>
      </c>
      <c r="E108" s="2">
        <f>IFERROR(__xludf.DUMMYFUNCTION("""COMPUTED_VALUE"""),58.89)</f>
        <v>58.89</v>
      </c>
      <c r="F108" s="2">
        <f>IFERROR(__xludf.DUMMYFUNCTION("""COMPUTED_VALUE"""),9168904.0)</f>
        <v>9168904</v>
      </c>
    </row>
    <row r="109">
      <c r="A109" s="3">
        <f>IFERROR(__xludf.DUMMYFUNCTION("""COMPUTED_VALUE"""),37595.645833333336)</f>
        <v>37595.64583</v>
      </c>
      <c r="B109" s="2">
        <f>IFERROR(__xludf.DUMMYFUNCTION("""COMPUTED_VALUE"""),59.33)</f>
        <v>59.33</v>
      </c>
      <c r="C109" s="2">
        <f>IFERROR(__xludf.DUMMYFUNCTION("""COMPUTED_VALUE"""),59.98)</f>
        <v>59.98</v>
      </c>
      <c r="D109" s="2">
        <f>IFERROR(__xludf.DUMMYFUNCTION("""COMPUTED_VALUE"""),58.89)</f>
        <v>58.89</v>
      </c>
      <c r="E109" s="2">
        <f>IFERROR(__xludf.DUMMYFUNCTION("""COMPUTED_VALUE"""),59.27)</f>
        <v>59.27</v>
      </c>
      <c r="F109" s="2">
        <f>IFERROR(__xludf.DUMMYFUNCTION("""COMPUTED_VALUE"""),6537126.0)</f>
        <v>6537126</v>
      </c>
    </row>
    <row r="110">
      <c r="A110" s="3">
        <f>IFERROR(__xludf.DUMMYFUNCTION("""COMPUTED_VALUE"""),37596.645833333336)</f>
        <v>37596.64583</v>
      </c>
      <c r="B110" s="2">
        <f>IFERROR(__xludf.DUMMYFUNCTION("""COMPUTED_VALUE"""),59.41)</f>
        <v>59.41</v>
      </c>
      <c r="C110" s="2">
        <f>IFERROR(__xludf.DUMMYFUNCTION("""COMPUTED_VALUE"""),60.2)</f>
        <v>60.2</v>
      </c>
      <c r="D110" s="2">
        <f>IFERROR(__xludf.DUMMYFUNCTION("""COMPUTED_VALUE"""),59.0)</f>
        <v>59</v>
      </c>
      <c r="E110" s="2">
        <f>IFERROR(__xludf.DUMMYFUNCTION("""COMPUTED_VALUE"""),59.63)</f>
        <v>59.63</v>
      </c>
      <c r="F110" s="2">
        <f>IFERROR(__xludf.DUMMYFUNCTION("""COMPUTED_VALUE"""),3669736.0)</f>
        <v>3669736</v>
      </c>
    </row>
    <row r="111">
      <c r="A111" s="3">
        <f>IFERROR(__xludf.DUMMYFUNCTION("""COMPUTED_VALUE"""),37599.645833333336)</f>
        <v>37599.64583</v>
      </c>
      <c r="B111" s="2">
        <f>IFERROR(__xludf.DUMMYFUNCTION("""COMPUTED_VALUE"""),60.2)</f>
        <v>60.2</v>
      </c>
      <c r="C111" s="2">
        <f>IFERROR(__xludf.DUMMYFUNCTION("""COMPUTED_VALUE"""),61.26)</f>
        <v>61.26</v>
      </c>
      <c r="D111" s="2">
        <f>IFERROR(__xludf.DUMMYFUNCTION("""COMPUTED_VALUE"""),58.64)</f>
        <v>58.64</v>
      </c>
      <c r="E111" s="2">
        <f>IFERROR(__xludf.DUMMYFUNCTION("""COMPUTED_VALUE"""),58.98)</f>
        <v>58.98</v>
      </c>
      <c r="F111" s="2">
        <f>IFERROR(__xludf.DUMMYFUNCTION("""COMPUTED_VALUE"""),8159296.0)</f>
        <v>8159296</v>
      </c>
    </row>
    <row r="112">
      <c r="A112" s="3">
        <f>IFERROR(__xludf.DUMMYFUNCTION("""COMPUTED_VALUE"""),37600.645833333336)</f>
        <v>37600.64583</v>
      </c>
      <c r="B112" s="2">
        <f>IFERROR(__xludf.DUMMYFUNCTION("""COMPUTED_VALUE"""),58.57)</f>
        <v>58.57</v>
      </c>
      <c r="C112" s="2">
        <f>IFERROR(__xludf.DUMMYFUNCTION("""COMPUTED_VALUE"""),59.24)</f>
        <v>59.24</v>
      </c>
      <c r="D112" s="2">
        <f>IFERROR(__xludf.DUMMYFUNCTION("""COMPUTED_VALUE"""),58.01)</f>
        <v>58.01</v>
      </c>
      <c r="E112" s="2">
        <f>IFERROR(__xludf.DUMMYFUNCTION("""COMPUTED_VALUE"""),59.06)</f>
        <v>59.06</v>
      </c>
      <c r="F112" s="2">
        <f>IFERROR(__xludf.DUMMYFUNCTION("""COMPUTED_VALUE"""),4599603.0)</f>
        <v>4599603</v>
      </c>
    </row>
    <row r="113">
      <c r="A113" s="3">
        <f>IFERROR(__xludf.DUMMYFUNCTION("""COMPUTED_VALUE"""),37601.645833333336)</f>
        <v>37601.64583</v>
      </c>
      <c r="B113" s="2">
        <f>IFERROR(__xludf.DUMMYFUNCTION("""COMPUTED_VALUE"""),59.37)</f>
        <v>59.37</v>
      </c>
      <c r="C113" s="2">
        <f>IFERROR(__xludf.DUMMYFUNCTION("""COMPUTED_VALUE"""),59.78)</f>
        <v>59.78</v>
      </c>
      <c r="D113" s="2">
        <f>IFERROR(__xludf.DUMMYFUNCTION("""COMPUTED_VALUE"""),58.51)</f>
        <v>58.51</v>
      </c>
      <c r="E113" s="2">
        <f>IFERROR(__xludf.DUMMYFUNCTION("""COMPUTED_VALUE"""),58.92)</f>
        <v>58.92</v>
      </c>
      <c r="F113" s="2">
        <f>IFERROR(__xludf.DUMMYFUNCTION("""COMPUTED_VALUE"""),4144766.0)</f>
        <v>4144766</v>
      </c>
    </row>
    <row r="114">
      <c r="A114" s="3">
        <f>IFERROR(__xludf.DUMMYFUNCTION("""COMPUTED_VALUE"""),37602.645833333336)</f>
        <v>37602.64583</v>
      </c>
      <c r="B114" s="2">
        <f>IFERROR(__xludf.DUMMYFUNCTION("""COMPUTED_VALUE"""),58.99)</f>
        <v>58.99</v>
      </c>
      <c r="C114" s="2">
        <f>IFERROR(__xludf.DUMMYFUNCTION("""COMPUTED_VALUE"""),59.3)</f>
        <v>59.3</v>
      </c>
      <c r="D114" s="2">
        <f>IFERROR(__xludf.DUMMYFUNCTION("""COMPUTED_VALUE"""),58.42)</f>
        <v>58.42</v>
      </c>
      <c r="E114" s="2">
        <f>IFERROR(__xludf.DUMMYFUNCTION("""COMPUTED_VALUE"""),59.16)</f>
        <v>59.16</v>
      </c>
      <c r="F114" s="2">
        <f>IFERROR(__xludf.DUMMYFUNCTION("""COMPUTED_VALUE"""),4006333.0)</f>
        <v>4006333</v>
      </c>
    </row>
    <row r="115">
      <c r="A115" s="3">
        <f>IFERROR(__xludf.DUMMYFUNCTION("""COMPUTED_VALUE"""),37603.645833333336)</f>
        <v>37603.64583</v>
      </c>
      <c r="B115" s="2">
        <f>IFERROR(__xludf.DUMMYFUNCTION("""COMPUTED_VALUE"""),57.99)</f>
        <v>57.99</v>
      </c>
      <c r="C115" s="2">
        <f>IFERROR(__xludf.DUMMYFUNCTION("""COMPUTED_VALUE"""),60.14)</f>
        <v>60.14</v>
      </c>
      <c r="D115" s="2">
        <f>IFERROR(__xludf.DUMMYFUNCTION("""COMPUTED_VALUE"""),57.99)</f>
        <v>57.99</v>
      </c>
      <c r="E115" s="2">
        <f>IFERROR(__xludf.DUMMYFUNCTION("""COMPUTED_VALUE"""),59.79)</f>
        <v>59.79</v>
      </c>
      <c r="F115" s="2">
        <f>IFERROR(__xludf.DUMMYFUNCTION("""COMPUTED_VALUE"""),3790765.0)</f>
        <v>3790765</v>
      </c>
    </row>
    <row r="116">
      <c r="A116" s="3">
        <f>IFERROR(__xludf.DUMMYFUNCTION("""COMPUTED_VALUE"""),37606.645833333336)</f>
        <v>37606.64583</v>
      </c>
      <c r="B116" s="2">
        <f>IFERROR(__xludf.DUMMYFUNCTION("""COMPUTED_VALUE"""),60.8)</f>
        <v>60.8</v>
      </c>
      <c r="C116" s="2">
        <f>IFERROR(__xludf.DUMMYFUNCTION("""COMPUTED_VALUE"""),60.8)</f>
        <v>60.8</v>
      </c>
      <c r="D116" s="2">
        <f>IFERROR(__xludf.DUMMYFUNCTION("""COMPUTED_VALUE"""),59.39)</f>
        <v>59.39</v>
      </c>
      <c r="E116" s="2">
        <f>IFERROR(__xludf.DUMMYFUNCTION("""COMPUTED_VALUE"""),59.54)</f>
        <v>59.54</v>
      </c>
      <c r="F116" s="2">
        <f>IFERROR(__xludf.DUMMYFUNCTION("""COMPUTED_VALUE"""),6677302.0)</f>
        <v>6677302</v>
      </c>
    </row>
    <row r="117">
      <c r="A117" s="3">
        <f>IFERROR(__xludf.DUMMYFUNCTION("""COMPUTED_VALUE"""),37607.645833333336)</f>
        <v>37607.64583</v>
      </c>
      <c r="B117" s="2">
        <f>IFERROR(__xludf.DUMMYFUNCTION("""COMPUTED_VALUE"""),59.65)</f>
        <v>59.65</v>
      </c>
      <c r="C117" s="2">
        <f>IFERROR(__xludf.DUMMYFUNCTION("""COMPUTED_VALUE"""),59.96)</f>
        <v>59.96</v>
      </c>
      <c r="D117" s="2">
        <f>IFERROR(__xludf.DUMMYFUNCTION("""COMPUTED_VALUE"""),58.8)</f>
        <v>58.8</v>
      </c>
      <c r="E117" s="2">
        <f>IFERROR(__xludf.DUMMYFUNCTION("""COMPUTED_VALUE"""),59.21)</f>
        <v>59.21</v>
      </c>
      <c r="F117" s="2">
        <f>IFERROR(__xludf.DUMMYFUNCTION("""COMPUTED_VALUE"""),4945501.0)</f>
        <v>4945501</v>
      </c>
    </row>
    <row r="118">
      <c r="A118" s="3">
        <f>IFERROR(__xludf.DUMMYFUNCTION("""COMPUTED_VALUE"""),37608.645833333336)</f>
        <v>37608.64583</v>
      </c>
      <c r="B118" s="2">
        <f>IFERROR(__xludf.DUMMYFUNCTION("""COMPUTED_VALUE"""),59.3)</f>
        <v>59.3</v>
      </c>
      <c r="C118" s="2">
        <f>IFERROR(__xludf.DUMMYFUNCTION("""COMPUTED_VALUE"""),59.58)</f>
        <v>59.58</v>
      </c>
      <c r="D118" s="2">
        <f>IFERROR(__xludf.DUMMYFUNCTION("""COMPUTED_VALUE"""),58.12)</f>
        <v>58.12</v>
      </c>
      <c r="E118" s="2">
        <f>IFERROR(__xludf.DUMMYFUNCTION("""COMPUTED_VALUE"""),58.37)</f>
        <v>58.37</v>
      </c>
      <c r="F118" s="2">
        <f>IFERROR(__xludf.DUMMYFUNCTION("""COMPUTED_VALUE"""),3553239.0)</f>
        <v>3553239</v>
      </c>
    </row>
    <row r="119">
      <c r="A119" s="3">
        <f>IFERROR(__xludf.DUMMYFUNCTION("""COMPUTED_VALUE"""),37609.645833333336)</f>
        <v>37609.64583</v>
      </c>
      <c r="B119" s="2">
        <f>IFERROR(__xludf.DUMMYFUNCTION("""COMPUTED_VALUE"""),58.29)</f>
        <v>58.29</v>
      </c>
      <c r="C119" s="2">
        <f>IFERROR(__xludf.DUMMYFUNCTION("""COMPUTED_VALUE"""),58.47)</f>
        <v>58.47</v>
      </c>
      <c r="D119" s="2">
        <f>IFERROR(__xludf.DUMMYFUNCTION("""COMPUTED_VALUE"""),57.55)</f>
        <v>57.55</v>
      </c>
      <c r="E119" s="2">
        <f>IFERROR(__xludf.DUMMYFUNCTION("""COMPUTED_VALUE"""),58.21)</f>
        <v>58.21</v>
      </c>
      <c r="F119" s="2">
        <f>IFERROR(__xludf.DUMMYFUNCTION("""COMPUTED_VALUE"""),3871518.0)</f>
        <v>3871518</v>
      </c>
    </row>
    <row r="120">
      <c r="A120" s="3">
        <f>IFERROR(__xludf.DUMMYFUNCTION("""COMPUTED_VALUE"""),37610.645833333336)</f>
        <v>37610.64583</v>
      </c>
      <c r="B120" s="2">
        <f>IFERROR(__xludf.DUMMYFUNCTION("""COMPUTED_VALUE"""),58.19)</f>
        <v>58.19</v>
      </c>
      <c r="C120" s="2">
        <f>IFERROR(__xludf.DUMMYFUNCTION("""COMPUTED_VALUE"""),58.96)</f>
        <v>58.96</v>
      </c>
      <c r="D120" s="2">
        <f>IFERROR(__xludf.DUMMYFUNCTION("""COMPUTED_VALUE"""),58.19)</f>
        <v>58.19</v>
      </c>
      <c r="E120" s="2">
        <f>IFERROR(__xludf.DUMMYFUNCTION("""COMPUTED_VALUE"""),58.55)</f>
        <v>58.55</v>
      </c>
      <c r="F120" s="2">
        <f>IFERROR(__xludf.DUMMYFUNCTION("""COMPUTED_VALUE"""),3651142.0)</f>
        <v>3651142</v>
      </c>
    </row>
    <row r="121">
      <c r="A121" s="3">
        <f>IFERROR(__xludf.DUMMYFUNCTION("""COMPUTED_VALUE"""),37613.645833333336)</f>
        <v>37613.64583</v>
      </c>
      <c r="B121" s="2">
        <f>IFERROR(__xludf.DUMMYFUNCTION("""COMPUTED_VALUE"""),58.78)</f>
        <v>58.78</v>
      </c>
      <c r="C121" s="2">
        <f>IFERROR(__xludf.DUMMYFUNCTION("""COMPUTED_VALUE"""),58.79)</f>
        <v>58.79</v>
      </c>
      <c r="D121" s="2">
        <f>IFERROR(__xludf.DUMMYFUNCTION("""COMPUTED_VALUE"""),58.09)</f>
        <v>58.09</v>
      </c>
      <c r="E121" s="2">
        <f>IFERROR(__xludf.DUMMYFUNCTION("""COMPUTED_VALUE"""),58.32)</f>
        <v>58.32</v>
      </c>
      <c r="F121" s="2">
        <f>IFERROR(__xludf.DUMMYFUNCTION("""COMPUTED_VALUE"""),2523244.0)</f>
        <v>2523244</v>
      </c>
    </row>
    <row r="122">
      <c r="A122" s="3">
        <f>IFERROR(__xludf.DUMMYFUNCTION("""COMPUTED_VALUE"""),37614.645833333336)</f>
        <v>37614.64583</v>
      </c>
      <c r="B122" s="2">
        <f>IFERROR(__xludf.DUMMYFUNCTION("""COMPUTED_VALUE"""),58.24)</f>
        <v>58.24</v>
      </c>
      <c r="C122" s="2">
        <f>IFERROR(__xludf.DUMMYFUNCTION("""COMPUTED_VALUE"""),58.84)</f>
        <v>58.84</v>
      </c>
      <c r="D122" s="2">
        <f>IFERROR(__xludf.DUMMYFUNCTION("""COMPUTED_VALUE"""),56.82)</f>
        <v>56.82</v>
      </c>
      <c r="E122" s="2">
        <f>IFERROR(__xludf.DUMMYFUNCTION("""COMPUTED_VALUE"""),58.7)</f>
        <v>58.7</v>
      </c>
      <c r="F122" s="2">
        <f>IFERROR(__xludf.DUMMYFUNCTION("""COMPUTED_VALUE"""),3709924.0)</f>
        <v>3709924</v>
      </c>
    </row>
    <row r="123">
      <c r="A123" s="3">
        <f>IFERROR(__xludf.DUMMYFUNCTION("""COMPUTED_VALUE"""),37616.645833333336)</f>
        <v>37616.64583</v>
      </c>
      <c r="B123" s="2">
        <f>IFERROR(__xludf.DUMMYFUNCTION("""COMPUTED_VALUE"""),58.94)</f>
        <v>58.94</v>
      </c>
      <c r="C123" s="2">
        <f>IFERROR(__xludf.DUMMYFUNCTION("""COMPUTED_VALUE"""),60.95)</f>
        <v>60.95</v>
      </c>
      <c r="D123" s="2">
        <f>IFERROR(__xludf.DUMMYFUNCTION("""COMPUTED_VALUE"""),58.89)</f>
        <v>58.89</v>
      </c>
      <c r="E123" s="2">
        <f>IFERROR(__xludf.DUMMYFUNCTION("""COMPUTED_VALUE"""),60.5)</f>
        <v>60.5</v>
      </c>
      <c r="F123" s="2">
        <f>IFERROR(__xludf.DUMMYFUNCTION("""COMPUTED_VALUE"""),1.0948599E7)</f>
        <v>10948599</v>
      </c>
    </row>
    <row r="124">
      <c r="A124" s="3">
        <f>IFERROR(__xludf.DUMMYFUNCTION("""COMPUTED_VALUE"""),37617.645833333336)</f>
        <v>37617.64583</v>
      </c>
      <c r="B124" s="2">
        <f>IFERROR(__xludf.DUMMYFUNCTION("""COMPUTED_VALUE"""),60.91)</f>
        <v>60.91</v>
      </c>
      <c r="C124" s="2">
        <f>IFERROR(__xludf.DUMMYFUNCTION("""COMPUTED_VALUE"""),61.69)</f>
        <v>61.69</v>
      </c>
      <c r="D124" s="2">
        <f>IFERROR(__xludf.DUMMYFUNCTION("""COMPUTED_VALUE"""),59.84)</f>
        <v>59.84</v>
      </c>
      <c r="E124" s="2">
        <f>IFERROR(__xludf.DUMMYFUNCTION("""COMPUTED_VALUE"""),60.18)</f>
        <v>60.18</v>
      </c>
      <c r="F124" s="2">
        <f>IFERROR(__xludf.DUMMYFUNCTION("""COMPUTED_VALUE"""),1.034975E7)</f>
        <v>10349750</v>
      </c>
    </row>
    <row r="125">
      <c r="A125" s="3">
        <f>IFERROR(__xludf.DUMMYFUNCTION("""COMPUTED_VALUE"""),37620.645833333336)</f>
        <v>37620.64583</v>
      </c>
      <c r="B125" s="2">
        <f>IFERROR(__xludf.DUMMYFUNCTION("""COMPUTED_VALUE"""),59.8)</f>
        <v>59.8</v>
      </c>
      <c r="C125" s="2">
        <f>IFERROR(__xludf.DUMMYFUNCTION("""COMPUTED_VALUE"""),60.23)</f>
        <v>60.23</v>
      </c>
      <c r="D125" s="2">
        <f>IFERROR(__xludf.DUMMYFUNCTION("""COMPUTED_VALUE"""),59.21)</f>
        <v>59.21</v>
      </c>
      <c r="E125" s="2">
        <f>IFERROR(__xludf.DUMMYFUNCTION("""COMPUTED_VALUE"""),59.9)</f>
        <v>59.9</v>
      </c>
      <c r="F125" s="2">
        <f>IFERROR(__xludf.DUMMYFUNCTION("""COMPUTED_VALUE"""),4170639.0)</f>
        <v>4170639</v>
      </c>
    </row>
    <row r="126">
      <c r="A126" s="3">
        <f>IFERROR(__xludf.DUMMYFUNCTION("""COMPUTED_VALUE"""),37621.645833333336)</f>
        <v>37621.64583</v>
      </c>
      <c r="B126" s="2">
        <f>IFERROR(__xludf.DUMMYFUNCTION("""COMPUTED_VALUE"""),60.38)</f>
        <v>60.38</v>
      </c>
      <c r="C126" s="2">
        <f>IFERROR(__xludf.DUMMYFUNCTION("""COMPUTED_VALUE"""),60.38)</f>
        <v>60.38</v>
      </c>
      <c r="D126" s="2">
        <f>IFERROR(__xludf.DUMMYFUNCTION("""COMPUTED_VALUE"""),59.81)</f>
        <v>59.81</v>
      </c>
      <c r="E126" s="2">
        <f>IFERROR(__xludf.DUMMYFUNCTION("""COMPUTED_VALUE"""),59.99)</f>
        <v>59.99</v>
      </c>
      <c r="F126" s="2">
        <f>IFERROR(__xludf.DUMMYFUNCTION("""COMPUTED_VALUE"""),3793216.0)</f>
        <v>3793216</v>
      </c>
    </row>
    <row r="127">
      <c r="A127" s="3">
        <f>IFERROR(__xludf.DUMMYFUNCTION("""COMPUTED_VALUE"""),37622.645833333336)</f>
        <v>37622.64583</v>
      </c>
      <c r="B127" s="2">
        <f>IFERROR(__xludf.DUMMYFUNCTION("""COMPUTED_VALUE"""),60.56)</f>
        <v>60.56</v>
      </c>
      <c r="C127" s="2">
        <f>IFERROR(__xludf.DUMMYFUNCTION("""COMPUTED_VALUE"""),60.7)</f>
        <v>60.7</v>
      </c>
      <c r="D127" s="2">
        <f>IFERROR(__xludf.DUMMYFUNCTION("""COMPUTED_VALUE"""),59.82)</f>
        <v>59.82</v>
      </c>
      <c r="E127" s="2">
        <f>IFERROR(__xludf.DUMMYFUNCTION("""COMPUTED_VALUE"""),59.96)</f>
        <v>59.96</v>
      </c>
      <c r="F127" s="2">
        <f>IFERROR(__xludf.DUMMYFUNCTION("""COMPUTED_VALUE"""),3385535.0)</f>
        <v>3385535</v>
      </c>
    </row>
    <row r="128">
      <c r="A128" s="3">
        <f>IFERROR(__xludf.DUMMYFUNCTION("""COMPUTED_VALUE"""),37623.645833333336)</f>
        <v>37623.64583</v>
      </c>
      <c r="B128" s="2">
        <f>IFERROR(__xludf.DUMMYFUNCTION("""COMPUTED_VALUE"""),60.17)</f>
        <v>60.17</v>
      </c>
      <c r="C128" s="2">
        <f>IFERROR(__xludf.DUMMYFUNCTION("""COMPUTED_VALUE"""),60.17)</f>
        <v>60.17</v>
      </c>
      <c r="D128" s="2">
        <f>IFERROR(__xludf.DUMMYFUNCTION("""COMPUTED_VALUE"""),58.91)</f>
        <v>58.91</v>
      </c>
      <c r="E128" s="2">
        <f>IFERROR(__xludf.DUMMYFUNCTION("""COMPUTED_VALUE"""),59.09)</f>
        <v>59.09</v>
      </c>
      <c r="F128" s="2">
        <f>IFERROR(__xludf.DUMMYFUNCTION("""COMPUTED_VALUE"""),2866903.0)</f>
        <v>2866903</v>
      </c>
    </row>
    <row r="129">
      <c r="A129" s="3">
        <f>IFERROR(__xludf.DUMMYFUNCTION("""COMPUTED_VALUE"""),37624.645833333336)</f>
        <v>37624.64583</v>
      </c>
      <c r="B129" s="2">
        <f>IFERROR(__xludf.DUMMYFUNCTION("""COMPUTED_VALUE"""),59.41)</f>
        <v>59.41</v>
      </c>
      <c r="C129" s="2">
        <f>IFERROR(__xludf.DUMMYFUNCTION("""COMPUTED_VALUE"""),59.46)</f>
        <v>59.46</v>
      </c>
      <c r="D129" s="2">
        <f>IFERROR(__xludf.DUMMYFUNCTION("""COMPUTED_VALUE"""),57.8)</f>
        <v>57.8</v>
      </c>
      <c r="E129" s="2">
        <f>IFERROR(__xludf.DUMMYFUNCTION("""COMPUTED_VALUE"""),57.98)</f>
        <v>57.98</v>
      </c>
      <c r="F129" s="2">
        <f>IFERROR(__xludf.DUMMYFUNCTION("""COMPUTED_VALUE"""),5194550.0)</f>
        <v>5194550</v>
      </c>
    </row>
    <row r="130">
      <c r="A130" s="3">
        <f>IFERROR(__xludf.DUMMYFUNCTION("""COMPUTED_VALUE"""),37627.645833333336)</f>
        <v>37627.64583</v>
      </c>
      <c r="B130" s="2">
        <f>IFERROR(__xludf.DUMMYFUNCTION("""COMPUTED_VALUE"""),57.91)</f>
        <v>57.91</v>
      </c>
      <c r="C130" s="2">
        <f>IFERROR(__xludf.DUMMYFUNCTION("""COMPUTED_VALUE"""),58.07)</f>
        <v>58.07</v>
      </c>
      <c r="D130" s="2">
        <f>IFERROR(__xludf.DUMMYFUNCTION("""COMPUTED_VALUE"""),57.21)</f>
        <v>57.21</v>
      </c>
      <c r="E130" s="2">
        <f>IFERROR(__xludf.DUMMYFUNCTION("""COMPUTED_VALUE"""),57.34)</f>
        <v>57.34</v>
      </c>
      <c r="F130" s="2">
        <f>IFERROR(__xludf.DUMMYFUNCTION("""COMPUTED_VALUE"""),3468858.0)</f>
        <v>3468858</v>
      </c>
    </row>
    <row r="131">
      <c r="A131" s="3">
        <f>IFERROR(__xludf.DUMMYFUNCTION("""COMPUTED_VALUE"""),37628.645833333336)</f>
        <v>37628.64583</v>
      </c>
      <c r="B131" s="2">
        <f>IFERROR(__xludf.DUMMYFUNCTION("""COMPUTED_VALUE"""),57.59)</f>
        <v>57.59</v>
      </c>
      <c r="C131" s="2">
        <f>IFERROR(__xludf.DUMMYFUNCTION("""COMPUTED_VALUE"""),57.9)</f>
        <v>57.9</v>
      </c>
      <c r="D131" s="2">
        <f>IFERROR(__xludf.DUMMYFUNCTION("""COMPUTED_VALUE"""),57.24)</f>
        <v>57.24</v>
      </c>
      <c r="E131" s="2">
        <f>IFERROR(__xludf.DUMMYFUNCTION("""COMPUTED_VALUE"""),57.39)</f>
        <v>57.39</v>
      </c>
      <c r="F131" s="2">
        <f>IFERROR(__xludf.DUMMYFUNCTION("""COMPUTED_VALUE"""),2710431.0)</f>
        <v>2710431</v>
      </c>
    </row>
    <row r="132">
      <c r="A132" s="3">
        <f>IFERROR(__xludf.DUMMYFUNCTION("""COMPUTED_VALUE"""),37629.645833333336)</f>
        <v>37629.64583</v>
      </c>
      <c r="B132" s="2">
        <f>IFERROR(__xludf.DUMMYFUNCTION("""COMPUTED_VALUE"""),57.45)</f>
        <v>57.45</v>
      </c>
      <c r="C132" s="2">
        <f>IFERROR(__xludf.DUMMYFUNCTION("""COMPUTED_VALUE"""),58.57)</f>
        <v>58.57</v>
      </c>
      <c r="D132" s="2">
        <f>IFERROR(__xludf.DUMMYFUNCTION("""COMPUTED_VALUE"""),57.41)</f>
        <v>57.41</v>
      </c>
      <c r="E132" s="2">
        <f>IFERROR(__xludf.DUMMYFUNCTION("""COMPUTED_VALUE"""),58.18)</f>
        <v>58.18</v>
      </c>
      <c r="F132" s="2">
        <f>IFERROR(__xludf.DUMMYFUNCTION("""COMPUTED_VALUE"""),2567185.0)</f>
        <v>2567185</v>
      </c>
    </row>
    <row r="133">
      <c r="A133" s="3">
        <f>IFERROR(__xludf.DUMMYFUNCTION("""COMPUTED_VALUE"""),37630.645833333336)</f>
        <v>37630.64583</v>
      </c>
      <c r="B133" s="2">
        <f>IFERROR(__xludf.DUMMYFUNCTION("""COMPUTED_VALUE"""),58.49)</f>
        <v>58.49</v>
      </c>
      <c r="C133" s="2">
        <f>IFERROR(__xludf.DUMMYFUNCTION("""COMPUTED_VALUE"""),59.98)</f>
        <v>59.98</v>
      </c>
      <c r="D133" s="2">
        <f>IFERROR(__xludf.DUMMYFUNCTION("""COMPUTED_VALUE"""),58.44)</f>
        <v>58.44</v>
      </c>
      <c r="E133" s="2">
        <f>IFERROR(__xludf.DUMMYFUNCTION("""COMPUTED_VALUE"""),59.67)</f>
        <v>59.67</v>
      </c>
      <c r="F133" s="2">
        <f>IFERROR(__xludf.DUMMYFUNCTION("""COMPUTED_VALUE"""),5705715.0)</f>
        <v>5705715</v>
      </c>
    </row>
    <row r="134">
      <c r="A134" s="3">
        <f>IFERROR(__xludf.DUMMYFUNCTION("""COMPUTED_VALUE"""),37631.645833333336)</f>
        <v>37631.64583</v>
      </c>
      <c r="B134" s="2">
        <f>IFERROR(__xludf.DUMMYFUNCTION("""COMPUTED_VALUE"""),60.16)</f>
        <v>60.16</v>
      </c>
      <c r="C134" s="2">
        <f>IFERROR(__xludf.DUMMYFUNCTION("""COMPUTED_VALUE"""),60.2)</f>
        <v>60.2</v>
      </c>
      <c r="D134" s="2">
        <f>IFERROR(__xludf.DUMMYFUNCTION("""COMPUTED_VALUE"""),58.79)</f>
        <v>58.79</v>
      </c>
      <c r="E134" s="2">
        <f>IFERROR(__xludf.DUMMYFUNCTION("""COMPUTED_VALUE"""),59.81)</f>
        <v>59.81</v>
      </c>
      <c r="F134" s="2">
        <f>IFERROR(__xludf.DUMMYFUNCTION("""COMPUTED_VALUE"""),4377033.0)</f>
        <v>4377033</v>
      </c>
    </row>
    <row r="135">
      <c r="A135" s="3">
        <f>IFERROR(__xludf.DUMMYFUNCTION("""COMPUTED_VALUE"""),37634.645833333336)</f>
        <v>37634.64583</v>
      </c>
      <c r="B135" s="2">
        <f>IFERROR(__xludf.DUMMYFUNCTION("""COMPUTED_VALUE"""),59.8)</f>
        <v>59.8</v>
      </c>
      <c r="C135" s="2">
        <f>IFERROR(__xludf.DUMMYFUNCTION("""COMPUTED_VALUE"""),59.86)</f>
        <v>59.86</v>
      </c>
      <c r="D135" s="2">
        <f>IFERROR(__xludf.DUMMYFUNCTION("""COMPUTED_VALUE"""),59.29)</f>
        <v>59.29</v>
      </c>
      <c r="E135" s="2">
        <f>IFERROR(__xludf.DUMMYFUNCTION("""COMPUTED_VALUE"""),59.44)</f>
        <v>59.44</v>
      </c>
      <c r="F135" s="2">
        <f>IFERROR(__xludf.DUMMYFUNCTION("""COMPUTED_VALUE"""),2639730.0)</f>
        <v>2639730</v>
      </c>
    </row>
    <row r="136">
      <c r="A136" s="3">
        <f>IFERROR(__xludf.DUMMYFUNCTION("""COMPUTED_VALUE"""),37635.645833333336)</f>
        <v>37635.64583</v>
      </c>
      <c r="B136" s="2">
        <f>IFERROR(__xludf.DUMMYFUNCTION("""COMPUTED_VALUE"""),58.97)</f>
        <v>58.97</v>
      </c>
      <c r="C136" s="2">
        <f>IFERROR(__xludf.DUMMYFUNCTION("""COMPUTED_VALUE"""),59.39)</f>
        <v>59.39</v>
      </c>
      <c r="D136" s="2">
        <f>IFERROR(__xludf.DUMMYFUNCTION("""COMPUTED_VALUE"""),58.69)</f>
        <v>58.69</v>
      </c>
      <c r="E136" s="2">
        <f>IFERROR(__xludf.DUMMYFUNCTION("""COMPUTED_VALUE"""),59.29)</f>
        <v>59.29</v>
      </c>
      <c r="F136" s="2">
        <f>IFERROR(__xludf.DUMMYFUNCTION("""COMPUTED_VALUE"""),2871917.0)</f>
        <v>2871917</v>
      </c>
    </row>
    <row r="137">
      <c r="A137" s="3">
        <f>IFERROR(__xludf.DUMMYFUNCTION("""COMPUTED_VALUE"""),37636.645833333336)</f>
        <v>37636.64583</v>
      </c>
      <c r="B137" s="2">
        <f>IFERROR(__xludf.DUMMYFUNCTION("""COMPUTED_VALUE"""),58.79)</f>
        <v>58.79</v>
      </c>
      <c r="C137" s="2">
        <f>IFERROR(__xludf.DUMMYFUNCTION("""COMPUTED_VALUE"""),59.09)</f>
        <v>59.09</v>
      </c>
      <c r="D137" s="2">
        <f>IFERROR(__xludf.DUMMYFUNCTION("""COMPUTED_VALUE"""),57.86)</f>
        <v>57.86</v>
      </c>
      <c r="E137" s="2">
        <f>IFERROR(__xludf.DUMMYFUNCTION("""COMPUTED_VALUE"""),58.55)</f>
        <v>58.55</v>
      </c>
      <c r="F137" s="2">
        <f>IFERROR(__xludf.DUMMYFUNCTION("""COMPUTED_VALUE"""),3966366.0)</f>
        <v>3966366</v>
      </c>
    </row>
    <row r="138">
      <c r="A138" s="3">
        <f>IFERROR(__xludf.DUMMYFUNCTION("""COMPUTED_VALUE"""),37637.645833333336)</f>
        <v>37637.64583</v>
      </c>
      <c r="B138" s="2">
        <f>IFERROR(__xludf.DUMMYFUNCTION("""COMPUTED_VALUE"""),58.55)</f>
        <v>58.55</v>
      </c>
      <c r="C138" s="2">
        <f>IFERROR(__xludf.DUMMYFUNCTION("""COMPUTED_VALUE"""),58.98)</f>
        <v>58.98</v>
      </c>
      <c r="D138" s="2">
        <f>IFERROR(__xludf.DUMMYFUNCTION("""COMPUTED_VALUE"""),58.06)</f>
        <v>58.06</v>
      </c>
      <c r="E138" s="2">
        <f>IFERROR(__xludf.DUMMYFUNCTION("""COMPUTED_VALUE"""),58.68)</f>
        <v>58.68</v>
      </c>
      <c r="F138" s="2">
        <f>IFERROR(__xludf.DUMMYFUNCTION("""COMPUTED_VALUE"""),2460285.0)</f>
        <v>2460285</v>
      </c>
    </row>
    <row r="139">
      <c r="A139" s="3">
        <f>IFERROR(__xludf.DUMMYFUNCTION("""COMPUTED_VALUE"""),37638.645833333336)</f>
        <v>37638.64583</v>
      </c>
      <c r="B139" s="2">
        <f>IFERROR(__xludf.DUMMYFUNCTION("""COMPUTED_VALUE"""),58.89)</f>
        <v>58.89</v>
      </c>
      <c r="C139" s="2">
        <f>IFERROR(__xludf.DUMMYFUNCTION("""COMPUTED_VALUE"""),59.14)</f>
        <v>59.14</v>
      </c>
      <c r="D139" s="2">
        <f>IFERROR(__xludf.DUMMYFUNCTION("""COMPUTED_VALUE"""),58.51)</f>
        <v>58.51</v>
      </c>
      <c r="E139" s="2">
        <f>IFERROR(__xludf.DUMMYFUNCTION("""COMPUTED_VALUE"""),58.86)</f>
        <v>58.86</v>
      </c>
      <c r="F139" s="2">
        <f>IFERROR(__xludf.DUMMYFUNCTION("""COMPUTED_VALUE"""),1888939.0)</f>
        <v>1888939</v>
      </c>
    </row>
    <row r="140">
      <c r="A140" s="3">
        <f>IFERROR(__xludf.DUMMYFUNCTION("""COMPUTED_VALUE"""),37641.645833333336)</f>
        <v>37641.64583</v>
      </c>
      <c r="B140" s="2">
        <f>IFERROR(__xludf.DUMMYFUNCTION("""COMPUTED_VALUE"""),58.9)</f>
        <v>58.9</v>
      </c>
      <c r="C140" s="2">
        <f>IFERROR(__xludf.DUMMYFUNCTION("""COMPUTED_VALUE"""),59.18)</f>
        <v>59.18</v>
      </c>
      <c r="D140" s="2">
        <f>IFERROR(__xludf.DUMMYFUNCTION("""COMPUTED_VALUE"""),58.14)</f>
        <v>58.14</v>
      </c>
      <c r="E140" s="2">
        <f>IFERROR(__xludf.DUMMYFUNCTION("""COMPUTED_VALUE"""),58.36)</f>
        <v>58.36</v>
      </c>
      <c r="F140" s="2">
        <f>IFERROR(__xludf.DUMMYFUNCTION("""COMPUTED_VALUE"""),1480731.0)</f>
        <v>1480731</v>
      </c>
    </row>
    <row r="141">
      <c r="A141" s="3">
        <f>IFERROR(__xludf.DUMMYFUNCTION("""COMPUTED_VALUE"""),37642.645833333336)</f>
        <v>37642.64583</v>
      </c>
      <c r="B141" s="2">
        <f>IFERROR(__xludf.DUMMYFUNCTION("""COMPUTED_VALUE"""),58.39)</f>
        <v>58.39</v>
      </c>
      <c r="C141" s="2">
        <f>IFERROR(__xludf.DUMMYFUNCTION("""COMPUTED_VALUE"""),58.99)</f>
        <v>58.99</v>
      </c>
      <c r="D141" s="2">
        <f>IFERROR(__xludf.DUMMYFUNCTION("""COMPUTED_VALUE"""),57.99)</f>
        <v>57.99</v>
      </c>
      <c r="E141" s="2">
        <f>IFERROR(__xludf.DUMMYFUNCTION("""COMPUTED_VALUE"""),58.81)</f>
        <v>58.81</v>
      </c>
      <c r="F141" s="2">
        <f>IFERROR(__xludf.DUMMYFUNCTION("""COMPUTED_VALUE"""),1862633.0)</f>
        <v>1862633</v>
      </c>
    </row>
    <row r="142">
      <c r="A142" s="3">
        <f>IFERROR(__xludf.DUMMYFUNCTION("""COMPUTED_VALUE"""),37643.645833333336)</f>
        <v>37643.64583</v>
      </c>
      <c r="B142" s="2">
        <f>IFERROR(__xludf.DUMMYFUNCTION("""COMPUTED_VALUE"""),58.89)</f>
        <v>58.89</v>
      </c>
      <c r="C142" s="2">
        <f>IFERROR(__xludf.DUMMYFUNCTION("""COMPUTED_VALUE"""),59.9)</f>
        <v>59.9</v>
      </c>
      <c r="D142" s="2">
        <f>IFERROR(__xludf.DUMMYFUNCTION("""COMPUTED_VALUE"""),58.65)</f>
        <v>58.65</v>
      </c>
      <c r="E142" s="2">
        <f>IFERROR(__xludf.DUMMYFUNCTION("""COMPUTED_VALUE"""),59.61)</f>
        <v>59.61</v>
      </c>
      <c r="F142" s="2">
        <f>IFERROR(__xludf.DUMMYFUNCTION("""COMPUTED_VALUE"""),3875298.0)</f>
        <v>3875298</v>
      </c>
    </row>
    <row r="143">
      <c r="A143" s="3">
        <f>IFERROR(__xludf.DUMMYFUNCTION("""COMPUTED_VALUE"""),37644.645833333336)</f>
        <v>37644.64583</v>
      </c>
      <c r="B143" s="2">
        <f>IFERROR(__xludf.DUMMYFUNCTION("""COMPUTED_VALUE"""),59.8)</f>
        <v>59.8</v>
      </c>
      <c r="C143" s="2">
        <f>IFERROR(__xludf.DUMMYFUNCTION("""COMPUTED_VALUE"""),60.4)</f>
        <v>60.4</v>
      </c>
      <c r="D143" s="2">
        <f>IFERROR(__xludf.DUMMYFUNCTION("""COMPUTED_VALUE"""),58.71)</f>
        <v>58.71</v>
      </c>
      <c r="E143" s="2">
        <f>IFERROR(__xludf.DUMMYFUNCTION("""COMPUTED_VALUE"""),58.93)</f>
        <v>58.93</v>
      </c>
      <c r="F143" s="2">
        <f>IFERROR(__xludf.DUMMYFUNCTION("""COMPUTED_VALUE"""),3283681.0)</f>
        <v>3283681</v>
      </c>
    </row>
    <row r="144">
      <c r="A144" s="3">
        <f>IFERROR(__xludf.DUMMYFUNCTION("""COMPUTED_VALUE"""),37645.645833333336)</f>
        <v>37645.64583</v>
      </c>
      <c r="B144" s="2">
        <f>IFERROR(__xludf.DUMMYFUNCTION("""COMPUTED_VALUE"""),59.07)</f>
        <v>59.07</v>
      </c>
      <c r="C144" s="2">
        <f>IFERROR(__xludf.DUMMYFUNCTION("""COMPUTED_VALUE"""),59.07)</f>
        <v>59.07</v>
      </c>
      <c r="D144" s="2">
        <f>IFERROR(__xludf.DUMMYFUNCTION("""COMPUTED_VALUE"""),56.63)</f>
        <v>56.63</v>
      </c>
      <c r="E144" s="2">
        <f>IFERROR(__xludf.DUMMYFUNCTION("""COMPUTED_VALUE"""),56.91)</f>
        <v>56.91</v>
      </c>
      <c r="F144" s="2">
        <f>IFERROR(__xludf.DUMMYFUNCTION("""COMPUTED_VALUE"""),4079518.0)</f>
        <v>4079518</v>
      </c>
    </row>
    <row r="145">
      <c r="A145" s="3">
        <f>IFERROR(__xludf.DUMMYFUNCTION("""COMPUTED_VALUE"""),37648.645833333336)</f>
        <v>37648.64583</v>
      </c>
      <c r="B145" s="2">
        <f>IFERROR(__xludf.DUMMYFUNCTION("""COMPUTED_VALUE"""),56.83)</f>
        <v>56.83</v>
      </c>
      <c r="C145" s="2">
        <f>IFERROR(__xludf.DUMMYFUNCTION("""COMPUTED_VALUE"""),57.36)</f>
        <v>57.36</v>
      </c>
      <c r="D145" s="2">
        <f>IFERROR(__xludf.DUMMYFUNCTION("""COMPUTED_VALUE"""),54.44)</f>
        <v>54.44</v>
      </c>
      <c r="E145" s="2">
        <f>IFERROR(__xludf.DUMMYFUNCTION("""COMPUTED_VALUE"""),55.04)</f>
        <v>55.04</v>
      </c>
      <c r="F145" s="2">
        <f>IFERROR(__xludf.DUMMYFUNCTION("""COMPUTED_VALUE"""),4880373.0)</f>
        <v>4880373</v>
      </c>
    </row>
    <row r="146">
      <c r="A146" s="3">
        <f>IFERROR(__xludf.DUMMYFUNCTION("""COMPUTED_VALUE"""),37649.645833333336)</f>
        <v>37649.64583</v>
      </c>
      <c r="B146" s="2">
        <f>IFERROR(__xludf.DUMMYFUNCTION("""COMPUTED_VALUE"""),54.43)</f>
        <v>54.43</v>
      </c>
      <c r="C146" s="2">
        <f>IFERROR(__xludf.DUMMYFUNCTION("""COMPUTED_VALUE"""),56.31)</f>
        <v>56.31</v>
      </c>
      <c r="D146" s="2">
        <f>IFERROR(__xludf.DUMMYFUNCTION("""COMPUTED_VALUE"""),54.22)</f>
        <v>54.22</v>
      </c>
      <c r="E146" s="2">
        <f>IFERROR(__xludf.DUMMYFUNCTION("""COMPUTED_VALUE"""),56.1)</f>
        <v>56.1</v>
      </c>
      <c r="F146" s="2">
        <f>IFERROR(__xludf.DUMMYFUNCTION("""COMPUTED_VALUE"""),5259578.0)</f>
        <v>5259578</v>
      </c>
    </row>
    <row r="147">
      <c r="A147" s="3">
        <f>IFERROR(__xludf.DUMMYFUNCTION("""COMPUTED_VALUE"""),37650.645833333336)</f>
        <v>37650.64583</v>
      </c>
      <c r="B147" s="2">
        <f>IFERROR(__xludf.DUMMYFUNCTION("""COMPUTED_VALUE"""),62.41)</f>
        <v>62.41</v>
      </c>
      <c r="C147" s="2">
        <f>IFERROR(__xludf.DUMMYFUNCTION("""COMPUTED_VALUE"""),62.41)</f>
        <v>62.41</v>
      </c>
      <c r="D147" s="2">
        <f>IFERROR(__xludf.DUMMYFUNCTION("""COMPUTED_VALUE"""),54.63)</f>
        <v>54.63</v>
      </c>
      <c r="E147" s="2">
        <f>IFERROR(__xludf.DUMMYFUNCTION("""COMPUTED_VALUE"""),54.99)</f>
        <v>54.99</v>
      </c>
      <c r="F147" s="2">
        <f>IFERROR(__xludf.DUMMYFUNCTION("""COMPUTED_VALUE"""),3102893.0)</f>
        <v>3102893</v>
      </c>
    </row>
    <row r="148">
      <c r="A148" s="3">
        <f>IFERROR(__xludf.DUMMYFUNCTION("""COMPUTED_VALUE"""),37651.645833333336)</f>
        <v>37651.64583</v>
      </c>
      <c r="B148" s="2">
        <f>IFERROR(__xludf.DUMMYFUNCTION("""COMPUTED_VALUE"""),54.99)</f>
        <v>54.99</v>
      </c>
      <c r="C148" s="2">
        <f>IFERROR(__xludf.DUMMYFUNCTION("""COMPUTED_VALUE"""),55.55)</f>
        <v>55.55</v>
      </c>
      <c r="D148" s="2">
        <f>IFERROR(__xludf.DUMMYFUNCTION("""COMPUTED_VALUE"""),53.69)</f>
        <v>53.69</v>
      </c>
      <c r="E148" s="2">
        <f>IFERROR(__xludf.DUMMYFUNCTION("""COMPUTED_VALUE"""),54.04)</f>
        <v>54.04</v>
      </c>
      <c r="F148" s="2">
        <f>IFERROR(__xludf.DUMMYFUNCTION("""COMPUTED_VALUE"""),5186530.0)</f>
        <v>5186530</v>
      </c>
    </row>
    <row r="149">
      <c r="A149" s="3">
        <f>IFERROR(__xludf.DUMMYFUNCTION("""COMPUTED_VALUE"""),37652.645833333336)</f>
        <v>37652.64583</v>
      </c>
      <c r="B149" s="2">
        <f>IFERROR(__xludf.DUMMYFUNCTION("""COMPUTED_VALUE"""),53.76)</f>
        <v>53.76</v>
      </c>
      <c r="C149" s="2">
        <f>IFERROR(__xludf.DUMMYFUNCTION("""COMPUTED_VALUE"""),56.27)</f>
        <v>56.27</v>
      </c>
      <c r="D149" s="2">
        <f>IFERROR(__xludf.DUMMYFUNCTION("""COMPUTED_VALUE"""),53.01)</f>
        <v>53.01</v>
      </c>
      <c r="E149" s="2">
        <f>IFERROR(__xludf.DUMMYFUNCTION("""COMPUTED_VALUE"""),55.38)</f>
        <v>55.38</v>
      </c>
      <c r="F149" s="2">
        <f>IFERROR(__xludf.DUMMYFUNCTION("""COMPUTED_VALUE"""),1.2299612E7)</f>
        <v>12299612</v>
      </c>
    </row>
    <row r="150">
      <c r="A150" s="3">
        <f>IFERROR(__xludf.DUMMYFUNCTION("""COMPUTED_VALUE"""),37655.645833333336)</f>
        <v>37655.64583</v>
      </c>
      <c r="B150" s="2">
        <f>IFERROR(__xludf.DUMMYFUNCTION("""COMPUTED_VALUE"""),56.78)</f>
        <v>56.78</v>
      </c>
      <c r="C150" s="2">
        <f>IFERROR(__xludf.DUMMYFUNCTION("""COMPUTED_VALUE"""),56.88)</f>
        <v>56.88</v>
      </c>
      <c r="D150" s="2">
        <f>IFERROR(__xludf.DUMMYFUNCTION("""COMPUTED_VALUE"""),55.68)</f>
        <v>55.68</v>
      </c>
      <c r="E150" s="2">
        <f>IFERROR(__xludf.DUMMYFUNCTION("""COMPUTED_VALUE"""),56.65)</f>
        <v>56.65</v>
      </c>
      <c r="F150" s="2">
        <f>IFERROR(__xludf.DUMMYFUNCTION("""COMPUTED_VALUE"""),4080381.0)</f>
        <v>4080381</v>
      </c>
    </row>
    <row r="151">
      <c r="A151" s="3">
        <f>IFERROR(__xludf.DUMMYFUNCTION("""COMPUTED_VALUE"""),37656.645833333336)</f>
        <v>37656.64583</v>
      </c>
      <c r="B151" s="2">
        <f>IFERROR(__xludf.DUMMYFUNCTION("""COMPUTED_VALUE"""),57.22)</f>
        <v>57.22</v>
      </c>
      <c r="C151" s="2">
        <f>IFERROR(__xludf.DUMMYFUNCTION("""COMPUTED_VALUE"""),57.65)</f>
        <v>57.65</v>
      </c>
      <c r="D151" s="2">
        <f>IFERROR(__xludf.DUMMYFUNCTION("""COMPUTED_VALUE"""),56.43)</f>
        <v>56.43</v>
      </c>
      <c r="E151" s="2">
        <f>IFERROR(__xludf.DUMMYFUNCTION("""COMPUTED_VALUE"""),56.66)</f>
        <v>56.66</v>
      </c>
      <c r="F151" s="2">
        <f>IFERROR(__xludf.DUMMYFUNCTION("""COMPUTED_VALUE"""),4478622.0)</f>
        <v>4478622</v>
      </c>
    </row>
    <row r="152">
      <c r="A152" s="3">
        <f>IFERROR(__xludf.DUMMYFUNCTION("""COMPUTED_VALUE"""),37657.645833333336)</f>
        <v>37657.64583</v>
      </c>
      <c r="B152" s="2">
        <f>IFERROR(__xludf.DUMMYFUNCTION("""COMPUTED_VALUE"""),56.31)</f>
        <v>56.31</v>
      </c>
      <c r="C152" s="2">
        <f>IFERROR(__xludf.DUMMYFUNCTION("""COMPUTED_VALUE"""),57.18)</f>
        <v>57.18</v>
      </c>
      <c r="D152" s="2">
        <f>IFERROR(__xludf.DUMMYFUNCTION("""COMPUTED_VALUE"""),55.9)</f>
        <v>55.9</v>
      </c>
      <c r="E152" s="2">
        <f>IFERROR(__xludf.DUMMYFUNCTION("""COMPUTED_VALUE"""),56.89)</f>
        <v>56.89</v>
      </c>
      <c r="F152" s="2">
        <f>IFERROR(__xludf.DUMMYFUNCTION("""COMPUTED_VALUE"""),3363936.0)</f>
        <v>3363936</v>
      </c>
    </row>
    <row r="153">
      <c r="A153" s="3">
        <f>IFERROR(__xludf.DUMMYFUNCTION("""COMPUTED_VALUE"""),37658.645833333336)</f>
        <v>37658.64583</v>
      </c>
      <c r="B153" s="2">
        <f>IFERROR(__xludf.DUMMYFUNCTION("""COMPUTED_VALUE"""),56.98)</f>
        <v>56.98</v>
      </c>
      <c r="C153" s="2">
        <f>IFERROR(__xludf.DUMMYFUNCTION("""COMPUTED_VALUE"""),57.55)</f>
        <v>57.55</v>
      </c>
      <c r="D153" s="2">
        <f>IFERROR(__xludf.DUMMYFUNCTION("""COMPUTED_VALUE"""),56.8)</f>
        <v>56.8</v>
      </c>
      <c r="E153" s="2">
        <f>IFERROR(__xludf.DUMMYFUNCTION("""COMPUTED_VALUE"""),57.39)</f>
        <v>57.39</v>
      </c>
      <c r="F153" s="2">
        <f>IFERROR(__xludf.DUMMYFUNCTION("""COMPUTED_VALUE"""),2965780.0)</f>
        <v>2965780</v>
      </c>
    </row>
    <row r="154">
      <c r="A154" s="3">
        <f>IFERROR(__xludf.DUMMYFUNCTION("""COMPUTED_VALUE"""),37659.645833333336)</f>
        <v>37659.64583</v>
      </c>
      <c r="B154" s="2">
        <f>IFERROR(__xludf.DUMMYFUNCTION("""COMPUTED_VALUE"""),57.48)</f>
        <v>57.48</v>
      </c>
      <c r="C154" s="2">
        <f>IFERROR(__xludf.DUMMYFUNCTION("""COMPUTED_VALUE"""),57.74)</f>
        <v>57.74</v>
      </c>
      <c r="D154" s="2">
        <f>IFERROR(__xludf.DUMMYFUNCTION("""COMPUTED_VALUE"""),55.85)</f>
        <v>55.85</v>
      </c>
      <c r="E154" s="2">
        <f>IFERROR(__xludf.DUMMYFUNCTION("""COMPUTED_VALUE"""),56.52)</f>
        <v>56.52</v>
      </c>
      <c r="F154" s="2">
        <f>IFERROR(__xludf.DUMMYFUNCTION("""COMPUTED_VALUE"""),3944593.0)</f>
        <v>3944593</v>
      </c>
    </row>
    <row r="155">
      <c r="A155" s="3">
        <f>IFERROR(__xludf.DUMMYFUNCTION("""COMPUTED_VALUE"""),37662.645833333336)</f>
        <v>37662.64583</v>
      </c>
      <c r="B155" s="2">
        <f>IFERROR(__xludf.DUMMYFUNCTION("""COMPUTED_VALUE"""),56.51)</f>
        <v>56.51</v>
      </c>
      <c r="C155" s="2">
        <f>IFERROR(__xludf.DUMMYFUNCTION("""COMPUTED_VALUE"""),56.96)</f>
        <v>56.96</v>
      </c>
      <c r="D155" s="2">
        <f>IFERROR(__xludf.DUMMYFUNCTION("""COMPUTED_VALUE"""),56.17)</f>
        <v>56.17</v>
      </c>
      <c r="E155" s="2">
        <f>IFERROR(__xludf.DUMMYFUNCTION("""COMPUTED_VALUE"""),56.71)</f>
        <v>56.71</v>
      </c>
      <c r="F155" s="2">
        <f>IFERROR(__xludf.DUMMYFUNCTION("""COMPUTED_VALUE"""),2918920.0)</f>
        <v>2918920</v>
      </c>
    </row>
    <row r="156">
      <c r="A156" s="3">
        <f>IFERROR(__xludf.DUMMYFUNCTION("""COMPUTED_VALUE"""),37663.645833333336)</f>
        <v>37663.64583</v>
      </c>
      <c r="B156" s="2">
        <f>IFERROR(__xludf.DUMMYFUNCTION("""COMPUTED_VALUE"""),56.82)</f>
        <v>56.82</v>
      </c>
      <c r="C156" s="2">
        <f>IFERROR(__xludf.DUMMYFUNCTION("""COMPUTED_VALUE"""),57.15)</f>
        <v>57.15</v>
      </c>
      <c r="D156" s="2">
        <f>IFERROR(__xludf.DUMMYFUNCTION("""COMPUTED_VALUE"""),56.44)</f>
        <v>56.44</v>
      </c>
      <c r="E156" s="2">
        <f>IFERROR(__xludf.DUMMYFUNCTION("""COMPUTED_VALUE"""),56.87)</f>
        <v>56.87</v>
      </c>
      <c r="F156" s="2">
        <f>IFERROR(__xludf.DUMMYFUNCTION("""COMPUTED_VALUE"""),2462346.0)</f>
        <v>2462346</v>
      </c>
    </row>
    <row r="157">
      <c r="A157" s="3">
        <f>IFERROR(__xludf.DUMMYFUNCTION("""COMPUTED_VALUE"""),37664.645833333336)</f>
        <v>37664.64583</v>
      </c>
      <c r="B157" s="2">
        <f>IFERROR(__xludf.DUMMYFUNCTION("""COMPUTED_VALUE"""),56.69)</f>
        <v>56.69</v>
      </c>
      <c r="C157" s="2">
        <f>IFERROR(__xludf.DUMMYFUNCTION("""COMPUTED_VALUE"""),56.96)</f>
        <v>56.96</v>
      </c>
      <c r="D157" s="2">
        <f>IFERROR(__xludf.DUMMYFUNCTION("""COMPUTED_VALUE"""),56.08)</f>
        <v>56.08</v>
      </c>
      <c r="E157" s="2">
        <f>IFERROR(__xludf.DUMMYFUNCTION("""COMPUTED_VALUE"""),56.62)</f>
        <v>56.62</v>
      </c>
      <c r="F157" s="2">
        <f>IFERROR(__xludf.DUMMYFUNCTION("""COMPUTED_VALUE"""),2632766.0)</f>
        <v>2632766</v>
      </c>
    </row>
    <row r="158">
      <c r="A158" s="3">
        <f>IFERROR(__xludf.DUMMYFUNCTION("""COMPUTED_VALUE"""),37666.645833333336)</f>
        <v>37666.64583</v>
      </c>
      <c r="B158" s="2">
        <f>IFERROR(__xludf.DUMMYFUNCTION("""COMPUTED_VALUE"""),56.72)</f>
        <v>56.72</v>
      </c>
      <c r="C158" s="2">
        <f>IFERROR(__xludf.DUMMYFUNCTION("""COMPUTED_VALUE"""),57.36)</f>
        <v>57.36</v>
      </c>
      <c r="D158" s="2">
        <f>IFERROR(__xludf.DUMMYFUNCTION("""COMPUTED_VALUE"""),56.42)</f>
        <v>56.42</v>
      </c>
      <c r="E158" s="2">
        <f>IFERROR(__xludf.DUMMYFUNCTION("""COMPUTED_VALUE"""),57.2)</f>
        <v>57.2</v>
      </c>
      <c r="F158" s="2">
        <f>IFERROR(__xludf.DUMMYFUNCTION("""COMPUTED_VALUE"""),3708450.0)</f>
        <v>3708450</v>
      </c>
    </row>
    <row r="159">
      <c r="A159" s="3">
        <f>IFERROR(__xludf.DUMMYFUNCTION("""COMPUTED_VALUE"""),37669.645833333336)</f>
        <v>37669.64583</v>
      </c>
      <c r="B159" s="2">
        <f>IFERROR(__xludf.DUMMYFUNCTION("""COMPUTED_VALUE"""),57.86)</f>
        <v>57.86</v>
      </c>
      <c r="C159" s="2">
        <f>IFERROR(__xludf.DUMMYFUNCTION("""COMPUTED_VALUE"""),58.89)</f>
        <v>58.89</v>
      </c>
      <c r="D159" s="2">
        <f>IFERROR(__xludf.DUMMYFUNCTION("""COMPUTED_VALUE"""),57.81)</f>
        <v>57.81</v>
      </c>
      <c r="E159" s="2">
        <f>IFERROR(__xludf.DUMMYFUNCTION("""COMPUTED_VALUE"""),58.75)</f>
        <v>58.75</v>
      </c>
      <c r="F159" s="2">
        <f>IFERROR(__xludf.DUMMYFUNCTION("""COMPUTED_VALUE"""),3163812.0)</f>
        <v>3163812</v>
      </c>
    </row>
    <row r="160">
      <c r="A160" s="3">
        <f>IFERROR(__xludf.DUMMYFUNCTION("""COMPUTED_VALUE"""),37670.645833333336)</f>
        <v>37670.64583</v>
      </c>
      <c r="B160" s="2">
        <f>IFERROR(__xludf.DUMMYFUNCTION("""COMPUTED_VALUE"""),58.99)</f>
        <v>58.99</v>
      </c>
      <c r="C160" s="2">
        <f>IFERROR(__xludf.DUMMYFUNCTION("""COMPUTED_VALUE"""),59.15)</f>
        <v>59.15</v>
      </c>
      <c r="D160" s="2">
        <f>IFERROR(__xludf.DUMMYFUNCTION("""COMPUTED_VALUE"""),58.15)</f>
        <v>58.15</v>
      </c>
      <c r="E160" s="2">
        <f>IFERROR(__xludf.DUMMYFUNCTION("""COMPUTED_VALUE"""),58.32)</f>
        <v>58.32</v>
      </c>
      <c r="F160" s="2">
        <f>IFERROR(__xludf.DUMMYFUNCTION("""COMPUTED_VALUE"""),2327667.0)</f>
        <v>2327667</v>
      </c>
    </row>
    <row r="161">
      <c r="A161" s="3">
        <f>IFERROR(__xludf.DUMMYFUNCTION("""COMPUTED_VALUE"""),37671.645833333336)</f>
        <v>37671.64583</v>
      </c>
      <c r="B161" s="2">
        <f>IFERROR(__xludf.DUMMYFUNCTION("""COMPUTED_VALUE"""),58.6)</f>
        <v>58.6</v>
      </c>
      <c r="C161" s="2">
        <f>IFERROR(__xludf.DUMMYFUNCTION("""COMPUTED_VALUE"""),58.96)</f>
        <v>58.96</v>
      </c>
      <c r="D161" s="2">
        <f>IFERROR(__xludf.DUMMYFUNCTION("""COMPUTED_VALUE"""),58.25)</f>
        <v>58.25</v>
      </c>
      <c r="E161" s="2">
        <f>IFERROR(__xludf.DUMMYFUNCTION("""COMPUTED_VALUE"""),58.46)</f>
        <v>58.46</v>
      </c>
      <c r="F161" s="2">
        <f>IFERROR(__xludf.DUMMYFUNCTION("""COMPUTED_VALUE"""),1859557.0)</f>
        <v>1859557</v>
      </c>
    </row>
    <row r="162">
      <c r="A162" s="3">
        <f>IFERROR(__xludf.DUMMYFUNCTION("""COMPUTED_VALUE"""),37672.645833333336)</f>
        <v>37672.64583</v>
      </c>
      <c r="B162" s="2">
        <f>IFERROR(__xludf.DUMMYFUNCTION("""COMPUTED_VALUE"""),58.39)</f>
        <v>58.39</v>
      </c>
      <c r="C162" s="2">
        <f>IFERROR(__xludf.DUMMYFUNCTION("""COMPUTED_VALUE"""),58.57)</f>
        <v>58.57</v>
      </c>
      <c r="D162" s="2">
        <f>IFERROR(__xludf.DUMMYFUNCTION("""COMPUTED_VALUE"""),57.79)</f>
        <v>57.79</v>
      </c>
      <c r="E162" s="2">
        <f>IFERROR(__xludf.DUMMYFUNCTION("""COMPUTED_VALUE"""),58.17)</f>
        <v>58.17</v>
      </c>
      <c r="F162" s="2">
        <f>IFERROR(__xludf.DUMMYFUNCTION("""COMPUTED_VALUE"""),1547297.0)</f>
        <v>1547297</v>
      </c>
    </row>
    <row r="163">
      <c r="A163" s="3">
        <f>IFERROR(__xludf.DUMMYFUNCTION("""COMPUTED_VALUE"""),37673.645833333336)</f>
        <v>37673.64583</v>
      </c>
      <c r="B163" s="2">
        <f>IFERROR(__xludf.DUMMYFUNCTION("""COMPUTED_VALUE"""),58.22)</f>
        <v>58.22</v>
      </c>
      <c r="C163" s="2">
        <f>IFERROR(__xludf.DUMMYFUNCTION("""COMPUTED_VALUE"""),59.58)</f>
        <v>59.58</v>
      </c>
      <c r="D163" s="2">
        <f>IFERROR(__xludf.DUMMYFUNCTION("""COMPUTED_VALUE"""),58.19)</f>
        <v>58.19</v>
      </c>
      <c r="E163" s="2">
        <f>IFERROR(__xludf.DUMMYFUNCTION("""COMPUTED_VALUE"""),59.37)</f>
        <v>59.37</v>
      </c>
      <c r="F163" s="2">
        <f>IFERROR(__xludf.DUMMYFUNCTION("""COMPUTED_VALUE"""),4517701.0)</f>
        <v>4517701</v>
      </c>
    </row>
    <row r="164">
      <c r="A164" s="3">
        <f>IFERROR(__xludf.DUMMYFUNCTION("""COMPUTED_VALUE"""),37676.645833333336)</f>
        <v>37676.64583</v>
      </c>
      <c r="B164" s="2">
        <f>IFERROR(__xludf.DUMMYFUNCTION("""COMPUTED_VALUE"""),59.83)</f>
        <v>59.83</v>
      </c>
      <c r="C164" s="2">
        <f>IFERROR(__xludf.DUMMYFUNCTION("""COMPUTED_VALUE"""),61.16)</f>
        <v>61.16</v>
      </c>
      <c r="D164" s="2">
        <f>IFERROR(__xludf.DUMMYFUNCTION("""COMPUTED_VALUE"""),59.83)</f>
        <v>59.83</v>
      </c>
      <c r="E164" s="2">
        <f>IFERROR(__xludf.DUMMYFUNCTION("""COMPUTED_VALUE"""),60.95)</f>
        <v>60.95</v>
      </c>
      <c r="F164" s="2">
        <f>IFERROR(__xludf.DUMMYFUNCTION("""COMPUTED_VALUE"""),9498820.0)</f>
        <v>9498820</v>
      </c>
    </row>
    <row r="165">
      <c r="A165" s="3">
        <f>IFERROR(__xludf.DUMMYFUNCTION("""COMPUTED_VALUE"""),37677.645833333336)</f>
        <v>37677.64583</v>
      </c>
      <c r="B165" s="2">
        <f>IFERROR(__xludf.DUMMYFUNCTION("""COMPUTED_VALUE"""),60.4)</f>
        <v>60.4</v>
      </c>
      <c r="C165" s="2">
        <f>IFERROR(__xludf.DUMMYFUNCTION("""COMPUTED_VALUE"""),60.71)</f>
        <v>60.71</v>
      </c>
      <c r="D165" s="2">
        <f>IFERROR(__xludf.DUMMYFUNCTION("""COMPUTED_VALUE"""),59.34)</f>
        <v>59.34</v>
      </c>
      <c r="E165" s="2">
        <f>IFERROR(__xludf.DUMMYFUNCTION("""COMPUTED_VALUE"""),59.51)</f>
        <v>59.51</v>
      </c>
      <c r="F165" s="2">
        <f>IFERROR(__xludf.DUMMYFUNCTION("""COMPUTED_VALUE"""),4962908.0)</f>
        <v>4962908</v>
      </c>
    </row>
    <row r="166">
      <c r="A166" s="3">
        <f>IFERROR(__xludf.DUMMYFUNCTION("""COMPUTED_VALUE"""),37678.645833333336)</f>
        <v>37678.64583</v>
      </c>
      <c r="B166" s="2">
        <f>IFERROR(__xludf.DUMMYFUNCTION("""COMPUTED_VALUE"""),59.73)</f>
        <v>59.73</v>
      </c>
      <c r="C166" s="2">
        <f>IFERROR(__xludf.DUMMYFUNCTION("""COMPUTED_VALUE"""),59.98)</f>
        <v>59.98</v>
      </c>
      <c r="D166" s="2">
        <f>IFERROR(__xludf.DUMMYFUNCTION("""COMPUTED_VALUE"""),58.69)</f>
        <v>58.69</v>
      </c>
      <c r="E166" s="2">
        <f>IFERROR(__xludf.DUMMYFUNCTION("""COMPUTED_VALUE"""),58.91)</f>
        <v>58.91</v>
      </c>
      <c r="F166" s="2">
        <f>IFERROR(__xludf.DUMMYFUNCTION("""COMPUTED_VALUE"""),3927725.0)</f>
        <v>3927725</v>
      </c>
    </row>
    <row r="167">
      <c r="A167" s="3">
        <f>IFERROR(__xludf.DUMMYFUNCTION("""COMPUTED_VALUE"""),37679.645833333336)</f>
        <v>37679.64583</v>
      </c>
      <c r="B167" s="2">
        <f>IFERROR(__xludf.DUMMYFUNCTION("""COMPUTED_VALUE"""),58.65)</f>
        <v>58.65</v>
      </c>
      <c r="C167" s="2">
        <f>IFERROR(__xludf.DUMMYFUNCTION("""COMPUTED_VALUE"""),59.8)</f>
        <v>59.8</v>
      </c>
      <c r="D167" s="2">
        <f>IFERROR(__xludf.DUMMYFUNCTION("""COMPUTED_VALUE"""),58.45)</f>
        <v>58.45</v>
      </c>
      <c r="E167" s="2">
        <f>IFERROR(__xludf.DUMMYFUNCTION("""COMPUTED_VALUE"""),59.47)</f>
        <v>59.47</v>
      </c>
      <c r="F167" s="2">
        <f>IFERROR(__xludf.DUMMYFUNCTION("""COMPUTED_VALUE"""),4252731.0)</f>
        <v>4252731</v>
      </c>
    </row>
    <row r="168">
      <c r="A168" s="3">
        <f>IFERROR(__xludf.DUMMYFUNCTION("""COMPUTED_VALUE"""),37680.645833333336)</f>
        <v>37680.64583</v>
      </c>
      <c r="B168" s="2">
        <f>IFERROR(__xludf.DUMMYFUNCTION("""COMPUTED_VALUE"""),59.8)</f>
        <v>59.8</v>
      </c>
      <c r="C168" s="2">
        <f>IFERROR(__xludf.DUMMYFUNCTION("""COMPUTED_VALUE"""),60.96)</f>
        <v>60.96</v>
      </c>
      <c r="D168" s="2">
        <f>IFERROR(__xludf.DUMMYFUNCTION("""COMPUTED_VALUE"""),58.9)</f>
        <v>58.9</v>
      </c>
      <c r="E168" s="2">
        <f>IFERROR(__xludf.DUMMYFUNCTION("""COMPUTED_VALUE"""),59.34)</f>
        <v>59.34</v>
      </c>
      <c r="F168" s="2">
        <f>IFERROR(__xludf.DUMMYFUNCTION("""COMPUTED_VALUE"""),7407437.0)</f>
        <v>7407437</v>
      </c>
    </row>
    <row r="169">
      <c r="A169" s="3">
        <f>IFERROR(__xludf.DUMMYFUNCTION("""COMPUTED_VALUE"""),37683.645833333336)</f>
        <v>37683.64583</v>
      </c>
      <c r="B169" s="2">
        <f>IFERROR(__xludf.DUMMYFUNCTION("""COMPUTED_VALUE"""),59.39)</f>
        <v>59.39</v>
      </c>
      <c r="C169" s="2">
        <f>IFERROR(__xludf.DUMMYFUNCTION("""COMPUTED_VALUE"""),60.64)</f>
        <v>60.64</v>
      </c>
      <c r="D169" s="2">
        <f>IFERROR(__xludf.DUMMYFUNCTION("""COMPUTED_VALUE"""),59.04)</f>
        <v>59.04</v>
      </c>
      <c r="E169" s="2">
        <f>IFERROR(__xludf.DUMMYFUNCTION("""COMPUTED_VALUE"""),59.56)</f>
        <v>59.56</v>
      </c>
      <c r="F169" s="2">
        <f>IFERROR(__xludf.DUMMYFUNCTION("""COMPUTED_VALUE"""),6568547.0)</f>
        <v>6568547</v>
      </c>
    </row>
    <row r="170">
      <c r="A170" s="3">
        <f>IFERROR(__xludf.DUMMYFUNCTION("""COMPUTED_VALUE"""),37684.645833333336)</f>
        <v>37684.64583</v>
      </c>
      <c r="B170" s="2">
        <f>IFERROR(__xludf.DUMMYFUNCTION("""COMPUTED_VALUE"""),59.21)</f>
        <v>59.21</v>
      </c>
      <c r="C170" s="2">
        <f>IFERROR(__xludf.DUMMYFUNCTION("""COMPUTED_VALUE"""),59.75)</f>
        <v>59.75</v>
      </c>
      <c r="D170" s="2">
        <f>IFERROR(__xludf.DUMMYFUNCTION("""COMPUTED_VALUE"""),58.59)</f>
        <v>58.59</v>
      </c>
      <c r="E170" s="2">
        <f>IFERROR(__xludf.DUMMYFUNCTION("""COMPUTED_VALUE"""),58.83)</f>
        <v>58.83</v>
      </c>
      <c r="F170" s="2">
        <f>IFERROR(__xludf.DUMMYFUNCTION("""COMPUTED_VALUE"""),2678815.0)</f>
        <v>2678815</v>
      </c>
    </row>
    <row r="171">
      <c r="A171" s="3">
        <f>IFERROR(__xludf.DUMMYFUNCTION("""COMPUTED_VALUE"""),37685.645833333336)</f>
        <v>37685.64583</v>
      </c>
      <c r="B171" s="2">
        <f>IFERROR(__xludf.DUMMYFUNCTION("""COMPUTED_VALUE"""),58.5)</f>
        <v>58.5</v>
      </c>
      <c r="C171" s="2">
        <f>IFERROR(__xludf.DUMMYFUNCTION("""COMPUTED_VALUE"""),58.57)</f>
        <v>58.57</v>
      </c>
      <c r="D171" s="2">
        <f>IFERROR(__xludf.DUMMYFUNCTION("""COMPUTED_VALUE"""),57.01)</f>
        <v>57.01</v>
      </c>
      <c r="E171" s="2">
        <f>IFERROR(__xludf.DUMMYFUNCTION("""COMPUTED_VALUE"""),58.18)</f>
        <v>58.18</v>
      </c>
      <c r="F171" s="2">
        <f>IFERROR(__xludf.DUMMYFUNCTION("""COMPUTED_VALUE"""),5714701.0)</f>
        <v>5714701</v>
      </c>
    </row>
    <row r="172">
      <c r="A172" s="3">
        <f>IFERROR(__xludf.DUMMYFUNCTION("""COMPUTED_VALUE"""),37686.645833333336)</f>
        <v>37686.64583</v>
      </c>
      <c r="B172" s="2">
        <f>IFERROR(__xludf.DUMMYFUNCTION("""COMPUTED_VALUE"""),58.0)</f>
        <v>58</v>
      </c>
      <c r="C172" s="2">
        <f>IFERROR(__xludf.DUMMYFUNCTION("""COMPUTED_VALUE"""),58.1)</f>
        <v>58.1</v>
      </c>
      <c r="D172" s="2">
        <f>IFERROR(__xludf.DUMMYFUNCTION("""COMPUTED_VALUE"""),57.23)</f>
        <v>57.23</v>
      </c>
      <c r="E172" s="2">
        <f>IFERROR(__xludf.DUMMYFUNCTION("""COMPUTED_VALUE"""),57.45)</f>
        <v>57.45</v>
      </c>
      <c r="F172" s="2">
        <f>IFERROR(__xludf.DUMMYFUNCTION("""COMPUTED_VALUE"""),2460354.0)</f>
        <v>2460354</v>
      </c>
    </row>
    <row r="173">
      <c r="A173" s="3">
        <f>IFERROR(__xludf.DUMMYFUNCTION("""COMPUTED_VALUE"""),37687.645833333336)</f>
        <v>37687.64583</v>
      </c>
      <c r="B173" s="2">
        <f>IFERROR(__xludf.DUMMYFUNCTION("""COMPUTED_VALUE"""),55.97)</f>
        <v>55.97</v>
      </c>
      <c r="C173" s="2">
        <f>IFERROR(__xludf.DUMMYFUNCTION("""COMPUTED_VALUE"""),56.96)</f>
        <v>56.96</v>
      </c>
      <c r="D173" s="2">
        <f>IFERROR(__xludf.DUMMYFUNCTION("""COMPUTED_VALUE"""),55.97)</f>
        <v>55.97</v>
      </c>
      <c r="E173" s="2">
        <f>IFERROR(__xludf.DUMMYFUNCTION("""COMPUTED_VALUE"""),56.58)</f>
        <v>56.58</v>
      </c>
      <c r="F173" s="2">
        <f>IFERROR(__xludf.DUMMYFUNCTION("""COMPUTED_VALUE"""),3363294.0)</f>
        <v>3363294</v>
      </c>
    </row>
    <row r="174">
      <c r="A174" s="3">
        <f>IFERROR(__xludf.DUMMYFUNCTION("""COMPUTED_VALUE"""),37690.645833333336)</f>
        <v>37690.64583</v>
      </c>
      <c r="B174" s="2">
        <f>IFERROR(__xludf.DUMMYFUNCTION("""COMPUTED_VALUE"""),56.55)</f>
        <v>56.55</v>
      </c>
      <c r="C174" s="2">
        <f>IFERROR(__xludf.DUMMYFUNCTION("""COMPUTED_VALUE"""),56.7)</f>
        <v>56.7</v>
      </c>
      <c r="D174" s="2">
        <f>IFERROR(__xludf.DUMMYFUNCTION("""COMPUTED_VALUE"""),55.28)</f>
        <v>55.28</v>
      </c>
      <c r="E174" s="2">
        <f>IFERROR(__xludf.DUMMYFUNCTION("""COMPUTED_VALUE"""),55.76)</f>
        <v>55.76</v>
      </c>
      <c r="F174" s="2">
        <f>IFERROR(__xludf.DUMMYFUNCTION("""COMPUTED_VALUE"""),3990040.0)</f>
        <v>3990040</v>
      </c>
    </row>
    <row r="175">
      <c r="A175" s="3">
        <f>IFERROR(__xludf.DUMMYFUNCTION("""COMPUTED_VALUE"""),37691.645833333336)</f>
        <v>37691.64583</v>
      </c>
      <c r="B175" s="2">
        <f>IFERROR(__xludf.DUMMYFUNCTION("""COMPUTED_VALUE"""),55.37)</f>
        <v>55.37</v>
      </c>
      <c r="C175" s="2">
        <f>IFERROR(__xludf.DUMMYFUNCTION("""COMPUTED_VALUE"""),57.86)</f>
        <v>57.86</v>
      </c>
      <c r="D175" s="2">
        <f>IFERROR(__xludf.DUMMYFUNCTION("""COMPUTED_VALUE"""),55.19)</f>
        <v>55.19</v>
      </c>
      <c r="E175" s="2">
        <f>IFERROR(__xludf.DUMMYFUNCTION("""COMPUTED_VALUE"""),57.41)</f>
        <v>57.41</v>
      </c>
      <c r="F175" s="2">
        <f>IFERROR(__xludf.DUMMYFUNCTION("""COMPUTED_VALUE"""),4118775.0)</f>
        <v>4118775</v>
      </c>
    </row>
    <row r="176">
      <c r="A176" s="3">
        <f>IFERROR(__xludf.DUMMYFUNCTION("""COMPUTED_VALUE"""),37692.645833333336)</f>
        <v>37692.64583</v>
      </c>
      <c r="B176" s="2">
        <f>IFERROR(__xludf.DUMMYFUNCTION("""COMPUTED_VALUE"""),57.38)</f>
        <v>57.38</v>
      </c>
      <c r="C176" s="2">
        <f>IFERROR(__xludf.DUMMYFUNCTION("""COMPUTED_VALUE"""),57.55)</f>
        <v>57.55</v>
      </c>
      <c r="D176" s="2">
        <f>IFERROR(__xludf.DUMMYFUNCTION("""COMPUTED_VALUE"""),55.68)</f>
        <v>55.68</v>
      </c>
      <c r="E176" s="2">
        <f>IFERROR(__xludf.DUMMYFUNCTION("""COMPUTED_VALUE"""),56.03)</f>
        <v>56.03</v>
      </c>
      <c r="F176" s="2">
        <f>IFERROR(__xludf.DUMMYFUNCTION("""COMPUTED_VALUE"""),2537990.0)</f>
        <v>2537990</v>
      </c>
    </row>
    <row r="177">
      <c r="A177" s="3">
        <f>IFERROR(__xludf.DUMMYFUNCTION("""COMPUTED_VALUE"""),37693.645833333336)</f>
        <v>37693.64583</v>
      </c>
      <c r="B177" s="2">
        <f>IFERROR(__xludf.DUMMYFUNCTION("""COMPUTED_VALUE"""),55.97)</f>
        <v>55.97</v>
      </c>
      <c r="C177" s="2">
        <f>IFERROR(__xludf.DUMMYFUNCTION("""COMPUTED_VALUE"""),56.55)</f>
        <v>56.55</v>
      </c>
      <c r="D177" s="2">
        <f>IFERROR(__xludf.DUMMYFUNCTION("""COMPUTED_VALUE"""),55.45)</f>
        <v>55.45</v>
      </c>
      <c r="E177" s="2">
        <f>IFERROR(__xludf.DUMMYFUNCTION("""COMPUTED_VALUE"""),55.96)</f>
        <v>55.96</v>
      </c>
      <c r="F177" s="2">
        <f>IFERROR(__xludf.DUMMYFUNCTION("""COMPUTED_VALUE"""),3577231.0)</f>
        <v>3577231</v>
      </c>
    </row>
    <row r="178">
      <c r="A178" s="3">
        <f>IFERROR(__xludf.DUMMYFUNCTION("""COMPUTED_VALUE"""),37697.645833333336)</f>
        <v>37697.64583</v>
      </c>
      <c r="B178" s="2">
        <f>IFERROR(__xludf.DUMMYFUNCTION("""COMPUTED_VALUE"""),55.97)</f>
        <v>55.97</v>
      </c>
      <c r="C178" s="2">
        <f>IFERROR(__xludf.DUMMYFUNCTION("""COMPUTED_VALUE"""),56.55)</f>
        <v>56.55</v>
      </c>
      <c r="D178" s="2">
        <f>IFERROR(__xludf.DUMMYFUNCTION("""COMPUTED_VALUE"""),55.42)</f>
        <v>55.42</v>
      </c>
      <c r="E178" s="2">
        <f>IFERROR(__xludf.DUMMYFUNCTION("""COMPUTED_VALUE"""),56.28)</f>
        <v>56.28</v>
      </c>
      <c r="F178" s="2">
        <f>IFERROR(__xludf.DUMMYFUNCTION("""COMPUTED_VALUE"""),4017792.0)</f>
        <v>4017792</v>
      </c>
    </row>
    <row r="179">
      <c r="A179" s="3">
        <f>IFERROR(__xludf.DUMMYFUNCTION("""COMPUTED_VALUE"""),37699.645833333336)</f>
        <v>37699.64583</v>
      </c>
      <c r="B179" s="2">
        <f>IFERROR(__xludf.DUMMYFUNCTION("""COMPUTED_VALUE"""),56.78)</f>
        <v>56.78</v>
      </c>
      <c r="C179" s="2">
        <f>IFERROR(__xludf.DUMMYFUNCTION("""COMPUTED_VALUE"""),57.52)</f>
        <v>57.52</v>
      </c>
      <c r="D179" s="2">
        <f>IFERROR(__xludf.DUMMYFUNCTION("""COMPUTED_VALUE"""),56.69)</f>
        <v>56.69</v>
      </c>
      <c r="E179" s="2">
        <f>IFERROR(__xludf.DUMMYFUNCTION("""COMPUTED_VALUE"""),57.39)</f>
        <v>57.39</v>
      </c>
      <c r="F179" s="2">
        <f>IFERROR(__xludf.DUMMYFUNCTION("""COMPUTED_VALUE"""),3524481.0)</f>
        <v>3524481</v>
      </c>
    </row>
    <row r="180">
      <c r="A180" s="3">
        <f>IFERROR(__xludf.DUMMYFUNCTION("""COMPUTED_VALUE"""),37700.645833333336)</f>
        <v>37700.64583</v>
      </c>
      <c r="B180" s="2">
        <f>IFERROR(__xludf.DUMMYFUNCTION("""COMPUTED_VALUE"""),56.37)</f>
        <v>56.37</v>
      </c>
      <c r="C180" s="2">
        <f>IFERROR(__xludf.DUMMYFUNCTION("""COMPUTED_VALUE"""),59.58)</f>
        <v>59.58</v>
      </c>
      <c r="D180" s="2">
        <f>IFERROR(__xludf.DUMMYFUNCTION("""COMPUTED_VALUE"""),56.37)</f>
        <v>56.37</v>
      </c>
      <c r="E180" s="2">
        <f>IFERROR(__xludf.DUMMYFUNCTION("""COMPUTED_VALUE"""),59.06)</f>
        <v>59.06</v>
      </c>
      <c r="F180" s="2">
        <f>IFERROR(__xludf.DUMMYFUNCTION("""COMPUTED_VALUE"""),5099545.0)</f>
        <v>5099545</v>
      </c>
    </row>
    <row r="181">
      <c r="A181" s="3">
        <f>IFERROR(__xludf.DUMMYFUNCTION("""COMPUTED_VALUE"""),37701.645833333336)</f>
        <v>37701.64583</v>
      </c>
      <c r="B181" s="2">
        <f>IFERROR(__xludf.DUMMYFUNCTION("""COMPUTED_VALUE"""),58.71)</f>
        <v>58.71</v>
      </c>
      <c r="C181" s="2">
        <f>IFERROR(__xludf.DUMMYFUNCTION("""COMPUTED_VALUE"""),59.38)</f>
        <v>59.38</v>
      </c>
      <c r="D181" s="2">
        <f>IFERROR(__xludf.DUMMYFUNCTION("""COMPUTED_VALUE"""),57.44)</f>
        <v>57.44</v>
      </c>
      <c r="E181" s="2">
        <f>IFERROR(__xludf.DUMMYFUNCTION("""COMPUTED_VALUE"""),59.09)</f>
        <v>59.09</v>
      </c>
      <c r="F181" s="2">
        <f>IFERROR(__xludf.DUMMYFUNCTION("""COMPUTED_VALUE"""),4093968.0)</f>
        <v>4093968</v>
      </c>
    </row>
    <row r="182">
      <c r="A182" s="3">
        <f>IFERROR(__xludf.DUMMYFUNCTION("""COMPUTED_VALUE"""),37704.645833333336)</f>
        <v>37704.64583</v>
      </c>
      <c r="B182" s="2">
        <f>IFERROR(__xludf.DUMMYFUNCTION("""COMPUTED_VALUE"""),58.97)</f>
        <v>58.97</v>
      </c>
      <c r="C182" s="2">
        <f>IFERROR(__xludf.DUMMYFUNCTION("""COMPUTED_VALUE"""),58.97)</f>
        <v>58.97</v>
      </c>
      <c r="D182" s="2">
        <f>IFERROR(__xludf.DUMMYFUNCTION("""COMPUTED_VALUE"""),56.69)</f>
        <v>56.69</v>
      </c>
      <c r="E182" s="2">
        <f>IFERROR(__xludf.DUMMYFUNCTION("""COMPUTED_VALUE"""),56.95)</f>
        <v>56.95</v>
      </c>
      <c r="F182" s="2">
        <f>IFERROR(__xludf.DUMMYFUNCTION("""COMPUTED_VALUE"""),3978037.0)</f>
        <v>3978037</v>
      </c>
    </row>
    <row r="183">
      <c r="A183" s="3">
        <f>IFERROR(__xludf.DUMMYFUNCTION("""COMPUTED_VALUE"""),37705.645833333336)</f>
        <v>37705.64583</v>
      </c>
      <c r="B183" s="2">
        <f>IFERROR(__xludf.DUMMYFUNCTION("""COMPUTED_VALUE"""),56.17)</f>
        <v>56.17</v>
      </c>
      <c r="C183" s="2">
        <f>IFERROR(__xludf.DUMMYFUNCTION("""COMPUTED_VALUE"""),57.72)</f>
        <v>57.72</v>
      </c>
      <c r="D183" s="2">
        <f>IFERROR(__xludf.DUMMYFUNCTION("""COMPUTED_VALUE"""),55.8)</f>
        <v>55.8</v>
      </c>
      <c r="E183" s="2">
        <f>IFERROR(__xludf.DUMMYFUNCTION("""COMPUTED_VALUE"""),57.52)</f>
        <v>57.52</v>
      </c>
      <c r="F183" s="2">
        <f>IFERROR(__xludf.DUMMYFUNCTION("""COMPUTED_VALUE"""),3507508.0)</f>
        <v>3507508</v>
      </c>
    </row>
    <row r="184">
      <c r="A184" s="3">
        <f>IFERROR(__xludf.DUMMYFUNCTION("""COMPUTED_VALUE"""),37706.645833333336)</f>
        <v>37706.64583</v>
      </c>
      <c r="B184" s="2">
        <f>IFERROR(__xludf.DUMMYFUNCTION("""COMPUTED_VALUE"""),57.68)</f>
        <v>57.68</v>
      </c>
      <c r="C184" s="2">
        <f>IFERROR(__xludf.DUMMYFUNCTION("""COMPUTED_VALUE"""),58.02)</f>
        <v>58.02</v>
      </c>
      <c r="D184" s="2">
        <f>IFERROR(__xludf.DUMMYFUNCTION("""COMPUTED_VALUE"""),56.9)</f>
        <v>56.9</v>
      </c>
      <c r="E184" s="2">
        <f>IFERROR(__xludf.DUMMYFUNCTION("""COMPUTED_VALUE"""),57.28)</f>
        <v>57.28</v>
      </c>
      <c r="F184" s="2">
        <f>IFERROR(__xludf.DUMMYFUNCTION("""COMPUTED_VALUE"""),2791345.0)</f>
        <v>2791345</v>
      </c>
    </row>
    <row r="185">
      <c r="A185" s="3">
        <f>IFERROR(__xludf.DUMMYFUNCTION("""COMPUTED_VALUE"""),37707.645833333336)</f>
        <v>37707.64583</v>
      </c>
      <c r="B185" s="2">
        <f>IFERROR(__xludf.DUMMYFUNCTION("""COMPUTED_VALUE"""),56.96)</f>
        <v>56.96</v>
      </c>
      <c r="C185" s="2">
        <f>IFERROR(__xludf.DUMMYFUNCTION("""COMPUTED_VALUE"""),57.11)</f>
        <v>57.11</v>
      </c>
      <c r="D185" s="2">
        <f>IFERROR(__xludf.DUMMYFUNCTION("""COMPUTED_VALUE"""),56.21)</f>
        <v>56.21</v>
      </c>
      <c r="E185" s="2">
        <f>IFERROR(__xludf.DUMMYFUNCTION("""COMPUTED_VALUE"""),56.48)</f>
        <v>56.48</v>
      </c>
      <c r="F185" s="2">
        <f>IFERROR(__xludf.DUMMYFUNCTION("""COMPUTED_VALUE"""),2501955.0)</f>
        <v>2501955</v>
      </c>
    </row>
    <row r="186">
      <c r="A186" s="3">
        <f>IFERROR(__xludf.DUMMYFUNCTION("""COMPUTED_VALUE"""),37708.645833333336)</f>
        <v>37708.64583</v>
      </c>
      <c r="B186" s="2">
        <f>IFERROR(__xludf.DUMMYFUNCTION("""COMPUTED_VALUE"""),56.55)</f>
        <v>56.55</v>
      </c>
      <c r="C186" s="2">
        <f>IFERROR(__xludf.DUMMYFUNCTION("""COMPUTED_VALUE"""),57.66)</f>
        <v>57.66</v>
      </c>
      <c r="D186" s="2">
        <f>IFERROR(__xludf.DUMMYFUNCTION("""COMPUTED_VALUE"""),56.4)</f>
        <v>56.4</v>
      </c>
      <c r="E186" s="2">
        <f>IFERROR(__xludf.DUMMYFUNCTION("""COMPUTED_VALUE"""),57.47)</f>
        <v>57.47</v>
      </c>
      <c r="F186" s="2">
        <f>IFERROR(__xludf.DUMMYFUNCTION("""COMPUTED_VALUE"""),3051450.0)</f>
        <v>3051450</v>
      </c>
    </row>
    <row r="187">
      <c r="A187" s="3">
        <f>IFERROR(__xludf.DUMMYFUNCTION("""COMPUTED_VALUE"""),37711.645833333336)</f>
        <v>37711.64583</v>
      </c>
      <c r="B187" s="2">
        <f>IFERROR(__xludf.DUMMYFUNCTION("""COMPUTED_VALUE"""),56.6)</f>
        <v>56.6</v>
      </c>
      <c r="C187" s="2">
        <f>IFERROR(__xludf.DUMMYFUNCTION("""COMPUTED_VALUE"""),56.94)</f>
        <v>56.94</v>
      </c>
      <c r="D187" s="2">
        <f>IFERROR(__xludf.DUMMYFUNCTION("""COMPUTED_VALUE"""),55.49)</f>
        <v>55.49</v>
      </c>
      <c r="E187" s="2">
        <f>IFERROR(__xludf.DUMMYFUNCTION("""COMPUTED_VALUE"""),55.99)</f>
        <v>55.99</v>
      </c>
      <c r="F187" s="2">
        <f>IFERROR(__xludf.DUMMYFUNCTION("""COMPUTED_VALUE"""),3356489.0)</f>
        <v>3356489</v>
      </c>
    </row>
    <row r="188">
      <c r="A188" s="3">
        <f>IFERROR(__xludf.DUMMYFUNCTION("""COMPUTED_VALUE"""),37712.645833333336)</f>
        <v>37712.64583</v>
      </c>
      <c r="B188" s="2">
        <f>IFERROR(__xludf.DUMMYFUNCTION("""COMPUTED_VALUE"""),55.57)</f>
        <v>55.57</v>
      </c>
      <c r="C188" s="2">
        <f>IFERROR(__xludf.DUMMYFUNCTION("""COMPUTED_VALUE"""),56.93)</f>
        <v>56.93</v>
      </c>
      <c r="D188" s="2">
        <f>IFERROR(__xludf.DUMMYFUNCTION("""COMPUTED_VALUE"""),55.57)</f>
        <v>55.57</v>
      </c>
      <c r="E188" s="2">
        <f>IFERROR(__xludf.DUMMYFUNCTION("""COMPUTED_VALUE"""),56.59)</f>
        <v>56.59</v>
      </c>
      <c r="F188" s="2">
        <f>IFERROR(__xludf.DUMMYFUNCTION("""COMPUTED_VALUE"""),2662922.0)</f>
        <v>2662922</v>
      </c>
    </row>
    <row r="189">
      <c r="A189" s="3">
        <f>IFERROR(__xludf.DUMMYFUNCTION("""COMPUTED_VALUE"""),37713.645833333336)</f>
        <v>37713.64583</v>
      </c>
      <c r="B189" s="2">
        <f>IFERROR(__xludf.DUMMYFUNCTION("""COMPUTED_VALUE"""),56.89)</f>
        <v>56.89</v>
      </c>
      <c r="C189" s="2">
        <f>IFERROR(__xludf.DUMMYFUNCTION("""COMPUTED_VALUE"""),57.58)</f>
        <v>57.58</v>
      </c>
      <c r="D189" s="2">
        <f>IFERROR(__xludf.DUMMYFUNCTION("""COMPUTED_VALUE"""),56.58)</f>
        <v>56.58</v>
      </c>
      <c r="E189" s="2">
        <f>IFERROR(__xludf.DUMMYFUNCTION("""COMPUTED_VALUE"""),56.84)</f>
        <v>56.84</v>
      </c>
      <c r="F189" s="2">
        <f>IFERROR(__xludf.DUMMYFUNCTION("""COMPUTED_VALUE"""),2499790.0)</f>
        <v>2499790</v>
      </c>
    </row>
    <row r="190">
      <c r="A190" s="3">
        <f>IFERROR(__xludf.DUMMYFUNCTION("""COMPUTED_VALUE"""),37714.645833333336)</f>
        <v>37714.64583</v>
      </c>
      <c r="B190" s="2">
        <f>IFERROR(__xludf.DUMMYFUNCTION("""COMPUTED_VALUE"""),56.98)</f>
        <v>56.98</v>
      </c>
      <c r="C190" s="2">
        <f>IFERROR(__xludf.DUMMYFUNCTION("""COMPUTED_VALUE"""),57.78)</f>
        <v>57.78</v>
      </c>
      <c r="D190" s="2">
        <f>IFERROR(__xludf.DUMMYFUNCTION("""COMPUTED_VALUE"""),56.79)</f>
        <v>56.79</v>
      </c>
      <c r="E190" s="2">
        <f>IFERROR(__xludf.DUMMYFUNCTION("""COMPUTED_VALUE"""),57.48)</f>
        <v>57.48</v>
      </c>
      <c r="F190" s="2">
        <f>IFERROR(__xludf.DUMMYFUNCTION("""COMPUTED_VALUE"""),2228894.0)</f>
        <v>2228894</v>
      </c>
    </row>
    <row r="191">
      <c r="A191" s="3">
        <f>IFERROR(__xludf.DUMMYFUNCTION("""COMPUTED_VALUE"""),37715.645833333336)</f>
        <v>37715.64583</v>
      </c>
      <c r="B191" s="2">
        <f>IFERROR(__xludf.DUMMYFUNCTION("""COMPUTED_VALUE"""),57.61)</f>
        <v>57.61</v>
      </c>
      <c r="C191" s="2">
        <f>IFERROR(__xludf.DUMMYFUNCTION("""COMPUTED_VALUE"""),59.21)</f>
        <v>59.21</v>
      </c>
      <c r="D191" s="2">
        <f>IFERROR(__xludf.DUMMYFUNCTION("""COMPUTED_VALUE"""),57.61)</f>
        <v>57.61</v>
      </c>
      <c r="E191" s="2">
        <f>IFERROR(__xludf.DUMMYFUNCTION("""COMPUTED_VALUE"""),59.08)</f>
        <v>59.08</v>
      </c>
      <c r="F191" s="2">
        <f>IFERROR(__xludf.DUMMYFUNCTION("""COMPUTED_VALUE"""),4914794.0)</f>
        <v>4914794</v>
      </c>
    </row>
    <row r="192">
      <c r="A192" s="3">
        <f>IFERROR(__xludf.DUMMYFUNCTION("""COMPUTED_VALUE"""),37718.645833333336)</f>
        <v>37718.64583</v>
      </c>
      <c r="B192" s="2">
        <f>IFERROR(__xludf.DUMMYFUNCTION("""COMPUTED_VALUE"""),59.44)</f>
        <v>59.44</v>
      </c>
      <c r="C192" s="2">
        <f>IFERROR(__xludf.DUMMYFUNCTION("""COMPUTED_VALUE"""),60.8)</f>
        <v>60.8</v>
      </c>
      <c r="D192" s="2">
        <f>IFERROR(__xludf.DUMMYFUNCTION("""COMPUTED_VALUE"""),59.39)</f>
        <v>59.39</v>
      </c>
      <c r="E192" s="2">
        <f>IFERROR(__xludf.DUMMYFUNCTION("""COMPUTED_VALUE"""),60.43)</f>
        <v>60.43</v>
      </c>
      <c r="F192" s="2">
        <f>IFERROR(__xludf.DUMMYFUNCTION("""COMPUTED_VALUE"""),4929495.0)</f>
        <v>4929495</v>
      </c>
    </row>
    <row r="193">
      <c r="A193" s="3">
        <f>IFERROR(__xludf.DUMMYFUNCTION("""COMPUTED_VALUE"""),37719.645833333336)</f>
        <v>37719.64583</v>
      </c>
      <c r="B193" s="2">
        <f>IFERROR(__xludf.DUMMYFUNCTION("""COMPUTED_VALUE"""),60.0)</f>
        <v>60</v>
      </c>
      <c r="C193" s="2">
        <f>IFERROR(__xludf.DUMMYFUNCTION("""COMPUTED_VALUE"""),60.16)</f>
        <v>60.16</v>
      </c>
      <c r="D193" s="2">
        <f>IFERROR(__xludf.DUMMYFUNCTION("""COMPUTED_VALUE"""),59.29)</f>
        <v>59.29</v>
      </c>
      <c r="E193" s="2">
        <f>IFERROR(__xludf.DUMMYFUNCTION("""COMPUTED_VALUE"""),59.63)</f>
        <v>59.63</v>
      </c>
      <c r="F193" s="2">
        <f>IFERROR(__xludf.DUMMYFUNCTION("""COMPUTED_VALUE"""),3025909.0)</f>
        <v>3025909</v>
      </c>
    </row>
    <row r="194">
      <c r="A194" s="3">
        <f>IFERROR(__xludf.DUMMYFUNCTION("""COMPUTED_VALUE"""),37720.645833333336)</f>
        <v>37720.64583</v>
      </c>
      <c r="B194" s="2">
        <f>IFERROR(__xludf.DUMMYFUNCTION("""COMPUTED_VALUE"""),59.02)</f>
        <v>59.02</v>
      </c>
      <c r="C194" s="2">
        <f>IFERROR(__xludf.DUMMYFUNCTION("""COMPUTED_VALUE"""),59.37)</f>
        <v>59.37</v>
      </c>
      <c r="D194" s="2">
        <f>IFERROR(__xludf.DUMMYFUNCTION("""COMPUTED_VALUE"""),57.88)</f>
        <v>57.88</v>
      </c>
      <c r="E194" s="2">
        <f>IFERROR(__xludf.DUMMYFUNCTION("""COMPUTED_VALUE"""),58.06)</f>
        <v>58.06</v>
      </c>
      <c r="F194" s="2">
        <f>IFERROR(__xludf.DUMMYFUNCTION("""COMPUTED_VALUE"""),3180773.0)</f>
        <v>3180773</v>
      </c>
    </row>
    <row r="195">
      <c r="A195" s="3">
        <f>IFERROR(__xludf.DUMMYFUNCTION("""COMPUTED_VALUE"""),37721.645833333336)</f>
        <v>37721.64583</v>
      </c>
      <c r="B195" s="2">
        <f>IFERROR(__xludf.DUMMYFUNCTION("""COMPUTED_VALUE"""),57.97)</f>
        <v>57.97</v>
      </c>
      <c r="C195" s="2">
        <f>IFERROR(__xludf.DUMMYFUNCTION("""COMPUTED_VALUE"""),58.08)</f>
        <v>58.08</v>
      </c>
      <c r="D195" s="2">
        <f>IFERROR(__xludf.DUMMYFUNCTION("""COMPUTED_VALUE"""),56.8)</f>
        <v>56.8</v>
      </c>
      <c r="E195" s="2">
        <f>IFERROR(__xludf.DUMMYFUNCTION("""COMPUTED_VALUE"""),57.43)</f>
        <v>57.43</v>
      </c>
      <c r="F195" s="2">
        <f>IFERROR(__xludf.DUMMYFUNCTION("""COMPUTED_VALUE"""),2911610.0)</f>
        <v>2911610</v>
      </c>
    </row>
    <row r="196">
      <c r="A196" s="3">
        <f>IFERROR(__xludf.DUMMYFUNCTION("""COMPUTED_VALUE"""),37722.645833333336)</f>
        <v>37722.64583</v>
      </c>
      <c r="B196" s="2">
        <f>IFERROR(__xludf.DUMMYFUNCTION("""COMPUTED_VALUE"""),57.66)</f>
        <v>57.66</v>
      </c>
      <c r="C196" s="2">
        <f>IFERROR(__xludf.DUMMYFUNCTION("""COMPUTED_VALUE"""),59.19)</f>
        <v>59.19</v>
      </c>
      <c r="D196" s="2">
        <f>IFERROR(__xludf.DUMMYFUNCTION("""COMPUTED_VALUE"""),56.88)</f>
        <v>56.88</v>
      </c>
      <c r="E196" s="2">
        <f>IFERROR(__xludf.DUMMYFUNCTION("""COMPUTED_VALUE"""),58.96)</f>
        <v>58.96</v>
      </c>
      <c r="F196" s="2">
        <f>IFERROR(__xludf.DUMMYFUNCTION("""COMPUTED_VALUE"""),3456980.0)</f>
        <v>3456980</v>
      </c>
    </row>
    <row r="197">
      <c r="A197" s="3">
        <f>IFERROR(__xludf.DUMMYFUNCTION("""COMPUTED_VALUE"""),37726.645833333336)</f>
        <v>37726.64583</v>
      </c>
      <c r="B197" s="2">
        <f>IFERROR(__xludf.DUMMYFUNCTION("""COMPUTED_VALUE"""),58.99)</f>
        <v>58.99</v>
      </c>
      <c r="C197" s="2">
        <f>IFERROR(__xludf.DUMMYFUNCTION("""COMPUTED_VALUE"""),59.03)</f>
        <v>59.03</v>
      </c>
      <c r="D197" s="2">
        <f>IFERROR(__xludf.DUMMYFUNCTION("""COMPUTED_VALUE"""),55.2)</f>
        <v>55.2</v>
      </c>
      <c r="E197" s="2">
        <f>IFERROR(__xludf.DUMMYFUNCTION("""COMPUTED_VALUE"""),56.84)</f>
        <v>56.84</v>
      </c>
      <c r="F197" s="2">
        <f>IFERROR(__xludf.DUMMYFUNCTION("""COMPUTED_VALUE"""),5846070.0)</f>
        <v>5846070</v>
      </c>
    </row>
    <row r="198">
      <c r="A198" s="3">
        <f>IFERROR(__xludf.DUMMYFUNCTION("""COMPUTED_VALUE"""),37727.645833333336)</f>
        <v>37727.64583</v>
      </c>
      <c r="B198" s="2">
        <f>IFERROR(__xludf.DUMMYFUNCTION("""COMPUTED_VALUE"""),57.36)</f>
        <v>57.36</v>
      </c>
      <c r="C198" s="2">
        <f>IFERROR(__xludf.DUMMYFUNCTION("""COMPUTED_VALUE"""),57.45)</f>
        <v>57.45</v>
      </c>
      <c r="D198" s="2">
        <f>IFERROR(__xludf.DUMMYFUNCTION("""COMPUTED_VALUE"""),56.46)</f>
        <v>56.46</v>
      </c>
      <c r="E198" s="2">
        <f>IFERROR(__xludf.DUMMYFUNCTION("""COMPUTED_VALUE"""),57.14)</f>
        <v>57.14</v>
      </c>
      <c r="F198" s="2">
        <f>IFERROR(__xludf.DUMMYFUNCTION("""COMPUTED_VALUE"""),3023338.0)</f>
        <v>3023338</v>
      </c>
    </row>
    <row r="199">
      <c r="A199" s="3">
        <f>IFERROR(__xludf.DUMMYFUNCTION("""COMPUTED_VALUE"""),37728.645833333336)</f>
        <v>37728.64583</v>
      </c>
      <c r="B199" s="2">
        <f>IFERROR(__xludf.DUMMYFUNCTION("""COMPUTED_VALUE"""),57.14)</f>
        <v>57.14</v>
      </c>
      <c r="C199" s="2">
        <f>IFERROR(__xludf.DUMMYFUNCTION("""COMPUTED_VALUE"""),57.14)</f>
        <v>57.14</v>
      </c>
      <c r="D199" s="2">
        <f>IFERROR(__xludf.DUMMYFUNCTION("""COMPUTED_VALUE"""),55.6)</f>
        <v>55.6</v>
      </c>
      <c r="E199" s="2">
        <f>IFERROR(__xludf.DUMMYFUNCTION("""COMPUTED_VALUE"""),56.0)</f>
        <v>56</v>
      </c>
      <c r="F199" s="2">
        <f>IFERROR(__xludf.DUMMYFUNCTION("""COMPUTED_VALUE"""),3105149.0)</f>
        <v>3105149</v>
      </c>
    </row>
    <row r="200">
      <c r="A200" s="3">
        <f>IFERROR(__xludf.DUMMYFUNCTION("""COMPUTED_VALUE"""),37732.645833333336)</f>
        <v>37732.64583</v>
      </c>
      <c r="B200" s="2">
        <f>IFERROR(__xludf.DUMMYFUNCTION("""COMPUTED_VALUE"""),56.37)</f>
        <v>56.37</v>
      </c>
      <c r="C200" s="2">
        <f>IFERROR(__xludf.DUMMYFUNCTION("""COMPUTED_VALUE"""),56.78)</f>
        <v>56.78</v>
      </c>
      <c r="D200" s="2">
        <f>IFERROR(__xludf.DUMMYFUNCTION("""COMPUTED_VALUE"""),55.77)</f>
        <v>55.77</v>
      </c>
      <c r="E200" s="2">
        <f>IFERROR(__xludf.DUMMYFUNCTION("""COMPUTED_VALUE"""),56.23)</f>
        <v>56.23</v>
      </c>
      <c r="F200" s="2">
        <f>IFERROR(__xludf.DUMMYFUNCTION("""COMPUTED_VALUE"""),2161877.0)</f>
        <v>2161877</v>
      </c>
    </row>
    <row r="201">
      <c r="A201" s="3">
        <f>IFERROR(__xludf.DUMMYFUNCTION("""COMPUTED_VALUE"""),37733.645833333336)</f>
        <v>37733.64583</v>
      </c>
      <c r="B201" s="2">
        <f>IFERROR(__xludf.DUMMYFUNCTION("""COMPUTED_VALUE"""),56.1)</f>
        <v>56.1</v>
      </c>
      <c r="C201" s="2">
        <f>IFERROR(__xludf.DUMMYFUNCTION("""COMPUTED_VALUE"""),56.13)</f>
        <v>56.13</v>
      </c>
      <c r="D201" s="2">
        <f>IFERROR(__xludf.DUMMYFUNCTION("""COMPUTED_VALUE"""),55.12)</f>
        <v>55.12</v>
      </c>
      <c r="E201" s="2">
        <f>IFERROR(__xludf.DUMMYFUNCTION("""COMPUTED_VALUE"""),55.85)</f>
        <v>55.85</v>
      </c>
      <c r="F201" s="2">
        <f>IFERROR(__xludf.DUMMYFUNCTION("""COMPUTED_VALUE"""),3876796.0)</f>
        <v>3876796</v>
      </c>
    </row>
    <row r="202">
      <c r="A202" s="3">
        <f>IFERROR(__xludf.DUMMYFUNCTION("""COMPUTED_VALUE"""),37734.645833333336)</f>
        <v>37734.64583</v>
      </c>
      <c r="B202" s="2">
        <f>IFERROR(__xludf.DUMMYFUNCTION("""COMPUTED_VALUE"""),56.68)</f>
        <v>56.68</v>
      </c>
      <c r="C202" s="2">
        <f>IFERROR(__xludf.DUMMYFUNCTION("""COMPUTED_VALUE"""),57.27)</f>
        <v>57.27</v>
      </c>
      <c r="D202" s="2">
        <f>IFERROR(__xludf.DUMMYFUNCTION("""COMPUTED_VALUE"""),54.31)</f>
        <v>54.31</v>
      </c>
      <c r="E202" s="2">
        <f>IFERROR(__xludf.DUMMYFUNCTION("""COMPUTED_VALUE"""),54.6)</f>
        <v>54.6</v>
      </c>
      <c r="F202" s="2">
        <f>IFERROR(__xludf.DUMMYFUNCTION("""COMPUTED_VALUE"""),1.5811793E7)</f>
        <v>15811793</v>
      </c>
    </row>
    <row r="203">
      <c r="A203" s="3">
        <f>IFERROR(__xludf.DUMMYFUNCTION("""COMPUTED_VALUE"""),37735.645833333336)</f>
        <v>37735.64583</v>
      </c>
      <c r="B203" s="2">
        <f>IFERROR(__xludf.DUMMYFUNCTION("""COMPUTED_VALUE"""),54.96)</f>
        <v>54.96</v>
      </c>
      <c r="C203" s="2">
        <f>IFERROR(__xludf.DUMMYFUNCTION("""COMPUTED_VALUE"""),55.77)</f>
        <v>55.77</v>
      </c>
      <c r="D203" s="2">
        <f>IFERROR(__xludf.DUMMYFUNCTION("""COMPUTED_VALUE"""),54.7)</f>
        <v>54.7</v>
      </c>
      <c r="E203" s="2">
        <f>IFERROR(__xludf.DUMMYFUNCTION("""COMPUTED_VALUE"""),55.13)</f>
        <v>55.13</v>
      </c>
      <c r="F203" s="2">
        <f>IFERROR(__xludf.DUMMYFUNCTION("""COMPUTED_VALUE"""),6500987.0)</f>
        <v>6500987</v>
      </c>
    </row>
    <row r="204">
      <c r="A204" s="3">
        <f>IFERROR(__xludf.DUMMYFUNCTION("""COMPUTED_VALUE"""),37736.645833333336)</f>
        <v>37736.64583</v>
      </c>
      <c r="B204" s="2">
        <f>IFERROR(__xludf.DUMMYFUNCTION("""COMPUTED_VALUE"""),54.76)</f>
        <v>54.76</v>
      </c>
      <c r="C204" s="2">
        <f>IFERROR(__xludf.DUMMYFUNCTION("""COMPUTED_VALUE"""),55.29)</f>
        <v>55.29</v>
      </c>
      <c r="D204" s="2">
        <f>IFERROR(__xludf.DUMMYFUNCTION("""COMPUTED_VALUE"""),53.76)</f>
        <v>53.76</v>
      </c>
      <c r="E204" s="2">
        <f>IFERROR(__xludf.DUMMYFUNCTION("""COMPUTED_VALUE"""),54.0)</f>
        <v>54</v>
      </c>
      <c r="F204" s="2">
        <f>IFERROR(__xludf.DUMMYFUNCTION("""COMPUTED_VALUE"""),5532466.0)</f>
        <v>5532466</v>
      </c>
    </row>
    <row r="205">
      <c r="A205" s="3">
        <f>IFERROR(__xludf.DUMMYFUNCTION("""COMPUTED_VALUE"""),37739.645833333336)</f>
        <v>37739.64583</v>
      </c>
      <c r="B205" s="2">
        <f>IFERROR(__xludf.DUMMYFUNCTION("""COMPUTED_VALUE"""),53.96)</f>
        <v>53.96</v>
      </c>
      <c r="C205" s="2">
        <f>IFERROR(__xludf.DUMMYFUNCTION("""COMPUTED_VALUE"""),55.11)</f>
        <v>55.11</v>
      </c>
      <c r="D205" s="2">
        <f>IFERROR(__xludf.DUMMYFUNCTION("""COMPUTED_VALUE"""),53.3)</f>
        <v>53.3</v>
      </c>
      <c r="E205" s="2">
        <f>IFERROR(__xludf.DUMMYFUNCTION("""COMPUTED_VALUE"""),54.8)</f>
        <v>54.8</v>
      </c>
      <c r="F205" s="2">
        <f>IFERROR(__xludf.DUMMYFUNCTION("""COMPUTED_VALUE"""),4880945.0)</f>
        <v>4880945</v>
      </c>
    </row>
    <row r="206">
      <c r="A206" s="3">
        <f>IFERROR(__xludf.DUMMYFUNCTION("""COMPUTED_VALUE"""),37740.645833333336)</f>
        <v>37740.64583</v>
      </c>
      <c r="B206" s="2">
        <f>IFERROR(__xludf.DUMMYFUNCTION("""COMPUTED_VALUE"""),54.96)</f>
        <v>54.96</v>
      </c>
      <c r="C206" s="2">
        <f>IFERROR(__xludf.DUMMYFUNCTION("""COMPUTED_VALUE"""),55.14)</f>
        <v>55.14</v>
      </c>
      <c r="D206" s="2">
        <f>IFERROR(__xludf.DUMMYFUNCTION("""COMPUTED_VALUE"""),54.51)</f>
        <v>54.51</v>
      </c>
      <c r="E206" s="2">
        <f>IFERROR(__xludf.DUMMYFUNCTION("""COMPUTED_VALUE"""),54.93)</f>
        <v>54.93</v>
      </c>
      <c r="F206" s="2">
        <f>IFERROR(__xludf.DUMMYFUNCTION("""COMPUTED_VALUE"""),3156736.0)</f>
        <v>3156736</v>
      </c>
    </row>
    <row r="207">
      <c r="A207" s="3">
        <f>IFERROR(__xludf.DUMMYFUNCTION("""COMPUTED_VALUE"""),37741.645833333336)</f>
        <v>37741.64583</v>
      </c>
      <c r="B207" s="2">
        <f>IFERROR(__xludf.DUMMYFUNCTION("""COMPUTED_VALUE"""),54.91)</f>
        <v>54.91</v>
      </c>
      <c r="C207" s="2">
        <f>IFERROR(__xludf.DUMMYFUNCTION("""COMPUTED_VALUE"""),55.47)</f>
        <v>55.47</v>
      </c>
      <c r="D207" s="2">
        <f>IFERROR(__xludf.DUMMYFUNCTION("""COMPUTED_VALUE"""),54.57)</f>
        <v>54.57</v>
      </c>
      <c r="E207" s="2">
        <f>IFERROR(__xludf.DUMMYFUNCTION("""COMPUTED_VALUE"""),55.26)</f>
        <v>55.26</v>
      </c>
      <c r="F207" s="2">
        <f>IFERROR(__xludf.DUMMYFUNCTION("""COMPUTED_VALUE"""),2433276.0)</f>
        <v>2433276</v>
      </c>
    </row>
    <row r="208">
      <c r="A208" s="3">
        <f>IFERROR(__xludf.DUMMYFUNCTION("""COMPUTED_VALUE"""),37743.645833333336)</f>
        <v>37743.64583</v>
      </c>
      <c r="B208" s="2">
        <f>IFERROR(__xludf.DUMMYFUNCTION("""COMPUTED_VALUE"""),55.29)</f>
        <v>55.29</v>
      </c>
      <c r="C208" s="2">
        <f>IFERROR(__xludf.DUMMYFUNCTION("""COMPUTED_VALUE"""),55.35)</f>
        <v>55.35</v>
      </c>
      <c r="D208" s="2">
        <f>IFERROR(__xludf.DUMMYFUNCTION("""COMPUTED_VALUE"""),54.62)</f>
        <v>54.62</v>
      </c>
      <c r="E208" s="2">
        <f>IFERROR(__xludf.DUMMYFUNCTION("""COMPUTED_VALUE"""),55.06)</f>
        <v>55.06</v>
      </c>
      <c r="F208" s="2">
        <f>IFERROR(__xludf.DUMMYFUNCTION("""COMPUTED_VALUE"""),2318553.0)</f>
        <v>2318553</v>
      </c>
    </row>
    <row r="209">
      <c r="A209" s="3">
        <f>IFERROR(__xludf.DUMMYFUNCTION("""COMPUTED_VALUE"""),37746.645833333336)</f>
        <v>37746.64583</v>
      </c>
      <c r="B209" s="2">
        <f>IFERROR(__xludf.DUMMYFUNCTION("""COMPUTED_VALUE"""),55.37)</f>
        <v>55.37</v>
      </c>
      <c r="C209" s="2">
        <f>IFERROR(__xludf.DUMMYFUNCTION("""COMPUTED_VALUE"""),55.57)</f>
        <v>55.57</v>
      </c>
      <c r="D209" s="2">
        <f>IFERROR(__xludf.DUMMYFUNCTION("""COMPUTED_VALUE"""),54.26)</f>
        <v>54.26</v>
      </c>
      <c r="E209" s="2">
        <f>IFERROR(__xludf.DUMMYFUNCTION("""COMPUTED_VALUE"""),54.47)</f>
        <v>54.47</v>
      </c>
      <c r="F209" s="2">
        <f>IFERROR(__xludf.DUMMYFUNCTION("""COMPUTED_VALUE"""),2762692.0)</f>
        <v>2762692</v>
      </c>
    </row>
    <row r="210">
      <c r="A210" s="3">
        <f>IFERROR(__xludf.DUMMYFUNCTION("""COMPUTED_VALUE"""),37747.645833333336)</f>
        <v>37747.64583</v>
      </c>
      <c r="B210" s="2">
        <f>IFERROR(__xludf.DUMMYFUNCTION("""COMPUTED_VALUE"""),54.36)</f>
        <v>54.36</v>
      </c>
      <c r="C210" s="2">
        <f>IFERROR(__xludf.DUMMYFUNCTION("""COMPUTED_VALUE"""),54.9)</f>
        <v>54.9</v>
      </c>
      <c r="D210" s="2">
        <f>IFERROR(__xludf.DUMMYFUNCTION("""COMPUTED_VALUE"""),53.94)</f>
        <v>53.94</v>
      </c>
      <c r="E210" s="2">
        <f>IFERROR(__xludf.DUMMYFUNCTION("""COMPUTED_VALUE"""),54.34)</f>
        <v>54.34</v>
      </c>
      <c r="F210" s="2">
        <f>IFERROR(__xludf.DUMMYFUNCTION("""COMPUTED_VALUE"""),3081872.0)</f>
        <v>3081872</v>
      </c>
    </row>
    <row r="211">
      <c r="A211" s="3">
        <f>IFERROR(__xludf.DUMMYFUNCTION("""COMPUTED_VALUE"""),37748.645833333336)</f>
        <v>37748.64583</v>
      </c>
      <c r="B211" s="2">
        <f>IFERROR(__xludf.DUMMYFUNCTION("""COMPUTED_VALUE"""),53.64)</f>
        <v>53.64</v>
      </c>
      <c r="C211" s="2">
        <f>IFERROR(__xludf.DUMMYFUNCTION("""COMPUTED_VALUE"""),54.11)</f>
        <v>54.11</v>
      </c>
      <c r="D211" s="2">
        <f>IFERROR(__xludf.DUMMYFUNCTION("""COMPUTED_VALUE"""),53.35)</f>
        <v>53.35</v>
      </c>
      <c r="E211" s="2">
        <f>IFERROR(__xludf.DUMMYFUNCTION("""COMPUTED_VALUE"""),53.46)</f>
        <v>53.46</v>
      </c>
      <c r="F211" s="2">
        <f>IFERROR(__xludf.DUMMYFUNCTION("""COMPUTED_VALUE"""),2939450.0)</f>
        <v>2939450</v>
      </c>
    </row>
    <row r="212">
      <c r="A212" s="3">
        <f>IFERROR(__xludf.DUMMYFUNCTION("""COMPUTED_VALUE"""),37749.645833333336)</f>
        <v>37749.64583</v>
      </c>
      <c r="B212" s="2">
        <f>IFERROR(__xludf.DUMMYFUNCTION("""COMPUTED_VALUE"""),53.35)</f>
        <v>53.35</v>
      </c>
      <c r="C212" s="2">
        <f>IFERROR(__xludf.DUMMYFUNCTION("""COMPUTED_VALUE"""),53.55)</f>
        <v>53.55</v>
      </c>
      <c r="D212" s="2">
        <f>IFERROR(__xludf.DUMMYFUNCTION("""COMPUTED_VALUE"""),51.95)</f>
        <v>51.95</v>
      </c>
      <c r="E212" s="2">
        <f>IFERROR(__xludf.DUMMYFUNCTION("""COMPUTED_VALUE"""),52.26)</f>
        <v>52.26</v>
      </c>
      <c r="F212" s="2">
        <f>IFERROR(__xludf.DUMMYFUNCTION("""COMPUTED_VALUE"""),5238248.0)</f>
        <v>5238248</v>
      </c>
    </row>
    <row r="213">
      <c r="A213" s="3">
        <f>IFERROR(__xludf.DUMMYFUNCTION("""COMPUTED_VALUE"""),37750.645833333336)</f>
        <v>37750.64583</v>
      </c>
      <c r="B213" s="2">
        <f>IFERROR(__xludf.DUMMYFUNCTION("""COMPUTED_VALUE"""),51.77)</f>
        <v>51.77</v>
      </c>
      <c r="C213" s="2">
        <f>IFERROR(__xludf.DUMMYFUNCTION("""COMPUTED_VALUE"""),53.05)</f>
        <v>53.05</v>
      </c>
      <c r="D213" s="2">
        <f>IFERROR(__xludf.DUMMYFUNCTION("""COMPUTED_VALUE"""),51.77)</f>
        <v>51.77</v>
      </c>
      <c r="E213" s="2">
        <f>IFERROR(__xludf.DUMMYFUNCTION("""COMPUTED_VALUE"""),52.56)</f>
        <v>52.56</v>
      </c>
      <c r="F213" s="2">
        <f>IFERROR(__xludf.DUMMYFUNCTION("""COMPUTED_VALUE"""),3066891.0)</f>
        <v>3066891</v>
      </c>
    </row>
    <row r="214">
      <c r="A214" s="3">
        <f>IFERROR(__xludf.DUMMYFUNCTION("""COMPUTED_VALUE"""),37753.645833333336)</f>
        <v>37753.64583</v>
      </c>
      <c r="B214" s="2">
        <f>IFERROR(__xludf.DUMMYFUNCTION("""COMPUTED_VALUE"""),52.75)</f>
        <v>52.75</v>
      </c>
      <c r="C214" s="2">
        <f>IFERROR(__xludf.DUMMYFUNCTION("""COMPUTED_VALUE"""),52.95)</f>
        <v>52.95</v>
      </c>
      <c r="D214" s="2">
        <f>IFERROR(__xludf.DUMMYFUNCTION("""COMPUTED_VALUE"""),52.0)</f>
        <v>52</v>
      </c>
      <c r="E214" s="2">
        <f>IFERROR(__xludf.DUMMYFUNCTION("""COMPUTED_VALUE"""),52.51)</f>
        <v>52.51</v>
      </c>
      <c r="F214" s="2">
        <f>IFERROR(__xludf.DUMMYFUNCTION("""COMPUTED_VALUE"""),2117544.0)</f>
        <v>2117544</v>
      </c>
    </row>
    <row r="215">
      <c r="A215" s="3">
        <f>IFERROR(__xludf.DUMMYFUNCTION("""COMPUTED_VALUE"""),37754.645833333336)</f>
        <v>37754.64583</v>
      </c>
      <c r="B215" s="2">
        <f>IFERROR(__xludf.DUMMYFUNCTION("""COMPUTED_VALUE"""),52.73)</f>
        <v>52.73</v>
      </c>
      <c r="C215" s="2">
        <f>IFERROR(__xludf.DUMMYFUNCTION("""COMPUTED_VALUE"""),52.92)</f>
        <v>52.92</v>
      </c>
      <c r="D215" s="2">
        <f>IFERROR(__xludf.DUMMYFUNCTION("""COMPUTED_VALUE"""),52.3)</f>
        <v>52.3</v>
      </c>
      <c r="E215" s="2">
        <f>IFERROR(__xludf.DUMMYFUNCTION("""COMPUTED_VALUE"""),52.7)</f>
        <v>52.7</v>
      </c>
      <c r="F215" s="2">
        <f>IFERROR(__xludf.DUMMYFUNCTION("""COMPUTED_VALUE"""),1702560.0)</f>
        <v>1702560</v>
      </c>
    </row>
    <row r="216">
      <c r="A216" s="3">
        <f>IFERROR(__xludf.DUMMYFUNCTION("""COMPUTED_VALUE"""),37755.645833333336)</f>
        <v>37755.64583</v>
      </c>
      <c r="B216" s="2">
        <f>IFERROR(__xludf.DUMMYFUNCTION("""COMPUTED_VALUE"""),52.7)</f>
        <v>52.7</v>
      </c>
      <c r="C216" s="2">
        <f>IFERROR(__xludf.DUMMYFUNCTION("""COMPUTED_VALUE"""),53.8)</f>
        <v>53.8</v>
      </c>
      <c r="D216" s="2">
        <f>IFERROR(__xludf.DUMMYFUNCTION("""COMPUTED_VALUE"""),52.7)</f>
        <v>52.7</v>
      </c>
      <c r="E216" s="2">
        <f>IFERROR(__xludf.DUMMYFUNCTION("""COMPUTED_VALUE"""),53.66)</f>
        <v>53.66</v>
      </c>
      <c r="F216" s="2">
        <f>IFERROR(__xludf.DUMMYFUNCTION("""COMPUTED_VALUE"""),2832571.0)</f>
        <v>2832571</v>
      </c>
    </row>
    <row r="217">
      <c r="A217" s="3">
        <f>IFERROR(__xludf.DUMMYFUNCTION("""COMPUTED_VALUE"""),37756.645833333336)</f>
        <v>37756.64583</v>
      </c>
      <c r="B217" s="2">
        <f>IFERROR(__xludf.DUMMYFUNCTION("""COMPUTED_VALUE"""),53.69)</f>
        <v>53.69</v>
      </c>
      <c r="C217" s="2">
        <f>IFERROR(__xludf.DUMMYFUNCTION("""COMPUTED_VALUE"""),54.04)</f>
        <v>54.04</v>
      </c>
      <c r="D217" s="2">
        <f>IFERROR(__xludf.DUMMYFUNCTION("""COMPUTED_VALUE"""),53.37)</f>
        <v>53.37</v>
      </c>
      <c r="E217" s="2">
        <f>IFERROR(__xludf.DUMMYFUNCTION("""COMPUTED_VALUE"""),53.83)</f>
        <v>53.83</v>
      </c>
      <c r="F217" s="2">
        <f>IFERROR(__xludf.DUMMYFUNCTION("""COMPUTED_VALUE"""),1985716.0)</f>
        <v>1985716</v>
      </c>
    </row>
    <row r="218">
      <c r="A218" s="3">
        <f>IFERROR(__xludf.DUMMYFUNCTION("""COMPUTED_VALUE"""),37757.645833333336)</f>
        <v>37757.64583</v>
      </c>
      <c r="B218" s="2">
        <f>IFERROR(__xludf.DUMMYFUNCTION("""COMPUTED_VALUE"""),54.16)</f>
        <v>54.16</v>
      </c>
      <c r="C218" s="2">
        <f>IFERROR(__xludf.DUMMYFUNCTION("""COMPUTED_VALUE"""),54.32)</f>
        <v>54.32</v>
      </c>
      <c r="D218" s="2">
        <f>IFERROR(__xludf.DUMMYFUNCTION("""COMPUTED_VALUE"""),53.74)</f>
        <v>53.74</v>
      </c>
      <c r="E218" s="2">
        <f>IFERROR(__xludf.DUMMYFUNCTION("""COMPUTED_VALUE"""),54.09)</f>
        <v>54.09</v>
      </c>
      <c r="F218" s="2">
        <f>IFERROR(__xludf.DUMMYFUNCTION("""COMPUTED_VALUE"""),2180439.0)</f>
        <v>2180439</v>
      </c>
    </row>
    <row r="219">
      <c r="A219" s="3">
        <f>IFERROR(__xludf.DUMMYFUNCTION("""COMPUTED_VALUE"""),37760.645833333336)</f>
        <v>37760.64583</v>
      </c>
      <c r="B219" s="2">
        <f>IFERROR(__xludf.DUMMYFUNCTION("""COMPUTED_VALUE"""),54.17)</f>
        <v>54.17</v>
      </c>
      <c r="C219" s="2">
        <f>IFERROR(__xludf.DUMMYFUNCTION("""COMPUTED_VALUE"""),54.59)</f>
        <v>54.59</v>
      </c>
      <c r="D219" s="2">
        <f>IFERROR(__xludf.DUMMYFUNCTION("""COMPUTED_VALUE"""),53.86)</f>
        <v>53.86</v>
      </c>
      <c r="E219" s="2">
        <f>IFERROR(__xludf.DUMMYFUNCTION("""COMPUTED_VALUE"""),54.18)</f>
        <v>54.18</v>
      </c>
      <c r="F219" s="2">
        <f>IFERROR(__xludf.DUMMYFUNCTION("""COMPUTED_VALUE"""),2564055.0)</f>
        <v>2564055</v>
      </c>
    </row>
    <row r="220">
      <c r="A220" s="3">
        <f>IFERROR(__xludf.DUMMYFUNCTION("""COMPUTED_VALUE"""),37761.645833333336)</f>
        <v>37761.64583</v>
      </c>
      <c r="B220" s="2">
        <f>IFERROR(__xludf.DUMMYFUNCTION("""COMPUTED_VALUE"""),53.25)</f>
        <v>53.25</v>
      </c>
      <c r="C220" s="2">
        <f>IFERROR(__xludf.DUMMYFUNCTION("""COMPUTED_VALUE"""),54.92)</f>
        <v>54.92</v>
      </c>
      <c r="D220" s="2">
        <f>IFERROR(__xludf.DUMMYFUNCTION("""COMPUTED_VALUE"""),53.25)</f>
        <v>53.25</v>
      </c>
      <c r="E220" s="2">
        <f>IFERROR(__xludf.DUMMYFUNCTION("""COMPUTED_VALUE"""),54.78)</f>
        <v>54.78</v>
      </c>
      <c r="F220" s="2">
        <f>IFERROR(__xludf.DUMMYFUNCTION("""COMPUTED_VALUE"""),2951846.0)</f>
        <v>2951846</v>
      </c>
    </row>
    <row r="221">
      <c r="A221" s="3">
        <f>IFERROR(__xludf.DUMMYFUNCTION("""COMPUTED_VALUE"""),37762.645833333336)</f>
        <v>37762.64583</v>
      </c>
      <c r="B221" s="2">
        <f>IFERROR(__xludf.DUMMYFUNCTION("""COMPUTED_VALUE"""),54.91)</f>
        <v>54.91</v>
      </c>
      <c r="C221" s="2">
        <f>IFERROR(__xludf.DUMMYFUNCTION("""COMPUTED_VALUE"""),55.13)</f>
        <v>55.13</v>
      </c>
      <c r="D221" s="2">
        <f>IFERROR(__xludf.DUMMYFUNCTION("""COMPUTED_VALUE"""),54.22)</f>
        <v>54.22</v>
      </c>
      <c r="E221" s="2">
        <f>IFERROR(__xludf.DUMMYFUNCTION("""COMPUTED_VALUE"""),54.72)</f>
        <v>54.72</v>
      </c>
      <c r="F221" s="2">
        <f>IFERROR(__xludf.DUMMYFUNCTION("""COMPUTED_VALUE"""),2578727.0)</f>
        <v>2578727</v>
      </c>
    </row>
    <row r="222">
      <c r="A222" s="3">
        <f>IFERROR(__xludf.DUMMYFUNCTION("""COMPUTED_VALUE"""),37763.645833333336)</f>
        <v>37763.64583</v>
      </c>
      <c r="B222" s="2">
        <f>IFERROR(__xludf.DUMMYFUNCTION("""COMPUTED_VALUE"""),54.48)</f>
        <v>54.48</v>
      </c>
      <c r="C222" s="2">
        <f>IFERROR(__xludf.DUMMYFUNCTION("""COMPUTED_VALUE"""),55.41)</f>
        <v>55.41</v>
      </c>
      <c r="D222" s="2">
        <f>IFERROR(__xludf.DUMMYFUNCTION("""COMPUTED_VALUE"""),54.26)</f>
        <v>54.26</v>
      </c>
      <c r="E222" s="2">
        <f>IFERROR(__xludf.DUMMYFUNCTION("""COMPUTED_VALUE"""),55.29)</f>
        <v>55.29</v>
      </c>
      <c r="F222" s="2">
        <f>IFERROR(__xludf.DUMMYFUNCTION("""COMPUTED_VALUE"""),3004600.0)</f>
        <v>3004600</v>
      </c>
    </row>
    <row r="223">
      <c r="A223" s="3">
        <f>IFERROR(__xludf.DUMMYFUNCTION("""COMPUTED_VALUE"""),37764.645833333336)</f>
        <v>37764.64583</v>
      </c>
      <c r="B223" s="2">
        <f>IFERROR(__xludf.DUMMYFUNCTION("""COMPUTED_VALUE"""),54.56)</f>
        <v>54.56</v>
      </c>
      <c r="C223" s="2">
        <f>IFERROR(__xludf.DUMMYFUNCTION("""COMPUTED_VALUE"""),54.74)</f>
        <v>54.74</v>
      </c>
      <c r="D223" s="2">
        <f>IFERROR(__xludf.DUMMYFUNCTION("""COMPUTED_VALUE"""),54.18)</f>
        <v>54.18</v>
      </c>
      <c r="E223" s="2">
        <f>IFERROR(__xludf.DUMMYFUNCTION("""COMPUTED_VALUE"""),54.41)</f>
        <v>54.41</v>
      </c>
      <c r="F223" s="2">
        <f>IFERROR(__xludf.DUMMYFUNCTION("""COMPUTED_VALUE"""),1526396.0)</f>
        <v>1526396</v>
      </c>
    </row>
    <row r="224">
      <c r="A224" s="3">
        <f>IFERROR(__xludf.DUMMYFUNCTION("""COMPUTED_VALUE"""),37767.645833333336)</f>
        <v>37767.64583</v>
      </c>
      <c r="B224" s="2">
        <f>IFERROR(__xludf.DUMMYFUNCTION("""COMPUTED_VALUE"""),54.36)</f>
        <v>54.36</v>
      </c>
      <c r="C224" s="2">
        <f>IFERROR(__xludf.DUMMYFUNCTION("""COMPUTED_VALUE"""),56.58)</f>
        <v>56.58</v>
      </c>
      <c r="D224" s="2">
        <f>IFERROR(__xludf.DUMMYFUNCTION("""COMPUTED_VALUE"""),54.16)</f>
        <v>54.16</v>
      </c>
      <c r="E224" s="2">
        <f>IFERROR(__xludf.DUMMYFUNCTION("""COMPUTED_VALUE"""),56.26)</f>
        <v>56.26</v>
      </c>
      <c r="F224" s="2">
        <f>IFERROR(__xludf.DUMMYFUNCTION("""COMPUTED_VALUE"""),3028596.0)</f>
        <v>3028596</v>
      </c>
    </row>
    <row r="225">
      <c r="A225" s="3">
        <f>IFERROR(__xludf.DUMMYFUNCTION("""COMPUTED_VALUE"""),37768.645833333336)</f>
        <v>37768.64583</v>
      </c>
      <c r="B225" s="2">
        <f>IFERROR(__xludf.DUMMYFUNCTION("""COMPUTED_VALUE"""),56.19)</f>
        <v>56.19</v>
      </c>
      <c r="C225" s="2">
        <f>IFERROR(__xludf.DUMMYFUNCTION("""COMPUTED_VALUE"""),57.26)</f>
        <v>57.26</v>
      </c>
      <c r="D225" s="2">
        <f>IFERROR(__xludf.DUMMYFUNCTION("""COMPUTED_VALUE"""),56.03)</f>
        <v>56.03</v>
      </c>
      <c r="E225" s="2">
        <f>IFERROR(__xludf.DUMMYFUNCTION("""COMPUTED_VALUE"""),56.47)</f>
        <v>56.47</v>
      </c>
      <c r="F225" s="2">
        <f>IFERROR(__xludf.DUMMYFUNCTION("""COMPUTED_VALUE"""),3884253.0)</f>
        <v>3884253</v>
      </c>
    </row>
    <row r="226">
      <c r="A226" s="3">
        <f>IFERROR(__xludf.DUMMYFUNCTION("""COMPUTED_VALUE"""),37769.645833333336)</f>
        <v>37769.64583</v>
      </c>
      <c r="B226" s="2">
        <f>IFERROR(__xludf.DUMMYFUNCTION("""COMPUTED_VALUE"""),56.58)</f>
        <v>56.58</v>
      </c>
      <c r="C226" s="2">
        <f>IFERROR(__xludf.DUMMYFUNCTION("""COMPUTED_VALUE"""),58.25)</f>
        <v>58.25</v>
      </c>
      <c r="D226" s="2">
        <f>IFERROR(__xludf.DUMMYFUNCTION("""COMPUTED_VALUE"""),56.58)</f>
        <v>56.58</v>
      </c>
      <c r="E226" s="2">
        <f>IFERROR(__xludf.DUMMYFUNCTION("""COMPUTED_VALUE"""),57.99)</f>
        <v>57.99</v>
      </c>
      <c r="F226" s="2">
        <f>IFERROR(__xludf.DUMMYFUNCTION("""COMPUTED_VALUE"""),5123081.0)</f>
        <v>5123081</v>
      </c>
    </row>
    <row r="227">
      <c r="A227" s="3">
        <f>IFERROR(__xludf.DUMMYFUNCTION("""COMPUTED_VALUE"""),37770.645833333336)</f>
        <v>37770.64583</v>
      </c>
      <c r="B227" s="2">
        <f>IFERROR(__xludf.DUMMYFUNCTION("""COMPUTED_VALUE"""),58.29)</f>
        <v>58.29</v>
      </c>
      <c r="C227" s="2">
        <f>IFERROR(__xludf.DUMMYFUNCTION("""COMPUTED_VALUE"""),59.37)</f>
        <v>59.37</v>
      </c>
      <c r="D227" s="2">
        <f>IFERROR(__xludf.DUMMYFUNCTION("""COMPUTED_VALUE"""),57.68)</f>
        <v>57.68</v>
      </c>
      <c r="E227" s="2">
        <f>IFERROR(__xludf.DUMMYFUNCTION("""COMPUTED_VALUE"""),59.11)</f>
        <v>59.11</v>
      </c>
      <c r="F227" s="2">
        <f>IFERROR(__xludf.DUMMYFUNCTION("""COMPUTED_VALUE"""),4330163.0)</f>
        <v>4330163</v>
      </c>
    </row>
    <row r="228">
      <c r="A228" s="3">
        <f>IFERROR(__xludf.DUMMYFUNCTION("""COMPUTED_VALUE"""),37771.645833333336)</f>
        <v>37771.64583</v>
      </c>
      <c r="B228" s="2">
        <f>IFERROR(__xludf.DUMMYFUNCTION("""COMPUTED_VALUE"""),59.19)</f>
        <v>59.19</v>
      </c>
      <c r="C228" s="2">
        <f>IFERROR(__xludf.DUMMYFUNCTION("""COMPUTED_VALUE"""),60.8)</f>
        <v>60.8</v>
      </c>
      <c r="D228" s="2">
        <f>IFERROR(__xludf.DUMMYFUNCTION("""COMPUTED_VALUE"""),58.99)</f>
        <v>58.99</v>
      </c>
      <c r="E228" s="2">
        <f>IFERROR(__xludf.DUMMYFUNCTION("""COMPUTED_VALUE"""),60.12)</f>
        <v>60.12</v>
      </c>
      <c r="F228" s="2">
        <f>IFERROR(__xludf.DUMMYFUNCTION("""COMPUTED_VALUE"""),6292634.0)</f>
        <v>6292634</v>
      </c>
    </row>
    <row r="229">
      <c r="A229" s="3">
        <f>IFERROR(__xludf.DUMMYFUNCTION("""COMPUTED_VALUE"""),37774.645833333336)</f>
        <v>37774.64583</v>
      </c>
      <c r="B229" s="2">
        <f>IFERROR(__xludf.DUMMYFUNCTION("""COMPUTED_VALUE"""),60.2)</f>
        <v>60.2</v>
      </c>
      <c r="C229" s="2">
        <f>IFERROR(__xludf.DUMMYFUNCTION("""COMPUTED_VALUE"""),60.48)</f>
        <v>60.48</v>
      </c>
      <c r="D229" s="2">
        <f>IFERROR(__xludf.DUMMYFUNCTION("""COMPUTED_VALUE"""),59.06)</f>
        <v>59.06</v>
      </c>
      <c r="E229" s="2">
        <f>IFERROR(__xludf.DUMMYFUNCTION("""COMPUTED_VALUE"""),59.3)</f>
        <v>59.3</v>
      </c>
      <c r="F229" s="2">
        <f>IFERROR(__xludf.DUMMYFUNCTION("""COMPUTED_VALUE"""),2633889.0)</f>
        <v>2633889</v>
      </c>
    </row>
    <row r="230">
      <c r="A230" s="3">
        <f>IFERROR(__xludf.DUMMYFUNCTION("""COMPUTED_VALUE"""),37775.645833333336)</f>
        <v>37775.64583</v>
      </c>
      <c r="B230" s="2">
        <f>IFERROR(__xludf.DUMMYFUNCTION("""COMPUTED_VALUE"""),58.87)</f>
        <v>58.87</v>
      </c>
      <c r="C230" s="2">
        <f>IFERROR(__xludf.DUMMYFUNCTION("""COMPUTED_VALUE"""),59.39)</f>
        <v>59.39</v>
      </c>
      <c r="D230" s="2">
        <f>IFERROR(__xludf.DUMMYFUNCTION("""COMPUTED_VALUE"""),58.64)</f>
        <v>58.64</v>
      </c>
      <c r="E230" s="2">
        <f>IFERROR(__xludf.DUMMYFUNCTION("""COMPUTED_VALUE"""),58.82)</f>
        <v>58.82</v>
      </c>
      <c r="F230" s="2">
        <f>IFERROR(__xludf.DUMMYFUNCTION("""COMPUTED_VALUE"""),1322619.0)</f>
        <v>1322619</v>
      </c>
    </row>
    <row r="231">
      <c r="A231" s="3">
        <f>IFERROR(__xludf.DUMMYFUNCTION("""COMPUTED_VALUE"""),37776.645833333336)</f>
        <v>37776.64583</v>
      </c>
      <c r="B231" s="2">
        <f>IFERROR(__xludf.DUMMYFUNCTION("""COMPUTED_VALUE"""),58.9)</f>
        <v>58.9</v>
      </c>
      <c r="C231" s="2">
        <f>IFERROR(__xludf.DUMMYFUNCTION("""COMPUTED_VALUE"""),60.95)</f>
        <v>60.95</v>
      </c>
      <c r="D231" s="2">
        <f>IFERROR(__xludf.DUMMYFUNCTION("""COMPUTED_VALUE"""),58.79)</f>
        <v>58.79</v>
      </c>
      <c r="E231" s="2">
        <f>IFERROR(__xludf.DUMMYFUNCTION("""COMPUTED_VALUE"""),60.53)</f>
        <v>60.53</v>
      </c>
      <c r="F231" s="2">
        <f>IFERROR(__xludf.DUMMYFUNCTION("""COMPUTED_VALUE"""),4587018.0)</f>
        <v>4587018</v>
      </c>
    </row>
    <row r="232">
      <c r="A232" s="3">
        <f>IFERROR(__xludf.DUMMYFUNCTION("""COMPUTED_VALUE"""),37777.645833333336)</f>
        <v>37777.64583</v>
      </c>
      <c r="B232" s="2">
        <f>IFERROR(__xludf.DUMMYFUNCTION("""COMPUTED_VALUE"""),61.41)</f>
        <v>61.41</v>
      </c>
      <c r="C232" s="2">
        <f>IFERROR(__xludf.DUMMYFUNCTION("""COMPUTED_VALUE"""),63.38)</f>
        <v>63.38</v>
      </c>
      <c r="D232" s="2">
        <f>IFERROR(__xludf.DUMMYFUNCTION("""COMPUTED_VALUE"""),61.33)</f>
        <v>61.33</v>
      </c>
      <c r="E232" s="2">
        <f>IFERROR(__xludf.DUMMYFUNCTION("""COMPUTED_VALUE"""),62.92)</f>
        <v>62.92</v>
      </c>
      <c r="F232" s="2">
        <f>IFERROR(__xludf.DUMMYFUNCTION("""COMPUTED_VALUE"""),1.0049061E7)</f>
        <v>10049061</v>
      </c>
    </row>
    <row r="233">
      <c r="A233" s="3">
        <f>IFERROR(__xludf.DUMMYFUNCTION("""COMPUTED_VALUE"""),37778.645833333336)</f>
        <v>37778.64583</v>
      </c>
      <c r="B233" s="2">
        <f>IFERROR(__xludf.DUMMYFUNCTION("""COMPUTED_VALUE"""),63.42)</f>
        <v>63.42</v>
      </c>
      <c r="C233" s="2">
        <f>IFERROR(__xludf.DUMMYFUNCTION("""COMPUTED_VALUE"""),63.79)</f>
        <v>63.79</v>
      </c>
      <c r="D233" s="2">
        <f>IFERROR(__xludf.DUMMYFUNCTION("""COMPUTED_VALUE"""),62.55)</f>
        <v>62.55</v>
      </c>
      <c r="E233" s="2">
        <f>IFERROR(__xludf.DUMMYFUNCTION("""COMPUTED_VALUE"""),63.12)</f>
        <v>63.12</v>
      </c>
      <c r="F233" s="2">
        <f>IFERROR(__xludf.DUMMYFUNCTION("""COMPUTED_VALUE"""),5565987.0)</f>
        <v>5565987</v>
      </c>
    </row>
    <row r="234">
      <c r="A234" s="3">
        <f>IFERROR(__xludf.DUMMYFUNCTION("""COMPUTED_VALUE"""),37781.645833333336)</f>
        <v>37781.64583</v>
      </c>
      <c r="B234" s="2">
        <f>IFERROR(__xludf.DUMMYFUNCTION("""COMPUTED_VALUE"""),64.32)</f>
        <v>64.32</v>
      </c>
      <c r="C234" s="2">
        <f>IFERROR(__xludf.DUMMYFUNCTION("""COMPUTED_VALUE"""),64.32)</f>
        <v>64.32</v>
      </c>
      <c r="D234" s="2">
        <f>IFERROR(__xludf.DUMMYFUNCTION("""COMPUTED_VALUE"""),61.55)</f>
        <v>61.55</v>
      </c>
      <c r="E234" s="2">
        <f>IFERROR(__xludf.DUMMYFUNCTION("""COMPUTED_VALUE"""),61.93)</f>
        <v>61.93</v>
      </c>
      <c r="F234" s="2">
        <f>IFERROR(__xludf.DUMMYFUNCTION("""COMPUTED_VALUE"""),4317101.0)</f>
        <v>4317101</v>
      </c>
    </row>
    <row r="235">
      <c r="A235" s="3">
        <f>IFERROR(__xludf.DUMMYFUNCTION("""COMPUTED_VALUE"""),37782.645833333336)</f>
        <v>37782.64583</v>
      </c>
      <c r="B235" s="2">
        <f>IFERROR(__xludf.DUMMYFUNCTION("""COMPUTED_VALUE"""),61.65)</f>
        <v>61.65</v>
      </c>
      <c r="C235" s="2">
        <f>IFERROR(__xludf.DUMMYFUNCTION("""COMPUTED_VALUE"""),63.17)</f>
        <v>63.17</v>
      </c>
      <c r="D235" s="2">
        <f>IFERROR(__xludf.DUMMYFUNCTION("""COMPUTED_VALUE"""),60.75)</f>
        <v>60.75</v>
      </c>
      <c r="E235" s="2">
        <f>IFERROR(__xludf.DUMMYFUNCTION("""COMPUTED_VALUE"""),61.12)</f>
        <v>61.12</v>
      </c>
      <c r="F235" s="2">
        <f>IFERROR(__xludf.DUMMYFUNCTION("""COMPUTED_VALUE"""),5040597.0)</f>
        <v>5040597</v>
      </c>
    </row>
    <row r="236">
      <c r="A236" s="3">
        <f>IFERROR(__xludf.DUMMYFUNCTION("""COMPUTED_VALUE"""),37783.645833333336)</f>
        <v>37783.64583</v>
      </c>
      <c r="B236" s="2">
        <f>IFERROR(__xludf.DUMMYFUNCTION("""COMPUTED_VALUE"""),61.01)</f>
        <v>61.01</v>
      </c>
      <c r="C236" s="2">
        <f>IFERROR(__xludf.DUMMYFUNCTION("""COMPUTED_VALUE"""),62.17)</f>
        <v>62.17</v>
      </c>
      <c r="D236" s="2">
        <f>IFERROR(__xludf.DUMMYFUNCTION("""COMPUTED_VALUE"""),61.01)</f>
        <v>61.01</v>
      </c>
      <c r="E236" s="2">
        <f>IFERROR(__xludf.DUMMYFUNCTION("""COMPUTED_VALUE"""),61.96)</f>
        <v>61.96</v>
      </c>
      <c r="F236" s="2">
        <f>IFERROR(__xludf.DUMMYFUNCTION("""COMPUTED_VALUE"""),3510016.0)</f>
        <v>3510016</v>
      </c>
    </row>
    <row r="237">
      <c r="A237" s="3">
        <f>IFERROR(__xludf.DUMMYFUNCTION("""COMPUTED_VALUE"""),37784.645833333336)</f>
        <v>37784.64583</v>
      </c>
      <c r="B237" s="2">
        <f>IFERROR(__xludf.DUMMYFUNCTION("""COMPUTED_VALUE"""),62.14)</f>
        <v>62.14</v>
      </c>
      <c r="C237" s="2">
        <f>IFERROR(__xludf.DUMMYFUNCTION("""COMPUTED_VALUE"""),62.59)</f>
        <v>62.59</v>
      </c>
      <c r="D237" s="2">
        <f>IFERROR(__xludf.DUMMYFUNCTION("""COMPUTED_VALUE"""),61.83)</f>
        <v>61.83</v>
      </c>
      <c r="E237" s="2">
        <f>IFERROR(__xludf.DUMMYFUNCTION("""COMPUTED_VALUE"""),62.01)</f>
        <v>62.01</v>
      </c>
      <c r="F237" s="2">
        <f>IFERROR(__xludf.DUMMYFUNCTION("""COMPUTED_VALUE"""),2656499.0)</f>
        <v>2656499</v>
      </c>
    </row>
    <row r="238">
      <c r="A238" s="3">
        <f>IFERROR(__xludf.DUMMYFUNCTION("""COMPUTED_VALUE"""),37785.645833333336)</f>
        <v>37785.64583</v>
      </c>
      <c r="B238" s="2">
        <f>IFERROR(__xludf.DUMMYFUNCTION("""COMPUTED_VALUE"""),62.36)</f>
        <v>62.36</v>
      </c>
      <c r="C238" s="2">
        <f>IFERROR(__xludf.DUMMYFUNCTION("""COMPUTED_VALUE"""),63.3)</f>
        <v>63.3</v>
      </c>
      <c r="D238" s="2">
        <f>IFERROR(__xludf.DUMMYFUNCTION("""COMPUTED_VALUE"""),62.34)</f>
        <v>62.34</v>
      </c>
      <c r="E238" s="2">
        <f>IFERROR(__xludf.DUMMYFUNCTION("""COMPUTED_VALUE"""),63.01)</f>
        <v>63.01</v>
      </c>
      <c r="F238" s="2">
        <f>IFERROR(__xludf.DUMMYFUNCTION("""COMPUTED_VALUE"""),5154883.0)</f>
        <v>5154883</v>
      </c>
    </row>
    <row r="239">
      <c r="A239" s="3">
        <f>IFERROR(__xludf.DUMMYFUNCTION("""COMPUTED_VALUE"""),37788.645833333336)</f>
        <v>37788.64583</v>
      </c>
      <c r="B239" s="2">
        <f>IFERROR(__xludf.DUMMYFUNCTION("""COMPUTED_VALUE"""),63.45)</f>
        <v>63.45</v>
      </c>
      <c r="C239" s="2">
        <f>IFERROR(__xludf.DUMMYFUNCTION("""COMPUTED_VALUE"""),63.82)</f>
        <v>63.82</v>
      </c>
      <c r="D239" s="2">
        <f>IFERROR(__xludf.DUMMYFUNCTION("""COMPUTED_VALUE"""),61.67)</f>
        <v>61.67</v>
      </c>
      <c r="E239" s="2">
        <f>IFERROR(__xludf.DUMMYFUNCTION("""COMPUTED_VALUE"""),61.86)</f>
        <v>61.86</v>
      </c>
      <c r="F239" s="2">
        <f>IFERROR(__xludf.DUMMYFUNCTION("""COMPUTED_VALUE"""),7720929.0)</f>
        <v>7720929</v>
      </c>
    </row>
    <row r="240">
      <c r="A240" s="3">
        <f>IFERROR(__xludf.DUMMYFUNCTION("""COMPUTED_VALUE"""),37789.645833333336)</f>
        <v>37789.64583</v>
      </c>
      <c r="B240" s="2">
        <f>IFERROR(__xludf.DUMMYFUNCTION("""COMPUTED_VALUE"""),62.36)</f>
        <v>62.36</v>
      </c>
      <c r="C240" s="2">
        <f>IFERROR(__xludf.DUMMYFUNCTION("""COMPUTED_VALUE"""),65.01)</f>
        <v>65.01</v>
      </c>
      <c r="D240" s="2">
        <f>IFERROR(__xludf.DUMMYFUNCTION("""COMPUTED_VALUE"""),62.15)</f>
        <v>62.15</v>
      </c>
      <c r="E240" s="2">
        <f>IFERROR(__xludf.DUMMYFUNCTION("""COMPUTED_VALUE"""),64.65)</f>
        <v>64.65</v>
      </c>
      <c r="F240" s="2">
        <f>IFERROR(__xludf.DUMMYFUNCTION("""COMPUTED_VALUE"""),9155674.0)</f>
        <v>9155674</v>
      </c>
    </row>
    <row r="241">
      <c r="A241" s="3">
        <f>IFERROR(__xludf.DUMMYFUNCTION("""COMPUTED_VALUE"""),37790.645833333336)</f>
        <v>37790.64583</v>
      </c>
      <c r="B241" s="2">
        <f>IFERROR(__xludf.DUMMYFUNCTION("""COMPUTED_VALUE"""),64.98)</f>
        <v>64.98</v>
      </c>
      <c r="C241" s="2">
        <f>IFERROR(__xludf.DUMMYFUNCTION("""COMPUTED_VALUE"""),64.98)</f>
        <v>64.98</v>
      </c>
      <c r="D241" s="2">
        <f>IFERROR(__xludf.DUMMYFUNCTION("""COMPUTED_VALUE"""),63.76)</f>
        <v>63.76</v>
      </c>
      <c r="E241" s="2">
        <f>IFERROR(__xludf.DUMMYFUNCTION("""COMPUTED_VALUE"""),64.03)</f>
        <v>64.03</v>
      </c>
      <c r="F241" s="2">
        <f>IFERROR(__xludf.DUMMYFUNCTION("""COMPUTED_VALUE"""),5274828.0)</f>
        <v>5274828</v>
      </c>
    </row>
    <row r="242">
      <c r="A242" s="3">
        <f>IFERROR(__xludf.DUMMYFUNCTION("""COMPUTED_VALUE"""),37791.645833333336)</f>
        <v>37791.64583</v>
      </c>
      <c r="B242" s="2">
        <f>IFERROR(__xludf.DUMMYFUNCTION("""COMPUTED_VALUE"""),60.63)</f>
        <v>60.63</v>
      </c>
      <c r="C242" s="2">
        <f>IFERROR(__xludf.DUMMYFUNCTION("""COMPUTED_VALUE"""),65.64)</f>
        <v>65.64</v>
      </c>
      <c r="D242" s="2">
        <f>IFERROR(__xludf.DUMMYFUNCTION("""COMPUTED_VALUE"""),60.63)</f>
        <v>60.63</v>
      </c>
      <c r="E242" s="2">
        <f>IFERROR(__xludf.DUMMYFUNCTION("""COMPUTED_VALUE"""),65.42)</f>
        <v>65.42</v>
      </c>
      <c r="F242" s="2">
        <f>IFERROR(__xludf.DUMMYFUNCTION("""COMPUTED_VALUE"""),7189801.0)</f>
        <v>7189801</v>
      </c>
    </row>
    <row r="243">
      <c r="A243" s="3">
        <f>IFERROR(__xludf.DUMMYFUNCTION("""COMPUTED_VALUE"""),37792.645833333336)</f>
        <v>37792.64583</v>
      </c>
      <c r="B243" s="2">
        <f>IFERROR(__xludf.DUMMYFUNCTION("""COMPUTED_VALUE"""),64.83)</f>
        <v>64.83</v>
      </c>
      <c r="C243" s="2">
        <f>IFERROR(__xludf.DUMMYFUNCTION("""COMPUTED_VALUE"""),68.0)</f>
        <v>68</v>
      </c>
      <c r="D243" s="2">
        <f>IFERROR(__xludf.DUMMYFUNCTION("""COMPUTED_VALUE"""),64.83)</f>
        <v>64.83</v>
      </c>
      <c r="E243" s="2">
        <f>IFERROR(__xludf.DUMMYFUNCTION("""COMPUTED_VALUE"""),67.54)</f>
        <v>67.54</v>
      </c>
      <c r="F243" s="2">
        <f>IFERROR(__xludf.DUMMYFUNCTION("""COMPUTED_VALUE"""),1.4043308E7)</f>
        <v>14043308</v>
      </c>
    </row>
    <row r="244">
      <c r="A244" s="3">
        <f>IFERROR(__xludf.DUMMYFUNCTION("""COMPUTED_VALUE"""),37795.645833333336)</f>
        <v>37795.64583</v>
      </c>
      <c r="B244" s="2">
        <f>IFERROR(__xludf.DUMMYFUNCTION("""COMPUTED_VALUE"""),67.34)</f>
        <v>67.34</v>
      </c>
      <c r="C244" s="2">
        <f>IFERROR(__xludf.DUMMYFUNCTION("""COMPUTED_VALUE"""),67.34)</f>
        <v>67.34</v>
      </c>
      <c r="D244" s="2">
        <f>IFERROR(__xludf.DUMMYFUNCTION("""COMPUTED_VALUE"""),65.25)</f>
        <v>65.25</v>
      </c>
      <c r="E244" s="2">
        <f>IFERROR(__xludf.DUMMYFUNCTION("""COMPUTED_VALUE"""),65.48)</f>
        <v>65.48</v>
      </c>
      <c r="F244" s="2">
        <f>IFERROR(__xludf.DUMMYFUNCTION("""COMPUTED_VALUE"""),4437953.0)</f>
        <v>4437953</v>
      </c>
    </row>
    <row r="245">
      <c r="A245" s="3">
        <f>IFERROR(__xludf.DUMMYFUNCTION("""COMPUTED_VALUE"""),37796.645833333336)</f>
        <v>37796.64583</v>
      </c>
      <c r="B245" s="2">
        <f>IFERROR(__xludf.DUMMYFUNCTION("""COMPUTED_VALUE"""),65.48)</f>
        <v>65.48</v>
      </c>
      <c r="C245" s="2">
        <f>IFERROR(__xludf.DUMMYFUNCTION("""COMPUTED_VALUE"""),66.09)</f>
        <v>66.09</v>
      </c>
      <c r="D245" s="2">
        <f>IFERROR(__xludf.DUMMYFUNCTION("""COMPUTED_VALUE"""),64.23)</f>
        <v>64.23</v>
      </c>
      <c r="E245" s="2">
        <f>IFERROR(__xludf.DUMMYFUNCTION("""COMPUTED_VALUE"""),64.5)</f>
        <v>64.5</v>
      </c>
      <c r="F245" s="2">
        <f>IFERROR(__xludf.DUMMYFUNCTION("""COMPUTED_VALUE"""),6522147.0)</f>
        <v>6522147</v>
      </c>
    </row>
    <row r="246">
      <c r="A246" s="3">
        <f>IFERROR(__xludf.DUMMYFUNCTION("""COMPUTED_VALUE"""),37797.645833333336)</f>
        <v>37797.64583</v>
      </c>
      <c r="B246" s="2">
        <f>IFERROR(__xludf.DUMMYFUNCTION("""COMPUTED_VALUE"""),64.83)</f>
        <v>64.83</v>
      </c>
      <c r="C246" s="2">
        <f>IFERROR(__xludf.DUMMYFUNCTION("""COMPUTED_VALUE"""),66.24)</f>
        <v>66.24</v>
      </c>
      <c r="D246" s="2">
        <f>IFERROR(__xludf.DUMMYFUNCTION("""COMPUTED_VALUE"""),64.83)</f>
        <v>64.83</v>
      </c>
      <c r="E246" s="2">
        <f>IFERROR(__xludf.DUMMYFUNCTION("""COMPUTED_VALUE"""),65.41)</f>
        <v>65.41</v>
      </c>
      <c r="F246" s="2">
        <f>IFERROR(__xludf.DUMMYFUNCTION("""COMPUTED_VALUE"""),5824144.0)</f>
        <v>5824144</v>
      </c>
    </row>
    <row r="247">
      <c r="A247" s="3">
        <f>IFERROR(__xludf.DUMMYFUNCTION("""COMPUTED_VALUE"""),37798.645833333336)</f>
        <v>37798.64583</v>
      </c>
      <c r="B247" s="2">
        <f>IFERROR(__xludf.DUMMYFUNCTION("""COMPUTED_VALUE"""),65.64)</f>
        <v>65.64</v>
      </c>
      <c r="C247" s="2">
        <f>IFERROR(__xludf.DUMMYFUNCTION("""COMPUTED_VALUE"""),66.82)</f>
        <v>66.82</v>
      </c>
      <c r="D247" s="2">
        <f>IFERROR(__xludf.DUMMYFUNCTION("""COMPUTED_VALUE"""),65.08)</f>
        <v>65.08</v>
      </c>
      <c r="E247" s="2">
        <f>IFERROR(__xludf.DUMMYFUNCTION("""COMPUTED_VALUE"""),65.46)</f>
        <v>65.46</v>
      </c>
      <c r="F247" s="2">
        <f>IFERROR(__xludf.DUMMYFUNCTION("""COMPUTED_VALUE"""),7399290.0)</f>
        <v>7399290</v>
      </c>
    </row>
    <row r="248">
      <c r="A248" s="3">
        <f>IFERROR(__xludf.DUMMYFUNCTION("""COMPUTED_VALUE"""),37799.645833333336)</f>
        <v>37799.64583</v>
      </c>
      <c r="B248" s="2">
        <f>IFERROR(__xludf.DUMMYFUNCTION("""COMPUTED_VALUE"""),65.77)</f>
        <v>65.77</v>
      </c>
      <c r="C248" s="2">
        <f>IFERROR(__xludf.DUMMYFUNCTION("""COMPUTED_VALUE"""),66.04)</f>
        <v>66.04</v>
      </c>
      <c r="D248" s="2">
        <f>IFERROR(__xludf.DUMMYFUNCTION("""COMPUTED_VALUE"""),64.74)</f>
        <v>64.74</v>
      </c>
      <c r="E248" s="2">
        <f>IFERROR(__xludf.DUMMYFUNCTION("""COMPUTED_VALUE"""),65.39)</f>
        <v>65.39</v>
      </c>
      <c r="F248" s="2">
        <f>IFERROR(__xludf.DUMMYFUNCTION("""COMPUTED_VALUE"""),4646035.0)</f>
        <v>4646035</v>
      </c>
    </row>
    <row r="249">
      <c r="A249" s="3">
        <f>IFERROR(__xludf.DUMMYFUNCTION("""COMPUTED_VALUE"""),37802.645833333336)</f>
        <v>37802.64583</v>
      </c>
      <c r="B249" s="2">
        <f>IFERROR(__xludf.DUMMYFUNCTION("""COMPUTED_VALUE"""),65.43)</f>
        <v>65.43</v>
      </c>
      <c r="C249" s="2">
        <f>IFERROR(__xludf.DUMMYFUNCTION("""COMPUTED_VALUE"""),66.48)</f>
        <v>66.48</v>
      </c>
      <c r="D249" s="2">
        <f>IFERROR(__xludf.DUMMYFUNCTION("""COMPUTED_VALUE"""),64.95)</f>
        <v>64.95</v>
      </c>
      <c r="E249" s="2">
        <f>IFERROR(__xludf.DUMMYFUNCTION("""COMPUTED_VALUE"""),65.42)</f>
        <v>65.42</v>
      </c>
      <c r="F249" s="2">
        <f>IFERROR(__xludf.DUMMYFUNCTION("""COMPUTED_VALUE"""),5617703.0)</f>
        <v>5617703</v>
      </c>
    </row>
    <row r="250">
      <c r="A250" s="3">
        <f>IFERROR(__xludf.DUMMYFUNCTION("""COMPUTED_VALUE"""),37803.645833333336)</f>
        <v>37803.64583</v>
      </c>
      <c r="B250" s="2">
        <f>IFERROR(__xludf.DUMMYFUNCTION("""COMPUTED_VALUE"""),65.65)</f>
        <v>65.65</v>
      </c>
      <c r="C250" s="2">
        <f>IFERROR(__xludf.DUMMYFUNCTION("""COMPUTED_VALUE"""),66.12)</f>
        <v>66.12</v>
      </c>
      <c r="D250" s="2">
        <f>IFERROR(__xludf.DUMMYFUNCTION("""COMPUTED_VALUE"""),65.08)</f>
        <v>65.08</v>
      </c>
      <c r="E250" s="2">
        <f>IFERROR(__xludf.DUMMYFUNCTION("""COMPUTED_VALUE"""),65.6)</f>
        <v>65.6</v>
      </c>
      <c r="F250" s="2">
        <f>IFERROR(__xludf.DUMMYFUNCTION("""COMPUTED_VALUE"""),5923798.0)</f>
        <v>5923798</v>
      </c>
    </row>
    <row r="251">
      <c r="A251" s="3">
        <f>IFERROR(__xludf.DUMMYFUNCTION("""COMPUTED_VALUE"""),37804.645833333336)</f>
        <v>37804.64583</v>
      </c>
      <c r="B251" s="2">
        <f>IFERROR(__xludf.DUMMYFUNCTION("""COMPUTED_VALUE"""),66.01)</f>
        <v>66.01</v>
      </c>
      <c r="C251" s="2">
        <f>IFERROR(__xludf.DUMMYFUNCTION("""COMPUTED_VALUE"""),67.25)</f>
        <v>67.25</v>
      </c>
      <c r="D251" s="2">
        <f>IFERROR(__xludf.DUMMYFUNCTION("""COMPUTED_VALUE"""),65.64)</f>
        <v>65.64</v>
      </c>
      <c r="E251" s="2">
        <f>IFERROR(__xludf.DUMMYFUNCTION("""COMPUTED_VALUE"""),66.14)</f>
        <v>66.14</v>
      </c>
      <c r="F251" s="2">
        <f>IFERROR(__xludf.DUMMYFUNCTION("""COMPUTED_VALUE"""),7578443.0)</f>
        <v>7578443</v>
      </c>
    </row>
    <row r="252">
      <c r="A252" s="3">
        <f>IFERROR(__xludf.DUMMYFUNCTION("""COMPUTED_VALUE"""),37805.645833333336)</f>
        <v>37805.64583</v>
      </c>
      <c r="B252" s="2">
        <f>IFERROR(__xludf.DUMMYFUNCTION("""COMPUTED_VALUE"""),66.39)</f>
        <v>66.39</v>
      </c>
      <c r="C252" s="2">
        <f>IFERROR(__xludf.DUMMYFUNCTION("""COMPUTED_VALUE"""),67.54)</f>
        <v>67.54</v>
      </c>
      <c r="D252" s="2">
        <f>IFERROR(__xludf.DUMMYFUNCTION("""COMPUTED_VALUE"""),65.9)</f>
        <v>65.9</v>
      </c>
      <c r="E252" s="2">
        <f>IFERROR(__xludf.DUMMYFUNCTION("""COMPUTED_VALUE"""),66.59)</f>
        <v>66.59</v>
      </c>
      <c r="F252" s="2">
        <f>IFERROR(__xludf.DUMMYFUNCTION("""COMPUTED_VALUE"""),8234968.0)</f>
        <v>8234968</v>
      </c>
    </row>
    <row r="253">
      <c r="A253" s="3">
        <f>IFERROR(__xludf.DUMMYFUNCTION("""COMPUTED_VALUE"""),37806.645833333336)</f>
        <v>37806.64583</v>
      </c>
      <c r="B253" s="2">
        <f>IFERROR(__xludf.DUMMYFUNCTION("""COMPUTED_VALUE"""),67.05)</f>
        <v>67.05</v>
      </c>
      <c r="C253" s="2">
        <f>IFERROR(__xludf.DUMMYFUNCTION("""COMPUTED_VALUE"""),67.91)</f>
        <v>67.91</v>
      </c>
      <c r="D253" s="2">
        <f>IFERROR(__xludf.DUMMYFUNCTION("""COMPUTED_VALUE"""),66.64)</f>
        <v>66.64</v>
      </c>
      <c r="E253" s="2">
        <f>IFERROR(__xludf.DUMMYFUNCTION("""COMPUTED_VALUE"""),67.03)</f>
        <v>67.03</v>
      </c>
      <c r="F253" s="2">
        <f>IFERROR(__xludf.DUMMYFUNCTION("""COMPUTED_VALUE"""),5938555.0)</f>
        <v>5938555</v>
      </c>
    </row>
    <row r="254">
      <c r="A254" s="3">
        <f>IFERROR(__xludf.DUMMYFUNCTION("""COMPUTED_VALUE"""),37809.645833333336)</f>
        <v>37809.64583</v>
      </c>
      <c r="B254" s="2">
        <f>IFERROR(__xludf.DUMMYFUNCTION("""COMPUTED_VALUE"""),67.25)</f>
        <v>67.25</v>
      </c>
      <c r="C254" s="2">
        <f>IFERROR(__xludf.DUMMYFUNCTION("""COMPUTED_VALUE"""),67.95)</f>
        <v>67.95</v>
      </c>
      <c r="D254" s="2">
        <f>IFERROR(__xludf.DUMMYFUNCTION("""COMPUTED_VALUE"""),65.96)</f>
        <v>65.96</v>
      </c>
      <c r="E254" s="2">
        <f>IFERROR(__xludf.DUMMYFUNCTION("""COMPUTED_VALUE"""),66.19)</f>
        <v>66.19</v>
      </c>
      <c r="F254" s="2">
        <f>IFERROR(__xludf.DUMMYFUNCTION("""COMPUTED_VALUE"""),4094522.0)</f>
        <v>4094522</v>
      </c>
    </row>
    <row r="255">
      <c r="A255" s="3">
        <f>IFERROR(__xludf.DUMMYFUNCTION("""COMPUTED_VALUE"""),37810.645833333336)</f>
        <v>37810.64583</v>
      </c>
      <c r="B255" s="2">
        <f>IFERROR(__xludf.DUMMYFUNCTION("""COMPUTED_VALUE"""),66.26)</f>
        <v>66.26</v>
      </c>
      <c r="C255" s="2">
        <f>IFERROR(__xludf.DUMMYFUNCTION("""COMPUTED_VALUE"""),66.64)</f>
        <v>66.64</v>
      </c>
      <c r="D255" s="2">
        <f>IFERROR(__xludf.DUMMYFUNCTION("""COMPUTED_VALUE"""),65.36)</f>
        <v>65.36</v>
      </c>
      <c r="E255" s="2">
        <f>IFERROR(__xludf.DUMMYFUNCTION("""COMPUTED_VALUE"""),65.68)</f>
        <v>65.68</v>
      </c>
      <c r="F255" s="2">
        <f>IFERROR(__xludf.DUMMYFUNCTION("""COMPUTED_VALUE"""),3532013.0)</f>
        <v>3532013</v>
      </c>
    </row>
    <row r="256">
      <c r="A256" s="3">
        <f>IFERROR(__xludf.DUMMYFUNCTION("""COMPUTED_VALUE"""),37811.645833333336)</f>
        <v>37811.64583</v>
      </c>
      <c r="B256" s="2">
        <f>IFERROR(__xludf.DUMMYFUNCTION("""COMPUTED_VALUE"""),66.44)</f>
        <v>66.44</v>
      </c>
      <c r="C256" s="2">
        <f>IFERROR(__xludf.DUMMYFUNCTION("""COMPUTED_VALUE"""),66.44)</f>
        <v>66.44</v>
      </c>
      <c r="D256" s="2">
        <f>IFERROR(__xludf.DUMMYFUNCTION("""COMPUTED_VALUE"""),65.08)</f>
        <v>65.08</v>
      </c>
      <c r="E256" s="2">
        <f>IFERROR(__xludf.DUMMYFUNCTION("""COMPUTED_VALUE"""),65.77)</f>
        <v>65.77</v>
      </c>
      <c r="F256" s="2">
        <f>IFERROR(__xludf.DUMMYFUNCTION("""COMPUTED_VALUE"""),3066396.0)</f>
        <v>3066396</v>
      </c>
    </row>
    <row r="257">
      <c r="A257" s="3">
        <f>IFERROR(__xludf.DUMMYFUNCTION("""COMPUTED_VALUE"""),37812.645833333336)</f>
        <v>37812.64583</v>
      </c>
      <c r="B257" s="2">
        <f>IFERROR(__xludf.DUMMYFUNCTION("""COMPUTED_VALUE"""),66.22)</f>
        <v>66.22</v>
      </c>
      <c r="C257" s="2">
        <f>IFERROR(__xludf.DUMMYFUNCTION("""COMPUTED_VALUE"""),67.57)</f>
        <v>67.57</v>
      </c>
      <c r="D257" s="2">
        <f>IFERROR(__xludf.DUMMYFUNCTION("""COMPUTED_VALUE"""),65.77)</f>
        <v>65.77</v>
      </c>
      <c r="E257" s="2">
        <f>IFERROR(__xludf.DUMMYFUNCTION("""COMPUTED_VALUE"""),67.27)</f>
        <v>67.27</v>
      </c>
      <c r="F257" s="2">
        <f>IFERROR(__xludf.DUMMYFUNCTION("""COMPUTED_VALUE"""),4260327.0)</f>
        <v>4260327</v>
      </c>
    </row>
    <row r="258">
      <c r="A258" s="3">
        <f>IFERROR(__xludf.DUMMYFUNCTION("""COMPUTED_VALUE"""),37813.645833333336)</f>
        <v>37813.64583</v>
      </c>
      <c r="B258" s="2">
        <f>IFERROR(__xludf.DUMMYFUNCTION("""COMPUTED_VALUE"""),67.25)</f>
        <v>67.25</v>
      </c>
      <c r="C258" s="2">
        <f>IFERROR(__xludf.DUMMYFUNCTION("""COMPUTED_VALUE"""),67.95)</f>
        <v>67.95</v>
      </c>
      <c r="D258" s="2">
        <f>IFERROR(__xludf.DUMMYFUNCTION("""COMPUTED_VALUE"""),66.37)</f>
        <v>66.37</v>
      </c>
      <c r="E258" s="2">
        <f>IFERROR(__xludf.DUMMYFUNCTION("""COMPUTED_VALUE"""),66.58)</f>
        <v>66.58</v>
      </c>
      <c r="F258" s="2">
        <f>IFERROR(__xludf.DUMMYFUNCTION("""COMPUTED_VALUE"""),4139447.0)</f>
        <v>4139447</v>
      </c>
    </row>
    <row r="259">
      <c r="A259" s="3">
        <f>IFERROR(__xludf.DUMMYFUNCTION("""COMPUTED_VALUE"""),37816.645833333336)</f>
        <v>37816.64583</v>
      </c>
      <c r="B259" s="2">
        <f>IFERROR(__xludf.DUMMYFUNCTION("""COMPUTED_VALUE"""),67.04)</f>
        <v>67.04</v>
      </c>
      <c r="C259" s="2">
        <f>IFERROR(__xludf.DUMMYFUNCTION("""COMPUTED_VALUE"""),68.56)</f>
        <v>68.56</v>
      </c>
      <c r="D259" s="2">
        <f>IFERROR(__xludf.DUMMYFUNCTION("""COMPUTED_VALUE"""),67.04)</f>
        <v>67.04</v>
      </c>
      <c r="E259" s="2">
        <f>IFERROR(__xludf.DUMMYFUNCTION("""COMPUTED_VALUE"""),68.4)</f>
        <v>68.4</v>
      </c>
      <c r="F259" s="2">
        <f>IFERROR(__xludf.DUMMYFUNCTION("""COMPUTED_VALUE"""),6545570.0)</f>
        <v>6545570</v>
      </c>
    </row>
    <row r="260">
      <c r="A260" s="3">
        <f>IFERROR(__xludf.DUMMYFUNCTION("""COMPUTED_VALUE"""),37817.645833333336)</f>
        <v>37817.64583</v>
      </c>
      <c r="B260" s="2">
        <f>IFERROR(__xludf.DUMMYFUNCTION("""COMPUTED_VALUE"""),68.66)</f>
        <v>68.66</v>
      </c>
      <c r="C260" s="2">
        <f>IFERROR(__xludf.DUMMYFUNCTION("""COMPUTED_VALUE"""),69.44)</f>
        <v>69.44</v>
      </c>
      <c r="D260" s="2">
        <f>IFERROR(__xludf.DUMMYFUNCTION("""COMPUTED_VALUE"""),67.39)</f>
        <v>67.39</v>
      </c>
      <c r="E260" s="2">
        <f>IFERROR(__xludf.DUMMYFUNCTION("""COMPUTED_VALUE"""),67.98)</f>
        <v>67.98</v>
      </c>
      <c r="F260" s="2">
        <f>IFERROR(__xludf.DUMMYFUNCTION("""COMPUTED_VALUE"""),6006878.0)</f>
        <v>6006878</v>
      </c>
    </row>
    <row r="261">
      <c r="A261" s="3">
        <f>IFERROR(__xludf.DUMMYFUNCTION("""COMPUTED_VALUE"""),37818.645833333336)</f>
        <v>37818.64583</v>
      </c>
      <c r="B261" s="2">
        <f>IFERROR(__xludf.DUMMYFUNCTION("""COMPUTED_VALUE"""),67.8)</f>
        <v>67.8</v>
      </c>
      <c r="C261" s="2">
        <f>IFERROR(__xludf.DUMMYFUNCTION("""COMPUTED_VALUE"""),69.74)</f>
        <v>69.74</v>
      </c>
      <c r="D261" s="2">
        <f>IFERROR(__xludf.DUMMYFUNCTION("""COMPUTED_VALUE"""),67.45)</f>
        <v>67.45</v>
      </c>
      <c r="E261" s="2">
        <f>IFERROR(__xludf.DUMMYFUNCTION("""COMPUTED_VALUE"""),69.21)</f>
        <v>69.21</v>
      </c>
      <c r="F261" s="2">
        <f>IFERROR(__xludf.DUMMYFUNCTION("""COMPUTED_VALUE"""),5578641.0)</f>
        <v>5578641</v>
      </c>
    </row>
    <row r="262">
      <c r="A262" s="3">
        <f>IFERROR(__xludf.DUMMYFUNCTION("""COMPUTED_VALUE"""),37819.645833333336)</f>
        <v>37819.64583</v>
      </c>
      <c r="B262" s="2">
        <f>IFERROR(__xludf.DUMMYFUNCTION("""COMPUTED_VALUE"""),69.46)</f>
        <v>69.46</v>
      </c>
      <c r="C262" s="2">
        <f>IFERROR(__xludf.DUMMYFUNCTION("""COMPUTED_VALUE"""),69.84)</f>
        <v>69.84</v>
      </c>
      <c r="D262" s="2">
        <f>IFERROR(__xludf.DUMMYFUNCTION("""COMPUTED_VALUE"""),67.65)</f>
        <v>67.65</v>
      </c>
      <c r="E262" s="2">
        <f>IFERROR(__xludf.DUMMYFUNCTION("""COMPUTED_VALUE"""),68.21)</f>
        <v>68.21</v>
      </c>
      <c r="F262" s="2">
        <f>IFERROR(__xludf.DUMMYFUNCTION("""COMPUTED_VALUE"""),5765178.0)</f>
        <v>5765178</v>
      </c>
    </row>
    <row r="263">
      <c r="A263" s="3">
        <f>IFERROR(__xludf.DUMMYFUNCTION("""COMPUTED_VALUE"""),37820.645833333336)</f>
        <v>37820.64583</v>
      </c>
      <c r="B263" s="2">
        <f>IFERROR(__xludf.DUMMYFUNCTION("""COMPUTED_VALUE"""),68.14)</f>
        <v>68.14</v>
      </c>
      <c r="C263" s="2">
        <f>IFERROR(__xludf.DUMMYFUNCTION("""COMPUTED_VALUE"""),70.47)</f>
        <v>70.47</v>
      </c>
      <c r="D263" s="2">
        <f>IFERROR(__xludf.DUMMYFUNCTION("""COMPUTED_VALUE"""),67.25)</f>
        <v>67.25</v>
      </c>
      <c r="E263" s="2">
        <f>IFERROR(__xludf.DUMMYFUNCTION("""COMPUTED_VALUE"""),68.3)</f>
        <v>68.3</v>
      </c>
      <c r="F263" s="2">
        <f>IFERROR(__xludf.DUMMYFUNCTION("""COMPUTED_VALUE"""),5592085.0)</f>
        <v>5592085</v>
      </c>
    </row>
    <row r="264">
      <c r="A264" s="3">
        <f>IFERROR(__xludf.DUMMYFUNCTION("""COMPUTED_VALUE"""),37823.645833333336)</f>
        <v>37823.64583</v>
      </c>
      <c r="B264" s="2">
        <f>IFERROR(__xludf.DUMMYFUNCTION("""COMPUTED_VALUE"""),68.7)</f>
        <v>68.7</v>
      </c>
      <c r="C264" s="2">
        <f>IFERROR(__xludf.DUMMYFUNCTION("""COMPUTED_VALUE"""),68.76)</f>
        <v>68.76</v>
      </c>
      <c r="D264" s="2">
        <f>IFERROR(__xludf.DUMMYFUNCTION("""COMPUTED_VALUE"""),67.27)</f>
        <v>67.27</v>
      </c>
      <c r="E264" s="2">
        <f>IFERROR(__xludf.DUMMYFUNCTION("""COMPUTED_VALUE"""),67.59)</f>
        <v>67.59</v>
      </c>
      <c r="F264" s="2">
        <f>IFERROR(__xludf.DUMMYFUNCTION("""COMPUTED_VALUE"""),4688869.0)</f>
        <v>4688869</v>
      </c>
    </row>
    <row r="265">
      <c r="A265" s="3">
        <f>IFERROR(__xludf.DUMMYFUNCTION("""COMPUTED_VALUE"""),37824.645833333336)</f>
        <v>37824.64583</v>
      </c>
      <c r="B265" s="2">
        <f>IFERROR(__xludf.DUMMYFUNCTION("""COMPUTED_VALUE"""),67.62)</f>
        <v>67.62</v>
      </c>
      <c r="C265" s="2">
        <f>IFERROR(__xludf.DUMMYFUNCTION("""COMPUTED_VALUE"""),67.62)</f>
        <v>67.62</v>
      </c>
      <c r="D265" s="2">
        <f>IFERROR(__xludf.DUMMYFUNCTION("""COMPUTED_VALUE"""),66.31)</f>
        <v>66.31</v>
      </c>
      <c r="E265" s="2">
        <f>IFERROR(__xludf.DUMMYFUNCTION("""COMPUTED_VALUE"""),67.26)</f>
        <v>67.26</v>
      </c>
      <c r="F265" s="2">
        <f>IFERROR(__xludf.DUMMYFUNCTION("""COMPUTED_VALUE"""),5254420.0)</f>
        <v>5254420</v>
      </c>
    </row>
    <row r="266">
      <c r="A266" s="3">
        <f>IFERROR(__xludf.DUMMYFUNCTION("""COMPUTED_VALUE"""),37825.645833333336)</f>
        <v>37825.64583</v>
      </c>
      <c r="B266" s="2">
        <f>IFERROR(__xludf.DUMMYFUNCTION("""COMPUTED_VALUE"""),67.65)</f>
        <v>67.65</v>
      </c>
      <c r="C266" s="2">
        <f>IFERROR(__xludf.DUMMYFUNCTION("""COMPUTED_VALUE"""),67.75)</f>
        <v>67.75</v>
      </c>
      <c r="D266" s="2">
        <f>IFERROR(__xludf.DUMMYFUNCTION("""COMPUTED_VALUE"""),65.92)</f>
        <v>65.92</v>
      </c>
      <c r="E266" s="2">
        <f>IFERROR(__xludf.DUMMYFUNCTION("""COMPUTED_VALUE"""),66.4)</f>
        <v>66.4</v>
      </c>
      <c r="F266" s="2">
        <f>IFERROR(__xludf.DUMMYFUNCTION("""COMPUTED_VALUE"""),4455942.0)</f>
        <v>4455942</v>
      </c>
    </row>
    <row r="267">
      <c r="A267" s="3">
        <f>IFERROR(__xludf.DUMMYFUNCTION("""COMPUTED_VALUE"""),37826.645833333336)</f>
        <v>37826.64583</v>
      </c>
      <c r="B267" s="2">
        <f>IFERROR(__xludf.DUMMYFUNCTION("""COMPUTED_VALUE"""),66.66)</f>
        <v>66.66</v>
      </c>
      <c r="C267" s="2">
        <f>IFERROR(__xludf.DUMMYFUNCTION("""COMPUTED_VALUE"""),69.66)</f>
        <v>69.66</v>
      </c>
      <c r="D267" s="2">
        <f>IFERROR(__xludf.DUMMYFUNCTION("""COMPUTED_VALUE"""),66.26)</f>
        <v>66.26</v>
      </c>
      <c r="E267" s="2">
        <f>IFERROR(__xludf.DUMMYFUNCTION("""COMPUTED_VALUE"""),68.82)</f>
        <v>68.82</v>
      </c>
      <c r="F267" s="2">
        <f>IFERROR(__xludf.DUMMYFUNCTION("""COMPUTED_VALUE"""),5631688.0)</f>
        <v>5631688</v>
      </c>
    </row>
    <row r="268">
      <c r="A268" s="3">
        <f>IFERROR(__xludf.DUMMYFUNCTION("""COMPUTED_VALUE"""),37827.645833333336)</f>
        <v>37827.64583</v>
      </c>
      <c r="B268" s="2">
        <f>IFERROR(__xludf.DUMMYFUNCTION("""COMPUTED_VALUE"""),69.46)</f>
        <v>69.46</v>
      </c>
      <c r="C268" s="2">
        <f>IFERROR(__xludf.DUMMYFUNCTION("""COMPUTED_VALUE"""),70.67)</f>
        <v>70.67</v>
      </c>
      <c r="D268" s="2">
        <f>IFERROR(__xludf.DUMMYFUNCTION("""COMPUTED_VALUE"""),68.92)</f>
        <v>68.92</v>
      </c>
      <c r="E268" s="2">
        <f>IFERROR(__xludf.DUMMYFUNCTION("""COMPUTED_VALUE"""),70.39)</f>
        <v>70.39</v>
      </c>
      <c r="F268" s="2">
        <f>IFERROR(__xludf.DUMMYFUNCTION("""COMPUTED_VALUE"""),8078652.0)</f>
        <v>8078652</v>
      </c>
    </row>
    <row r="269">
      <c r="A269" s="3">
        <f>IFERROR(__xludf.DUMMYFUNCTION("""COMPUTED_VALUE"""),37830.645833333336)</f>
        <v>37830.64583</v>
      </c>
      <c r="B269" s="2">
        <f>IFERROR(__xludf.DUMMYFUNCTION("""COMPUTED_VALUE"""),70.58)</f>
        <v>70.58</v>
      </c>
      <c r="C269" s="2">
        <f>IFERROR(__xludf.DUMMYFUNCTION("""COMPUTED_VALUE"""),71.34)</f>
        <v>71.34</v>
      </c>
      <c r="D269" s="2">
        <f>IFERROR(__xludf.DUMMYFUNCTION("""COMPUTED_VALUE"""),69.16)</f>
        <v>69.16</v>
      </c>
      <c r="E269" s="2">
        <f>IFERROR(__xludf.DUMMYFUNCTION("""COMPUTED_VALUE"""),69.5)</f>
        <v>69.5</v>
      </c>
      <c r="F269" s="2">
        <f>IFERROR(__xludf.DUMMYFUNCTION("""COMPUTED_VALUE"""),4839923.0)</f>
        <v>4839923</v>
      </c>
    </row>
    <row r="270">
      <c r="A270" s="3">
        <f>IFERROR(__xludf.DUMMYFUNCTION("""COMPUTED_VALUE"""),37831.645833333336)</f>
        <v>37831.64583</v>
      </c>
      <c r="B270" s="2">
        <f>IFERROR(__xludf.DUMMYFUNCTION("""COMPUTED_VALUE"""),69.07)</f>
        <v>69.07</v>
      </c>
      <c r="C270" s="2">
        <f>IFERROR(__xludf.DUMMYFUNCTION("""COMPUTED_VALUE"""),70.27)</f>
        <v>70.27</v>
      </c>
      <c r="D270" s="2">
        <f>IFERROR(__xludf.DUMMYFUNCTION("""COMPUTED_VALUE"""),68.84)</f>
        <v>68.84</v>
      </c>
      <c r="E270" s="2">
        <f>IFERROR(__xludf.DUMMYFUNCTION("""COMPUTED_VALUE"""),69.99)</f>
        <v>69.99</v>
      </c>
      <c r="F270" s="2">
        <f>IFERROR(__xludf.DUMMYFUNCTION("""COMPUTED_VALUE"""),5073934.0)</f>
        <v>5073934</v>
      </c>
    </row>
    <row r="271">
      <c r="A271" s="3">
        <f>IFERROR(__xludf.DUMMYFUNCTION("""COMPUTED_VALUE"""),37832.645833333336)</f>
        <v>37832.64583</v>
      </c>
      <c r="B271" s="2">
        <f>IFERROR(__xludf.DUMMYFUNCTION("""COMPUTED_VALUE"""),69.26)</f>
        <v>69.26</v>
      </c>
      <c r="C271" s="2">
        <f>IFERROR(__xludf.DUMMYFUNCTION("""COMPUTED_VALUE"""),71.18)</f>
        <v>71.18</v>
      </c>
      <c r="D271" s="2">
        <f>IFERROR(__xludf.DUMMYFUNCTION("""COMPUTED_VALUE"""),66.44)</f>
        <v>66.44</v>
      </c>
      <c r="E271" s="2">
        <f>IFERROR(__xludf.DUMMYFUNCTION("""COMPUTED_VALUE"""),70.19)</f>
        <v>70.19</v>
      </c>
      <c r="F271" s="2">
        <f>IFERROR(__xludf.DUMMYFUNCTION("""COMPUTED_VALUE"""),4926920.0)</f>
        <v>4926920</v>
      </c>
    </row>
    <row r="272">
      <c r="A272" s="3">
        <f>IFERROR(__xludf.DUMMYFUNCTION("""COMPUTED_VALUE"""),37833.645833333336)</f>
        <v>37833.64583</v>
      </c>
      <c r="B272" s="2">
        <f>IFERROR(__xludf.DUMMYFUNCTION("""COMPUTED_VALUE"""),70.67)</f>
        <v>70.67</v>
      </c>
      <c r="C272" s="2">
        <f>IFERROR(__xludf.DUMMYFUNCTION("""COMPUTED_VALUE"""),72.85)</f>
        <v>72.85</v>
      </c>
      <c r="D272" s="2">
        <f>IFERROR(__xludf.DUMMYFUNCTION("""COMPUTED_VALUE"""),69.86)</f>
        <v>69.86</v>
      </c>
      <c r="E272" s="2">
        <f>IFERROR(__xludf.DUMMYFUNCTION("""COMPUTED_VALUE"""),72.06)</f>
        <v>72.06</v>
      </c>
      <c r="F272" s="2">
        <f>IFERROR(__xludf.DUMMYFUNCTION("""COMPUTED_VALUE"""),1.6058683E7)</f>
        <v>16058683</v>
      </c>
    </row>
    <row r="273">
      <c r="A273" s="3">
        <f>IFERROR(__xludf.DUMMYFUNCTION("""COMPUTED_VALUE"""),37834.645833333336)</f>
        <v>37834.64583</v>
      </c>
      <c r="B273" s="2">
        <f>IFERROR(__xludf.DUMMYFUNCTION("""COMPUTED_VALUE"""),72.42)</f>
        <v>72.42</v>
      </c>
      <c r="C273" s="2">
        <f>IFERROR(__xludf.DUMMYFUNCTION("""COMPUTED_VALUE"""),72.42)</f>
        <v>72.42</v>
      </c>
      <c r="D273" s="2">
        <f>IFERROR(__xludf.DUMMYFUNCTION("""COMPUTED_VALUE"""),71.19)</f>
        <v>71.19</v>
      </c>
      <c r="E273" s="2">
        <f>IFERROR(__xludf.DUMMYFUNCTION("""COMPUTED_VALUE"""),71.48)</f>
        <v>71.48</v>
      </c>
      <c r="F273" s="2">
        <f>IFERROR(__xludf.DUMMYFUNCTION("""COMPUTED_VALUE"""),5331971.0)</f>
        <v>5331971</v>
      </c>
    </row>
    <row r="274">
      <c r="A274" s="3">
        <f>IFERROR(__xludf.DUMMYFUNCTION("""COMPUTED_VALUE"""),37837.645833333336)</f>
        <v>37837.64583</v>
      </c>
      <c r="B274" s="2">
        <f>IFERROR(__xludf.DUMMYFUNCTION("""COMPUTED_VALUE"""),71.17)</f>
        <v>71.17</v>
      </c>
      <c r="C274" s="2">
        <f>IFERROR(__xludf.DUMMYFUNCTION("""COMPUTED_VALUE"""),72.02)</f>
        <v>72.02</v>
      </c>
      <c r="D274" s="2">
        <f>IFERROR(__xludf.DUMMYFUNCTION("""COMPUTED_VALUE"""),70.97)</f>
        <v>70.97</v>
      </c>
      <c r="E274" s="2">
        <f>IFERROR(__xludf.DUMMYFUNCTION("""COMPUTED_VALUE"""),71.46)</f>
        <v>71.46</v>
      </c>
      <c r="F274" s="2">
        <f>IFERROR(__xludf.DUMMYFUNCTION("""COMPUTED_VALUE"""),3691388.0)</f>
        <v>3691388</v>
      </c>
    </row>
    <row r="275">
      <c r="A275" s="3">
        <f>IFERROR(__xludf.DUMMYFUNCTION("""COMPUTED_VALUE"""),37838.645833333336)</f>
        <v>37838.64583</v>
      </c>
      <c r="B275" s="2">
        <f>IFERROR(__xludf.DUMMYFUNCTION("""COMPUTED_VALUE"""),71.6)</f>
        <v>71.6</v>
      </c>
      <c r="C275" s="2">
        <f>IFERROR(__xludf.DUMMYFUNCTION("""COMPUTED_VALUE"""),73.29)</f>
        <v>73.29</v>
      </c>
      <c r="D275" s="2">
        <f>IFERROR(__xludf.DUMMYFUNCTION("""COMPUTED_VALUE"""),69.39)</f>
        <v>69.39</v>
      </c>
      <c r="E275" s="2">
        <f>IFERROR(__xludf.DUMMYFUNCTION("""COMPUTED_VALUE"""),70.06)</f>
        <v>70.06</v>
      </c>
      <c r="F275" s="2">
        <f>IFERROR(__xludf.DUMMYFUNCTION("""COMPUTED_VALUE"""),8098676.0)</f>
        <v>8098676</v>
      </c>
    </row>
    <row r="276">
      <c r="A276" s="3">
        <f>IFERROR(__xludf.DUMMYFUNCTION("""COMPUTED_VALUE"""),37839.645833333336)</f>
        <v>37839.64583</v>
      </c>
      <c r="B276" s="2">
        <f>IFERROR(__xludf.DUMMYFUNCTION("""COMPUTED_VALUE"""),69.18)</f>
        <v>69.18</v>
      </c>
      <c r="C276" s="2">
        <f>IFERROR(__xludf.DUMMYFUNCTION("""COMPUTED_VALUE"""),71.76)</f>
        <v>71.76</v>
      </c>
      <c r="D276" s="2">
        <f>IFERROR(__xludf.DUMMYFUNCTION("""COMPUTED_VALUE"""),69.18)</f>
        <v>69.18</v>
      </c>
      <c r="E276" s="2">
        <f>IFERROR(__xludf.DUMMYFUNCTION("""COMPUTED_VALUE"""),70.59)</f>
        <v>70.59</v>
      </c>
      <c r="F276" s="2">
        <f>IFERROR(__xludf.DUMMYFUNCTION("""COMPUTED_VALUE"""),8697928.0)</f>
        <v>8697928</v>
      </c>
    </row>
    <row r="277">
      <c r="A277" s="3">
        <f>IFERROR(__xludf.DUMMYFUNCTION("""COMPUTED_VALUE"""),37840.645833333336)</f>
        <v>37840.64583</v>
      </c>
      <c r="B277" s="2">
        <f>IFERROR(__xludf.DUMMYFUNCTION("""COMPUTED_VALUE"""),71.1)</f>
        <v>71.1</v>
      </c>
      <c r="C277" s="2">
        <f>IFERROR(__xludf.DUMMYFUNCTION("""COMPUTED_VALUE"""),71.88)</f>
        <v>71.88</v>
      </c>
      <c r="D277" s="2">
        <f>IFERROR(__xludf.DUMMYFUNCTION("""COMPUTED_VALUE"""),70.2)</f>
        <v>70.2</v>
      </c>
      <c r="E277" s="2">
        <f>IFERROR(__xludf.DUMMYFUNCTION("""COMPUTED_VALUE"""),71.59)</f>
        <v>71.59</v>
      </c>
      <c r="F277" s="2">
        <f>IFERROR(__xludf.DUMMYFUNCTION("""COMPUTED_VALUE"""),5606043.0)</f>
        <v>5606043</v>
      </c>
    </row>
    <row r="278">
      <c r="A278" s="3">
        <f>IFERROR(__xludf.DUMMYFUNCTION("""COMPUTED_VALUE"""),37841.645833333336)</f>
        <v>37841.64583</v>
      </c>
      <c r="B278" s="2">
        <f>IFERROR(__xludf.DUMMYFUNCTION("""COMPUTED_VALUE"""),72.46)</f>
        <v>72.46</v>
      </c>
      <c r="C278" s="2">
        <f>IFERROR(__xludf.DUMMYFUNCTION("""COMPUTED_VALUE"""),73.38)</f>
        <v>73.38</v>
      </c>
      <c r="D278" s="2">
        <f>IFERROR(__xludf.DUMMYFUNCTION("""COMPUTED_VALUE"""),71.88)</f>
        <v>71.88</v>
      </c>
      <c r="E278" s="2">
        <f>IFERROR(__xludf.DUMMYFUNCTION("""COMPUTED_VALUE"""),73.15)</f>
        <v>73.15</v>
      </c>
      <c r="F278" s="2">
        <f>IFERROR(__xludf.DUMMYFUNCTION("""COMPUTED_VALUE"""),7174479.0)</f>
        <v>7174479</v>
      </c>
    </row>
    <row r="279">
      <c r="A279" s="3">
        <f>IFERROR(__xludf.DUMMYFUNCTION("""COMPUTED_VALUE"""),37844.645833333336)</f>
        <v>37844.64583</v>
      </c>
      <c r="B279" s="2">
        <f>IFERROR(__xludf.DUMMYFUNCTION("""COMPUTED_VALUE"""),72.18)</f>
        <v>72.18</v>
      </c>
      <c r="C279" s="2">
        <f>IFERROR(__xludf.DUMMYFUNCTION("""COMPUTED_VALUE"""),73.49)</f>
        <v>73.49</v>
      </c>
      <c r="D279" s="2">
        <f>IFERROR(__xludf.DUMMYFUNCTION("""COMPUTED_VALUE"""),72.18)</f>
        <v>72.18</v>
      </c>
      <c r="E279" s="2">
        <f>IFERROR(__xludf.DUMMYFUNCTION("""COMPUTED_VALUE"""),72.74)</f>
        <v>72.74</v>
      </c>
      <c r="F279" s="2">
        <f>IFERROR(__xludf.DUMMYFUNCTION("""COMPUTED_VALUE"""),4667303.0)</f>
        <v>4667303</v>
      </c>
    </row>
    <row r="280">
      <c r="A280" s="3">
        <f>IFERROR(__xludf.DUMMYFUNCTION("""COMPUTED_VALUE"""),37845.645833333336)</f>
        <v>37845.64583</v>
      </c>
      <c r="B280" s="2">
        <f>IFERROR(__xludf.DUMMYFUNCTION("""COMPUTED_VALUE"""),78.28)</f>
        <v>78.28</v>
      </c>
      <c r="C280" s="2">
        <f>IFERROR(__xludf.DUMMYFUNCTION("""COMPUTED_VALUE"""),78.28)</f>
        <v>78.28</v>
      </c>
      <c r="D280" s="2">
        <f>IFERROR(__xludf.DUMMYFUNCTION("""COMPUTED_VALUE"""),71.59)</f>
        <v>71.59</v>
      </c>
      <c r="E280" s="2">
        <f>IFERROR(__xludf.DUMMYFUNCTION("""COMPUTED_VALUE"""),71.84)</f>
        <v>71.84</v>
      </c>
      <c r="F280" s="2">
        <f>IFERROR(__xludf.DUMMYFUNCTION("""COMPUTED_VALUE"""),3850086.0)</f>
        <v>3850086</v>
      </c>
    </row>
    <row r="281">
      <c r="A281" s="3">
        <f>IFERROR(__xludf.DUMMYFUNCTION("""COMPUTED_VALUE"""),37846.645833333336)</f>
        <v>37846.64583</v>
      </c>
      <c r="B281" s="2">
        <f>IFERROR(__xludf.DUMMYFUNCTION("""COMPUTED_VALUE"""),74.47)</f>
        <v>74.47</v>
      </c>
      <c r="C281" s="2">
        <f>IFERROR(__xludf.DUMMYFUNCTION("""COMPUTED_VALUE"""),74.47)</f>
        <v>74.47</v>
      </c>
      <c r="D281" s="2">
        <f>IFERROR(__xludf.DUMMYFUNCTION("""COMPUTED_VALUE"""),71.63)</f>
        <v>71.63</v>
      </c>
      <c r="E281" s="2">
        <f>IFERROR(__xludf.DUMMYFUNCTION("""COMPUTED_VALUE"""),72.67)</f>
        <v>72.67</v>
      </c>
      <c r="F281" s="2">
        <f>IFERROR(__xludf.DUMMYFUNCTION("""COMPUTED_VALUE"""),4531665.0)</f>
        <v>4531665</v>
      </c>
    </row>
    <row r="282">
      <c r="A282" s="3">
        <f>IFERROR(__xludf.DUMMYFUNCTION("""COMPUTED_VALUE"""),37847.645833333336)</f>
        <v>37847.64583</v>
      </c>
      <c r="B282" s="2">
        <f>IFERROR(__xludf.DUMMYFUNCTION("""COMPUTED_VALUE"""),72.88)</f>
        <v>72.88</v>
      </c>
      <c r="C282" s="2">
        <f>IFERROR(__xludf.DUMMYFUNCTION("""COMPUTED_VALUE"""),73.58)</f>
        <v>73.58</v>
      </c>
      <c r="D282" s="2">
        <f>IFERROR(__xludf.DUMMYFUNCTION("""COMPUTED_VALUE"""),71.91)</f>
        <v>71.91</v>
      </c>
      <c r="E282" s="2">
        <f>IFERROR(__xludf.DUMMYFUNCTION("""COMPUTED_VALUE"""),72.2)</f>
        <v>72.2</v>
      </c>
      <c r="F282" s="2">
        <f>IFERROR(__xludf.DUMMYFUNCTION("""COMPUTED_VALUE"""),4802977.0)</f>
        <v>4802977</v>
      </c>
    </row>
    <row r="283">
      <c r="A283" s="3">
        <f>IFERROR(__xludf.DUMMYFUNCTION("""COMPUTED_VALUE"""),37851.645833333336)</f>
        <v>37851.64583</v>
      </c>
      <c r="B283" s="2">
        <f>IFERROR(__xludf.DUMMYFUNCTION("""COMPUTED_VALUE"""),72.28)</f>
        <v>72.28</v>
      </c>
      <c r="C283" s="2">
        <f>IFERROR(__xludf.DUMMYFUNCTION("""COMPUTED_VALUE"""),73.38)</f>
        <v>73.38</v>
      </c>
      <c r="D283" s="2">
        <f>IFERROR(__xludf.DUMMYFUNCTION("""COMPUTED_VALUE"""),71.47)</f>
        <v>71.47</v>
      </c>
      <c r="E283" s="2">
        <f>IFERROR(__xludf.DUMMYFUNCTION("""COMPUTED_VALUE"""),72.73)</f>
        <v>72.73</v>
      </c>
      <c r="F283" s="2">
        <f>IFERROR(__xludf.DUMMYFUNCTION("""COMPUTED_VALUE"""),5574787.0)</f>
        <v>5574787</v>
      </c>
    </row>
    <row r="284">
      <c r="A284" s="3">
        <f>IFERROR(__xludf.DUMMYFUNCTION("""COMPUTED_VALUE"""),37852.645833333336)</f>
        <v>37852.64583</v>
      </c>
      <c r="B284" s="2">
        <f>IFERROR(__xludf.DUMMYFUNCTION("""COMPUTED_VALUE"""),73.02)</f>
        <v>73.02</v>
      </c>
      <c r="C284" s="2">
        <f>IFERROR(__xludf.DUMMYFUNCTION("""COMPUTED_VALUE"""),74.79)</f>
        <v>74.79</v>
      </c>
      <c r="D284" s="2">
        <f>IFERROR(__xludf.DUMMYFUNCTION("""COMPUTED_VALUE"""),72.61)</f>
        <v>72.61</v>
      </c>
      <c r="E284" s="2">
        <f>IFERROR(__xludf.DUMMYFUNCTION("""COMPUTED_VALUE"""),74.31)</f>
        <v>74.31</v>
      </c>
      <c r="F284" s="2">
        <f>IFERROR(__xludf.DUMMYFUNCTION("""COMPUTED_VALUE"""),5876836.0)</f>
        <v>5876836</v>
      </c>
    </row>
    <row r="285">
      <c r="A285" s="3">
        <f>IFERROR(__xludf.DUMMYFUNCTION("""COMPUTED_VALUE"""),37853.645833333336)</f>
        <v>37853.64583</v>
      </c>
      <c r="B285" s="2">
        <f>IFERROR(__xludf.DUMMYFUNCTION("""COMPUTED_VALUE"""),74.9)</f>
        <v>74.9</v>
      </c>
      <c r="C285" s="2">
        <f>IFERROR(__xludf.DUMMYFUNCTION("""COMPUTED_VALUE"""),75.44)</f>
        <v>75.44</v>
      </c>
      <c r="D285" s="2">
        <f>IFERROR(__xludf.DUMMYFUNCTION("""COMPUTED_VALUE"""),74.0)</f>
        <v>74</v>
      </c>
      <c r="E285" s="2">
        <f>IFERROR(__xludf.DUMMYFUNCTION("""COMPUTED_VALUE"""),74.27)</f>
        <v>74.27</v>
      </c>
      <c r="F285" s="2">
        <f>IFERROR(__xludf.DUMMYFUNCTION("""COMPUTED_VALUE"""),3505892.0)</f>
        <v>3505892</v>
      </c>
    </row>
    <row r="286">
      <c r="A286" s="3">
        <f>IFERROR(__xludf.DUMMYFUNCTION("""COMPUTED_VALUE"""),37854.645833333336)</f>
        <v>37854.64583</v>
      </c>
      <c r="B286" s="2">
        <f>IFERROR(__xludf.DUMMYFUNCTION("""COMPUTED_VALUE"""),75.5)</f>
        <v>75.5</v>
      </c>
      <c r="C286" s="2">
        <f>IFERROR(__xludf.DUMMYFUNCTION("""COMPUTED_VALUE"""),75.5)</f>
        <v>75.5</v>
      </c>
      <c r="D286" s="2">
        <f>IFERROR(__xludf.DUMMYFUNCTION("""COMPUTED_VALUE"""),74.32)</f>
        <v>74.32</v>
      </c>
      <c r="E286" s="2">
        <f>IFERROR(__xludf.DUMMYFUNCTION("""COMPUTED_VALUE"""),74.72)</f>
        <v>74.72</v>
      </c>
      <c r="F286" s="2">
        <f>IFERROR(__xludf.DUMMYFUNCTION("""COMPUTED_VALUE"""),4227478.0)</f>
        <v>4227478</v>
      </c>
    </row>
    <row r="287">
      <c r="A287" s="3">
        <f>IFERROR(__xludf.DUMMYFUNCTION("""COMPUTED_VALUE"""),37855.645833333336)</f>
        <v>37855.64583</v>
      </c>
      <c r="B287" s="2">
        <f>IFERROR(__xludf.DUMMYFUNCTION("""COMPUTED_VALUE"""),75.14)</f>
        <v>75.14</v>
      </c>
      <c r="C287" s="2">
        <f>IFERROR(__xludf.DUMMYFUNCTION("""COMPUTED_VALUE"""),77.47)</f>
        <v>77.47</v>
      </c>
      <c r="D287" s="2">
        <f>IFERROR(__xludf.DUMMYFUNCTION("""COMPUTED_VALUE"""),74.9)</f>
        <v>74.9</v>
      </c>
      <c r="E287" s="2">
        <f>IFERROR(__xludf.DUMMYFUNCTION("""COMPUTED_VALUE"""),76.85)</f>
        <v>76.85</v>
      </c>
      <c r="F287" s="2">
        <f>IFERROR(__xludf.DUMMYFUNCTION("""COMPUTED_VALUE"""),8339399.0)</f>
        <v>8339399</v>
      </c>
    </row>
    <row r="288">
      <c r="A288" s="3">
        <f>IFERROR(__xludf.DUMMYFUNCTION("""COMPUTED_VALUE"""),37858.645833333336)</f>
        <v>37858.64583</v>
      </c>
      <c r="B288" s="2">
        <f>IFERROR(__xludf.DUMMYFUNCTION("""COMPUTED_VALUE"""),77.72)</f>
        <v>77.72</v>
      </c>
      <c r="C288" s="2">
        <f>IFERROR(__xludf.DUMMYFUNCTION("""COMPUTED_VALUE"""),85.51)</f>
        <v>85.51</v>
      </c>
      <c r="D288" s="2">
        <f>IFERROR(__xludf.DUMMYFUNCTION("""COMPUTED_VALUE"""),73.91)</f>
        <v>73.91</v>
      </c>
      <c r="E288" s="2">
        <f>IFERROR(__xludf.DUMMYFUNCTION("""COMPUTED_VALUE"""),76.23)</f>
        <v>76.23</v>
      </c>
      <c r="F288" s="2">
        <f>IFERROR(__xludf.DUMMYFUNCTION("""COMPUTED_VALUE"""),9454459.0)</f>
        <v>9454459</v>
      </c>
    </row>
    <row r="289">
      <c r="A289" s="3">
        <f>IFERROR(__xludf.DUMMYFUNCTION("""COMPUTED_VALUE"""),37859.645833333336)</f>
        <v>37859.64583</v>
      </c>
      <c r="B289" s="2">
        <f>IFERROR(__xludf.DUMMYFUNCTION("""COMPUTED_VALUE"""),76.51)</f>
        <v>76.51</v>
      </c>
      <c r="C289" s="2">
        <f>IFERROR(__xludf.DUMMYFUNCTION("""COMPUTED_VALUE"""),78.92)</f>
        <v>78.92</v>
      </c>
      <c r="D289" s="2">
        <f>IFERROR(__xludf.DUMMYFUNCTION("""COMPUTED_VALUE"""),76.13)</f>
        <v>76.13</v>
      </c>
      <c r="E289" s="2">
        <f>IFERROR(__xludf.DUMMYFUNCTION("""COMPUTED_VALUE"""),78.65)</f>
        <v>78.65</v>
      </c>
      <c r="F289" s="2">
        <f>IFERROR(__xludf.DUMMYFUNCTION("""COMPUTED_VALUE"""),8005644.0)</f>
        <v>8005644</v>
      </c>
    </row>
    <row r="290">
      <c r="A290" s="3">
        <f>IFERROR(__xludf.DUMMYFUNCTION("""COMPUTED_VALUE"""),37860.645833333336)</f>
        <v>37860.64583</v>
      </c>
      <c r="B290" s="2">
        <f>IFERROR(__xludf.DUMMYFUNCTION("""COMPUTED_VALUE"""),78.52)</f>
        <v>78.52</v>
      </c>
      <c r="C290" s="2">
        <f>IFERROR(__xludf.DUMMYFUNCTION("""COMPUTED_VALUE"""),79.94)</f>
        <v>79.94</v>
      </c>
      <c r="D290" s="2">
        <f>IFERROR(__xludf.DUMMYFUNCTION("""COMPUTED_VALUE"""),78.52)</f>
        <v>78.52</v>
      </c>
      <c r="E290" s="2">
        <f>IFERROR(__xludf.DUMMYFUNCTION("""COMPUTED_VALUE"""),79.29)</f>
        <v>79.29</v>
      </c>
      <c r="F290" s="2">
        <f>IFERROR(__xludf.DUMMYFUNCTION("""COMPUTED_VALUE"""),5248770.0)</f>
        <v>5248770</v>
      </c>
    </row>
    <row r="291">
      <c r="A291" s="3">
        <f>IFERROR(__xludf.DUMMYFUNCTION("""COMPUTED_VALUE"""),37861.645833333336)</f>
        <v>37861.64583</v>
      </c>
      <c r="B291" s="2">
        <f>IFERROR(__xludf.DUMMYFUNCTION("""COMPUTED_VALUE"""),79.34)</f>
        <v>79.34</v>
      </c>
      <c r="C291" s="2">
        <f>IFERROR(__xludf.DUMMYFUNCTION("""COMPUTED_VALUE"""),80.03)</f>
        <v>80.03</v>
      </c>
      <c r="D291" s="2">
        <f>IFERROR(__xludf.DUMMYFUNCTION("""COMPUTED_VALUE"""),78.22)</f>
        <v>78.22</v>
      </c>
      <c r="E291" s="2">
        <f>IFERROR(__xludf.DUMMYFUNCTION("""COMPUTED_VALUE"""),79.27)</f>
        <v>79.27</v>
      </c>
      <c r="F291" s="2">
        <f>IFERROR(__xludf.DUMMYFUNCTION("""COMPUTED_VALUE"""),5044335.0)</f>
        <v>5044335</v>
      </c>
    </row>
    <row r="292">
      <c r="A292" s="3">
        <f>IFERROR(__xludf.DUMMYFUNCTION("""COMPUTED_VALUE"""),37862.645833333336)</f>
        <v>37862.64583</v>
      </c>
      <c r="B292" s="2">
        <f>IFERROR(__xludf.DUMMYFUNCTION("""COMPUTED_VALUE"""),80.33)</f>
        <v>80.33</v>
      </c>
      <c r="C292" s="2">
        <f>IFERROR(__xludf.DUMMYFUNCTION("""COMPUTED_VALUE"""),81.49)</f>
        <v>81.49</v>
      </c>
      <c r="D292" s="2">
        <f>IFERROR(__xludf.DUMMYFUNCTION("""COMPUTED_VALUE"""),79.28)</f>
        <v>79.28</v>
      </c>
      <c r="E292" s="2">
        <f>IFERROR(__xludf.DUMMYFUNCTION("""COMPUTED_VALUE"""),80.67)</f>
        <v>80.67</v>
      </c>
      <c r="F292" s="2">
        <f>IFERROR(__xludf.DUMMYFUNCTION("""COMPUTED_VALUE"""),6588927.0)</f>
        <v>6588927</v>
      </c>
    </row>
    <row r="293">
      <c r="A293" s="3">
        <f>IFERROR(__xludf.DUMMYFUNCTION("""COMPUTED_VALUE"""),37865.645833333336)</f>
        <v>37865.64583</v>
      </c>
      <c r="B293" s="2">
        <f>IFERROR(__xludf.DUMMYFUNCTION("""COMPUTED_VALUE"""),80.18)</f>
        <v>80.18</v>
      </c>
      <c r="C293" s="2">
        <f>IFERROR(__xludf.DUMMYFUNCTION("""COMPUTED_VALUE"""),83.43)</f>
        <v>83.43</v>
      </c>
      <c r="D293" s="2">
        <f>IFERROR(__xludf.DUMMYFUNCTION("""COMPUTED_VALUE"""),80.18)</f>
        <v>80.18</v>
      </c>
      <c r="E293" s="2">
        <f>IFERROR(__xludf.DUMMYFUNCTION("""COMPUTED_VALUE"""),82.59)</f>
        <v>82.59</v>
      </c>
      <c r="F293" s="2">
        <f>IFERROR(__xludf.DUMMYFUNCTION("""COMPUTED_VALUE"""),6030443.0)</f>
        <v>6030443</v>
      </c>
    </row>
    <row r="294">
      <c r="A294" s="3">
        <f>IFERROR(__xludf.DUMMYFUNCTION("""COMPUTED_VALUE"""),37866.645833333336)</f>
        <v>37866.64583</v>
      </c>
      <c r="B294" s="2">
        <f>IFERROR(__xludf.DUMMYFUNCTION("""COMPUTED_VALUE"""),83.55)</f>
        <v>83.55</v>
      </c>
      <c r="C294" s="2">
        <f>IFERROR(__xludf.DUMMYFUNCTION("""COMPUTED_VALUE"""),84.88)</f>
        <v>84.88</v>
      </c>
      <c r="D294" s="2">
        <f>IFERROR(__xludf.DUMMYFUNCTION("""COMPUTED_VALUE"""),82.88)</f>
        <v>82.88</v>
      </c>
      <c r="E294" s="2">
        <f>IFERROR(__xludf.DUMMYFUNCTION("""COMPUTED_VALUE"""),84.28)</f>
        <v>84.28</v>
      </c>
      <c r="F294" s="2">
        <f>IFERROR(__xludf.DUMMYFUNCTION("""COMPUTED_VALUE"""),9658341.0)</f>
        <v>9658341</v>
      </c>
    </row>
    <row r="295">
      <c r="A295" s="3">
        <f>IFERROR(__xludf.DUMMYFUNCTION("""COMPUTED_VALUE"""),37867.645833333336)</f>
        <v>37867.64583</v>
      </c>
      <c r="B295" s="2">
        <f>IFERROR(__xludf.DUMMYFUNCTION("""COMPUTED_VALUE"""),83.79)</f>
        <v>83.79</v>
      </c>
      <c r="C295" s="2">
        <f>IFERROR(__xludf.DUMMYFUNCTION("""COMPUTED_VALUE"""),84.34)</f>
        <v>84.34</v>
      </c>
      <c r="D295" s="2">
        <f>IFERROR(__xludf.DUMMYFUNCTION("""COMPUTED_VALUE"""),81.75)</f>
        <v>81.75</v>
      </c>
      <c r="E295" s="2">
        <f>IFERROR(__xludf.DUMMYFUNCTION("""COMPUTED_VALUE"""),82.14)</f>
        <v>82.14</v>
      </c>
      <c r="F295" s="2">
        <f>IFERROR(__xludf.DUMMYFUNCTION("""COMPUTED_VALUE"""),5528319.0)</f>
        <v>5528319</v>
      </c>
    </row>
    <row r="296">
      <c r="A296" s="3">
        <f>IFERROR(__xludf.DUMMYFUNCTION("""COMPUTED_VALUE"""),37868.645833333336)</f>
        <v>37868.64583</v>
      </c>
      <c r="B296" s="2">
        <f>IFERROR(__xludf.DUMMYFUNCTION("""COMPUTED_VALUE"""),81.92)</f>
        <v>81.92</v>
      </c>
      <c r="C296" s="2">
        <f>IFERROR(__xludf.DUMMYFUNCTION("""COMPUTED_VALUE"""),83.15)</f>
        <v>83.15</v>
      </c>
      <c r="D296" s="2">
        <f>IFERROR(__xludf.DUMMYFUNCTION("""COMPUTED_VALUE"""),81.56)</f>
        <v>81.56</v>
      </c>
      <c r="E296" s="2">
        <f>IFERROR(__xludf.DUMMYFUNCTION("""COMPUTED_VALUE"""),82.41)</f>
        <v>82.41</v>
      </c>
      <c r="F296" s="2">
        <f>IFERROR(__xludf.DUMMYFUNCTION("""COMPUTED_VALUE"""),6333379.0)</f>
        <v>6333379</v>
      </c>
    </row>
    <row r="297">
      <c r="A297" s="3">
        <f>IFERROR(__xludf.DUMMYFUNCTION("""COMPUTED_VALUE"""),37869.645833333336)</f>
        <v>37869.64583</v>
      </c>
      <c r="B297" s="2">
        <f>IFERROR(__xludf.DUMMYFUNCTION("""COMPUTED_VALUE"""),82.77)</f>
        <v>82.77</v>
      </c>
      <c r="C297" s="2">
        <f>IFERROR(__xludf.DUMMYFUNCTION("""COMPUTED_VALUE"""),84.82)</f>
        <v>84.82</v>
      </c>
      <c r="D297" s="2">
        <f>IFERROR(__xludf.DUMMYFUNCTION("""COMPUTED_VALUE"""),82.77)</f>
        <v>82.77</v>
      </c>
      <c r="E297" s="2">
        <f>IFERROR(__xludf.DUMMYFUNCTION("""COMPUTED_VALUE"""),84.53)</f>
        <v>84.53</v>
      </c>
      <c r="F297" s="2">
        <f>IFERROR(__xludf.DUMMYFUNCTION("""COMPUTED_VALUE"""),5809532.0)</f>
        <v>5809532</v>
      </c>
    </row>
    <row r="298">
      <c r="A298" s="3">
        <f>IFERROR(__xludf.DUMMYFUNCTION("""COMPUTED_VALUE"""),37872.645833333336)</f>
        <v>37872.64583</v>
      </c>
      <c r="B298" s="2">
        <f>IFERROR(__xludf.DUMMYFUNCTION("""COMPUTED_VALUE"""),84.98)</f>
        <v>84.98</v>
      </c>
      <c r="C298" s="2">
        <f>IFERROR(__xludf.DUMMYFUNCTION("""COMPUTED_VALUE"""),88.07)</f>
        <v>88.07</v>
      </c>
      <c r="D298" s="2">
        <f>IFERROR(__xludf.DUMMYFUNCTION("""COMPUTED_VALUE"""),84.98)</f>
        <v>84.98</v>
      </c>
      <c r="E298" s="2">
        <f>IFERROR(__xludf.DUMMYFUNCTION("""COMPUTED_VALUE"""),87.7)</f>
        <v>87.7</v>
      </c>
      <c r="F298" s="2">
        <f>IFERROR(__xludf.DUMMYFUNCTION("""COMPUTED_VALUE"""),7843693.0)</f>
        <v>7843693</v>
      </c>
    </row>
    <row r="299">
      <c r="A299" s="3">
        <f>IFERROR(__xludf.DUMMYFUNCTION("""COMPUTED_VALUE"""),37873.645833333336)</f>
        <v>37873.64583</v>
      </c>
      <c r="B299" s="2">
        <f>IFERROR(__xludf.DUMMYFUNCTION("""COMPUTED_VALUE"""),88.01)</f>
        <v>88.01</v>
      </c>
      <c r="C299" s="2">
        <f>IFERROR(__xludf.DUMMYFUNCTION("""COMPUTED_VALUE"""),89.07)</f>
        <v>89.07</v>
      </c>
      <c r="D299" s="2">
        <f>IFERROR(__xludf.DUMMYFUNCTION("""COMPUTED_VALUE"""),87.0)</f>
        <v>87</v>
      </c>
      <c r="E299" s="2">
        <f>IFERROR(__xludf.DUMMYFUNCTION("""COMPUTED_VALUE"""),87.84)</f>
        <v>87.84</v>
      </c>
      <c r="F299" s="2">
        <f>IFERROR(__xludf.DUMMYFUNCTION("""COMPUTED_VALUE"""),8818832.0)</f>
        <v>8818832</v>
      </c>
    </row>
    <row r="300">
      <c r="A300" s="3">
        <f>IFERROR(__xludf.DUMMYFUNCTION("""COMPUTED_VALUE"""),37874.645833333336)</f>
        <v>37874.64583</v>
      </c>
      <c r="B300" s="2">
        <f>IFERROR(__xludf.DUMMYFUNCTION("""COMPUTED_VALUE"""),87.58)</f>
        <v>87.58</v>
      </c>
      <c r="C300" s="2">
        <f>IFERROR(__xludf.DUMMYFUNCTION("""COMPUTED_VALUE"""),87.67)</f>
        <v>87.67</v>
      </c>
      <c r="D300" s="2">
        <f>IFERROR(__xludf.DUMMYFUNCTION("""COMPUTED_VALUE"""),86.7)</f>
        <v>86.7</v>
      </c>
      <c r="E300" s="2">
        <f>IFERROR(__xludf.DUMMYFUNCTION("""COMPUTED_VALUE"""),87.51)</f>
        <v>87.51</v>
      </c>
      <c r="F300" s="2">
        <f>IFERROR(__xludf.DUMMYFUNCTION("""COMPUTED_VALUE"""),5081235.0)</f>
        <v>5081235</v>
      </c>
    </row>
    <row r="301">
      <c r="A301" s="3">
        <f>IFERROR(__xludf.DUMMYFUNCTION("""COMPUTED_VALUE"""),37875.645833333336)</f>
        <v>37875.64583</v>
      </c>
      <c r="B301" s="2">
        <f>IFERROR(__xludf.DUMMYFUNCTION("""COMPUTED_VALUE"""),85.57)</f>
        <v>85.57</v>
      </c>
      <c r="C301" s="2">
        <f>IFERROR(__xludf.DUMMYFUNCTION("""COMPUTED_VALUE"""),88.43)</f>
        <v>88.43</v>
      </c>
      <c r="D301" s="2">
        <f>IFERROR(__xludf.DUMMYFUNCTION("""COMPUTED_VALUE"""),85.57)</f>
        <v>85.57</v>
      </c>
      <c r="E301" s="2">
        <f>IFERROR(__xludf.DUMMYFUNCTION("""COMPUTED_VALUE"""),86.31)</f>
        <v>86.31</v>
      </c>
      <c r="F301" s="2">
        <f>IFERROR(__xludf.DUMMYFUNCTION("""COMPUTED_VALUE"""),6898117.0)</f>
        <v>6898117</v>
      </c>
    </row>
    <row r="302">
      <c r="A302" s="3">
        <f>IFERROR(__xludf.DUMMYFUNCTION("""COMPUTED_VALUE"""),37876.645833333336)</f>
        <v>37876.64583</v>
      </c>
      <c r="B302" s="2">
        <f>IFERROR(__xludf.DUMMYFUNCTION("""COMPUTED_VALUE"""),86.17)</f>
        <v>86.17</v>
      </c>
      <c r="C302" s="2">
        <f>IFERROR(__xludf.DUMMYFUNCTION("""COMPUTED_VALUE"""),87.3)</f>
        <v>87.3</v>
      </c>
      <c r="D302" s="2">
        <f>IFERROR(__xludf.DUMMYFUNCTION("""COMPUTED_VALUE"""),83.76)</f>
        <v>83.76</v>
      </c>
      <c r="E302" s="2">
        <f>IFERROR(__xludf.DUMMYFUNCTION("""COMPUTED_VALUE"""),84.39)</f>
        <v>84.39</v>
      </c>
      <c r="F302" s="2">
        <f>IFERROR(__xludf.DUMMYFUNCTION("""COMPUTED_VALUE"""),6079875.0)</f>
        <v>6079875</v>
      </c>
    </row>
    <row r="303">
      <c r="A303" s="3">
        <f>IFERROR(__xludf.DUMMYFUNCTION("""COMPUTED_VALUE"""),37879.645833333336)</f>
        <v>37879.64583</v>
      </c>
      <c r="B303" s="2">
        <f>IFERROR(__xludf.DUMMYFUNCTION("""COMPUTED_VALUE"""),84.36)</f>
        <v>84.36</v>
      </c>
      <c r="C303" s="2">
        <f>IFERROR(__xludf.DUMMYFUNCTION("""COMPUTED_VALUE"""),84.52)</f>
        <v>84.52</v>
      </c>
      <c r="D303" s="2">
        <f>IFERROR(__xludf.DUMMYFUNCTION("""COMPUTED_VALUE"""),80.87)</f>
        <v>80.87</v>
      </c>
      <c r="E303" s="2">
        <f>IFERROR(__xludf.DUMMYFUNCTION("""COMPUTED_VALUE"""),81.45)</f>
        <v>81.45</v>
      </c>
      <c r="F303" s="2">
        <f>IFERROR(__xludf.DUMMYFUNCTION("""COMPUTED_VALUE"""),8703494.0)</f>
        <v>8703494</v>
      </c>
    </row>
    <row r="304">
      <c r="A304" s="3">
        <f>IFERROR(__xludf.DUMMYFUNCTION("""COMPUTED_VALUE"""),37880.645833333336)</f>
        <v>37880.64583</v>
      </c>
      <c r="B304" s="2">
        <f>IFERROR(__xludf.DUMMYFUNCTION("""COMPUTED_VALUE"""),81.74)</f>
        <v>81.74</v>
      </c>
      <c r="C304" s="2">
        <f>IFERROR(__xludf.DUMMYFUNCTION("""COMPUTED_VALUE"""),82.89)</f>
        <v>82.89</v>
      </c>
      <c r="D304" s="2">
        <f>IFERROR(__xludf.DUMMYFUNCTION("""COMPUTED_VALUE"""),79.25)</f>
        <v>79.25</v>
      </c>
      <c r="E304" s="2">
        <f>IFERROR(__xludf.DUMMYFUNCTION("""COMPUTED_VALUE"""),82.58)</f>
        <v>82.58</v>
      </c>
      <c r="F304" s="2">
        <f>IFERROR(__xludf.DUMMYFUNCTION("""COMPUTED_VALUE"""),9781713.0)</f>
        <v>9781713</v>
      </c>
    </row>
    <row r="305">
      <c r="A305" s="3">
        <f>IFERROR(__xludf.DUMMYFUNCTION("""COMPUTED_VALUE"""),37881.645833333336)</f>
        <v>37881.64583</v>
      </c>
      <c r="B305" s="2">
        <f>IFERROR(__xludf.DUMMYFUNCTION("""COMPUTED_VALUE"""),84.16)</f>
        <v>84.16</v>
      </c>
      <c r="C305" s="2">
        <f>IFERROR(__xludf.DUMMYFUNCTION("""COMPUTED_VALUE"""),84.16)</f>
        <v>84.16</v>
      </c>
      <c r="D305" s="2">
        <f>IFERROR(__xludf.DUMMYFUNCTION("""COMPUTED_VALUE"""),80.97)</f>
        <v>80.97</v>
      </c>
      <c r="E305" s="2">
        <f>IFERROR(__xludf.DUMMYFUNCTION("""COMPUTED_VALUE"""),81.92)</f>
        <v>81.92</v>
      </c>
      <c r="F305" s="2">
        <f>IFERROR(__xludf.DUMMYFUNCTION("""COMPUTED_VALUE"""),7204975.0)</f>
        <v>7204975</v>
      </c>
    </row>
    <row r="306">
      <c r="A306" s="3">
        <f>IFERROR(__xludf.DUMMYFUNCTION("""COMPUTED_VALUE"""),37882.645833333336)</f>
        <v>37882.64583</v>
      </c>
      <c r="B306" s="2">
        <f>IFERROR(__xludf.DUMMYFUNCTION("""COMPUTED_VALUE"""),82.35)</f>
        <v>82.35</v>
      </c>
      <c r="C306" s="2">
        <f>IFERROR(__xludf.DUMMYFUNCTION("""COMPUTED_VALUE"""),82.35)</f>
        <v>82.35</v>
      </c>
      <c r="D306" s="2">
        <f>IFERROR(__xludf.DUMMYFUNCTION("""COMPUTED_VALUE"""),79.06)</f>
        <v>79.06</v>
      </c>
      <c r="E306" s="2">
        <f>IFERROR(__xludf.DUMMYFUNCTION("""COMPUTED_VALUE"""),79.6)</f>
        <v>79.6</v>
      </c>
      <c r="F306" s="2">
        <f>IFERROR(__xludf.DUMMYFUNCTION("""COMPUTED_VALUE"""),8725249.0)</f>
        <v>8725249</v>
      </c>
    </row>
    <row r="307">
      <c r="A307" s="3">
        <f>IFERROR(__xludf.DUMMYFUNCTION("""COMPUTED_VALUE"""),37883.645833333336)</f>
        <v>37883.64583</v>
      </c>
      <c r="B307" s="2">
        <f>IFERROR(__xludf.DUMMYFUNCTION("""COMPUTED_VALUE"""),79.54)</f>
        <v>79.54</v>
      </c>
      <c r="C307" s="2">
        <f>IFERROR(__xludf.DUMMYFUNCTION("""COMPUTED_VALUE"""),82.12)</f>
        <v>82.12</v>
      </c>
      <c r="D307" s="2">
        <f>IFERROR(__xludf.DUMMYFUNCTION("""COMPUTED_VALUE"""),78.92)</f>
        <v>78.92</v>
      </c>
      <c r="E307" s="2">
        <f>IFERROR(__xludf.DUMMYFUNCTION("""COMPUTED_VALUE"""),81.35)</f>
        <v>81.35</v>
      </c>
      <c r="F307" s="2">
        <f>IFERROR(__xludf.DUMMYFUNCTION("""COMPUTED_VALUE"""),1.0975666E7)</f>
        <v>10975666</v>
      </c>
    </row>
    <row r="308">
      <c r="A308" s="3">
        <f>IFERROR(__xludf.DUMMYFUNCTION("""COMPUTED_VALUE"""),37886.645833333336)</f>
        <v>37886.64583</v>
      </c>
      <c r="B308" s="2">
        <f>IFERROR(__xludf.DUMMYFUNCTION("""COMPUTED_VALUE"""),82.93)</f>
        <v>82.93</v>
      </c>
      <c r="C308" s="2">
        <f>IFERROR(__xludf.DUMMYFUNCTION("""COMPUTED_VALUE"""),82.93)</f>
        <v>82.93</v>
      </c>
      <c r="D308" s="2">
        <f>IFERROR(__xludf.DUMMYFUNCTION("""COMPUTED_VALUE"""),80.56)</f>
        <v>80.56</v>
      </c>
      <c r="E308" s="2">
        <f>IFERROR(__xludf.DUMMYFUNCTION("""COMPUTED_VALUE"""),81.15)</f>
        <v>81.15</v>
      </c>
      <c r="F308" s="2">
        <f>IFERROR(__xludf.DUMMYFUNCTION("""COMPUTED_VALUE"""),5331483.0)</f>
        <v>5331483</v>
      </c>
    </row>
    <row r="309">
      <c r="A309" s="3">
        <f>IFERROR(__xludf.DUMMYFUNCTION("""COMPUTED_VALUE"""),37887.645833333336)</f>
        <v>37887.64583</v>
      </c>
      <c r="B309" s="2">
        <f>IFERROR(__xludf.DUMMYFUNCTION("""COMPUTED_VALUE"""),80.57)</f>
        <v>80.57</v>
      </c>
      <c r="C309" s="2">
        <f>IFERROR(__xludf.DUMMYFUNCTION("""COMPUTED_VALUE"""),83.74)</f>
        <v>83.74</v>
      </c>
      <c r="D309" s="2">
        <f>IFERROR(__xludf.DUMMYFUNCTION("""COMPUTED_VALUE"""),80.08)</f>
        <v>80.08</v>
      </c>
      <c r="E309" s="2">
        <f>IFERROR(__xludf.DUMMYFUNCTION("""COMPUTED_VALUE"""),83.06)</f>
        <v>83.06</v>
      </c>
      <c r="F309" s="2">
        <f>IFERROR(__xludf.DUMMYFUNCTION("""COMPUTED_VALUE"""),5067816.0)</f>
        <v>5067816</v>
      </c>
    </row>
    <row r="310">
      <c r="A310" s="3">
        <f>IFERROR(__xludf.DUMMYFUNCTION("""COMPUTED_VALUE"""),37888.645833333336)</f>
        <v>37888.64583</v>
      </c>
      <c r="B310" s="2">
        <f>IFERROR(__xludf.DUMMYFUNCTION("""COMPUTED_VALUE"""),83.9)</f>
        <v>83.9</v>
      </c>
      <c r="C310" s="2">
        <f>IFERROR(__xludf.DUMMYFUNCTION("""COMPUTED_VALUE"""),86.82)</f>
        <v>86.82</v>
      </c>
      <c r="D310" s="2">
        <f>IFERROR(__xludf.DUMMYFUNCTION("""COMPUTED_VALUE"""),83.0)</f>
        <v>83</v>
      </c>
      <c r="E310" s="2">
        <f>IFERROR(__xludf.DUMMYFUNCTION("""COMPUTED_VALUE"""),86.37)</f>
        <v>86.37</v>
      </c>
      <c r="F310" s="2">
        <f>IFERROR(__xludf.DUMMYFUNCTION("""COMPUTED_VALUE"""),8490786.0)</f>
        <v>8490786</v>
      </c>
    </row>
    <row r="311">
      <c r="A311" s="3">
        <f>IFERROR(__xludf.DUMMYFUNCTION("""COMPUTED_VALUE"""),37889.645833333336)</f>
        <v>37889.64583</v>
      </c>
      <c r="B311" s="2">
        <f>IFERROR(__xludf.DUMMYFUNCTION("""COMPUTED_VALUE"""),86.17)</f>
        <v>86.17</v>
      </c>
      <c r="C311" s="2">
        <f>IFERROR(__xludf.DUMMYFUNCTION("""COMPUTED_VALUE"""),87.08)</f>
        <v>87.08</v>
      </c>
      <c r="D311" s="2">
        <f>IFERROR(__xludf.DUMMYFUNCTION("""COMPUTED_VALUE"""),83.76)</f>
        <v>83.76</v>
      </c>
      <c r="E311" s="2">
        <f>IFERROR(__xludf.DUMMYFUNCTION("""COMPUTED_VALUE"""),84.2)</f>
        <v>84.2</v>
      </c>
      <c r="F311" s="2">
        <f>IFERROR(__xludf.DUMMYFUNCTION("""COMPUTED_VALUE"""),1.0013123E7)</f>
        <v>10013123</v>
      </c>
    </row>
    <row r="312">
      <c r="A312" s="3">
        <f>IFERROR(__xludf.DUMMYFUNCTION("""COMPUTED_VALUE"""),37890.645833333336)</f>
        <v>37890.64583</v>
      </c>
      <c r="B312" s="2">
        <f>IFERROR(__xludf.DUMMYFUNCTION("""COMPUTED_VALUE"""),84.72)</f>
        <v>84.72</v>
      </c>
      <c r="C312" s="2">
        <f>IFERROR(__xludf.DUMMYFUNCTION("""COMPUTED_VALUE"""),86.06)</f>
        <v>86.06</v>
      </c>
      <c r="D312" s="2">
        <f>IFERROR(__xludf.DUMMYFUNCTION("""COMPUTED_VALUE"""),83.96)</f>
        <v>83.96</v>
      </c>
      <c r="E312" s="2">
        <f>IFERROR(__xludf.DUMMYFUNCTION("""COMPUTED_VALUE"""),85.83)</f>
        <v>85.83</v>
      </c>
      <c r="F312" s="2">
        <f>IFERROR(__xludf.DUMMYFUNCTION("""COMPUTED_VALUE"""),7256463.0)</f>
        <v>7256463</v>
      </c>
    </row>
    <row r="313">
      <c r="A313" s="3">
        <f>IFERROR(__xludf.DUMMYFUNCTION("""COMPUTED_VALUE"""),37893.645833333336)</f>
        <v>37893.64583</v>
      </c>
      <c r="B313" s="2">
        <f>IFERROR(__xludf.DUMMYFUNCTION("""COMPUTED_VALUE"""),102.68)</f>
        <v>102.68</v>
      </c>
      <c r="C313" s="2">
        <f>IFERROR(__xludf.DUMMYFUNCTION("""COMPUTED_VALUE"""),102.68)</f>
        <v>102.68</v>
      </c>
      <c r="D313" s="2">
        <f>IFERROR(__xludf.DUMMYFUNCTION("""COMPUTED_VALUE"""),86.12)</f>
        <v>86.12</v>
      </c>
      <c r="E313" s="2">
        <f>IFERROR(__xludf.DUMMYFUNCTION("""COMPUTED_VALUE"""),87.44)</f>
        <v>87.44</v>
      </c>
      <c r="F313" s="2">
        <f>IFERROR(__xludf.DUMMYFUNCTION("""COMPUTED_VALUE"""),4924381.0)</f>
        <v>4924381</v>
      </c>
    </row>
    <row r="314">
      <c r="A314" s="3">
        <f>IFERROR(__xludf.DUMMYFUNCTION("""COMPUTED_VALUE"""),37894.645833333336)</f>
        <v>37894.64583</v>
      </c>
      <c r="B314" s="2">
        <f>IFERROR(__xludf.DUMMYFUNCTION("""COMPUTED_VALUE"""),87.83)</f>
        <v>87.83</v>
      </c>
      <c r="C314" s="2">
        <f>IFERROR(__xludf.DUMMYFUNCTION("""COMPUTED_VALUE"""),89.66)</f>
        <v>89.66</v>
      </c>
      <c r="D314" s="2">
        <f>IFERROR(__xludf.DUMMYFUNCTION("""COMPUTED_VALUE"""),87.58)</f>
        <v>87.58</v>
      </c>
      <c r="E314" s="2">
        <f>IFERROR(__xludf.DUMMYFUNCTION("""COMPUTED_VALUE"""),89.35)</f>
        <v>89.35</v>
      </c>
      <c r="F314" s="2">
        <f>IFERROR(__xludf.DUMMYFUNCTION("""COMPUTED_VALUE"""),7794669.0)</f>
        <v>7794669</v>
      </c>
    </row>
    <row r="315">
      <c r="A315" s="3">
        <f>IFERROR(__xludf.DUMMYFUNCTION("""COMPUTED_VALUE"""),37895.645833333336)</f>
        <v>37895.64583</v>
      </c>
      <c r="B315" s="2">
        <f>IFERROR(__xludf.DUMMYFUNCTION("""COMPUTED_VALUE"""),88.79)</f>
        <v>88.79</v>
      </c>
      <c r="C315" s="2">
        <f>IFERROR(__xludf.DUMMYFUNCTION("""COMPUTED_VALUE"""),89.66)</f>
        <v>89.66</v>
      </c>
      <c r="D315" s="2">
        <f>IFERROR(__xludf.DUMMYFUNCTION("""COMPUTED_VALUE"""),87.19)</f>
        <v>87.19</v>
      </c>
      <c r="E315" s="2">
        <f>IFERROR(__xludf.DUMMYFUNCTION("""COMPUTED_VALUE"""),87.72)</f>
        <v>87.72</v>
      </c>
      <c r="F315" s="2">
        <f>IFERROR(__xludf.DUMMYFUNCTION("""COMPUTED_VALUE"""),4596091.0)</f>
        <v>4596091</v>
      </c>
    </row>
    <row r="316">
      <c r="A316" s="3">
        <f>IFERROR(__xludf.DUMMYFUNCTION("""COMPUTED_VALUE"""),37897.645833333336)</f>
        <v>37897.64583</v>
      </c>
      <c r="B316" s="2">
        <f>IFERROR(__xludf.DUMMYFUNCTION("""COMPUTED_VALUE"""),88.39)</f>
        <v>88.39</v>
      </c>
      <c r="C316" s="2">
        <f>IFERROR(__xludf.DUMMYFUNCTION("""COMPUTED_VALUE"""),90.6)</f>
        <v>90.6</v>
      </c>
      <c r="D316" s="2">
        <f>IFERROR(__xludf.DUMMYFUNCTION("""COMPUTED_VALUE"""),88.19)</f>
        <v>88.19</v>
      </c>
      <c r="E316" s="2">
        <f>IFERROR(__xludf.DUMMYFUNCTION("""COMPUTED_VALUE"""),90.31)</f>
        <v>90.31</v>
      </c>
      <c r="F316" s="2">
        <f>IFERROR(__xludf.DUMMYFUNCTION("""COMPUTED_VALUE"""),6636276.0)</f>
        <v>6636276</v>
      </c>
    </row>
    <row r="317">
      <c r="A317" s="3">
        <f>IFERROR(__xludf.DUMMYFUNCTION("""COMPUTED_VALUE"""),37900.645833333336)</f>
        <v>37900.64583</v>
      </c>
      <c r="B317" s="2">
        <f>IFERROR(__xludf.DUMMYFUNCTION("""COMPUTED_VALUE"""),90.3)</f>
        <v>90.3</v>
      </c>
      <c r="C317" s="2">
        <f>IFERROR(__xludf.DUMMYFUNCTION("""COMPUTED_VALUE"""),92.57)</f>
        <v>92.57</v>
      </c>
      <c r="D317" s="2">
        <f>IFERROR(__xludf.DUMMYFUNCTION("""COMPUTED_VALUE"""),85.07)</f>
        <v>85.07</v>
      </c>
      <c r="E317" s="2">
        <f>IFERROR(__xludf.DUMMYFUNCTION("""COMPUTED_VALUE"""),92.11)</f>
        <v>92.11</v>
      </c>
      <c r="F317" s="2">
        <f>IFERROR(__xludf.DUMMYFUNCTION("""COMPUTED_VALUE"""),4881619.0)</f>
        <v>4881619</v>
      </c>
    </row>
    <row r="318">
      <c r="A318" s="3">
        <f>IFERROR(__xludf.DUMMYFUNCTION("""COMPUTED_VALUE"""),37901.645833333336)</f>
        <v>37901.64583</v>
      </c>
      <c r="B318" s="2">
        <f>IFERROR(__xludf.DUMMYFUNCTION("""COMPUTED_VALUE"""),92.21)</f>
        <v>92.21</v>
      </c>
      <c r="C318" s="2">
        <f>IFERROR(__xludf.DUMMYFUNCTION("""COMPUTED_VALUE"""),92.82)</f>
        <v>92.82</v>
      </c>
      <c r="D318" s="2">
        <f>IFERROR(__xludf.DUMMYFUNCTION("""COMPUTED_VALUE"""),90.63)</f>
        <v>90.63</v>
      </c>
      <c r="E318" s="2">
        <f>IFERROR(__xludf.DUMMYFUNCTION("""COMPUTED_VALUE"""),90.96)</f>
        <v>90.96</v>
      </c>
      <c r="F318" s="2">
        <f>IFERROR(__xludf.DUMMYFUNCTION("""COMPUTED_VALUE"""),5415584.0)</f>
        <v>5415584</v>
      </c>
    </row>
    <row r="319">
      <c r="A319" s="3">
        <f>IFERROR(__xludf.DUMMYFUNCTION("""COMPUTED_VALUE"""),37902.645833333336)</f>
        <v>37902.64583</v>
      </c>
      <c r="B319" s="2">
        <f>IFERROR(__xludf.DUMMYFUNCTION("""COMPUTED_VALUE"""),93.62)</f>
        <v>93.62</v>
      </c>
      <c r="C319" s="2">
        <f>IFERROR(__xludf.DUMMYFUNCTION("""COMPUTED_VALUE"""),93.62)</f>
        <v>93.62</v>
      </c>
      <c r="D319" s="2">
        <f>IFERROR(__xludf.DUMMYFUNCTION("""COMPUTED_VALUE"""),90.33)</f>
        <v>90.33</v>
      </c>
      <c r="E319" s="2">
        <f>IFERROR(__xludf.DUMMYFUNCTION("""COMPUTED_VALUE"""),91.66)</f>
        <v>91.66</v>
      </c>
      <c r="F319" s="2">
        <f>IFERROR(__xludf.DUMMYFUNCTION("""COMPUTED_VALUE"""),4604292.0)</f>
        <v>4604292</v>
      </c>
    </row>
    <row r="320">
      <c r="A320" s="3">
        <f>IFERROR(__xludf.DUMMYFUNCTION("""COMPUTED_VALUE"""),37903.645833333336)</f>
        <v>37903.64583</v>
      </c>
      <c r="B320" s="2">
        <f>IFERROR(__xludf.DUMMYFUNCTION("""COMPUTED_VALUE"""),92.41)</f>
        <v>92.41</v>
      </c>
      <c r="C320" s="2">
        <f>IFERROR(__xludf.DUMMYFUNCTION("""COMPUTED_VALUE"""),93.22)</f>
        <v>93.22</v>
      </c>
      <c r="D320" s="2">
        <f>IFERROR(__xludf.DUMMYFUNCTION("""COMPUTED_VALUE"""),91.02)</f>
        <v>91.02</v>
      </c>
      <c r="E320" s="2">
        <f>IFERROR(__xludf.DUMMYFUNCTION("""COMPUTED_VALUE"""),91.64)</f>
        <v>91.64</v>
      </c>
      <c r="F320" s="2">
        <f>IFERROR(__xludf.DUMMYFUNCTION("""COMPUTED_VALUE"""),5438028.0)</f>
        <v>5438028</v>
      </c>
    </row>
    <row r="321">
      <c r="A321" s="3">
        <f>IFERROR(__xludf.DUMMYFUNCTION("""COMPUTED_VALUE"""),37904.645833333336)</f>
        <v>37904.64583</v>
      </c>
      <c r="B321" s="2">
        <f>IFERROR(__xludf.DUMMYFUNCTION("""COMPUTED_VALUE"""),92.25)</f>
        <v>92.25</v>
      </c>
      <c r="C321" s="2">
        <f>IFERROR(__xludf.DUMMYFUNCTION("""COMPUTED_VALUE"""),95.03)</f>
        <v>95.03</v>
      </c>
      <c r="D321" s="2">
        <f>IFERROR(__xludf.DUMMYFUNCTION("""COMPUTED_VALUE"""),92.25)</f>
        <v>92.25</v>
      </c>
      <c r="E321" s="2">
        <f>IFERROR(__xludf.DUMMYFUNCTION("""COMPUTED_VALUE"""),94.81)</f>
        <v>94.81</v>
      </c>
      <c r="F321" s="2">
        <f>IFERROR(__xludf.DUMMYFUNCTION("""COMPUTED_VALUE"""),7664012.0)</f>
        <v>7664012</v>
      </c>
    </row>
    <row r="322">
      <c r="A322" s="3">
        <f>IFERROR(__xludf.DUMMYFUNCTION("""COMPUTED_VALUE"""),37907.645833333336)</f>
        <v>37907.64583</v>
      </c>
      <c r="B322" s="2">
        <f>IFERROR(__xludf.DUMMYFUNCTION("""COMPUTED_VALUE"""),94.8)</f>
        <v>94.8</v>
      </c>
      <c r="C322" s="2">
        <f>IFERROR(__xludf.DUMMYFUNCTION("""COMPUTED_VALUE"""),97.45)</f>
        <v>97.45</v>
      </c>
      <c r="D322" s="2">
        <f>IFERROR(__xludf.DUMMYFUNCTION("""COMPUTED_VALUE"""),93.72)</f>
        <v>93.72</v>
      </c>
      <c r="E322" s="2">
        <f>IFERROR(__xludf.DUMMYFUNCTION("""COMPUTED_VALUE"""),96.85)</f>
        <v>96.85</v>
      </c>
      <c r="F322" s="2">
        <f>IFERROR(__xludf.DUMMYFUNCTION("""COMPUTED_VALUE"""),5561367.0)</f>
        <v>5561367</v>
      </c>
    </row>
    <row r="323">
      <c r="A323" s="3">
        <f>IFERROR(__xludf.DUMMYFUNCTION("""COMPUTED_VALUE"""),37908.645833333336)</f>
        <v>37908.64583</v>
      </c>
      <c r="B323" s="2">
        <f>IFERROR(__xludf.DUMMYFUNCTION("""COMPUTED_VALUE"""),97.65)</f>
        <v>97.65</v>
      </c>
      <c r="C323" s="2">
        <f>IFERROR(__xludf.DUMMYFUNCTION("""COMPUTED_VALUE"""),98.23)</f>
        <v>98.23</v>
      </c>
      <c r="D323" s="2">
        <f>IFERROR(__xludf.DUMMYFUNCTION("""COMPUTED_VALUE"""),93.65)</f>
        <v>93.65</v>
      </c>
      <c r="E323" s="2">
        <f>IFERROR(__xludf.DUMMYFUNCTION("""COMPUTED_VALUE"""),94.28)</f>
        <v>94.28</v>
      </c>
      <c r="F323" s="2">
        <f>IFERROR(__xludf.DUMMYFUNCTION("""COMPUTED_VALUE"""),6071066.0)</f>
        <v>6071066</v>
      </c>
    </row>
    <row r="324">
      <c r="A324" s="3">
        <f>IFERROR(__xludf.DUMMYFUNCTION("""COMPUTED_VALUE"""),37909.645833333336)</f>
        <v>37909.64583</v>
      </c>
      <c r="B324" s="2">
        <f>IFERROR(__xludf.DUMMYFUNCTION("""COMPUTED_VALUE"""),94.46)</f>
        <v>94.46</v>
      </c>
      <c r="C324" s="2">
        <f>IFERROR(__xludf.DUMMYFUNCTION("""COMPUTED_VALUE"""),97.22)</f>
        <v>97.22</v>
      </c>
      <c r="D324" s="2">
        <f>IFERROR(__xludf.DUMMYFUNCTION("""COMPUTED_VALUE"""),93.89)</f>
        <v>93.89</v>
      </c>
      <c r="E324" s="2">
        <f>IFERROR(__xludf.DUMMYFUNCTION("""COMPUTED_VALUE"""),96.37)</f>
        <v>96.37</v>
      </c>
      <c r="F324" s="2">
        <f>IFERROR(__xludf.DUMMYFUNCTION("""COMPUTED_VALUE"""),6397161.0)</f>
        <v>6397161</v>
      </c>
    </row>
    <row r="325">
      <c r="A325" s="3">
        <f>IFERROR(__xludf.DUMMYFUNCTION("""COMPUTED_VALUE"""),37910.645833333336)</f>
        <v>37910.64583</v>
      </c>
      <c r="B325" s="2">
        <f>IFERROR(__xludf.DUMMYFUNCTION("""COMPUTED_VALUE"""),100.25)</f>
        <v>100.25</v>
      </c>
      <c r="C325" s="2">
        <f>IFERROR(__xludf.DUMMYFUNCTION("""COMPUTED_VALUE"""),100.25)</f>
        <v>100.25</v>
      </c>
      <c r="D325" s="2">
        <f>IFERROR(__xludf.DUMMYFUNCTION("""COMPUTED_VALUE"""),96.76)</f>
        <v>96.76</v>
      </c>
      <c r="E325" s="2">
        <f>IFERROR(__xludf.DUMMYFUNCTION("""COMPUTED_VALUE"""),98.36)</f>
        <v>98.36</v>
      </c>
      <c r="F325" s="2">
        <f>IFERROR(__xludf.DUMMYFUNCTION("""COMPUTED_VALUE"""),1.6486307E7)</f>
        <v>16486307</v>
      </c>
    </row>
    <row r="326">
      <c r="A326" s="3">
        <f>IFERROR(__xludf.DUMMYFUNCTION("""COMPUTED_VALUE"""),37911.645833333336)</f>
        <v>37911.64583</v>
      </c>
      <c r="B326" s="2">
        <f>IFERROR(__xludf.DUMMYFUNCTION("""COMPUTED_VALUE"""),98.05)</f>
        <v>98.05</v>
      </c>
      <c r="C326" s="2">
        <f>IFERROR(__xludf.DUMMYFUNCTION("""COMPUTED_VALUE"""),100.07)</f>
        <v>100.07</v>
      </c>
      <c r="D326" s="2">
        <f>IFERROR(__xludf.DUMMYFUNCTION("""COMPUTED_VALUE"""),97.78)</f>
        <v>97.78</v>
      </c>
      <c r="E326" s="2">
        <f>IFERROR(__xludf.DUMMYFUNCTION("""COMPUTED_VALUE"""),98.56)</f>
        <v>98.56</v>
      </c>
      <c r="F326" s="2">
        <f>IFERROR(__xludf.DUMMYFUNCTION("""COMPUTED_VALUE"""),6724539.0)</f>
        <v>6724539</v>
      </c>
    </row>
    <row r="327">
      <c r="A327" s="3">
        <f>IFERROR(__xludf.DUMMYFUNCTION("""COMPUTED_VALUE"""),37914.645833333336)</f>
        <v>37914.64583</v>
      </c>
      <c r="B327" s="2">
        <f>IFERROR(__xludf.DUMMYFUNCTION("""COMPUTED_VALUE"""),99.26)</f>
        <v>99.26</v>
      </c>
      <c r="C327" s="2">
        <f>IFERROR(__xludf.DUMMYFUNCTION("""COMPUTED_VALUE"""),99.66)</f>
        <v>99.66</v>
      </c>
      <c r="D327" s="2">
        <f>IFERROR(__xludf.DUMMYFUNCTION("""COMPUTED_VALUE"""),96.64)</f>
        <v>96.64</v>
      </c>
      <c r="E327" s="2">
        <f>IFERROR(__xludf.DUMMYFUNCTION("""COMPUTED_VALUE"""),97.0)</f>
        <v>97</v>
      </c>
      <c r="F327" s="2">
        <f>IFERROR(__xludf.DUMMYFUNCTION("""COMPUTED_VALUE"""),4479769.0)</f>
        <v>4479769</v>
      </c>
    </row>
    <row r="328">
      <c r="A328" s="3">
        <f>IFERROR(__xludf.DUMMYFUNCTION("""COMPUTED_VALUE"""),37915.645833333336)</f>
        <v>37915.64583</v>
      </c>
      <c r="B328" s="2">
        <f>IFERROR(__xludf.DUMMYFUNCTION("""COMPUTED_VALUE"""),97.65)</f>
        <v>97.65</v>
      </c>
      <c r="C328" s="2">
        <f>IFERROR(__xludf.DUMMYFUNCTION("""COMPUTED_VALUE"""),97.65)</f>
        <v>97.65</v>
      </c>
      <c r="D328" s="2">
        <f>IFERROR(__xludf.DUMMYFUNCTION("""COMPUTED_VALUE"""),93.52)</f>
        <v>93.52</v>
      </c>
      <c r="E328" s="2">
        <f>IFERROR(__xludf.DUMMYFUNCTION("""COMPUTED_VALUE"""),94.27)</f>
        <v>94.27</v>
      </c>
      <c r="F328" s="2">
        <f>IFERROR(__xludf.DUMMYFUNCTION("""COMPUTED_VALUE"""),6892959.0)</f>
        <v>6892959</v>
      </c>
    </row>
    <row r="329">
      <c r="A329" s="3">
        <f>IFERROR(__xludf.DUMMYFUNCTION("""COMPUTED_VALUE"""),37916.645833333336)</f>
        <v>37916.64583</v>
      </c>
      <c r="B329" s="2">
        <f>IFERROR(__xludf.DUMMYFUNCTION("""COMPUTED_VALUE"""),92.67)</f>
        <v>92.67</v>
      </c>
      <c r="C329" s="2">
        <f>IFERROR(__xludf.DUMMYFUNCTION("""COMPUTED_VALUE"""),95.51)</f>
        <v>95.51</v>
      </c>
      <c r="D329" s="2">
        <f>IFERROR(__xludf.DUMMYFUNCTION("""COMPUTED_VALUE"""),92.67)</f>
        <v>92.67</v>
      </c>
      <c r="E329" s="2">
        <f>IFERROR(__xludf.DUMMYFUNCTION("""COMPUTED_VALUE"""),94.41)</f>
        <v>94.41</v>
      </c>
      <c r="F329" s="2">
        <f>IFERROR(__xludf.DUMMYFUNCTION("""COMPUTED_VALUE"""),5518654.0)</f>
        <v>5518654</v>
      </c>
    </row>
    <row r="330">
      <c r="A330" s="3">
        <f>IFERROR(__xludf.DUMMYFUNCTION("""COMPUTED_VALUE"""),37917.645833333336)</f>
        <v>37917.64583</v>
      </c>
      <c r="B330" s="2">
        <f>IFERROR(__xludf.DUMMYFUNCTION("""COMPUTED_VALUE"""),94.59)</f>
        <v>94.59</v>
      </c>
      <c r="C330" s="2">
        <f>IFERROR(__xludf.DUMMYFUNCTION("""COMPUTED_VALUE"""),94.63)</f>
        <v>94.63</v>
      </c>
      <c r="D330" s="2">
        <f>IFERROR(__xludf.DUMMYFUNCTION("""COMPUTED_VALUE"""),91.83)</f>
        <v>91.83</v>
      </c>
      <c r="E330" s="2">
        <f>IFERROR(__xludf.DUMMYFUNCTION("""COMPUTED_VALUE"""),92.37)</f>
        <v>92.37</v>
      </c>
      <c r="F330" s="2">
        <f>IFERROR(__xludf.DUMMYFUNCTION("""COMPUTED_VALUE"""),5879520.0)</f>
        <v>5879520</v>
      </c>
    </row>
    <row r="331">
      <c r="A331" s="3">
        <f>IFERROR(__xludf.DUMMYFUNCTION("""COMPUTED_VALUE"""),37918.645833333336)</f>
        <v>37918.64583</v>
      </c>
      <c r="B331" s="2">
        <f>IFERROR(__xludf.DUMMYFUNCTION("""COMPUTED_VALUE"""),74.49)</f>
        <v>74.49</v>
      </c>
      <c r="C331" s="2">
        <f>IFERROR(__xludf.DUMMYFUNCTION("""COMPUTED_VALUE"""),95.43)</f>
        <v>95.43</v>
      </c>
      <c r="D331" s="2">
        <f>IFERROR(__xludf.DUMMYFUNCTION("""COMPUTED_VALUE"""),74.49)</f>
        <v>74.49</v>
      </c>
      <c r="E331" s="2">
        <f>IFERROR(__xludf.DUMMYFUNCTION("""COMPUTED_VALUE"""),94.76)</f>
        <v>94.76</v>
      </c>
      <c r="F331" s="2">
        <f>IFERROR(__xludf.DUMMYFUNCTION("""COMPUTED_VALUE"""),6294240.0)</f>
        <v>6294240</v>
      </c>
    </row>
    <row r="332">
      <c r="A332" s="3">
        <f>IFERROR(__xludf.DUMMYFUNCTION("""COMPUTED_VALUE"""),37921.645833333336)</f>
        <v>37921.64583</v>
      </c>
      <c r="B332" s="2">
        <f>IFERROR(__xludf.DUMMYFUNCTION("""COMPUTED_VALUE"""),95.63)</f>
        <v>95.63</v>
      </c>
      <c r="C332" s="2">
        <f>IFERROR(__xludf.DUMMYFUNCTION("""COMPUTED_VALUE"""),95.84)</f>
        <v>95.84</v>
      </c>
      <c r="D332" s="2">
        <f>IFERROR(__xludf.DUMMYFUNCTION("""COMPUTED_VALUE"""),92.04)</f>
        <v>92.04</v>
      </c>
      <c r="E332" s="2">
        <f>IFERROR(__xludf.DUMMYFUNCTION("""COMPUTED_VALUE"""),92.41)</f>
        <v>92.41</v>
      </c>
      <c r="F332" s="2">
        <f>IFERROR(__xludf.DUMMYFUNCTION("""COMPUTED_VALUE"""),4982452.0)</f>
        <v>4982452</v>
      </c>
    </row>
    <row r="333">
      <c r="A333" s="3">
        <f>IFERROR(__xludf.DUMMYFUNCTION("""COMPUTED_VALUE"""),37922.645833333336)</f>
        <v>37922.64583</v>
      </c>
      <c r="B333" s="2">
        <f>IFERROR(__xludf.DUMMYFUNCTION("""COMPUTED_VALUE"""),92.61)</f>
        <v>92.61</v>
      </c>
      <c r="C333" s="2">
        <f>IFERROR(__xludf.DUMMYFUNCTION("""COMPUTED_VALUE"""),94.63)</f>
        <v>94.63</v>
      </c>
      <c r="D333" s="2">
        <f>IFERROR(__xludf.DUMMYFUNCTION("""COMPUTED_VALUE"""),92.21)</f>
        <v>92.21</v>
      </c>
      <c r="E333" s="2">
        <f>IFERROR(__xludf.DUMMYFUNCTION("""COMPUTED_VALUE"""),93.48)</f>
        <v>93.48</v>
      </c>
      <c r="F333" s="2">
        <f>IFERROR(__xludf.DUMMYFUNCTION("""COMPUTED_VALUE"""),7426937.0)</f>
        <v>7426937</v>
      </c>
    </row>
    <row r="334">
      <c r="A334" s="3">
        <f>IFERROR(__xludf.DUMMYFUNCTION("""COMPUTED_VALUE"""),37923.645833333336)</f>
        <v>37923.64583</v>
      </c>
      <c r="B334" s="2">
        <f>IFERROR(__xludf.DUMMYFUNCTION("""COMPUTED_VALUE"""),94.07)</f>
        <v>94.07</v>
      </c>
      <c r="C334" s="2">
        <f>IFERROR(__xludf.DUMMYFUNCTION("""COMPUTED_VALUE"""),95.63)</f>
        <v>95.63</v>
      </c>
      <c r="D334" s="2">
        <f>IFERROR(__xludf.DUMMYFUNCTION("""COMPUTED_VALUE"""),93.12)</f>
        <v>93.12</v>
      </c>
      <c r="E334" s="2">
        <f>IFERROR(__xludf.DUMMYFUNCTION("""COMPUTED_VALUE"""),95.11)</f>
        <v>95.11</v>
      </c>
      <c r="F334" s="2">
        <f>IFERROR(__xludf.DUMMYFUNCTION("""COMPUTED_VALUE"""),4037719.0)</f>
        <v>4037719</v>
      </c>
    </row>
    <row r="335">
      <c r="A335" s="3">
        <f>IFERROR(__xludf.DUMMYFUNCTION("""COMPUTED_VALUE"""),37924.645833333336)</f>
        <v>37924.64583</v>
      </c>
      <c r="B335" s="2">
        <f>IFERROR(__xludf.DUMMYFUNCTION("""COMPUTED_VALUE"""),94.74)</f>
        <v>94.74</v>
      </c>
      <c r="C335" s="2">
        <f>IFERROR(__xludf.DUMMYFUNCTION("""COMPUTED_VALUE"""),96.64)</f>
        <v>96.64</v>
      </c>
      <c r="D335" s="2">
        <f>IFERROR(__xludf.DUMMYFUNCTION("""COMPUTED_VALUE"""),94.35)</f>
        <v>94.35</v>
      </c>
      <c r="E335" s="2">
        <f>IFERROR(__xludf.DUMMYFUNCTION("""COMPUTED_VALUE"""),96.05)</f>
        <v>96.05</v>
      </c>
      <c r="F335" s="2">
        <f>IFERROR(__xludf.DUMMYFUNCTION("""COMPUTED_VALUE"""),4701112.0)</f>
        <v>4701112</v>
      </c>
    </row>
    <row r="336">
      <c r="A336" s="3">
        <f>IFERROR(__xludf.DUMMYFUNCTION("""COMPUTED_VALUE"""),37925.645833333336)</f>
        <v>37925.64583</v>
      </c>
      <c r="B336" s="2">
        <f>IFERROR(__xludf.DUMMYFUNCTION("""COMPUTED_VALUE"""),96.64)</f>
        <v>96.64</v>
      </c>
      <c r="C336" s="2">
        <f>IFERROR(__xludf.DUMMYFUNCTION("""COMPUTED_VALUE"""),98.2)</f>
        <v>98.2</v>
      </c>
      <c r="D336" s="2">
        <f>IFERROR(__xludf.DUMMYFUNCTION("""COMPUTED_VALUE"""),96.26)</f>
        <v>96.26</v>
      </c>
      <c r="E336" s="2">
        <f>IFERROR(__xludf.DUMMYFUNCTION("""COMPUTED_VALUE"""),97.94)</f>
        <v>97.94</v>
      </c>
      <c r="F336" s="2">
        <f>IFERROR(__xludf.DUMMYFUNCTION("""COMPUTED_VALUE"""),4718758.0)</f>
        <v>4718758</v>
      </c>
    </row>
    <row r="337">
      <c r="A337" s="3">
        <f>IFERROR(__xludf.DUMMYFUNCTION("""COMPUTED_VALUE"""),37928.645833333336)</f>
        <v>37928.64583</v>
      </c>
      <c r="B337" s="2">
        <f>IFERROR(__xludf.DUMMYFUNCTION("""COMPUTED_VALUE"""),98.04)</f>
        <v>98.04</v>
      </c>
      <c r="C337" s="2">
        <f>IFERROR(__xludf.DUMMYFUNCTION("""COMPUTED_VALUE"""),100.85)</f>
        <v>100.85</v>
      </c>
      <c r="D337" s="2">
        <f>IFERROR(__xludf.DUMMYFUNCTION("""COMPUTED_VALUE"""),98.04)</f>
        <v>98.04</v>
      </c>
      <c r="E337" s="2">
        <f>IFERROR(__xludf.DUMMYFUNCTION("""COMPUTED_VALUE"""),100.29)</f>
        <v>100.29</v>
      </c>
      <c r="F337" s="2">
        <f>IFERROR(__xludf.DUMMYFUNCTION("""COMPUTED_VALUE"""),8769709.0)</f>
        <v>8769709</v>
      </c>
    </row>
    <row r="338">
      <c r="A338" s="3">
        <f>IFERROR(__xludf.DUMMYFUNCTION("""COMPUTED_VALUE"""),37929.645833333336)</f>
        <v>37929.64583</v>
      </c>
      <c r="B338" s="2">
        <f>IFERROR(__xludf.DUMMYFUNCTION("""COMPUTED_VALUE"""),101.09)</f>
        <v>101.09</v>
      </c>
      <c r="C338" s="2">
        <f>IFERROR(__xludf.DUMMYFUNCTION("""COMPUTED_VALUE"""),101.88)</f>
        <v>101.88</v>
      </c>
      <c r="D338" s="2">
        <f>IFERROR(__xludf.DUMMYFUNCTION("""COMPUTED_VALUE"""),98.08)</f>
        <v>98.08</v>
      </c>
      <c r="E338" s="2">
        <f>IFERROR(__xludf.DUMMYFUNCTION("""COMPUTED_VALUE"""),98.96)</f>
        <v>98.96</v>
      </c>
      <c r="F338" s="2">
        <f>IFERROR(__xludf.DUMMYFUNCTION("""COMPUTED_VALUE"""),7882729.0)</f>
        <v>7882729</v>
      </c>
    </row>
    <row r="339">
      <c r="A339" s="3">
        <f>IFERROR(__xludf.DUMMYFUNCTION("""COMPUTED_VALUE"""),37930.645833333336)</f>
        <v>37930.64583</v>
      </c>
      <c r="B339" s="2">
        <f>IFERROR(__xludf.DUMMYFUNCTION("""COMPUTED_VALUE"""),98.05)</f>
        <v>98.05</v>
      </c>
      <c r="C339" s="2">
        <f>IFERROR(__xludf.DUMMYFUNCTION("""COMPUTED_VALUE"""),99.48)</f>
        <v>99.48</v>
      </c>
      <c r="D339" s="2">
        <f>IFERROR(__xludf.DUMMYFUNCTION("""COMPUTED_VALUE"""),96.74)</f>
        <v>96.74</v>
      </c>
      <c r="E339" s="2">
        <f>IFERROR(__xludf.DUMMYFUNCTION("""COMPUTED_VALUE"""),98.37)</f>
        <v>98.37</v>
      </c>
      <c r="F339" s="2">
        <f>IFERROR(__xludf.DUMMYFUNCTION("""COMPUTED_VALUE"""),6506879.0)</f>
        <v>6506879</v>
      </c>
    </row>
    <row r="340">
      <c r="A340" s="3">
        <f>IFERROR(__xludf.DUMMYFUNCTION("""COMPUTED_VALUE"""),37931.645833333336)</f>
        <v>37931.64583</v>
      </c>
      <c r="B340" s="2">
        <f>IFERROR(__xludf.DUMMYFUNCTION("""COMPUTED_VALUE"""),99.06)</f>
        <v>99.06</v>
      </c>
      <c r="C340" s="2">
        <f>IFERROR(__xludf.DUMMYFUNCTION("""COMPUTED_VALUE"""),100.97)</f>
        <v>100.97</v>
      </c>
      <c r="D340" s="2">
        <f>IFERROR(__xludf.DUMMYFUNCTION("""COMPUTED_VALUE"""),98.47)</f>
        <v>98.47</v>
      </c>
      <c r="E340" s="2">
        <f>IFERROR(__xludf.DUMMYFUNCTION("""COMPUTED_VALUE"""),99.23)</f>
        <v>99.23</v>
      </c>
      <c r="F340" s="2">
        <f>IFERROR(__xludf.DUMMYFUNCTION("""COMPUTED_VALUE"""),9589862.0)</f>
        <v>9589862</v>
      </c>
    </row>
    <row r="341">
      <c r="A341" s="3">
        <f>IFERROR(__xludf.DUMMYFUNCTION("""COMPUTED_VALUE"""),37932.645833333336)</f>
        <v>37932.64583</v>
      </c>
      <c r="B341" s="2">
        <f>IFERROR(__xludf.DUMMYFUNCTION("""COMPUTED_VALUE"""),99.37)</f>
        <v>99.37</v>
      </c>
      <c r="C341" s="2">
        <f>IFERROR(__xludf.DUMMYFUNCTION("""COMPUTED_VALUE"""),100.04)</f>
        <v>100.04</v>
      </c>
      <c r="D341" s="2">
        <f>IFERROR(__xludf.DUMMYFUNCTION("""COMPUTED_VALUE"""),96.58)</f>
        <v>96.58</v>
      </c>
      <c r="E341" s="2">
        <f>IFERROR(__xludf.DUMMYFUNCTION("""COMPUTED_VALUE"""),97.07)</f>
        <v>97.07</v>
      </c>
      <c r="F341" s="2">
        <f>IFERROR(__xludf.DUMMYFUNCTION("""COMPUTED_VALUE"""),5214906.0)</f>
        <v>5214906</v>
      </c>
    </row>
    <row r="342">
      <c r="A342" s="3">
        <f>IFERROR(__xludf.DUMMYFUNCTION("""COMPUTED_VALUE"""),37935.645833333336)</f>
        <v>37935.64583</v>
      </c>
      <c r="B342" s="2">
        <f>IFERROR(__xludf.DUMMYFUNCTION("""COMPUTED_VALUE"""),102.68)</f>
        <v>102.68</v>
      </c>
      <c r="C342" s="2">
        <f>IFERROR(__xludf.DUMMYFUNCTION("""COMPUTED_VALUE"""),102.68)</f>
        <v>102.68</v>
      </c>
      <c r="D342" s="2">
        <f>IFERROR(__xludf.DUMMYFUNCTION("""COMPUTED_VALUE"""),94.85)</f>
        <v>94.85</v>
      </c>
      <c r="E342" s="2">
        <f>IFERROR(__xludf.DUMMYFUNCTION("""COMPUTED_VALUE"""),97.23)</f>
        <v>97.23</v>
      </c>
      <c r="F342" s="2">
        <f>IFERROR(__xludf.DUMMYFUNCTION("""COMPUTED_VALUE"""),3943629.0)</f>
        <v>3943629</v>
      </c>
    </row>
    <row r="343">
      <c r="A343" s="3">
        <f>IFERROR(__xludf.DUMMYFUNCTION("""COMPUTED_VALUE"""),37936.645833333336)</f>
        <v>37936.64583</v>
      </c>
      <c r="B343" s="2">
        <f>IFERROR(__xludf.DUMMYFUNCTION("""COMPUTED_VALUE"""),96.67)</f>
        <v>96.67</v>
      </c>
      <c r="C343" s="2">
        <f>IFERROR(__xludf.DUMMYFUNCTION("""COMPUTED_VALUE"""),97.65)</f>
        <v>97.65</v>
      </c>
      <c r="D343" s="2">
        <f>IFERROR(__xludf.DUMMYFUNCTION("""COMPUTED_VALUE"""),95.76)</f>
        <v>95.76</v>
      </c>
      <c r="E343" s="2">
        <f>IFERROR(__xludf.DUMMYFUNCTION("""COMPUTED_VALUE"""),96.77)</f>
        <v>96.77</v>
      </c>
      <c r="F343" s="2">
        <f>IFERROR(__xludf.DUMMYFUNCTION("""COMPUTED_VALUE"""),4570877.0)</f>
        <v>4570877</v>
      </c>
    </row>
    <row r="344">
      <c r="A344" s="3">
        <f>IFERROR(__xludf.DUMMYFUNCTION("""COMPUTED_VALUE"""),37937.645833333336)</f>
        <v>37937.64583</v>
      </c>
      <c r="B344" s="2">
        <f>IFERROR(__xludf.DUMMYFUNCTION("""COMPUTED_VALUE"""),98.65)</f>
        <v>98.65</v>
      </c>
      <c r="C344" s="2">
        <f>IFERROR(__xludf.DUMMYFUNCTION("""COMPUTED_VALUE"""),98.95)</f>
        <v>98.95</v>
      </c>
      <c r="D344" s="2">
        <f>IFERROR(__xludf.DUMMYFUNCTION("""COMPUTED_VALUE"""),97.06)</f>
        <v>97.06</v>
      </c>
      <c r="E344" s="2">
        <f>IFERROR(__xludf.DUMMYFUNCTION("""COMPUTED_VALUE"""),97.46)</f>
        <v>97.46</v>
      </c>
      <c r="F344" s="2">
        <f>IFERROR(__xludf.DUMMYFUNCTION("""COMPUTED_VALUE"""),5669505.0)</f>
        <v>5669505</v>
      </c>
    </row>
    <row r="345">
      <c r="A345" s="3">
        <f>IFERROR(__xludf.DUMMYFUNCTION("""COMPUTED_VALUE"""),37938.645833333336)</f>
        <v>37938.64583</v>
      </c>
      <c r="B345" s="2">
        <f>IFERROR(__xludf.DUMMYFUNCTION("""COMPUTED_VALUE"""),100.65)</f>
        <v>100.65</v>
      </c>
      <c r="C345" s="2">
        <f>IFERROR(__xludf.DUMMYFUNCTION("""COMPUTED_VALUE"""),100.65)</f>
        <v>100.65</v>
      </c>
      <c r="D345" s="2">
        <f>IFERROR(__xludf.DUMMYFUNCTION("""COMPUTED_VALUE"""),95.85)</f>
        <v>95.85</v>
      </c>
      <c r="E345" s="2">
        <f>IFERROR(__xludf.DUMMYFUNCTION("""COMPUTED_VALUE"""),96.21)</f>
        <v>96.21</v>
      </c>
      <c r="F345" s="2">
        <f>IFERROR(__xludf.DUMMYFUNCTION("""COMPUTED_VALUE"""),4587227.0)</f>
        <v>4587227</v>
      </c>
    </row>
    <row r="346">
      <c r="A346" s="3">
        <f>IFERROR(__xludf.DUMMYFUNCTION("""COMPUTED_VALUE"""),37939.645833333336)</f>
        <v>37939.64583</v>
      </c>
      <c r="B346" s="2">
        <f>IFERROR(__xludf.DUMMYFUNCTION("""COMPUTED_VALUE"""),94.88)</f>
        <v>94.88</v>
      </c>
      <c r="C346" s="2">
        <f>IFERROR(__xludf.DUMMYFUNCTION("""COMPUTED_VALUE"""),95.63)</f>
        <v>95.63</v>
      </c>
      <c r="D346" s="2">
        <f>IFERROR(__xludf.DUMMYFUNCTION("""COMPUTED_VALUE"""),93.06)</f>
        <v>93.06</v>
      </c>
      <c r="E346" s="2">
        <f>IFERROR(__xludf.DUMMYFUNCTION("""COMPUTED_VALUE"""),93.6)</f>
        <v>93.6</v>
      </c>
      <c r="F346" s="2">
        <f>IFERROR(__xludf.DUMMYFUNCTION("""COMPUTED_VALUE"""),5850660.0)</f>
        <v>5850660</v>
      </c>
    </row>
    <row r="347">
      <c r="A347" s="3">
        <f>IFERROR(__xludf.DUMMYFUNCTION("""COMPUTED_VALUE"""),37942.645833333336)</f>
        <v>37942.64583</v>
      </c>
      <c r="B347" s="2">
        <f>IFERROR(__xludf.DUMMYFUNCTION("""COMPUTED_VALUE"""),94.05)</f>
        <v>94.05</v>
      </c>
      <c r="C347" s="2">
        <f>IFERROR(__xludf.DUMMYFUNCTION("""COMPUTED_VALUE"""),96.12)</f>
        <v>96.12</v>
      </c>
      <c r="D347" s="2">
        <f>IFERROR(__xludf.DUMMYFUNCTION("""COMPUTED_VALUE"""),93.62)</f>
        <v>93.62</v>
      </c>
      <c r="E347" s="2">
        <f>IFERROR(__xludf.DUMMYFUNCTION("""COMPUTED_VALUE"""),95.63)</f>
        <v>95.63</v>
      </c>
      <c r="F347" s="2">
        <f>IFERROR(__xludf.DUMMYFUNCTION("""COMPUTED_VALUE"""),5284715.0)</f>
        <v>5284715</v>
      </c>
    </row>
    <row r="348">
      <c r="A348" s="3">
        <f>IFERROR(__xludf.DUMMYFUNCTION("""COMPUTED_VALUE"""),37943.645833333336)</f>
        <v>37943.64583</v>
      </c>
      <c r="B348" s="2">
        <f>IFERROR(__xludf.DUMMYFUNCTION("""COMPUTED_VALUE"""),95.16)</f>
        <v>95.16</v>
      </c>
      <c r="C348" s="2">
        <f>IFERROR(__xludf.DUMMYFUNCTION("""COMPUTED_VALUE"""),95.99)</f>
        <v>95.99</v>
      </c>
      <c r="D348" s="2">
        <f>IFERROR(__xludf.DUMMYFUNCTION("""COMPUTED_VALUE"""),93.62)</f>
        <v>93.62</v>
      </c>
      <c r="E348" s="2">
        <f>IFERROR(__xludf.DUMMYFUNCTION("""COMPUTED_VALUE"""),93.82)</f>
        <v>93.82</v>
      </c>
      <c r="F348" s="2">
        <f>IFERROR(__xludf.DUMMYFUNCTION("""COMPUTED_VALUE"""),3709555.0)</f>
        <v>3709555</v>
      </c>
    </row>
    <row r="349">
      <c r="A349" s="3">
        <f>IFERROR(__xludf.DUMMYFUNCTION("""COMPUTED_VALUE"""),37944.645833333336)</f>
        <v>37944.64583</v>
      </c>
      <c r="B349" s="2">
        <f>IFERROR(__xludf.DUMMYFUNCTION("""COMPUTED_VALUE"""),93.45)</f>
        <v>93.45</v>
      </c>
      <c r="C349" s="2">
        <f>IFERROR(__xludf.DUMMYFUNCTION("""COMPUTED_VALUE"""),93.97)</f>
        <v>93.97</v>
      </c>
      <c r="D349" s="2">
        <f>IFERROR(__xludf.DUMMYFUNCTION("""COMPUTED_VALUE"""),92.33)</f>
        <v>92.33</v>
      </c>
      <c r="E349" s="2">
        <f>IFERROR(__xludf.DUMMYFUNCTION("""COMPUTED_VALUE"""),92.94)</f>
        <v>92.94</v>
      </c>
      <c r="F349" s="2">
        <f>IFERROR(__xludf.DUMMYFUNCTION("""COMPUTED_VALUE"""),5303106.0)</f>
        <v>5303106</v>
      </c>
    </row>
    <row r="350">
      <c r="A350" s="3">
        <f>IFERROR(__xludf.DUMMYFUNCTION("""COMPUTED_VALUE"""),37945.645833333336)</f>
        <v>37945.64583</v>
      </c>
      <c r="B350" s="2">
        <f>IFERROR(__xludf.DUMMYFUNCTION("""COMPUTED_VALUE"""),93.04)</f>
        <v>93.04</v>
      </c>
      <c r="C350" s="2">
        <f>IFERROR(__xludf.DUMMYFUNCTION("""COMPUTED_VALUE"""),93.8)</f>
        <v>93.8</v>
      </c>
      <c r="D350" s="2">
        <f>IFERROR(__xludf.DUMMYFUNCTION("""COMPUTED_VALUE"""),90.4)</f>
        <v>90.4</v>
      </c>
      <c r="E350" s="2">
        <f>IFERROR(__xludf.DUMMYFUNCTION("""COMPUTED_VALUE"""),90.76)</f>
        <v>90.76</v>
      </c>
      <c r="F350" s="2">
        <f>IFERROR(__xludf.DUMMYFUNCTION("""COMPUTED_VALUE"""),4513877.0)</f>
        <v>4513877</v>
      </c>
    </row>
    <row r="351">
      <c r="A351" s="3">
        <f>IFERROR(__xludf.DUMMYFUNCTION("""COMPUTED_VALUE"""),37946.645833333336)</f>
        <v>37946.64583</v>
      </c>
      <c r="B351" s="2">
        <f>IFERROR(__xludf.DUMMYFUNCTION("""COMPUTED_VALUE"""),89.84)</f>
        <v>89.84</v>
      </c>
      <c r="C351" s="2">
        <f>IFERROR(__xludf.DUMMYFUNCTION("""COMPUTED_VALUE"""),93.0)</f>
        <v>93</v>
      </c>
      <c r="D351" s="2">
        <f>IFERROR(__xludf.DUMMYFUNCTION("""COMPUTED_VALUE"""),89.84)</f>
        <v>89.84</v>
      </c>
      <c r="E351" s="2">
        <f>IFERROR(__xludf.DUMMYFUNCTION("""COMPUTED_VALUE"""),92.5)</f>
        <v>92.5</v>
      </c>
      <c r="F351" s="2">
        <f>IFERROR(__xludf.DUMMYFUNCTION("""COMPUTED_VALUE"""),6034467.0)</f>
        <v>6034467</v>
      </c>
    </row>
    <row r="352">
      <c r="A352" s="3">
        <f>IFERROR(__xludf.DUMMYFUNCTION("""COMPUTED_VALUE"""),37949.645833333336)</f>
        <v>37949.64583</v>
      </c>
      <c r="B352" s="2">
        <f>IFERROR(__xludf.DUMMYFUNCTION("""COMPUTED_VALUE"""),92.99)</f>
        <v>92.99</v>
      </c>
      <c r="C352" s="2">
        <f>IFERROR(__xludf.DUMMYFUNCTION("""COMPUTED_VALUE"""),93.22)</f>
        <v>93.22</v>
      </c>
      <c r="D352" s="2">
        <f>IFERROR(__xludf.DUMMYFUNCTION("""COMPUTED_VALUE"""),91.43)</f>
        <v>91.43</v>
      </c>
      <c r="E352" s="2">
        <f>IFERROR(__xludf.DUMMYFUNCTION("""COMPUTED_VALUE"""),91.79)</f>
        <v>91.79</v>
      </c>
      <c r="F352" s="2">
        <f>IFERROR(__xludf.DUMMYFUNCTION("""COMPUTED_VALUE"""),3139596.0)</f>
        <v>3139596</v>
      </c>
    </row>
    <row r="353">
      <c r="A353" s="3">
        <f>IFERROR(__xludf.DUMMYFUNCTION("""COMPUTED_VALUE"""),37950.645833333336)</f>
        <v>37950.64583</v>
      </c>
      <c r="B353" s="2">
        <f>IFERROR(__xludf.DUMMYFUNCTION("""COMPUTED_VALUE"""),91.81)</f>
        <v>91.81</v>
      </c>
      <c r="C353" s="2">
        <f>IFERROR(__xludf.DUMMYFUNCTION("""COMPUTED_VALUE"""),94.41)</f>
        <v>94.41</v>
      </c>
      <c r="D353" s="2">
        <f>IFERROR(__xludf.DUMMYFUNCTION("""COMPUTED_VALUE"""),91.81)</f>
        <v>91.81</v>
      </c>
      <c r="E353" s="2">
        <f>IFERROR(__xludf.DUMMYFUNCTION("""COMPUTED_VALUE"""),94.04)</f>
        <v>94.04</v>
      </c>
      <c r="F353" s="2">
        <f>IFERROR(__xludf.DUMMYFUNCTION("""COMPUTED_VALUE"""),4945760.0)</f>
        <v>4945760</v>
      </c>
    </row>
    <row r="354">
      <c r="A354" s="3">
        <f>IFERROR(__xludf.DUMMYFUNCTION("""COMPUTED_VALUE"""),37952.645833333336)</f>
        <v>37952.64583</v>
      </c>
      <c r="B354" s="2">
        <f>IFERROR(__xludf.DUMMYFUNCTION("""COMPUTED_VALUE"""),94.05)</f>
        <v>94.05</v>
      </c>
      <c r="C354" s="2">
        <f>IFERROR(__xludf.DUMMYFUNCTION("""COMPUTED_VALUE"""),96.7)</f>
        <v>96.7</v>
      </c>
      <c r="D354" s="2">
        <f>IFERROR(__xludf.DUMMYFUNCTION("""COMPUTED_VALUE"""),94.05)</f>
        <v>94.05</v>
      </c>
      <c r="E354" s="2">
        <f>IFERROR(__xludf.DUMMYFUNCTION("""COMPUTED_VALUE"""),95.88)</f>
        <v>95.88</v>
      </c>
      <c r="F354" s="2">
        <f>IFERROR(__xludf.DUMMYFUNCTION("""COMPUTED_VALUE"""),7246806.0)</f>
        <v>7246806</v>
      </c>
    </row>
    <row r="355">
      <c r="A355" s="3">
        <f>IFERROR(__xludf.DUMMYFUNCTION("""COMPUTED_VALUE"""),37953.645833333336)</f>
        <v>37953.64583</v>
      </c>
      <c r="B355" s="2">
        <f>IFERROR(__xludf.DUMMYFUNCTION("""COMPUTED_VALUE"""),96.04)</f>
        <v>96.04</v>
      </c>
      <c r="C355" s="2">
        <f>IFERROR(__xludf.DUMMYFUNCTION("""COMPUTED_VALUE"""),98.63)</f>
        <v>98.63</v>
      </c>
      <c r="D355" s="2">
        <f>IFERROR(__xludf.DUMMYFUNCTION("""COMPUTED_VALUE"""),96.04)</f>
        <v>96.04</v>
      </c>
      <c r="E355" s="2">
        <f>IFERROR(__xludf.DUMMYFUNCTION("""COMPUTED_VALUE"""),98.06)</f>
        <v>98.06</v>
      </c>
      <c r="F355" s="2">
        <f>IFERROR(__xludf.DUMMYFUNCTION("""COMPUTED_VALUE"""),5419378.0)</f>
        <v>5419378</v>
      </c>
    </row>
    <row r="356">
      <c r="A356" s="3">
        <f>IFERROR(__xludf.DUMMYFUNCTION("""COMPUTED_VALUE"""),37956.645833333336)</f>
        <v>37956.64583</v>
      </c>
      <c r="B356" s="2">
        <f>IFERROR(__xludf.DUMMYFUNCTION("""COMPUTED_VALUE"""),98.68)</f>
        <v>98.68</v>
      </c>
      <c r="C356" s="2">
        <f>IFERROR(__xludf.DUMMYFUNCTION("""COMPUTED_VALUE"""),99.62)</f>
        <v>99.62</v>
      </c>
      <c r="D356" s="2">
        <f>IFERROR(__xludf.DUMMYFUNCTION("""COMPUTED_VALUE"""),98.27)</f>
        <v>98.27</v>
      </c>
      <c r="E356" s="2">
        <f>IFERROR(__xludf.DUMMYFUNCTION("""COMPUTED_VALUE"""),99.11)</f>
        <v>99.11</v>
      </c>
      <c r="F356" s="2">
        <f>IFERROR(__xludf.DUMMYFUNCTION("""COMPUTED_VALUE"""),4123682.0)</f>
        <v>4123682</v>
      </c>
    </row>
    <row r="357">
      <c r="A357" s="3">
        <f>IFERROR(__xludf.DUMMYFUNCTION("""COMPUTED_VALUE"""),37957.645833333336)</f>
        <v>37957.64583</v>
      </c>
      <c r="B357" s="2">
        <f>IFERROR(__xludf.DUMMYFUNCTION("""COMPUTED_VALUE"""),99.29)</f>
        <v>99.29</v>
      </c>
      <c r="C357" s="2">
        <f>IFERROR(__xludf.DUMMYFUNCTION("""COMPUTED_VALUE"""),101.67)</f>
        <v>101.67</v>
      </c>
      <c r="D357" s="2">
        <f>IFERROR(__xludf.DUMMYFUNCTION("""COMPUTED_VALUE"""),97.81)</f>
        <v>97.81</v>
      </c>
      <c r="E357" s="2">
        <f>IFERROR(__xludf.DUMMYFUNCTION("""COMPUTED_VALUE"""),100.59)</f>
        <v>100.59</v>
      </c>
      <c r="F357" s="2">
        <f>IFERROR(__xludf.DUMMYFUNCTION("""COMPUTED_VALUE"""),6277005.0)</f>
        <v>6277005</v>
      </c>
    </row>
    <row r="358">
      <c r="A358" s="3">
        <f>IFERROR(__xludf.DUMMYFUNCTION("""COMPUTED_VALUE"""),37958.645833333336)</f>
        <v>37958.64583</v>
      </c>
      <c r="B358" s="2">
        <f>IFERROR(__xludf.DUMMYFUNCTION("""COMPUTED_VALUE"""),101.67)</f>
        <v>101.67</v>
      </c>
      <c r="C358" s="2">
        <f>IFERROR(__xludf.DUMMYFUNCTION("""COMPUTED_VALUE"""),101.67)</f>
        <v>101.67</v>
      </c>
      <c r="D358" s="2">
        <f>IFERROR(__xludf.DUMMYFUNCTION("""COMPUTED_VALUE"""),99.23)</f>
        <v>99.23</v>
      </c>
      <c r="E358" s="2">
        <f>IFERROR(__xludf.DUMMYFUNCTION("""COMPUTED_VALUE"""),100.25)</f>
        <v>100.25</v>
      </c>
      <c r="F358" s="2">
        <f>IFERROR(__xludf.DUMMYFUNCTION("""COMPUTED_VALUE"""),8420259.0)</f>
        <v>8420259</v>
      </c>
    </row>
    <row r="359">
      <c r="A359" s="3">
        <f>IFERROR(__xludf.DUMMYFUNCTION("""COMPUTED_VALUE"""),37959.645833333336)</f>
        <v>37959.64583</v>
      </c>
      <c r="B359" s="2">
        <f>IFERROR(__xludf.DUMMYFUNCTION("""COMPUTED_VALUE"""),98.75)</f>
        <v>98.75</v>
      </c>
      <c r="C359" s="2">
        <f>IFERROR(__xludf.DUMMYFUNCTION("""COMPUTED_VALUE"""),102.98)</f>
        <v>102.98</v>
      </c>
      <c r="D359" s="2">
        <f>IFERROR(__xludf.DUMMYFUNCTION("""COMPUTED_VALUE"""),98.75)</f>
        <v>98.75</v>
      </c>
      <c r="E359" s="2">
        <f>IFERROR(__xludf.DUMMYFUNCTION("""COMPUTED_VALUE"""),102.42)</f>
        <v>102.42</v>
      </c>
      <c r="F359" s="2">
        <f>IFERROR(__xludf.DUMMYFUNCTION("""COMPUTED_VALUE"""),1.2859046E7)</f>
        <v>12859046</v>
      </c>
    </row>
    <row r="360">
      <c r="A360" s="3">
        <f>IFERROR(__xludf.DUMMYFUNCTION("""COMPUTED_VALUE"""),37960.645833333336)</f>
        <v>37960.64583</v>
      </c>
      <c r="B360" s="2">
        <f>IFERROR(__xludf.DUMMYFUNCTION("""COMPUTED_VALUE"""),102.68)</f>
        <v>102.68</v>
      </c>
      <c r="C360" s="2">
        <f>IFERROR(__xludf.DUMMYFUNCTION("""COMPUTED_VALUE"""),103.08)</f>
        <v>103.08</v>
      </c>
      <c r="D360" s="2">
        <f>IFERROR(__xludf.DUMMYFUNCTION("""COMPUTED_VALUE"""),98.9)</f>
        <v>98.9</v>
      </c>
      <c r="E360" s="2">
        <f>IFERROR(__xludf.DUMMYFUNCTION("""COMPUTED_VALUE"""),99.27)</f>
        <v>99.27</v>
      </c>
      <c r="F360" s="2">
        <f>IFERROR(__xludf.DUMMYFUNCTION("""COMPUTED_VALUE"""),5893629.0)</f>
        <v>5893629</v>
      </c>
    </row>
    <row r="361">
      <c r="A361" s="3">
        <f>IFERROR(__xludf.DUMMYFUNCTION("""COMPUTED_VALUE"""),37963.645833333336)</f>
        <v>37963.64583</v>
      </c>
      <c r="B361" s="2">
        <f>IFERROR(__xludf.DUMMYFUNCTION("""COMPUTED_VALUE"""),98.48)</f>
        <v>98.48</v>
      </c>
      <c r="C361" s="2">
        <f>IFERROR(__xludf.DUMMYFUNCTION("""COMPUTED_VALUE"""),99.51)</f>
        <v>99.51</v>
      </c>
      <c r="D361" s="2">
        <f>IFERROR(__xludf.DUMMYFUNCTION("""COMPUTED_VALUE"""),96.11)</f>
        <v>96.11</v>
      </c>
      <c r="E361" s="2">
        <f>IFERROR(__xludf.DUMMYFUNCTION("""COMPUTED_VALUE"""),96.62)</f>
        <v>96.62</v>
      </c>
      <c r="F361" s="2">
        <f>IFERROR(__xludf.DUMMYFUNCTION("""COMPUTED_VALUE"""),8118846.0)</f>
        <v>8118846</v>
      </c>
    </row>
    <row r="362">
      <c r="A362" s="3">
        <f>IFERROR(__xludf.DUMMYFUNCTION("""COMPUTED_VALUE"""),37964.645833333336)</f>
        <v>37964.64583</v>
      </c>
      <c r="B362" s="2">
        <f>IFERROR(__xludf.DUMMYFUNCTION("""COMPUTED_VALUE"""),96.91)</f>
        <v>96.91</v>
      </c>
      <c r="C362" s="2">
        <f>IFERROR(__xludf.DUMMYFUNCTION("""COMPUTED_VALUE"""),98.32)</f>
        <v>98.32</v>
      </c>
      <c r="D362" s="2">
        <f>IFERROR(__xludf.DUMMYFUNCTION("""COMPUTED_VALUE"""),96.91)</f>
        <v>96.91</v>
      </c>
      <c r="E362" s="2">
        <f>IFERROR(__xludf.DUMMYFUNCTION("""COMPUTED_VALUE"""),97.97)</f>
        <v>97.97</v>
      </c>
      <c r="F362" s="2">
        <f>IFERROR(__xludf.DUMMYFUNCTION("""COMPUTED_VALUE"""),5662655.0)</f>
        <v>5662655</v>
      </c>
    </row>
    <row r="363">
      <c r="A363" s="3">
        <f>IFERROR(__xludf.DUMMYFUNCTION("""COMPUTED_VALUE"""),37965.645833333336)</f>
        <v>37965.64583</v>
      </c>
      <c r="B363" s="2">
        <f>IFERROR(__xludf.DUMMYFUNCTION("""COMPUTED_VALUE"""),98.15)</f>
        <v>98.15</v>
      </c>
      <c r="C363" s="2">
        <f>IFERROR(__xludf.DUMMYFUNCTION("""COMPUTED_VALUE"""),101.16)</f>
        <v>101.16</v>
      </c>
      <c r="D363" s="2">
        <f>IFERROR(__xludf.DUMMYFUNCTION("""COMPUTED_VALUE"""),97.87)</f>
        <v>97.87</v>
      </c>
      <c r="E363" s="2">
        <f>IFERROR(__xludf.DUMMYFUNCTION("""COMPUTED_VALUE"""),100.18)</f>
        <v>100.18</v>
      </c>
      <c r="F363" s="2">
        <f>IFERROR(__xludf.DUMMYFUNCTION("""COMPUTED_VALUE"""),1.0279517E7)</f>
        <v>10279517</v>
      </c>
    </row>
    <row r="364">
      <c r="A364" s="3">
        <f>IFERROR(__xludf.DUMMYFUNCTION("""COMPUTED_VALUE"""),37966.645833333336)</f>
        <v>37966.64583</v>
      </c>
      <c r="B364" s="2">
        <f>IFERROR(__xludf.DUMMYFUNCTION("""COMPUTED_VALUE"""),100.89)</f>
        <v>100.89</v>
      </c>
      <c r="C364" s="2">
        <f>IFERROR(__xludf.DUMMYFUNCTION("""COMPUTED_VALUE"""),101.47)</f>
        <v>101.47</v>
      </c>
      <c r="D364" s="2">
        <f>IFERROR(__xludf.DUMMYFUNCTION("""COMPUTED_VALUE"""),98.49)</f>
        <v>98.49</v>
      </c>
      <c r="E364" s="2">
        <f>IFERROR(__xludf.DUMMYFUNCTION("""COMPUTED_VALUE"""),99.28)</f>
        <v>99.28</v>
      </c>
      <c r="F364" s="2">
        <f>IFERROR(__xludf.DUMMYFUNCTION("""COMPUTED_VALUE"""),7431704.0)</f>
        <v>7431704</v>
      </c>
    </row>
    <row r="365">
      <c r="A365" s="3">
        <f>IFERROR(__xludf.DUMMYFUNCTION("""COMPUTED_VALUE"""),37967.645833333336)</f>
        <v>37967.64583</v>
      </c>
      <c r="B365" s="2">
        <f>IFERROR(__xludf.DUMMYFUNCTION("""COMPUTED_VALUE"""),99.87)</f>
        <v>99.87</v>
      </c>
      <c r="C365" s="2">
        <f>IFERROR(__xludf.DUMMYFUNCTION("""COMPUTED_VALUE"""),99.87)</f>
        <v>99.87</v>
      </c>
      <c r="D365" s="2">
        <f>IFERROR(__xludf.DUMMYFUNCTION("""COMPUTED_VALUE"""),98.16)</f>
        <v>98.16</v>
      </c>
      <c r="E365" s="2">
        <f>IFERROR(__xludf.DUMMYFUNCTION("""COMPUTED_VALUE"""),98.92)</f>
        <v>98.92</v>
      </c>
      <c r="F365" s="2">
        <f>IFERROR(__xludf.DUMMYFUNCTION("""COMPUTED_VALUE"""),4966075.0)</f>
        <v>4966075</v>
      </c>
    </row>
    <row r="366">
      <c r="A366" s="3">
        <f>IFERROR(__xludf.DUMMYFUNCTION("""COMPUTED_VALUE"""),37970.645833333336)</f>
        <v>37970.64583</v>
      </c>
      <c r="B366" s="2">
        <f>IFERROR(__xludf.DUMMYFUNCTION("""COMPUTED_VALUE"""),99.06)</f>
        <v>99.06</v>
      </c>
      <c r="C366" s="2">
        <f>IFERROR(__xludf.DUMMYFUNCTION("""COMPUTED_VALUE"""),101.13)</f>
        <v>101.13</v>
      </c>
      <c r="D366" s="2">
        <f>IFERROR(__xludf.DUMMYFUNCTION("""COMPUTED_VALUE"""),99.06)</f>
        <v>99.06</v>
      </c>
      <c r="E366" s="2">
        <f>IFERROR(__xludf.DUMMYFUNCTION("""COMPUTED_VALUE"""),100.47)</f>
        <v>100.47</v>
      </c>
      <c r="F366" s="2">
        <f>IFERROR(__xludf.DUMMYFUNCTION("""COMPUTED_VALUE"""),5962251.0)</f>
        <v>5962251</v>
      </c>
    </row>
    <row r="367">
      <c r="A367" s="3">
        <f>IFERROR(__xludf.DUMMYFUNCTION("""COMPUTED_VALUE"""),37971.645833333336)</f>
        <v>37971.64583</v>
      </c>
      <c r="B367" s="2">
        <f>IFERROR(__xludf.DUMMYFUNCTION("""COMPUTED_VALUE"""),100.43)</f>
        <v>100.43</v>
      </c>
      <c r="C367" s="2">
        <f>IFERROR(__xludf.DUMMYFUNCTION("""COMPUTED_VALUE"""),102.17)</f>
        <v>102.17</v>
      </c>
      <c r="D367" s="2">
        <f>IFERROR(__xludf.DUMMYFUNCTION("""COMPUTED_VALUE"""),99.19)</f>
        <v>99.19</v>
      </c>
      <c r="E367" s="2">
        <f>IFERROR(__xludf.DUMMYFUNCTION("""COMPUTED_VALUE"""),101.64)</f>
        <v>101.64</v>
      </c>
      <c r="F367" s="2">
        <f>IFERROR(__xludf.DUMMYFUNCTION("""COMPUTED_VALUE"""),9055688.0)</f>
        <v>9055688</v>
      </c>
    </row>
    <row r="368">
      <c r="A368" s="3">
        <f>IFERROR(__xludf.DUMMYFUNCTION("""COMPUTED_VALUE"""),37972.645833333336)</f>
        <v>37972.64583</v>
      </c>
      <c r="B368" s="2">
        <f>IFERROR(__xludf.DUMMYFUNCTION("""COMPUTED_VALUE"""),101.88)</f>
        <v>101.88</v>
      </c>
      <c r="C368" s="2">
        <f>IFERROR(__xludf.DUMMYFUNCTION("""COMPUTED_VALUE"""),102.16)</f>
        <v>102.16</v>
      </c>
      <c r="D368" s="2">
        <f>IFERROR(__xludf.DUMMYFUNCTION("""COMPUTED_VALUE"""),100.69)</f>
        <v>100.69</v>
      </c>
      <c r="E368" s="2">
        <f>IFERROR(__xludf.DUMMYFUNCTION("""COMPUTED_VALUE"""),101.22)</f>
        <v>101.22</v>
      </c>
      <c r="F368" s="2">
        <f>IFERROR(__xludf.DUMMYFUNCTION("""COMPUTED_VALUE"""),6225689.0)</f>
        <v>6225689</v>
      </c>
    </row>
    <row r="369">
      <c r="A369" s="3">
        <f>IFERROR(__xludf.DUMMYFUNCTION("""COMPUTED_VALUE"""),37973.645833333336)</f>
        <v>37973.64583</v>
      </c>
      <c r="B369" s="2">
        <f>IFERROR(__xludf.DUMMYFUNCTION("""COMPUTED_VALUE"""),100.63)</f>
        <v>100.63</v>
      </c>
      <c r="C369" s="2">
        <f>IFERROR(__xludf.DUMMYFUNCTION("""COMPUTED_VALUE"""),102.94)</f>
        <v>102.94</v>
      </c>
      <c r="D369" s="2">
        <f>IFERROR(__xludf.DUMMYFUNCTION("""COMPUTED_VALUE"""),100.63)</f>
        <v>100.63</v>
      </c>
      <c r="E369" s="2">
        <f>IFERROR(__xludf.DUMMYFUNCTION("""COMPUTED_VALUE"""),102.07)</f>
        <v>102.07</v>
      </c>
      <c r="F369" s="2">
        <f>IFERROR(__xludf.DUMMYFUNCTION("""COMPUTED_VALUE"""),6839994.0)</f>
        <v>6839994</v>
      </c>
    </row>
    <row r="370">
      <c r="A370" s="3">
        <f>IFERROR(__xludf.DUMMYFUNCTION("""COMPUTED_VALUE"""),37974.645833333336)</f>
        <v>37974.64583</v>
      </c>
      <c r="B370" s="2">
        <f>IFERROR(__xludf.DUMMYFUNCTION("""COMPUTED_VALUE"""),102.28)</f>
        <v>102.28</v>
      </c>
      <c r="C370" s="2">
        <f>IFERROR(__xludf.DUMMYFUNCTION("""COMPUTED_VALUE"""),105.29)</f>
        <v>105.29</v>
      </c>
      <c r="D370" s="2">
        <f>IFERROR(__xludf.DUMMYFUNCTION("""COMPUTED_VALUE"""),102.28)</f>
        <v>102.28</v>
      </c>
      <c r="E370" s="2">
        <f>IFERROR(__xludf.DUMMYFUNCTION("""COMPUTED_VALUE"""),104.83)</f>
        <v>104.83</v>
      </c>
      <c r="F370" s="2">
        <f>IFERROR(__xludf.DUMMYFUNCTION("""COMPUTED_VALUE"""),1.0672249E7)</f>
        <v>10672249</v>
      </c>
    </row>
    <row r="371">
      <c r="A371" s="3">
        <f>IFERROR(__xludf.DUMMYFUNCTION("""COMPUTED_VALUE"""),37977.645833333336)</f>
        <v>37977.64583</v>
      </c>
      <c r="B371" s="2">
        <f>IFERROR(__xludf.DUMMYFUNCTION("""COMPUTED_VALUE"""),104.93)</f>
        <v>104.93</v>
      </c>
      <c r="C371" s="2">
        <f>IFERROR(__xludf.DUMMYFUNCTION("""COMPUTED_VALUE"""),106.71)</f>
        <v>106.71</v>
      </c>
      <c r="D371" s="2">
        <f>IFERROR(__xludf.DUMMYFUNCTION("""COMPUTED_VALUE"""),104.93)</f>
        <v>104.93</v>
      </c>
      <c r="E371" s="2">
        <f>IFERROR(__xludf.DUMMYFUNCTION("""COMPUTED_VALUE"""),106.21)</f>
        <v>106.21</v>
      </c>
      <c r="F371" s="2">
        <f>IFERROR(__xludf.DUMMYFUNCTION("""COMPUTED_VALUE"""),4295096.0)</f>
        <v>4295096</v>
      </c>
    </row>
    <row r="372">
      <c r="A372" s="3">
        <f>IFERROR(__xludf.DUMMYFUNCTION("""COMPUTED_VALUE"""),37978.645833333336)</f>
        <v>37978.64583</v>
      </c>
      <c r="B372" s="2">
        <f>IFERROR(__xludf.DUMMYFUNCTION("""COMPUTED_VALUE"""),87.58)</f>
        <v>87.58</v>
      </c>
      <c r="C372" s="2">
        <f>IFERROR(__xludf.DUMMYFUNCTION("""COMPUTED_VALUE"""),106.67)</f>
        <v>106.67</v>
      </c>
      <c r="D372" s="2">
        <f>IFERROR(__xludf.DUMMYFUNCTION("""COMPUTED_VALUE"""),87.58)</f>
        <v>87.58</v>
      </c>
      <c r="E372" s="2">
        <f>IFERROR(__xludf.DUMMYFUNCTION("""COMPUTED_VALUE"""),105.18)</f>
        <v>105.18</v>
      </c>
      <c r="F372" s="2">
        <f>IFERROR(__xludf.DUMMYFUNCTION("""COMPUTED_VALUE"""),4602904.0)</f>
        <v>4602904</v>
      </c>
    </row>
    <row r="373">
      <c r="A373" s="3">
        <f>IFERROR(__xludf.DUMMYFUNCTION("""COMPUTED_VALUE"""),37979.645833333336)</f>
        <v>37979.64583</v>
      </c>
      <c r="B373" s="2">
        <f>IFERROR(__xludf.DUMMYFUNCTION("""COMPUTED_VALUE"""),104.73)</f>
        <v>104.73</v>
      </c>
      <c r="C373" s="2">
        <f>IFERROR(__xludf.DUMMYFUNCTION("""COMPUTED_VALUE"""),106.91)</f>
        <v>106.91</v>
      </c>
      <c r="D373" s="2">
        <f>IFERROR(__xludf.DUMMYFUNCTION("""COMPUTED_VALUE"""),104.73)</f>
        <v>104.73</v>
      </c>
      <c r="E373" s="2">
        <f>IFERROR(__xludf.DUMMYFUNCTION("""COMPUTED_VALUE"""),106.29)</f>
        <v>106.29</v>
      </c>
      <c r="F373" s="2">
        <f>IFERROR(__xludf.DUMMYFUNCTION("""COMPUTED_VALUE"""),4344835.0)</f>
        <v>4344835</v>
      </c>
    </row>
    <row r="374">
      <c r="A374" s="3">
        <f>IFERROR(__xludf.DUMMYFUNCTION("""COMPUTED_VALUE"""),37981.645833333336)</f>
        <v>37981.64583</v>
      </c>
      <c r="B374" s="2">
        <f>IFERROR(__xludf.DUMMYFUNCTION("""COMPUTED_VALUE"""),106.94)</f>
        <v>106.94</v>
      </c>
      <c r="C374" s="2">
        <f>IFERROR(__xludf.DUMMYFUNCTION("""COMPUTED_VALUE"""),107.25)</f>
        <v>107.25</v>
      </c>
      <c r="D374" s="2">
        <f>IFERROR(__xludf.DUMMYFUNCTION("""COMPUTED_VALUE"""),106.15)</f>
        <v>106.15</v>
      </c>
      <c r="E374" s="2">
        <f>IFERROR(__xludf.DUMMYFUNCTION("""COMPUTED_VALUE"""),106.75)</f>
        <v>106.75</v>
      </c>
      <c r="F374" s="2">
        <f>IFERROR(__xludf.DUMMYFUNCTION("""COMPUTED_VALUE"""),3439245.0)</f>
        <v>3439245</v>
      </c>
    </row>
    <row r="375">
      <c r="A375" s="3">
        <f>IFERROR(__xludf.DUMMYFUNCTION("""COMPUTED_VALUE"""),37984.645833333336)</f>
        <v>37984.64583</v>
      </c>
      <c r="B375" s="2">
        <f>IFERROR(__xludf.DUMMYFUNCTION("""COMPUTED_VALUE"""),107.31)</f>
        <v>107.31</v>
      </c>
      <c r="C375" s="2">
        <f>IFERROR(__xludf.DUMMYFUNCTION("""COMPUTED_VALUE"""),108.51)</f>
        <v>108.51</v>
      </c>
      <c r="D375" s="2">
        <f>IFERROR(__xludf.DUMMYFUNCTION("""COMPUTED_VALUE"""),107.15)</f>
        <v>107.15</v>
      </c>
      <c r="E375" s="2">
        <f>IFERROR(__xludf.DUMMYFUNCTION("""COMPUTED_VALUE"""),108.17)</f>
        <v>108.17</v>
      </c>
      <c r="F375" s="2">
        <f>IFERROR(__xludf.DUMMYFUNCTION("""COMPUTED_VALUE"""),3312897.0)</f>
        <v>3312897</v>
      </c>
    </row>
    <row r="376">
      <c r="A376" s="3">
        <f>IFERROR(__xludf.DUMMYFUNCTION("""COMPUTED_VALUE"""),37985.645833333336)</f>
        <v>37985.64583</v>
      </c>
      <c r="B376" s="2">
        <f>IFERROR(__xludf.DUMMYFUNCTION("""COMPUTED_VALUE"""),108.12)</f>
        <v>108.12</v>
      </c>
      <c r="C376" s="2">
        <f>IFERROR(__xludf.DUMMYFUNCTION("""COMPUTED_VALUE"""),116.78)</f>
        <v>116.78</v>
      </c>
      <c r="D376" s="2">
        <f>IFERROR(__xludf.DUMMYFUNCTION("""COMPUTED_VALUE"""),107.76)</f>
        <v>107.76</v>
      </c>
      <c r="E376" s="2">
        <f>IFERROR(__xludf.DUMMYFUNCTION("""COMPUTED_VALUE"""),113.29)</f>
        <v>113.29</v>
      </c>
      <c r="F376" s="2">
        <f>IFERROR(__xludf.DUMMYFUNCTION("""COMPUTED_VALUE"""),1.2317141E7)</f>
        <v>12317141</v>
      </c>
    </row>
    <row r="377">
      <c r="A377" s="3">
        <f>IFERROR(__xludf.DUMMYFUNCTION("""COMPUTED_VALUE"""),37986.645833333336)</f>
        <v>37986.64583</v>
      </c>
      <c r="B377" s="2">
        <f>IFERROR(__xludf.DUMMYFUNCTION("""COMPUTED_VALUE"""),113.15)</f>
        <v>113.15</v>
      </c>
      <c r="C377" s="2">
        <f>IFERROR(__xludf.DUMMYFUNCTION("""COMPUTED_VALUE"""),117.34)</f>
        <v>117.34</v>
      </c>
      <c r="D377" s="2">
        <f>IFERROR(__xludf.DUMMYFUNCTION("""COMPUTED_VALUE"""),113.15)</f>
        <v>113.15</v>
      </c>
      <c r="E377" s="2">
        <f>IFERROR(__xludf.DUMMYFUNCTION("""COMPUTED_VALUE"""),115.33)</f>
        <v>115.33</v>
      </c>
      <c r="F377" s="2">
        <f>IFERROR(__xludf.DUMMYFUNCTION("""COMPUTED_VALUE"""),1.1471408E7)</f>
        <v>11471408</v>
      </c>
    </row>
    <row r="378">
      <c r="A378" s="3">
        <f>IFERROR(__xludf.DUMMYFUNCTION("""COMPUTED_VALUE"""),37987.645833333336)</f>
        <v>37987.64583</v>
      </c>
      <c r="B378" s="2">
        <f>IFERROR(__xludf.DUMMYFUNCTION("""COMPUTED_VALUE"""),116.78)</f>
        <v>116.78</v>
      </c>
      <c r="C378" s="2">
        <f>IFERROR(__xludf.DUMMYFUNCTION("""COMPUTED_VALUE"""),116.78)</f>
        <v>116.78</v>
      </c>
      <c r="D378" s="2">
        <f>IFERROR(__xludf.DUMMYFUNCTION("""COMPUTED_VALUE"""),114.19)</f>
        <v>114.19</v>
      </c>
      <c r="E378" s="2">
        <f>IFERROR(__xludf.DUMMYFUNCTION("""COMPUTED_VALUE"""),114.89)</f>
        <v>114.89</v>
      </c>
      <c r="F378" s="2">
        <f>IFERROR(__xludf.DUMMYFUNCTION("""COMPUTED_VALUE"""),4071252.0)</f>
        <v>4071252</v>
      </c>
    </row>
    <row r="379">
      <c r="A379" s="3">
        <f>IFERROR(__xludf.DUMMYFUNCTION("""COMPUTED_VALUE"""),37988.645833333336)</f>
        <v>37988.64583</v>
      </c>
      <c r="B379" s="2">
        <f>IFERROR(__xludf.DUMMYFUNCTION("""COMPUTED_VALUE"""),115.67)</f>
        <v>115.67</v>
      </c>
      <c r="C379" s="2">
        <f>IFERROR(__xludf.DUMMYFUNCTION("""COMPUTED_VALUE"""),118.57)</f>
        <v>118.57</v>
      </c>
      <c r="D379" s="2">
        <f>IFERROR(__xludf.DUMMYFUNCTION("""COMPUTED_VALUE"""),114.89)</f>
        <v>114.89</v>
      </c>
      <c r="E379" s="2">
        <f>IFERROR(__xludf.DUMMYFUNCTION("""COMPUTED_VALUE"""),117.82)</f>
        <v>117.82</v>
      </c>
      <c r="F379" s="2">
        <f>IFERROR(__xludf.DUMMYFUNCTION("""COMPUTED_VALUE"""),8115756.0)</f>
        <v>8115756</v>
      </c>
    </row>
    <row r="380">
      <c r="A380" s="3">
        <f>IFERROR(__xludf.DUMMYFUNCTION("""COMPUTED_VALUE"""),37991.645833333336)</f>
        <v>37991.64583</v>
      </c>
      <c r="B380" s="2">
        <f>IFERROR(__xludf.DUMMYFUNCTION("""COMPUTED_VALUE"""),117.78)</f>
        <v>117.78</v>
      </c>
      <c r="C380" s="2">
        <f>IFERROR(__xludf.DUMMYFUNCTION("""COMPUTED_VALUE"""),118.77)</f>
        <v>118.77</v>
      </c>
      <c r="D380" s="2">
        <f>IFERROR(__xludf.DUMMYFUNCTION("""COMPUTED_VALUE"""),115.16)</f>
        <v>115.16</v>
      </c>
      <c r="E380" s="2">
        <f>IFERROR(__xludf.DUMMYFUNCTION("""COMPUTED_VALUE"""),116.79)</f>
        <v>116.79</v>
      </c>
      <c r="F380" s="2">
        <f>IFERROR(__xludf.DUMMYFUNCTION("""COMPUTED_VALUE"""),6100815.0)</f>
        <v>6100815</v>
      </c>
    </row>
    <row r="381">
      <c r="A381" s="3">
        <f>IFERROR(__xludf.DUMMYFUNCTION("""COMPUTED_VALUE"""),37992.645833333336)</f>
        <v>37992.64583</v>
      </c>
      <c r="B381" s="2">
        <f>IFERROR(__xludf.DUMMYFUNCTION("""COMPUTED_VALUE"""),116.98)</f>
        <v>116.98</v>
      </c>
      <c r="C381" s="2">
        <f>IFERROR(__xludf.DUMMYFUNCTION("""COMPUTED_VALUE"""),118.49)</f>
        <v>118.49</v>
      </c>
      <c r="D381" s="2">
        <f>IFERROR(__xludf.DUMMYFUNCTION("""COMPUTED_VALUE"""),113.56)</f>
        <v>113.56</v>
      </c>
      <c r="E381" s="2">
        <f>IFERROR(__xludf.DUMMYFUNCTION("""COMPUTED_VALUE"""),115.25)</f>
        <v>115.25</v>
      </c>
      <c r="F381" s="2">
        <f>IFERROR(__xludf.DUMMYFUNCTION("""COMPUTED_VALUE"""),5795339.0)</f>
        <v>5795339</v>
      </c>
    </row>
    <row r="382">
      <c r="A382" s="3">
        <f>IFERROR(__xludf.DUMMYFUNCTION("""COMPUTED_VALUE"""),37993.645833333336)</f>
        <v>37993.64583</v>
      </c>
      <c r="B382" s="2">
        <f>IFERROR(__xludf.DUMMYFUNCTION("""COMPUTED_VALUE"""),114.8)</f>
        <v>114.8</v>
      </c>
      <c r="C382" s="2">
        <f>IFERROR(__xludf.DUMMYFUNCTION("""COMPUTED_VALUE"""),117.28)</f>
        <v>117.28</v>
      </c>
      <c r="D382" s="2">
        <f>IFERROR(__xludf.DUMMYFUNCTION("""COMPUTED_VALUE"""),114.16)</f>
        <v>114.16</v>
      </c>
      <c r="E382" s="2">
        <f>IFERROR(__xludf.DUMMYFUNCTION("""COMPUTED_VALUE"""),116.81)</f>
        <v>116.81</v>
      </c>
      <c r="F382" s="2">
        <f>IFERROR(__xludf.DUMMYFUNCTION("""COMPUTED_VALUE"""),5944876.0)</f>
        <v>5944876</v>
      </c>
    </row>
    <row r="383">
      <c r="A383" s="3">
        <f>IFERROR(__xludf.DUMMYFUNCTION("""COMPUTED_VALUE"""),37994.645833333336)</f>
        <v>37994.64583</v>
      </c>
      <c r="B383" s="2">
        <f>IFERROR(__xludf.DUMMYFUNCTION("""COMPUTED_VALUE"""),117.78)</f>
        <v>117.78</v>
      </c>
      <c r="C383" s="2">
        <f>IFERROR(__xludf.DUMMYFUNCTION("""COMPUTED_VALUE"""),120.38)</f>
        <v>120.38</v>
      </c>
      <c r="D383" s="2">
        <f>IFERROR(__xludf.DUMMYFUNCTION("""COMPUTED_VALUE"""),117.41)</f>
        <v>117.41</v>
      </c>
      <c r="E383" s="2">
        <f>IFERROR(__xludf.DUMMYFUNCTION("""COMPUTED_VALUE"""),118.81)</f>
        <v>118.81</v>
      </c>
      <c r="F383" s="2">
        <f>IFERROR(__xludf.DUMMYFUNCTION("""COMPUTED_VALUE"""),5339567.0)</f>
        <v>5339567</v>
      </c>
    </row>
    <row r="384">
      <c r="A384" s="3">
        <f>IFERROR(__xludf.DUMMYFUNCTION("""COMPUTED_VALUE"""),37995.645833333336)</f>
        <v>37995.64583</v>
      </c>
      <c r="B384" s="2">
        <f>IFERROR(__xludf.DUMMYFUNCTION("""COMPUTED_VALUE"""),120.8)</f>
        <v>120.8</v>
      </c>
      <c r="C384" s="2">
        <f>IFERROR(__xludf.DUMMYFUNCTION("""COMPUTED_VALUE"""),121.94)</f>
        <v>121.94</v>
      </c>
      <c r="D384" s="2">
        <f>IFERROR(__xludf.DUMMYFUNCTION("""COMPUTED_VALUE"""),115.8)</f>
        <v>115.8</v>
      </c>
      <c r="E384" s="2">
        <f>IFERROR(__xludf.DUMMYFUNCTION("""COMPUTED_VALUE"""),116.5)</f>
        <v>116.5</v>
      </c>
      <c r="F384" s="2">
        <f>IFERROR(__xludf.DUMMYFUNCTION("""COMPUTED_VALUE"""),8761265.0)</f>
        <v>8761265</v>
      </c>
    </row>
    <row r="385">
      <c r="A385" s="3">
        <f>IFERROR(__xludf.DUMMYFUNCTION("""COMPUTED_VALUE"""),37998.645833333336)</f>
        <v>37998.64583</v>
      </c>
      <c r="B385" s="2">
        <f>IFERROR(__xludf.DUMMYFUNCTION("""COMPUTED_VALUE"""),116.37)</f>
        <v>116.37</v>
      </c>
      <c r="C385" s="2">
        <f>IFERROR(__xludf.DUMMYFUNCTION("""COMPUTED_VALUE"""),117.56)</f>
        <v>117.56</v>
      </c>
      <c r="D385" s="2">
        <f>IFERROR(__xludf.DUMMYFUNCTION("""COMPUTED_VALUE"""),114.4)</f>
        <v>114.4</v>
      </c>
      <c r="E385" s="2">
        <f>IFERROR(__xludf.DUMMYFUNCTION("""COMPUTED_VALUE"""),115.01)</f>
        <v>115.01</v>
      </c>
      <c r="F385" s="2">
        <f>IFERROR(__xludf.DUMMYFUNCTION("""COMPUTED_VALUE"""),5588734.0)</f>
        <v>5588734</v>
      </c>
    </row>
    <row r="386">
      <c r="A386" s="3">
        <f>IFERROR(__xludf.DUMMYFUNCTION("""COMPUTED_VALUE"""),37999.645833333336)</f>
        <v>37999.64583</v>
      </c>
      <c r="B386" s="2">
        <f>IFERROR(__xludf.DUMMYFUNCTION("""COMPUTED_VALUE"""),115.42)</f>
        <v>115.42</v>
      </c>
      <c r="C386" s="2">
        <f>IFERROR(__xludf.DUMMYFUNCTION("""COMPUTED_VALUE"""),118.69)</f>
        <v>118.69</v>
      </c>
      <c r="D386" s="2">
        <f>IFERROR(__xludf.DUMMYFUNCTION("""COMPUTED_VALUE"""),115.21)</f>
        <v>115.21</v>
      </c>
      <c r="E386" s="2">
        <f>IFERROR(__xludf.DUMMYFUNCTION("""COMPUTED_VALUE"""),118.26)</f>
        <v>118.26</v>
      </c>
      <c r="F386" s="2">
        <f>IFERROR(__xludf.DUMMYFUNCTION("""COMPUTED_VALUE"""),5872486.0)</f>
        <v>5872486</v>
      </c>
    </row>
    <row r="387">
      <c r="A387" s="3">
        <f>IFERROR(__xludf.DUMMYFUNCTION("""COMPUTED_VALUE"""),38000.645833333336)</f>
        <v>38000.64583</v>
      </c>
      <c r="B387" s="2">
        <f>IFERROR(__xludf.DUMMYFUNCTION("""COMPUTED_VALUE"""),118.79)</f>
        <v>118.79</v>
      </c>
      <c r="C387" s="2">
        <f>IFERROR(__xludf.DUMMYFUNCTION("""COMPUTED_VALUE"""),120.6)</f>
        <v>120.6</v>
      </c>
      <c r="D387" s="2">
        <f>IFERROR(__xludf.DUMMYFUNCTION("""COMPUTED_VALUE"""),118.79)</f>
        <v>118.79</v>
      </c>
      <c r="E387" s="2">
        <f>IFERROR(__xludf.DUMMYFUNCTION("""COMPUTED_VALUE"""),120.2)</f>
        <v>120.2</v>
      </c>
      <c r="F387" s="2">
        <f>IFERROR(__xludf.DUMMYFUNCTION("""COMPUTED_VALUE"""),5109994.0)</f>
        <v>5109994</v>
      </c>
    </row>
    <row r="388">
      <c r="A388" s="3">
        <f>IFERROR(__xludf.DUMMYFUNCTION("""COMPUTED_VALUE"""),38001.645833333336)</f>
        <v>38001.64583</v>
      </c>
      <c r="B388" s="2">
        <f>IFERROR(__xludf.DUMMYFUNCTION("""COMPUTED_VALUE"""),121.51)</f>
        <v>121.51</v>
      </c>
      <c r="C388" s="2">
        <f>IFERROR(__xludf.DUMMYFUNCTION("""COMPUTED_VALUE"""),121.99)</f>
        <v>121.99</v>
      </c>
      <c r="D388" s="2">
        <f>IFERROR(__xludf.DUMMYFUNCTION("""COMPUTED_VALUE"""),115.69)</f>
        <v>115.69</v>
      </c>
      <c r="E388" s="2">
        <f>IFERROR(__xludf.DUMMYFUNCTION("""COMPUTED_VALUE"""),116.39)</f>
        <v>116.39</v>
      </c>
      <c r="F388" s="2">
        <f>IFERROR(__xludf.DUMMYFUNCTION("""COMPUTED_VALUE"""),6724119.0)</f>
        <v>6724119</v>
      </c>
    </row>
    <row r="389">
      <c r="A389" s="3">
        <f>IFERROR(__xludf.DUMMYFUNCTION("""COMPUTED_VALUE"""),38002.645833333336)</f>
        <v>38002.64583</v>
      </c>
      <c r="B389" s="2">
        <f>IFERROR(__xludf.DUMMYFUNCTION("""COMPUTED_VALUE"""),117.78)</f>
        <v>117.78</v>
      </c>
      <c r="C389" s="2">
        <f>IFERROR(__xludf.DUMMYFUNCTION("""COMPUTED_VALUE"""),118.14)</f>
        <v>118.14</v>
      </c>
      <c r="D389" s="2">
        <f>IFERROR(__xludf.DUMMYFUNCTION("""COMPUTED_VALUE"""),115.16)</f>
        <v>115.16</v>
      </c>
      <c r="E389" s="2">
        <f>IFERROR(__xludf.DUMMYFUNCTION("""COMPUTED_VALUE"""),117.0)</f>
        <v>117</v>
      </c>
      <c r="F389" s="2">
        <f>IFERROR(__xludf.DUMMYFUNCTION("""COMPUTED_VALUE"""),8057492.0)</f>
        <v>8057492</v>
      </c>
    </row>
    <row r="390">
      <c r="A390" s="3">
        <f>IFERROR(__xludf.DUMMYFUNCTION("""COMPUTED_VALUE"""),38005.645833333336)</f>
        <v>38005.64583</v>
      </c>
      <c r="B390" s="2">
        <f>IFERROR(__xludf.DUMMYFUNCTION("""COMPUTED_VALUE"""),117.01)</f>
        <v>117.01</v>
      </c>
      <c r="C390" s="2">
        <f>IFERROR(__xludf.DUMMYFUNCTION("""COMPUTED_VALUE"""),118.59)</f>
        <v>118.59</v>
      </c>
      <c r="D390" s="2">
        <f>IFERROR(__xludf.DUMMYFUNCTION("""COMPUTED_VALUE"""),114.58)</f>
        <v>114.58</v>
      </c>
      <c r="E390" s="2">
        <f>IFERROR(__xludf.DUMMYFUNCTION("""COMPUTED_VALUE"""),117.73)</f>
        <v>117.73</v>
      </c>
      <c r="F390" s="2">
        <f>IFERROR(__xludf.DUMMYFUNCTION("""COMPUTED_VALUE"""),5572406.0)</f>
        <v>5572406</v>
      </c>
    </row>
    <row r="391">
      <c r="A391" s="3">
        <f>IFERROR(__xludf.DUMMYFUNCTION("""COMPUTED_VALUE"""),38006.645833333336)</f>
        <v>38006.64583</v>
      </c>
      <c r="B391" s="2">
        <f>IFERROR(__xludf.DUMMYFUNCTION("""COMPUTED_VALUE"""),118.59)</f>
        <v>118.59</v>
      </c>
      <c r="C391" s="2">
        <f>IFERROR(__xludf.DUMMYFUNCTION("""COMPUTED_VALUE"""),120.36)</f>
        <v>120.36</v>
      </c>
      <c r="D391" s="2">
        <f>IFERROR(__xludf.DUMMYFUNCTION("""COMPUTED_VALUE"""),114.83)</f>
        <v>114.83</v>
      </c>
      <c r="E391" s="2">
        <f>IFERROR(__xludf.DUMMYFUNCTION("""COMPUTED_VALUE"""),115.66)</f>
        <v>115.66</v>
      </c>
      <c r="F391" s="2">
        <f>IFERROR(__xludf.DUMMYFUNCTION("""COMPUTED_VALUE"""),6050968.0)</f>
        <v>6050968</v>
      </c>
    </row>
    <row r="392">
      <c r="A392" s="3">
        <f>IFERROR(__xludf.DUMMYFUNCTION("""COMPUTED_VALUE"""),38007.645833333336)</f>
        <v>38007.64583</v>
      </c>
      <c r="B392" s="2">
        <f>IFERROR(__xludf.DUMMYFUNCTION("""COMPUTED_VALUE"""),115.01)</f>
        <v>115.01</v>
      </c>
      <c r="C392" s="2">
        <f>IFERROR(__xludf.DUMMYFUNCTION("""COMPUTED_VALUE"""),116.71)</f>
        <v>116.71</v>
      </c>
      <c r="D392" s="2">
        <f>IFERROR(__xludf.DUMMYFUNCTION("""COMPUTED_VALUE"""),110.25)</f>
        <v>110.25</v>
      </c>
      <c r="E392" s="2">
        <f>IFERROR(__xludf.DUMMYFUNCTION("""COMPUTED_VALUE"""),111.33)</f>
        <v>111.33</v>
      </c>
      <c r="F392" s="2">
        <f>IFERROR(__xludf.DUMMYFUNCTION("""COMPUTED_VALUE"""),6471951.0)</f>
        <v>6471951</v>
      </c>
    </row>
    <row r="393">
      <c r="A393" s="3">
        <f>IFERROR(__xludf.DUMMYFUNCTION("""COMPUTED_VALUE"""),38008.645833333336)</f>
        <v>38008.64583</v>
      </c>
      <c r="B393" s="2">
        <f>IFERROR(__xludf.DUMMYFUNCTION("""COMPUTED_VALUE"""),111.34)</f>
        <v>111.34</v>
      </c>
      <c r="C393" s="2">
        <f>IFERROR(__xludf.DUMMYFUNCTION("""COMPUTED_VALUE"""),115.75)</f>
        <v>115.75</v>
      </c>
      <c r="D393" s="2">
        <f>IFERROR(__xludf.DUMMYFUNCTION("""COMPUTED_VALUE"""),106.15)</f>
        <v>106.15</v>
      </c>
      <c r="E393" s="2">
        <f>IFERROR(__xludf.DUMMYFUNCTION("""COMPUTED_VALUE"""),107.76)</f>
        <v>107.76</v>
      </c>
      <c r="F393" s="2">
        <f>IFERROR(__xludf.DUMMYFUNCTION("""COMPUTED_VALUE"""),1.0218853E7)</f>
        <v>10218853</v>
      </c>
    </row>
    <row r="394">
      <c r="A394" s="3">
        <f>IFERROR(__xludf.DUMMYFUNCTION("""COMPUTED_VALUE"""),38009.645833333336)</f>
        <v>38009.64583</v>
      </c>
      <c r="B394" s="2">
        <f>IFERROR(__xludf.DUMMYFUNCTION("""COMPUTED_VALUE"""),108.52)</f>
        <v>108.52</v>
      </c>
      <c r="C394" s="2">
        <f>IFERROR(__xludf.DUMMYFUNCTION("""COMPUTED_VALUE"""),113.0)</f>
        <v>113</v>
      </c>
      <c r="D394" s="2">
        <f>IFERROR(__xludf.DUMMYFUNCTION("""COMPUTED_VALUE"""),107.06)</f>
        <v>107.06</v>
      </c>
      <c r="E394" s="2">
        <f>IFERROR(__xludf.DUMMYFUNCTION("""COMPUTED_VALUE"""),112.32)</f>
        <v>112.32</v>
      </c>
      <c r="F394" s="2">
        <f>IFERROR(__xludf.DUMMYFUNCTION("""COMPUTED_VALUE"""),9296411.0)</f>
        <v>9296411</v>
      </c>
    </row>
    <row r="395">
      <c r="A395" s="3">
        <f>IFERROR(__xludf.DUMMYFUNCTION("""COMPUTED_VALUE"""),38013.645833333336)</f>
        <v>38013.64583</v>
      </c>
      <c r="B395" s="2">
        <f>IFERROR(__xludf.DUMMYFUNCTION("""COMPUTED_VALUE"""),113.16)</f>
        <v>113.16</v>
      </c>
      <c r="C395" s="2">
        <f>IFERROR(__xludf.DUMMYFUNCTION("""COMPUTED_VALUE"""),117.46)</f>
        <v>117.46</v>
      </c>
      <c r="D395" s="2">
        <f>IFERROR(__xludf.DUMMYFUNCTION("""COMPUTED_VALUE"""),112.82)</f>
        <v>112.82</v>
      </c>
      <c r="E395" s="2">
        <f>IFERROR(__xludf.DUMMYFUNCTION("""COMPUTED_VALUE"""),116.91)</f>
        <v>116.91</v>
      </c>
      <c r="F395" s="2">
        <f>IFERROR(__xludf.DUMMYFUNCTION("""COMPUTED_VALUE"""),7072111.0)</f>
        <v>7072111</v>
      </c>
    </row>
    <row r="396">
      <c r="A396" s="3">
        <f>IFERROR(__xludf.DUMMYFUNCTION("""COMPUTED_VALUE"""),38014.645833333336)</f>
        <v>38014.64583</v>
      </c>
      <c r="B396" s="2">
        <f>IFERROR(__xludf.DUMMYFUNCTION("""COMPUTED_VALUE"""),118.39)</f>
        <v>118.39</v>
      </c>
      <c r="C396" s="2">
        <f>IFERROR(__xludf.DUMMYFUNCTION("""COMPUTED_VALUE"""),118.64)</f>
        <v>118.64</v>
      </c>
      <c r="D396" s="2">
        <f>IFERROR(__xludf.DUMMYFUNCTION("""COMPUTED_VALUE"""),114.67)</f>
        <v>114.67</v>
      </c>
      <c r="E396" s="2">
        <f>IFERROR(__xludf.DUMMYFUNCTION("""COMPUTED_VALUE"""),115.91)</f>
        <v>115.91</v>
      </c>
      <c r="F396" s="2">
        <f>IFERROR(__xludf.DUMMYFUNCTION("""COMPUTED_VALUE"""),8354537.0)</f>
        <v>8354537</v>
      </c>
    </row>
    <row r="397">
      <c r="A397" s="3">
        <f>IFERROR(__xludf.DUMMYFUNCTION("""COMPUTED_VALUE"""),38015.645833333336)</f>
        <v>38015.64583</v>
      </c>
      <c r="B397" s="2">
        <f>IFERROR(__xludf.DUMMYFUNCTION("""COMPUTED_VALUE"""),116.98)</f>
        <v>116.98</v>
      </c>
      <c r="C397" s="2">
        <f>IFERROR(__xludf.DUMMYFUNCTION("""COMPUTED_VALUE"""),117.96)</f>
        <v>117.96</v>
      </c>
      <c r="D397" s="2">
        <f>IFERROR(__xludf.DUMMYFUNCTION("""COMPUTED_VALUE"""),113.81)</f>
        <v>113.81</v>
      </c>
      <c r="E397" s="2">
        <f>IFERROR(__xludf.DUMMYFUNCTION("""COMPUTED_VALUE"""),115.07)</f>
        <v>115.07</v>
      </c>
      <c r="F397" s="2">
        <f>IFERROR(__xludf.DUMMYFUNCTION("""COMPUTED_VALUE"""),1.4791246E7)</f>
        <v>14791246</v>
      </c>
    </row>
    <row r="398">
      <c r="A398" s="3">
        <f>IFERROR(__xludf.DUMMYFUNCTION("""COMPUTED_VALUE"""),38016.645833333336)</f>
        <v>38016.64583</v>
      </c>
      <c r="B398" s="2">
        <f>IFERROR(__xludf.DUMMYFUNCTION("""COMPUTED_VALUE"""),115.27)</f>
        <v>115.27</v>
      </c>
      <c r="C398" s="2">
        <f>IFERROR(__xludf.DUMMYFUNCTION("""COMPUTED_VALUE"""),116.65)</f>
        <v>116.65</v>
      </c>
      <c r="D398" s="2">
        <f>IFERROR(__xludf.DUMMYFUNCTION("""COMPUTED_VALUE"""),112.35)</f>
        <v>112.35</v>
      </c>
      <c r="E398" s="2">
        <f>IFERROR(__xludf.DUMMYFUNCTION("""COMPUTED_VALUE"""),112.86)</f>
        <v>112.86</v>
      </c>
      <c r="F398" s="2">
        <f>IFERROR(__xludf.DUMMYFUNCTION("""COMPUTED_VALUE"""),6169266.0)</f>
        <v>6169266</v>
      </c>
    </row>
    <row r="399">
      <c r="A399" s="3">
        <f>IFERROR(__xludf.DUMMYFUNCTION("""COMPUTED_VALUE"""),38020.645833333336)</f>
        <v>38020.64583</v>
      </c>
      <c r="B399" s="2">
        <f>IFERROR(__xludf.DUMMYFUNCTION("""COMPUTED_VALUE"""),113.15)</f>
        <v>113.15</v>
      </c>
      <c r="C399" s="2">
        <f>IFERROR(__xludf.DUMMYFUNCTION("""COMPUTED_VALUE"""),113.72)</f>
        <v>113.72</v>
      </c>
      <c r="D399" s="2">
        <f>IFERROR(__xludf.DUMMYFUNCTION("""COMPUTED_VALUE"""),110.51)</f>
        <v>110.51</v>
      </c>
      <c r="E399" s="2">
        <f>IFERROR(__xludf.DUMMYFUNCTION("""COMPUTED_VALUE"""),111.48)</f>
        <v>111.48</v>
      </c>
      <c r="F399" s="2">
        <f>IFERROR(__xludf.DUMMYFUNCTION("""COMPUTED_VALUE"""),6913665.0)</f>
        <v>6913665</v>
      </c>
    </row>
    <row r="400">
      <c r="A400" s="3">
        <f>IFERROR(__xludf.DUMMYFUNCTION("""COMPUTED_VALUE"""),38021.645833333336)</f>
        <v>38021.64583</v>
      </c>
      <c r="B400" s="2">
        <f>IFERROR(__xludf.DUMMYFUNCTION("""COMPUTED_VALUE"""),111.81)</f>
        <v>111.81</v>
      </c>
      <c r="C400" s="2">
        <f>IFERROR(__xludf.DUMMYFUNCTION("""COMPUTED_VALUE"""),115.77)</f>
        <v>115.77</v>
      </c>
      <c r="D400" s="2">
        <f>IFERROR(__xludf.DUMMYFUNCTION("""COMPUTED_VALUE"""),110.64)</f>
        <v>110.64</v>
      </c>
      <c r="E400" s="2">
        <f>IFERROR(__xludf.DUMMYFUNCTION("""COMPUTED_VALUE"""),115.04)</f>
        <v>115.04</v>
      </c>
      <c r="F400" s="2">
        <f>IFERROR(__xludf.DUMMYFUNCTION("""COMPUTED_VALUE"""),7371400.0)</f>
        <v>7371400</v>
      </c>
    </row>
    <row r="401">
      <c r="A401" s="3">
        <f>IFERROR(__xludf.DUMMYFUNCTION("""COMPUTED_VALUE"""),38022.645833333336)</f>
        <v>38022.64583</v>
      </c>
      <c r="B401" s="2">
        <f>IFERROR(__xludf.DUMMYFUNCTION("""COMPUTED_VALUE"""),115.67)</f>
        <v>115.67</v>
      </c>
      <c r="C401" s="2">
        <f>IFERROR(__xludf.DUMMYFUNCTION("""COMPUTED_VALUE"""),116.47)</f>
        <v>116.47</v>
      </c>
      <c r="D401" s="2">
        <f>IFERROR(__xludf.DUMMYFUNCTION("""COMPUTED_VALUE"""),112.61)</f>
        <v>112.61</v>
      </c>
      <c r="E401" s="2">
        <f>IFERROR(__xludf.DUMMYFUNCTION("""COMPUTED_VALUE"""),113.68)</f>
        <v>113.68</v>
      </c>
      <c r="F401" s="2">
        <f>IFERROR(__xludf.DUMMYFUNCTION("""COMPUTED_VALUE"""),7220332.0)</f>
        <v>7220332</v>
      </c>
    </row>
    <row r="402">
      <c r="A402" s="3">
        <f>IFERROR(__xludf.DUMMYFUNCTION("""COMPUTED_VALUE"""),38023.645833333336)</f>
        <v>38023.64583</v>
      </c>
      <c r="B402" s="2">
        <f>IFERROR(__xludf.DUMMYFUNCTION("""COMPUTED_VALUE"""),114.51)</f>
        <v>114.51</v>
      </c>
      <c r="C402" s="2">
        <f>IFERROR(__xludf.DUMMYFUNCTION("""COMPUTED_VALUE"""),116.17)</f>
        <v>116.17</v>
      </c>
      <c r="D402" s="2">
        <f>IFERROR(__xludf.DUMMYFUNCTION("""COMPUTED_VALUE"""),113.57)</f>
        <v>113.57</v>
      </c>
      <c r="E402" s="2">
        <f>IFERROR(__xludf.DUMMYFUNCTION("""COMPUTED_VALUE"""),115.85)</f>
        <v>115.85</v>
      </c>
      <c r="F402" s="2">
        <f>IFERROR(__xludf.DUMMYFUNCTION("""COMPUTED_VALUE"""),6548357.0)</f>
        <v>6548357</v>
      </c>
    </row>
    <row r="403">
      <c r="A403" s="3">
        <f>IFERROR(__xludf.DUMMYFUNCTION("""COMPUTED_VALUE"""),38026.645833333336)</f>
        <v>38026.64583</v>
      </c>
      <c r="B403" s="2">
        <f>IFERROR(__xludf.DUMMYFUNCTION("""COMPUTED_VALUE"""),116.47)</f>
        <v>116.47</v>
      </c>
      <c r="C403" s="2">
        <f>IFERROR(__xludf.DUMMYFUNCTION("""COMPUTED_VALUE"""),118.79)</f>
        <v>118.79</v>
      </c>
      <c r="D403" s="2">
        <f>IFERROR(__xludf.DUMMYFUNCTION("""COMPUTED_VALUE"""),116.47)</f>
        <v>116.47</v>
      </c>
      <c r="E403" s="2">
        <f>IFERROR(__xludf.DUMMYFUNCTION("""COMPUTED_VALUE"""),118.53)</f>
        <v>118.53</v>
      </c>
      <c r="F403" s="2">
        <f>IFERROR(__xludf.DUMMYFUNCTION("""COMPUTED_VALUE"""),4990849.0)</f>
        <v>4990849</v>
      </c>
    </row>
    <row r="404">
      <c r="A404" s="3">
        <f>IFERROR(__xludf.DUMMYFUNCTION("""COMPUTED_VALUE"""),38027.645833333336)</f>
        <v>38027.64583</v>
      </c>
      <c r="B404" s="2">
        <f>IFERROR(__xludf.DUMMYFUNCTION("""COMPUTED_VALUE"""),119.19)</f>
        <v>119.19</v>
      </c>
      <c r="C404" s="2">
        <f>IFERROR(__xludf.DUMMYFUNCTION("""COMPUTED_VALUE"""),120.48)</f>
        <v>120.48</v>
      </c>
      <c r="D404" s="2">
        <f>IFERROR(__xludf.DUMMYFUNCTION("""COMPUTED_VALUE"""),117.9)</f>
        <v>117.9</v>
      </c>
      <c r="E404" s="2">
        <f>IFERROR(__xludf.DUMMYFUNCTION("""COMPUTED_VALUE"""),119.44)</f>
        <v>119.44</v>
      </c>
      <c r="F404" s="2">
        <f>IFERROR(__xludf.DUMMYFUNCTION("""COMPUTED_VALUE"""),8848744.0)</f>
        <v>8848744</v>
      </c>
    </row>
    <row r="405">
      <c r="A405" s="3">
        <f>IFERROR(__xludf.DUMMYFUNCTION("""COMPUTED_VALUE"""),38028.645833333336)</f>
        <v>38028.64583</v>
      </c>
      <c r="B405" s="2">
        <f>IFERROR(__xludf.DUMMYFUNCTION("""COMPUTED_VALUE"""),124.83)</f>
        <v>124.83</v>
      </c>
      <c r="C405" s="2">
        <f>IFERROR(__xludf.DUMMYFUNCTION("""COMPUTED_VALUE"""),124.83)</f>
        <v>124.83</v>
      </c>
      <c r="D405" s="2">
        <f>IFERROR(__xludf.DUMMYFUNCTION("""COMPUTED_VALUE"""),117.0)</f>
        <v>117</v>
      </c>
      <c r="E405" s="2">
        <f>IFERROR(__xludf.DUMMYFUNCTION("""COMPUTED_VALUE"""),118.24)</f>
        <v>118.24</v>
      </c>
      <c r="F405" s="2">
        <f>IFERROR(__xludf.DUMMYFUNCTION("""COMPUTED_VALUE"""),6210047.0)</f>
        <v>6210047</v>
      </c>
    </row>
    <row r="406">
      <c r="A406" s="3">
        <f>IFERROR(__xludf.DUMMYFUNCTION("""COMPUTED_VALUE"""),38029.645833333336)</f>
        <v>38029.64583</v>
      </c>
      <c r="B406" s="2">
        <f>IFERROR(__xludf.DUMMYFUNCTION("""COMPUTED_VALUE"""),118.84)</f>
        <v>118.84</v>
      </c>
      <c r="C406" s="2">
        <f>IFERROR(__xludf.DUMMYFUNCTION("""COMPUTED_VALUE"""),119.78)</f>
        <v>119.78</v>
      </c>
      <c r="D406" s="2">
        <f>IFERROR(__xludf.DUMMYFUNCTION("""COMPUTED_VALUE"""),117.58)</f>
        <v>117.58</v>
      </c>
      <c r="E406" s="2">
        <f>IFERROR(__xludf.DUMMYFUNCTION("""COMPUTED_VALUE"""),118.33)</f>
        <v>118.33</v>
      </c>
      <c r="F406" s="2">
        <f>IFERROR(__xludf.DUMMYFUNCTION("""COMPUTED_VALUE"""),5921079.0)</f>
        <v>5921079</v>
      </c>
    </row>
    <row r="407">
      <c r="A407" s="3">
        <f>IFERROR(__xludf.DUMMYFUNCTION("""COMPUTED_VALUE"""),38030.645833333336)</f>
        <v>38030.64583</v>
      </c>
      <c r="B407" s="2">
        <f>IFERROR(__xludf.DUMMYFUNCTION("""COMPUTED_VALUE"""),118.01)</f>
        <v>118.01</v>
      </c>
      <c r="C407" s="2">
        <f>IFERROR(__xludf.DUMMYFUNCTION("""COMPUTED_VALUE"""),120.28)</f>
        <v>120.28</v>
      </c>
      <c r="D407" s="2">
        <f>IFERROR(__xludf.DUMMYFUNCTION("""COMPUTED_VALUE"""),117.6)</f>
        <v>117.6</v>
      </c>
      <c r="E407" s="2">
        <f>IFERROR(__xludf.DUMMYFUNCTION("""COMPUTED_VALUE"""),119.88)</f>
        <v>119.88</v>
      </c>
      <c r="F407" s="2">
        <f>IFERROR(__xludf.DUMMYFUNCTION("""COMPUTED_VALUE"""),4672041.0)</f>
        <v>4672041</v>
      </c>
    </row>
    <row r="408">
      <c r="A408" s="3">
        <f>IFERROR(__xludf.DUMMYFUNCTION("""COMPUTED_VALUE"""),38033.645833333336)</f>
        <v>38033.64583</v>
      </c>
      <c r="B408" s="2">
        <f>IFERROR(__xludf.DUMMYFUNCTION("""COMPUTED_VALUE"""),120.4)</f>
        <v>120.4</v>
      </c>
      <c r="C408" s="2">
        <f>IFERROR(__xludf.DUMMYFUNCTION("""COMPUTED_VALUE"""),121.2)</f>
        <v>121.2</v>
      </c>
      <c r="D408" s="2">
        <f>IFERROR(__xludf.DUMMYFUNCTION("""COMPUTED_VALUE"""),118.84)</f>
        <v>118.84</v>
      </c>
      <c r="E408" s="2">
        <f>IFERROR(__xludf.DUMMYFUNCTION("""COMPUTED_VALUE"""),119.38)</f>
        <v>119.38</v>
      </c>
      <c r="F408" s="2">
        <f>IFERROR(__xludf.DUMMYFUNCTION("""COMPUTED_VALUE"""),5692413.0)</f>
        <v>5692413</v>
      </c>
    </row>
    <row r="409">
      <c r="A409" s="3">
        <f>IFERROR(__xludf.DUMMYFUNCTION("""COMPUTED_VALUE"""),38034.645833333336)</f>
        <v>38034.64583</v>
      </c>
      <c r="B409" s="2">
        <f>IFERROR(__xludf.DUMMYFUNCTION("""COMPUTED_VALUE"""),119.21)</f>
        <v>119.21</v>
      </c>
      <c r="C409" s="2">
        <f>IFERROR(__xludf.DUMMYFUNCTION("""COMPUTED_VALUE"""),121.81)</f>
        <v>121.81</v>
      </c>
      <c r="D409" s="2">
        <f>IFERROR(__xludf.DUMMYFUNCTION("""COMPUTED_VALUE"""),118.79)</f>
        <v>118.79</v>
      </c>
      <c r="E409" s="2">
        <f>IFERROR(__xludf.DUMMYFUNCTION("""COMPUTED_VALUE"""),120.55)</f>
        <v>120.55</v>
      </c>
      <c r="F409" s="2">
        <f>IFERROR(__xludf.DUMMYFUNCTION("""COMPUTED_VALUE"""),9221574.0)</f>
        <v>9221574</v>
      </c>
    </row>
    <row r="410">
      <c r="A410" s="3">
        <f>IFERROR(__xludf.DUMMYFUNCTION("""COMPUTED_VALUE"""),38035.645833333336)</f>
        <v>38035.64583</v>
      </c>
      <c r="B410" s="2">
        <f>IFERROR(__xludf.DUMMYFUNCTION("""COMPUTED_VALUE"""),121.17)</f>
        <v>121.17</v>
      </c>
      <c r="C410" s="2">
        <f>IFERROR(__xludf.DUMMYFUNCTION("""COMPUTED_VALUE"""),122.92)</f>
        <v>122.92</v>
      </c>
      <c r="D410" s="2">
        <f>IFERROR(__xludf.DUMMYFUNCTION("""COMPUTED_VALUE"""),120.83)</f>
        <v>120.83</v>
      </c>
      <c r="E410" s="2">
        <f>IFERROR(__xludf.DUMMYFUNCTION("""COMPUTED_VALUE"""),121.78)</f>
        <v>121.78</v>
      </c>
      <c r="F410" s="2">
        <f>IFERROR(__xludf.DUMMYFUNCTION("""COMPUTED_VALUE"""),1.1285784E7)</f>
        <v>11285784</v>
      </c>
    </row>
    <row r="411">
      <c r="A411" s="3">
        <f>IFERROR(__xludf.DUMMYFUNCTION("""COMPUTED_VALUE"""),38036.645833333336)</f>
        <v>38036.64583</v>
      </c>
      <c r="B411" s="2">
        <f>IFERROR(__xludf.DUMMYFUNCTION("""COMPUTED_VALUE"""),121.83)</f>
        <v>121.83</v>
      </c>
      <c r="C411" s="2">
        <f>IFERROR(__xludf.DUMMYFUNCTION("""COMPUTED_VALUE"""),122.61)</f>
        <v>122.61</v>
      </c>
      <c r="D411" s="2">
        <f>IFERROR(__xludf.DUMMYFUNCTION("""COMPUTED_VALUE"""),116.79)</f>
        <v>116.79</v>
      </c>
      <c r="E411" s="2">
        <f>IFERROR(__xludf.DUMMYFUNCTION("""COMPUTED_VALUE"""),117.25)</f>
        <v>117.25</v>
      </c>
      <c r="F411" s="2">
        <f>IFERROR(__xludf.DUMMYFUNCTION("""COMPUTED_VALUE"""),8352121.0)</f>
        <v>8352121</v>
      </c>
    </row>
    <row r="412">
      <c r="A412" s="3">
        <f>IFERROR(__xludf.DUMMYFUNCTION("""COMPUTED_VALUE"""),38037.645833333336)</f>
        <v>38037.64583</v>
      </c>
      <c r="B412" s="2">
        <f>IFERROR(__xludf.DUMMYFUNCTION("""COMPUTED_VALUE"""),117.0)</f>
        <v>117</v>
      </c>
      <c r="C412" s="2">
        <f>IFERROR(__xludf.DUMMYFUNCTION("""COMPUTED_VALUE"""),119.8)</f>
        <v>119.8</v>
      </c>
      <c r="D412" s="2">
        <f>IFERROR(__xludf.DUMMYFUNCTION("""COMPUTED_VALUE"""),116.88)</f>
        <v>116.88</v>
      </c>
      <c r="E412" s="2">
        <f>IFERROR(__xludf.DUMMYFUNCTION("""COMPUTED_VALUE"""),118.27)</f>
        <v>118.27</v>
      </c>
      <c r="F412" s="2">
        <f>IFERROR(__xludf.DUMMYFUNCTION("""COMPUTED_VALUE"""),1.0037773E7)</f>
        <v>10037773</v>
      </c>
    </row>
    <row r="413">
      <c r="A413" s="3">
        <f>IFERROR(__xludf.DUMMYFUNCTION("""COMPUTED_VALUE"""),38040.645833333336)</f>
        <v>38040.64583</v>
      </c>
      <c r="B413" s="2">
        <f>IFERROR(__xludf.DUMMYFUNCTION("""COMPUTED_VALUE"""),118.59)</f>
        <v>118.59</v>
      </c>
      <c r="C413" s="2">
        <f>IFERROR(__xludf.DUMMYFUNCTION("""COMPUTED_VALUE"""),119.59)</f>
        <v>119.59</v>
      </c>
      <c r="D413" s="2">
        <f>IFERROR(__xludf.DUMMYFUNCTION("""COMPUTED_VALUE"""),112.77)</f>
        <v>112.77</v>
      </c>
      <c r="E413" s="2">
        <f>IFERROR(__xludf.DUMMYFUNCTION("""COMPUTED_VALUE"""),113.83)</f>
        <v>113.83</v>
      </c>
      <c r="F413" s="2">
        <f>IFERROR(__xludf.DUMMYFUNCTION("""COMPUTED_VALUE"""),9391243.0)</f>
        <v>9391243</v>
      </c>
    </row>
    <row r="414">
      <c r="A414" s="3">
        <f>IFERROR(__xludf.DUMMYFUNCTION("""COMPUTED_VALUE"""),38041.645833333336)</f>
        <v>38041.64583</v>
      </c>
      <c r="B414" s="2">
        <f>IFERROR(__xludf.DUMMYFUNCTION("""COMPUTED_VALUE"""),111.84)</f>
        <v>111.84</v>
      </c>
      <c r="C414" s="2">
        <f>IFERROR(__xludf.DUMMYFUNCTION("""COMPUTED_VALUE"""),114.48)</f>
        <v>114.48</v>
      </c>
      <c r="D414" s="2">
        <f>IFERROR(__xludf.DUMMYFUNCTION("""COMPUTED_VALUE"""),110.74)</f>
        <v>110.74</v>
      </c>
      <c r="E414" s="2">
        <f>IFERROR(__xludf.DUMMYFUNCTION("""COMPUTED_VALUE"""),113.91)</f>
        <v>113.91</v>
      </c>
      <c r="F414" s="2">
        <f>IFERROR(__xludf.DUMMYFUNCTION("""COMPUTED_VALUE"""),1.2554104E7)</f>
        <v>12554104</v>
      </c>
    </row>
    <row r="415">
      <c r="A415" s="3">
        <f>IFERROR(__xludf.DUMMYFUNCTION("""COMPUTED_VALUE"""),38042.645833333336)</f>
        <v>38042.64583</v>
      </c>
      <c r="B415" s="2">
        <f>IFERROR(__xludf.DUMMYFUNCTION("""COMPUTED_VALUE"""),114.76)</f>
        <v>114.76</v>
      </c>
      <c r="C415" s="2">
        <f>IFERROR(__xludf.DUMMYFUNCTION("""COMPUTED_VALUE"""),114.76)</f>
        <v>114.76</v>
      </c>
      <c r="D415" s="2">
        <f>IFERROR(__xludf.DUMMYFUNCTION("""COMPUTED_VALUE"""),111.19)</f>
        <v>111.19</v>
      </c>
      <c r="E415" s="2">
        <f>IFERROR(__xludf.DUMMYFUNCTION("""COMPUTED_VALUE"""),111.78)</f>
        <v>111.78</v>
      </c>
      <c r="F415" s="2">
        <f>IFERROR(__xludf.DUMMYFUNCTION("""COMPUTED_VALUE"""),6962652.0)</f>
        <v>6962652</v>
      </c>
    </row>
    <row r="416">
      <c r="A416" s="3">
        <f>IFERROR(__xludf.DUMMYFUNCTION("""COMPUTED_VALUE"""),38043.645833333336)</f>
        <v>38043.64583</v>
      </c>
      <c r="B416" s="2">
        <f>IFERROR(__xludf.DUMMYFUNCTION("""COMPUTED_VALUE"""),111.54)</f>
        <v>111.54</v>
      </c>
      <c r="C416" s="2">
        <f>IFERROR(__xludf.DUMMYFUNCTION("""COMPUTED_VALUE"""),113.61)</f>
        <v>113.61</v>
      </c>
      <c r="D416" s="2">
        <f>IFERROR(__xludf.DUMMYFUNCTION("""COMPUTED_VALUE"""),108.52)</f>
        <v>108.52</v>
      </c>
      <c r="E416" s="2">
        <f>IFERROR(__xludf.DUMMYFUNCTION("""COMPUTED_VALUE"""),109.19)</f>
        <v>109.19</v>
      </c>
      <c r="F416" s="2">
        <f>IFERROR(__xludf.DUMMYFUNCTION("""COMPUTED_VALUE"""),1.0483179E7)</f>
        <v>10483179</v>
      </c>
    </row>
    <row r="417">
      <c r="A417" s="3">
        <f>IFERROR(__xludf.DUMMYFUNCTION("""COMPUTED_VALUE"""),38044.645833333336)</f>
        <v>38044.64583</v>
      </c>
      <c r="B417" s="2">
        <f>IFERROR(__xludf.DUMMYFUNCTION("""COMPUTED_VALUE"""),109.84)</f>
        <v>109.84</v>
      </c>
      <c r="C417" s="2">
        <f>IFERROR(__xludf.DUMMYFUNCTION("""COMPUTED_VALUE"""),112.06)</f>
        <v>112.06</v>
      </c>
      <c r="D417" s="2">
        <f>IFERROR(__xludf.DUMMYFUNCTION("""COMPUTED_VALUE"""),109.73)</f>
        <v>109.73</v>
      </c>
      <c r="E417" s="2">
        <f>IFERROR(__xludf.DUMMYFUNCTION("""COMPUTED_VALUE"""),111.68)</f>
        <v>111.68</v>
      </c>
      <c r="F417" s="2">
        <f>IFERROR(__xludf.DUMMYFUNCTION("""COMPUTED_VALUE"""),8262031.0)</f>
        <v>8262031</v>
      </c>
    </row>
    <row r="418">
      <c r="A418" s="3">
        <f>IFERROR(__xludf.DUMMYFUNCTION("""COMPUTED_VALUE"""),38047.645833333336)</f>
        <v>38047.64583</v>
      </c>
      <c r="B418" s="2">
        <f>IFERROR(__xludf.DUMMYFUNCTION("""COMPUTED_VALUE"""),114.56)</f>
        <v>114.56</v>
      </c>
      <c r="C418" s="2">
        <f>IFERROR(__xludf.DUMMYFUNCTION("""COMPUTED_VALUE"""),114.65)</f>
        <v>114.65</v>
      </c>
      <c r="D418" s="2">
        <f>IFERROR(__xludf.DUMMYFUNCTION("""COMPUTED_VALUE"""),112.0)</f>
        <v>112</v>
      </c>
      <c r="E418" s="2">
        <f>IFERROR(__xludf.DUMMYFUNCTION("""COMPUTED_VALUE"""),114.22)</f>
        <v>114.22</v>
      </c>
      <c r="F418" s="2">
        <f>IFERROR(__xludf.DUMMYFUNCTION("""COMPUTED_VALUE"""),6235209.0)</f>
        <v>6235209</v>
      </c>
    </row>
    <row r="419">
      <c r="A419" s="3">
        <f>IFERROR(__xludf.DUMMYFUNCTION("""COMPUTED_VALUE"""),38049.645833333336)</f>
        <v>38049.64583</v>
      </c>
      <c r="B419" s="2">
        <f>IFERROR(__xludf.DUMMYFUNCTION("""COMPUTED_VALUE"""),114.59)</f>
        <v>114.59</v>
      </c>
      <c r="C419" s="2">
        <f>IFERROR(__xludf.DUMMYFUNCTION("""COMPUTED_VALUE"""),117.56)</f>
        <v>117.56</v>
      </c>
      <c r="D419" s="2">
        <f>IFERROR(__xludf.DUMMYFUNCTION("""COMPUTED_VALUE"""),114.18)</f>
        <v>114.18</v>
      </c>
      <c r="E419" s="2">
        <f>IFERROR(__xludf.DUMMYFUNCTION("""COMPUTED_VALUE"""),116.95)</f>
        <v>116.95</v>
      </c>
      <c r="F419" s="2">
        <f>IFERROR(__xludf.DUMMYFUNCTION("""COMPUTED_VALUE"""),8516733.0)</f>
        <v>8516733</v>
      </c>
    </row>
    <row r="420">
      <c r="A420" s="3">
        <f>IFERROR(__xludf.DUMMYFUNCTION("""COMPUTED_VALUE"""),38050.645833333336)</f>
        <v>38050.64583</v>
      </c>
      <c r="B420" s="2">
        <f>IFERROR(__xludf.DUMMYFUNCTION("""COMPUTED_VALUE"""),116.37)</f>
        <v>116.37</v>
      </c>
      <c r="C420" s="2">
        <f>IFERROR(__xludf.DUMMYFUNCTION("""COMPUTED_VALUE"""),117.58)</f>
        <v>117.58</v>
      </c>
      <c r="D420" s="2">
        <f>IFERROR(__xludf.DUMMYFUNCTION("""COMPUTED_VALUE"""),114.88)</f>
        <v>114.88</v>
      </c>
      <c r="E420" s="2">
        <f>IFERROR(__xludf.DUMMYFUNCTION("""COMPUTED_VALUE"""),115.5)</f>
        <v>115.5</v>
      </c>
      <c r="F420" s="2">
        <f>IFERROR(__xludf.DUMMYFUNCTION("""COMPUTED_VALUE"""),4249944.0)</f>
        <v>4249944</v>
      </c>
    </row>
    <row r="421">
      <c r="A421" s="3">
        <f>IFERROR(__xludf.DUMMYFUNCTION("""COMPUTED_VALUE"""),38051.645833333336)</f>
        <v>38051.64583</v>
      </c>
      <c r="B421" s="2">
        <f>IFERROR(__xludf.DUMMYFUNCTION("""COMPUTED_VALUE"""),114.96)</f>
        <v>114.96</v>
      </c>
      <c r="C421" s="2">
        <f>IFERROR(__xludf.DUMMYFUNCTION("""COMPUTED_VALUE"""),118.28)</f>
        <v>118.28</v>
      </c>
      <c r="D421" s="2">
        <f>IFERROR(__xludf.DUMMYFUNCTION("""COMPUTED_VALUE"""),114.96)</f>
        <v>114.96</v>
      </c>
      <c r="E421" s="2">
        <f>IFERROR(__xludf.DUMMYFUNCTION("""COMPUTED_VALUE"""),118.01)</f>
        <v>118.01</v>
      </c>
      <c r="F421" s="2">
        <f>IFERROR(__xludf.DUMMYFUNCTION("""COMPUTED_VALUE"""),4136933.0)</f>
        <v>4136933</v>
      </c>
    </row>
    <row r="422">
      <c r="A422" s="3">
        <f>IFERROR(__xludf.DUMMYFUNCTION("""COMPUTED_VALUE"""),38054.645833333336)</f>
        <v>38054.64583</v>
      </c>
      <c r="B422" s="2">
        <f>IFERROR(__xludf.DUMMYFUNCTION("""COMPUTED_VALUE"""),118.39)</f>
        <v>118.39</v>
      </c>
      <c r="C422" s="2">
        <f>IFERROR(__xludf.DUMMYFUNCTION("""COMPUTED_VALUE"""),120.6)</f>
        <v>120.6</v>
      </c>
      <c r="D422" s="2">
        <f>IFERROR(__xludf.DUMMYFUNCTION("""COMPUTED_VALUE"""),118.26)</f>
        <v>118.26</v>
      </c>
      <c r="E422" s="2">
        <f>IFERROR(__xludf.DUMMYFUNCTION("""COMPUTED_VALUE"""),119.95)</f>
        <v>119.95</v>
      </c>
      <c r="F422" s="2">
        <f>IFERROR(__xludf.DUMMYFUNCTION("""COMPUTED_VALUE"""),4857721.0)</f>
        <v>4857721</v>
      </c>
    </row>
    <row r="423">
      <c r="A423" s="3">
        <f>IFERROR(__xludf.DUMMYFUNCTION("""COMPUTED_VALUE"""),38055.645833333336)</f>
        <v>38055.64583</v>
      </c>
      <c r="B423" s="2">
        <f>IFERROR(__xludf.DUMMYFUNCTION("""COMPUTED_VALUE"""),120.8)</f>
        <v>120.8</v>
      </c>
      <c r="C423" s="2">
        <f>IFERROR(__xludf.DUMMYFUNCTION("""COMPUTED_VALUE"""),120.8)</f>
        <v>120.8</v>
      </c>
      <c r="D423" s="2">
        <f>IFERROR(__xludf.DUMMYFUNCTION("""COMPUTED_VALUE"""),116.47)</f>
        <v>116.47</v>
      </c>
      <c r="E423" s="2">
        <f>IFERROR(__xludf.DUMMYFUNCTION("""COMPUTED_VALUE"""),117.64)</f>
        <v>117.64</v>
      </c>
      <c r="F423" s="2">
        <f>IFERROR(__xludf.DUMMYFUNCTION("""COMPUTED_VALUE"""),4567818.0)</f>
        <v>4567818</v>
      </c>
    </row>
    <row r="424">
      <c r="A424" s="3">
        <f>IFERROR(__xludf.DUMMYFUNCTION("""COMPUTED_VALUE"""),38056.645833333336)</f>
        <v>38056.64583</v>
      </c>
      <c r="B424" s="2">
        <f>IFERROR(__xludf.DUMMYFUNCTION("""COMPUTED_VALUE"""),116.98)</f>
        <v>116.98</v>
      </c>
      <c r="C424" s="2">
        <f>IFERROR(__xludf.DUMMYFUNCTION("""COMPUTED_VALUE"""),117.18)</f>
        <v>117.18</v>
      </c>
      <c r="D424" s="2">
        <f>IFERROR(__xludf.DUMMYFUNCTION("""COMPUTED_VALUE"""),114.8)</f>
        <v>114.8</v>
      </c>
      <c r="E424" s="2">
        <f>IFERROR(__xludf.DUMMYFUNCTION("""COMPUTED_VALUE"""),115.51)</f>
        <v>115.51</v>
      </c>
      <c r="F424" s="2">
        <f>IFERROR(__xludf.DUMMYFUNCTION("""COMPUTED_VALUE"""),4071022.0)</f>
        <v>4071022</v>
      </c>
    </row>
    <row r="425">
      <c r="A425" s="3">
        <f>IFERROR(__xludf.DUMMYFUNCTION("""COMPUTED_VALUE"""),38057.645833333336)</f>
        <v>38057.64583</v>
      </c>
      <c r="B425" s="2">
        <f>IFERROR(__xludf.DUMMYFUNCTION("""COMPUTED_VALUE"""),115.16)</f>
        <v>115.16</v>
      </c>
      <c r="C425" s="2">
        <f>IFERROR(__xludf.DUMMYFUNCTION("""COMPUTED_VALUE"""),116.37)</f>
        <v>116.37</v>
      </c>
      <c r="D425" s="2">
        <f>IFERROR(__xludf.DUMMYFUNCTION("""COMPUTED_VALUE"""),113.35)</f>
        <v>113.35</v>
      </c>
      <c r="E425" s="2">
        <f>IFERROR(__xludf.DUMMYFUNCTION("""COMPUTED_VALUE"""),113.93)</f>
        <v>113.93</v>
      </c>
      <c r="F425" s="2">
        <f>IFERROR(__xludf.DUMMYFUNCTION("""COMPUTED_VALUE"""),5579304.0)</f>
        <v>5579304</v>
      </c>
    </row>
    <row r="426">
      <c r="A426" s="3">
        <f>IFERROR(__xludf.DUMMYFUNCTION("""COMPUTED_VALUE"""),38058.645833333336)</f>
        <v>38058.64583</v>
      </c>
      <c r="B426" s="2">
        <f>IFERROR(__xludf.DUMMYFUNCTION("""COMPUTED_VALUE"""),113.65)</f>
        <v>113.65</v>
      </c>
      <c r="C426" s="2">
        <f>IFERROR(__xludf.DUMMYFUNCTION("""COMPUTED_VALUE"""),114.56)</f>
        <v>114.56</v>
      </c>
      <c r="D426" s="2">
        <f>IFERROR(__xludf.DUMMYFUNCTION("""COMPUTED_VALUE"""),111.75)</f>
        <v>111.75</v>
      </c>
      <c r="E426" s="2">
        <f>IFERROR(__xludf.DUMMYFUNCTION("""COMPUTED_VALUE"""),113.27)</f>
        <v>113.27</v>
      </c>
      <c r="F426" s="2">
        <f>IFERROR(__xludf.DUMMYFUNCTION("""COMPUTED_VALUE"""),5410580.0)</f>
        <v>5410580</v>
      </c>
    </row>
    <row r="427">
      <c r="A427" s="3">
        <f>IFERROR(__xludf.DUMMYFUNCTION("""COMPUTED_VALUE"""),38061.645833333336)</f>
        <v>38061.64583</v>
      </c>
      <c r="B427" s="2">
        <f>IFERROR(__xludf.DUMMYFUNCTION("""COMPUTED_VALUE"""),114.17)</f>
        <v>114.17</v>
      </c>
      <c r="C427" s="2">
        <f>IFERROR(__xludf.DUMMYFUNCTION("""COMPUTED_VALUE"""),114.72)</f>
        <v>114.72</v>
      </c>
      <c r="D427" s="2">
        <f>IFERROR(__xludf.DUMMYFUNCTION("""COMPUTED_VALUE"""),108.72)</f>
        <v>108.72</v>
      </c>
      <c r="E427" s="2">
        <f>IFERROR(__xludf.DUMMYFUNCTION("""COMPUTED_VALUE"""),109.74)</f>
        <v>109.74</v>
      </c>
      <c r="F427" s="2">
        <f>IFERROR(__xludf.DUMMYFUNCTION("""COMPUTED_VALUE"""),6624011.0)</f>
        <v>6624011</v>
      </c>
    </row>
    <row r="428">
      <c r="A428" s="3">
        <f>IFERROR(__xludf.DUMMYFUNCTION("""COMPUTED_VALUE"""),38062.645833333336)</f>
        <v>38062.64583</v>
      </c>
      <c r="B428" s="2">
        <f>IFERROR(__xludf.DUMMYFUNCTION("""COMPUTED_VALUE"""),108.72)</f>
        <v>108.72</v>
      </c>
      <c r="C428" s="2">
        <f>IFERROR(__xludf.DUMMYFUNCTION("""COMPUTED_VALUE"""),111.71)</f>
        <v>111.71</v>
      </c>
      <c r="D428" s="2">
        <f>IFERROR(__xludf.DUMMYFUNCTION("""COMPUTED_VALUE"""),107.82)</f>
        <v>107.82</v>
      </c>
      <c r="E428" s="2">
        <f>IFERROR(__xludf.DUMMYFUNCTION("""COMPUTED_VALUE"""),109.09)</f>
        <v>109.09</v>
      </c>
      <c r="F428" s="2">
        <f>IFERROR(__xludf.DUMMYFUNCTION("""COMPUTED_VALUE"""),8512242.0)</f>
        <v>8512242</v>
      </c>
    </row>
    <row r="429">
      <c r="A429" s="3">
        <f>IFERROR(__xludf.DUMMYFUNCTION("""COMPUTED_VALUE"""),38063.645833333336)</f>
        <v>38063.64583</v>
      </c>
      <c r="B429" s="2">
        <f>IFERROR(__xludf.DUMMYFUNCTION("""COMPUTED_VALUE"""),109.73)</f>
        <v>109.73</v>
      </c>
      <c r="C429" s="2">
        <f>IFERROR(__xludf.DUMMYFUNCTION("""COMPUTED_VALUE"""),111.14)</f>
        <v>111.14</v>
      </c>
      <c r="D429" s="2">
        <f>IFERROR(__xludf.DUMMYFUNCTION("""COMPUTED_VALUE"""),107.74)</f>
        <v>107.74</v>
      </c>
      <c r="E429" s="2">
        <f>IFERROR(__xludf.DUMMYFUNCTION("""COMPUTED_VALUE"""),108.8)</f>
        <v>108.8</v>
      </c>
      <c r="F429" s="2">
        <f>IFERROR(__xludf.DUMMYFUNCTION("""COMPUTED_VALUE"""),8011049.0)</f>
        <v>8011049</v>
      </c>
    </row>
    <row r="430">
      <c r="A430" s="3">
        <f>IFERROR(__xludf.DUMMYFUNCTION("""COMPUTED_VALUE"""),38064.645833333336)</f>
        <v>38064.64583</v>
      </c>
      <c r="B430" s="2">
        <f>IFERROR(__xludf.DUMMYFUNCTION("""COMPUTED_VALUE"""),109.12)</f>
        <v>109.12</v>
      </c>
      <c r="C430" s="2">
        <f>IFERROR(__xludf.DUMMYFUNCTION("""COMPUTED_VALUE"""),109.55)</f>
        <v>109.55</v>
      </c>
      <c r="D430" s="2">
        <f>IFERROR(__xludf.DUMMYFUNCTION("""COMPUTED_VALUE"""),103.76)</f>
        <v>103.76</v>
      </c>
      <c r="E430" s="2">
        <f>IFERROR(__xludf.DUMMYFUNCTION("""COMPUTED_VALUE"""),104.51)</f>
        <v>104.51</v>
      </c>
      <c r="F430" s="2">
        <f>IFERROR(__xludf.DUMMYFUNCTION("""COMPUTED_VALUE"""),1.1184854E7)</f>
        <v>11184854</v>
      </c>
    </row>
    <row r="431">
      <c r="A431" s="3">
        <f>IFERROR(__xludf.DUMMYFUNCTION("""COMPUTED_VALUE"""),38065.645833333336)</f>
        <v>38065.64583</v>
      </c>
      <c r="B431" s="2">
        <f>IFERROR(__xludf.DUMMYFUNCTION("""COMPUTED_VALUE"""),104.09)</f>
        <v>104.09</v>
      </c>
      <c r="C431" s="2">
        <f>IFERROR(__xludf.DUMMYFUNCTION("""COMPUTED_VALUE"""),106.42)</f>
        <v>106.42</v>
      </c>
      <c r="D431" s="2">
        <f>IFERROR(__xludf.DUMMYFUNCTION("""COMPUTED_VALUE"""),104.09)</f>
        <v>104.09</v>
      </c>
      <c r="E431" s="2">
        <f>IFERROR(__xludf.DUMMYFUNCTION("""COMPUTED_VALUE"""),105.35)</f>
        <v>105.35</v>
      </c>
      <c r="F431" s="2">
        <f>IFERROR(__xludf.DUMMYFUNCTION("""COMPUTED_VALUE"""),7836465.0)</f>
        <v>7836465</v>
      </c>
    </row>
    <row r="432">
      <c r="A432" s="3">
        <f>IFERROR(__xludf.DUMMYFUNCTION("""COMPUTED_VALUE"""),38068.645833333336)</f>
        <v>38068.64583</v>
      </c>
      <c r="B432" s="2">
        <f>IFERROR(__xludf.DUMMYFUNCTION("""COMPUTED_VALUE"""),102.5)</f>
        <v>102.5</v>
      </c>
      <c r="C432" s="2">
        <f>IFERROR(__xludf.DUMMYFUNCTION("""COMPUTED_VALUE"""),105.29)</f>
        <v>105.29</v>
      </c>
      <c r="D432" s="2">
        <f>IFERROR(__xludf.DUMMYFUNCTION("""COMPUTED_VALUE"""),101.79)</f>
        <v>101.79</v>
      </c>
      <c r="E432" s="2">
        <f>IFERROR(__xludf.DUMMYFUNCTION("""COMPUTED_VALUE"""),102.22)</f>
        <v>102.22</v>
      </c>
      <c r="F432" s="2">
        <f>IFERROR(__xludf.DUMMYFUNCTION("""COMPUTED_VALUE"""),6435462.0)</f>
        <v>6435462</v>
      </c>
    </row>
    <row r="433">
      <c r="A433" s="3">
        <f>IFERROR(__xludf.DUMMYFUNCTION("""COMPUTED_VALUE"""),38069.645833333336)</f>
        <v>38069.64583</v>
      </c>
      <c r="B433" s="2">
        <f>IFERROR(__xludf.DUMMYFUNCTION("""COMPUTED_VALUE"""),102.48)</f>
        <v>102.48</v>
      </c>
      <c r="C433" s="2">
        <f>IFERROR(__xludf.DUMMYFUNCTION("""COMPUTED_VALUE"""),104.19)</f>
        <v>104.19</v>
      </c>
      <c r="D433" s="2">
        <f>IFERROR(__xludf.DUMMYFUNCTION("""COMPUTED_VALUE"""),101.72)</f>
        <v>101.72</v>
      </c>
      <c r="E433" s="2">
        <f>IFERROR(__xludf.DUMMYFUNCTION("""COMPUTED_VALUE"""),103.03)</f>
        <v>103.03</v>
      </c>
      <c r="F433" s="2">
        <f>IFERROR(__xludf.DUMMYFUNCTION("""COMPUTED_VALUE"""),6639679.0)</f>
        <v>6639679</v>
      </c>
    </row>
    <row r="434">
      <c r="A434" s="3">
        <f>IFERROR(__xludf.DUMMYFUNCTION("""COMPUTED_VALUE"""),38070.645833333336)</f>
        <v>38070.64583</v>
      </c>
      <c r="B434" s="2">
        <f>IFERROR(__xludf.DUMMYFUNCTION("""COMPUTED_VALUE"""),103.08)</f>
        <v>103.08</v>
      </c>
      <c r="C434" s="2">
        <f>IFERROR(__xludf.DUMMYFUNCTION("""COMPUTED_VALUE"""),103.74)</f>
        <v>103.74</v>
      </c>
      <c r="D434" s="2">
        <f>IFERROR(__xludf.DUMMYFUNCTION("""COMPUTED_VALUE"""),101.84)</f>
        <v>101.84</v>
      </c>
      <c r="E434" s="2">
        <f>IFERROR(__xludf.DUMMYFUNCTION("""COMPUTED_VALUE"""),103.15)</f>
        <v>103.15</v>
      </c>
      <c r="F434" s="2">
        <f>IFERROR(__xludf.DUMMYFUNCTION("""COMPUTED_VALUE"""),7085995.0)</f>
        <v>7085995</v>
      </c>
    </row>
    <row r="435">
      <c r="A435" s="3">
        <f>IFERROR(__xludf.DUMMYFUNCTION("""COMPUTED_VALUE"""),38071.645833333336)</f>
        <v>38071.64583</v>
      </c>
      <c r="B435" s="2">
        <f>IFERROR(__xludf.DUMMYFUNCTION("""COMPUTED_VALUE"""),103.29)</f>
        <v>103.29</v>
      </c>
      <c r="C435" s="2">
        <f>IFERROR(__xludf.DUMMYFUNCTION("""COMPUTED_VALUE"""),104.76)</f>
        <v>104.76</v>
      </c>
      <c r="D435" s="2">
        <f>IFERROR(__xludf.DUMMYFUNCTION("""COMPUTED_VALUE"""),102.74)</f>
        <v>102.74</v>
      </c>
      <c r="E435" s="2">
        <f>IFERROR(__xludf.DUMMYFUNCTION("""COMPUTED_VALUE"""),103.5)</f>
        <v>103.5</v>
      </c>
      <c r="F435" s="2">
        <f>IFERROR(__xludf.DUMMYFUNCTION("""COMPUTED_VALUE"""),9611709.0)</f>
        <v>9611709</v>
      </c>
    </row>
    <row r="436">
      <c r="A436" s="3">
        <f>IFERROR(__xludf.DUMMYFUNCTION("""COMPUTED_VALUE"""),38072.645833333336)</f>
        <v>38072.64583</v>
      </c>
      <c r="B436" s="2">
        <f>IFERROR(__xludf.DUMMYFUNCTION("""COMPUTED_VALUE"""),104.28)</f>
        <v>104.28</v>
      </c>
      <c r="C436" s="2">
        <f>IFERROR(__xludf.DUMMYFUNCTION("""COMPUTED_VALUE"""),106.77)</f>
        <v>106.77</v>
      </c>
      <c r="D436" s="2">
        <f>IFERROR(__xludf.DUMMYFUNCTION("""COMPUTED_VALUE"""),104.28)</f>
        <v>104.28</v>
      </c>
      <c r="E436" s="2">
        <f>IFERROR(__xludf.DUMMYFUNCTION("""COMPUTED_VALUE"""),105.84)</f>
        <v>105.84</v>
      </c>
      <c r="F436" s="2">
        <f>IFERROR(__xludf.DUMMYFUNCTION("""COMPUTED_VALUE"""),7547350.0)</f>
        <v>7547350</v>
      </c>
    </row>
    <row r="437">
      <c r="A437" s="3">
        <f>IFERROR(__xludf.DUMMYFUNCTION("""COMPUTED_VALUE"""),38075.645833333336)</f>
        <v>38075.64583</v>
      </c>
      <c r="B437" s="2">
        <f>IFERROR(__xludf.DUMMYFUNCTION("""COMPUTED_VALUE"""),105.93)</f>
        <v>105.93</v>
      </c>
      <c r="C437" s="2">
        <f>IFERROR(__xludf.DUMMYFUNCTION("""COMPUTED_VALUE"""),107.64)</f>
        <v>107.64</v>
      </c>
      <c r="D437" s="2">
        <f>IFERROR(__xludf.DUMMYFUNCTION("""COMPUTED_VALUE"""),105.72)</f>
        <v>105.72</v>
      </c>
      <c r="E437" s="2">
        <f>IFERROR(__xludf.DUMMYFUNCTION("""COMPUTED_VALUE"""),106.47)</f>
        <v>106.47</v>
      </c>
      <c r="F437" s="2">
        <f>IFERROR(__xludf.DUMMYFUNCTION("""COMPUTED_VALUE"""),5709932.0)</f>
        <v>5709932</v>
      </c>
    </row>
    <row r="438">
      <c r="A438" s="3">
        <f>IFERROR(__xludf.DUMMYFUNCTION("""COMPUTED_VALUE"""),38076.645833333336)</f>
        <v>38076.64583</v>
      </c>
      <c r="B438" s="2">
        <f>IFERROR(__xludf.DUMMYFUNCTION("""COMPUTED_VALUE"""),106.73)</f>
        <v>106.73</v>
      </c>
      <c r="C438" s="2">
        <f>IFERROR(__xludf.DUMMYFUNCTION("""COMPUTED_VALUE"""),108.06)</f>
        <v>108.06</v>
      </c>
      <c r="D438" s="2">
        <f>IFERROR(__xludf.DUMMYFUNCTION("""COMPUTED_VALUE"""),105.91)</f>
        <v>105.91</v>
      </c>
      <c r="E438" s="2">
        <f>IFERROR(__xludf.DUMMYFUNCTION("""COMPUTED_VALUE"""),106.14)</f>
        <v>106.14</v>
      </c>
      <c r="F438" s="2">
        <f>IFERROR(__xludf.DUMMYFUNCTION("""COMPUTED_VALUE"""),6364178.0)</f>
        <v>6364178</v>
      </c>
    </row>
    <row r="439">
      <c r="A439" s="3">
        <f>IFERROR(__xludf.DUMMYFUNCTION("""COMPUTED_VALUE"""),38077.645833333336)</f>
        <v>38077.64583</v>
      </c>
      <c r="B439" s="2">
        <f>IFERROR(__xludf.DUMMYFUNCTION("""COMPUTED_VALUE"""),106.12)</f>
        <v>106.12</v>
      </c>
      <c r="C439" s="2">
        <f>IFERROR(__xludf.DUMMYFUNCTION("""COMPUTED_VALUE"""),108.72)</f>
        <v>108.72</v>
      </c>
      <c r="D439" s="2">
        <f>IFERROR(__xludf.DUMMYFUNCTION("""COMPUTED_VALUE"""),105.65)</f>
        <v>105.65</v>
      </c>
      <c r="E439" s="2">
        <f>IFERROR(__xludf.DUMMYFUNCTION("""COMPUTED_VALUE"""),108.33)</f>
        <v>108.33</v>
      </c>
      <c r="F439" s="2">
        <f>IFERROR(__xludf.DUMMYFUNCTION("""COMPUTED_VALUE"""),5489134.0)</f>
        <v>5489134</v>
      </c>
    </row>
    <row r="440">
      <c r="A440" s="3">
        <f>IFERROR(__xludf.DUMMYFUNCTION("""COMPUTED_VALUE"""),38078.645833333336)</f>
        <v>38078.64583</v>
      </c>
      <c r="B440" s="2">
        <f>IFERROR(__xludf.DUMMYFUNCTION("""COMPUTED_VALUE"""),108.52)</f>
        <v>108.52</v>
      </c>
      <c r="C440" s="2">
        <f>IFERROR(__xludf.DUMMYFUNCTION("""COMPUTED_VALUE"""),112.29)</f>
        <v>112.29</v>
      </c>
      <c r="D440" s="2">
        <f>IFERROR(__xludf.DUMMYFUNCTION("""COMPUTED_VALUE"""),108.52)</f>
        <v>108.52</v>
      </c>
      <c r="E440" s="2">
        <f>IFERROR(__xludf.DUMMYFUNCTION("""COMPUTED_VALUE"""),111.91)</f>
        <v>111.91</v>
      </c>
      <c r="F440" s="2">
        <f>IFERROR(__xludf.DUMMYFUNCTION("""COMPUTED_VALUE"""),7744133.0)</f>
        <v>7744133</v>
      </c>
    </row>
    <row r="441">
      <c r="A441" s="3">
        <f>IFERROR(__xludf.DUMMYFUNCTION("""COMPUTED_VALUE"""),38079.645833333336)</f>
        <v>38079.64583</v>
      </c>
      <c r="B441" s="2">
        <f>IFERROR(__xludf.DUMMYFUNCTION("""COMPUTED_VALUE"""),130.87)</f>
        <v>130.87</v>
      </c>
      <c r="C441" s="2">
        <f>IFERROR(__xludf.DUMMYFUNCTION("""COMPUTED_VALUE"""),130.87)</f>
        <v>130.87</v>
      </c>
      <c r="D441" s="2">
        <f>IFERROR(__xludf.DUMMYFUNCTION("""COMPUTED_VALUE"""),111.89)</f>
        <v>111.89</v>
      </c>
      <c r="E441" s="2">
        <f>IFERROR(__xludf.DUMMYFUNCTION("""COMPUTED_VALUE"""),113.92)</f>
        <v>113.92</v>
      </c>
      <c r="F441" s="2">
        <f>IFERROR(__xludf.DUMMYFUNCTION("""COMPUTED_VALUE"""),7124312.0)</f>
        <v>7124312</v>
      </c>
    </row>
    <row r="442">
      <c r="A442" s="3">
        <f>IFERROR(__xludf.DUMMYFUNCTION("""COMPUTED_VALUE"""),38082.645833333336)</f>
        <v>38082.64583</v>
      </c>
      <c r="B442" s="2">
        <f>IFERROR(__xludf.DUMMYFUNCTION("""COMPUTED_VALUE"""),114.16)</f>
        <v>114.16</v>
      </c>
      <c r="C442" s="2">
        <f>IFERROR(__xludf.DUMMYFUNCTION("""COMPUTED_VALUE"""),117.05)</f>
        <v>117.05</v>
      </c>
      <c r="D442" s="2">
        <f>IFERROR(__xludf.DUMMYFUNCTION("""COMPUTED_VALUE"""),114.16)</f>
        <v>114.16</v>
      </c>
      <c r="E442" s="2">
        <f>IFERROR(__xludf.DUMMYFUNCTION("""COMPUTED_VALUE"""),115.79)</f>
        <v>115.79</v>
      </c>
      <c r="F442" s="2">
        <f>IFERROR(__xludf.DUMMYFUNCTION("""COMPUTED_VALUE"""),6476492.0)</f>
        <v>6476492</v>
      </c>
    </row>
    <row r="443">
      <c r="A443" s="3">
        <f>IFERROR(__xludf.DUMMYFUNCTION("""COMPUTED_VALUE"""),38083.645833333336)</f>
        <v>38083.64583</v>
      </c>
      <c r="B443" s="2">
        <f>IFERROR(__xludf.DUMMYFUNCTION("""COMPUTED_VALUE"""),115.97)</f>
        <v>115.97</v>
      </c>
      <c r="C443" s="2">
        <f>IFERROR(__xludf.DUMMYFUNCTION("""COMPUTED_VALUE"""),117.26)</f>
        <v>117.26</v>
      </c>
      <c r="D443" s="2">
        <f>IFERROR(__xludf.DUMMYFUNCTION("""COMPUTED_VALUE"""),113.69)</f>
        <v>113.69</v>
      </c>
      <c r="E443" s="2">
        <f>IFERROR(__xludf.DUMMYFUNCTION("""COMPUTED_VALUE"""),115.85)</f>
        <v>115.85</v>
      </c>
      <c r="F443" s="2">
        <f>IFERROR(__xludf.DUMMYFUNCTION("""COMPUTED_VALUE"""),7142520.0)</f>
        <v>7142520</v>
      </c>
    </row>
    <row r="444">
      <c r="A444" s="3">
        <f>IFERROR(__xludf.DUMMYFUNCTION("""COMPUTED_VALUE"""),38084.645833333336)</f>
        <v>38084.64583</v>
      </c>
      <c r="B444" s="2">
        <f>IFERROR(__xludf.DUMMYFUNCTION("""COMPUTED_VALUE"""),116.74)</f>
        <v>116.74</v>
      </c>
      <c r="C444" s="2">
        <f>IFERROR(__xludf.DUMMYFUNCTION("""COMPUTED_VALUE"""),116.96)</f>
        <v>116.96</v>
      </c>
      <c r="D444" s="2">
        <f>IFERROR(__xludf.DUMMYFUNCTION("""COMPUTED_VALUE"""),114.76)</f>
        <v>114.76</v>
      </c>
      <c r="E444" s="2">
        <f>IFERROR(__xludf.DUMMYFUNCTION("""COMPUTED_VALUE"""),115.57)</f>
        <v>115.57</v>
      </c>
      <c r="F444" s="2">
        <f>IFERROR(__xludf.DUMMYFUNCTION("""COMPUTED_VALUE"""),4157678.0)</f>
        <v>4157678</v>
      </c>
    </row>
    <row r="445">
      <c r="A445" s="3">
        <f>IFERROR(__xludf.DUMMYFUNCTION("""COMPUTED_VALUE"""),38085.645833333336)</f>
        <v>38085.64583</v>
      </c>
      <c r="B445" s="2">
        <f>IFERROR(__xludf.DUMMYFUNCTION("""COMPUTED_VALUE"""),114.76)</f>
        <v>114.76</v>
      </c>
      <c r="C445" s="2">
        <f>IFERROR(__xludf.DUMMYFUNCTION("""COMPUTED_VALUE"""),116.71)</f>
        <v>116.71</v>
      </c>
      <c r="D445" s="2">
        <f>IFERROR(__xludf.DUMMYFUNCTION("""COMPUTED_VALUE"""),113.86)</f>
        <v>113.86</v>
      </c>
      <c r="E445" s="2">
        <f>IFERROR(__xludf.DUMMYFUNCTION("""COMPUTED_VALUE"""),115.35)</f>
        <v>115.35</v>
      </c>
      <c r="F445" s="2">
        <f>IFERROR(__xludf.DUMMYFUNCTION("""COMPUTED_VALUE"""),4639042.0)</f>
        <v>4639042</v>
      </c>
    </row>
    <row r="446">
      <c r="A446" s="3">
        <f>IFERROR(__xludf.DUMMYFUNCTION("""COMPUTED_VALUE"""),38089.645833333336)</f>
        <v>38089.64583</v>
      </c>
      <c r="B446" s="2">
        <f>IFERROR(__xludf.DUMMYFUNCTION("""COMPUTED_VALUE"""),115.87)</f>
        <v>115.87</v>
      </c>
      <c r="C446" s="2">
        <f>IFERROR(__xludf.DUMMYFUNCTION("""COMPUTED_VALUE"""),115.87)</f>
        <v>115.87</v>
      </c>
      <c r="D446" s="2">
        <f>IFERROR(__xludf.DUMMYFUNCTION("""COMPUTED_VALUE"""),112.49)</f>
        <v>112.49</v>
      </c>
      <c r="E446" s="2">
        <f>IFERROR(__xludf.DUMMYFUNCTION("""COMPUTED_VALUE"""),113.1)</f>
        <v>113.1</v>
      </c>
      <c r="F446" s="2">
        <f>IFERROR(__xludf.DUMMYFUNCTION("""COMPUTED_VALUE"""),3830941.0)</f>
        <v>3830941</v>
      </c>
    </row>
    <row r="447">
      <c r="A447" s="3">
        <f>IFERROR(__xludf.DUMMYFUNCTION("""COMPUTED_VALUE"""),38090.645833333336)</f>
        <v>38090.64583</v>
      </c>
      <c r="B447" s="2">
        <f>IFERROR(__xludf.DUMMYFUNCTION("""COMPUTED_VALUE"""),113.55)</f>
        <v>113.55</v>
      </c>
      <c r="C447" s="2">
        <f>IFERROR(__xludf.DUMMYFUNCTION("""COMPUTED_VALUE"""),115.95)</f>
        <v>115.95</v>
      </c>
      <c r="D447" s="2">
        <f>IFERROR(__xludf.DUMMYFUNCTION("""COMPUTED_VALUE"""),111.82)</f>
        <v>111.82</v>
      </c>
      <c r="E447" s="2">
        <f>IFERROR(__xludf.DUMMYFUNCTION("""COMPUTED_VALUE"""),115.43)</f>
        <v>115.43</v>
      </c>
      <c r="F447" s="2">
        <f>IFERROR(__xludf.DUMMYFUNCTION("""COMPUTED_VALUE"""),4054932.0)</f>
        <v>4054932</v>
      </c>
    </row>
    <row r="448">
      <c r="A448" s="3">
        <f>IFERROR(__xludf.DUMMYFUNCTION("""COMPUTED_VALUE"""),38092.645833333336)</f>
        <v>38092.64583</v>
      </c>
      <c r="B448" s="2">
        <f>IFERROR(__xludf.DUMMYFUNCTION("""COMPUTED_VALUE"""),116.55)</f>
        <v>116.55</v>
      </c>
      <c r="C448" s="2">
        <f>IFERROR(__xludf.DUMMYFUNCTION("""COMPUTED_VALUE"""),117.02)</f>
        <v>117.02</v>
      </c>
      <c r="D448" s="2">
        <f>IFERROR(__xludf.DUMMYFUNCTION("""COMPUTED_VALUE"""),113.27)</f>
        <v>113.27</v>
      </c>
      <c r="E448" s="2">
        <f>IFERROR(__xludf.DUMMYFUNCTION("""COMPUTED_VALUE"""),113.83)</f>
        <v>113.83</v>
      </c>
      <c r="F448" s="2">
        <f>IFERROR(__xludf.DUMMYFUNCTION("""COMPUTED_VALUE"""),5951581.0)</f>
        <v>5951581</v>
      </c>
    </row>
    <row r="449">
      <c r="A449" s="3">
        <f>IFERROR(__xludf.DUMMYFUNCTION("""COMPUTED_VALUE"""),38093.645833333336)</f>
        <v>38093.64583</v>
      </c>
      <c r="B449" s="2">
        <f>IFERROR(__xludf.DUMMYFUNCTION("""COMPUTED_VALUE"""),113.96)</f>
        <v>113.96</v>
      </c>
      <c r="C449" s="2">
        <f>IFERROR(__xludf.DUMMYFUNCTION("""COMPUTED_VALUE"""),115.32)</f>
        <v>115.32</v>
      </c>
      <c r="D449" s="2">
        <f>IFERROR(__xludf.DUMMYFUNCTION("""COMPUTED_VALUE"""),113.49)</f>
        <v>113.49</v>
      </c>
      <c r="E449" s="2">
        <f>IFERROR(__xludf.DUMMYFUNCTION("""COMPUTED_VALUE"""),113.99)</f>
        <v>113.99</v>
      </c>
      <c r="F449" s="2">
        <f>IFERROR(__xludf.DUMMYFUNCTION("""COMPUTED_VALUE"""),3029685.0)</f>
        <v>3029685</v>
      </c>
    </row>
    <row r="450">
      <c r="A450" s="3">
        <f>IFERROR(__xludf.DUMMYFUNCTION("""COMPUTED_VALUE"""),38096.645833333336)</f>
        <v>38096.64583</v>
      </c>
      <c r="B450" s="2">
        <f>IFERROR(__xludf.DUMMYFUNCTION("""COMPUTED_VALUE"""),113.45)</f>
        <v>113.45</v>
      </c>
      <c r="C450" s="2">
        <f>IFERROR(__xludf.DUMMYFUNCTION("""COMPUTED_VALUE"""),114.64)</f>
        <v>114.64</v>
      </c>
      <c r="D450" s="2">
        <f>IFERROR(__xludf.DUMMYFUNCTION("""COMPUTED_VALUE"""),110.86)</f>
        <v>110.86</v>
      </c>
      <c r="E450" s="2">
        <f>IFERROR(__xludf.DUMMYFUNCTION("""COMPUTED_VALUE"""),111.26)</f>
        <v>111.26</v>
      </c>
      <c r="F450" s="2">
        <f>IFERROR(__xludf.DUMMYFUNCTION("""COMPUTED_VALUE"""),4074759.0)</f>
        <v>4074759</v>
      </c>
    </row>
    <row r="451">
      <c r="A451" s="3">
        <f>IFERROR(__xludf.DUMMYFUNCTION("""COMPUTED_VALUE"""),38097.645833333336)</f>
        <v>38097.64583</v>
      </c>
      <c r="B451" s="2">
        <f>IFERROR(__xludf.DUMMYFUNCTION("""COMPUTED_VALUE"""),111.64)</f>
        <v>111.64</v>
      </c>
      <c r="C451" s="2">
        <f>IFERROR(__xludf.DUMMYFUNCTION("""COMPUTED_VALUE"""),111.64)</f>
        <v>111.64</v>
      </c>
      <c r="D451" s="2">
        <f>IFERROR(__xludf.DUMMYFUNCTION("""COMPUTED_VALUE"""),110.33)</f>
        <v>110.33</v>
      </c>
      <c r="E451" s="2">
        <f>IFERROR(__xludf.DUMMYFUNCTION("""COMPUTED_VALUE"""),111.21)</f>
        <v>111.21</v>
      </c>
      <c r="F451" s="2">
        <f>IFERROR(__xludf.DUMMYFUNCTION("""COMPUTED_VALUE"""),3512801.0)</f>
        <v>3512801</v>
      </c>
    </row>
    <row r="452">
      <c r="A452" s="3">
        <f>IFERROR(__xludf.DUMMYFUNCTION("""COMPUTED_VALUE"""),38098.645833333336)</f>
        <v>38098.64583</v>
      </c>
      <c r="B452" s="2">
        <f>IFERROR(__xludf.DUMMYFUNCTION("""COMPUTED_VALUE"""),110.75)</f>
        <v>110.75</v>
      </c>
      <c r="C452" s="2">
        <f>IFERROR(__xludf.DUMMYFUNCTION("""COMPUTED_VALUE"""),114.65)</f>
        <v>114.65</v>
      </c>
      <c r="D452" s="2">
        <f>IFERROR(__xludf.DUMMYFUNCTION("""COMPUTED_VALUE"""),110.74)</f>
        <v>110.74</v>
      </c>
      <c r="E452" s="2">
        <f>IFERROR(__xludf.DUMMYFUNCTION("""COMPUTED_VALUE"""),114.43)</f>
        <v>114.43</v>
      </c>
      <c r="F452" s="2">
        <f>IFERROR(__xludf.DUMMYFUNCTION("""COMPUTED_VALUE"""),4741384.0)</f>
        <v>4741384</v>
      </c>
    </row>
    <row r="453">
      <c r="A453" s="3">
        <f>IFERROR(__xludf.DUMMYFUNCTION("""COMPUTED_VALUE"""),38099.645833333336)</f>
        <v>38099.64583</v>
      </c>
      <c r="B453" s="2">
        <f>IFERROR(__xludf.DUMMYFUNCTION("""COMPUTED_VALUE"""),114.36)</f>
        <v>114.36</v>
      </c>
      <c r="C453" s="2">
        <f>IFERROR(__xludf.DUMMYFUNCTION("""COMPUTED_VALUE"""),115.53)</f>
        <v>115.53</v>
      </c>
      <c r="D453" s="2">
        <f>IFERROR(__xludf.DUMMYFUNCTION("""COMPUTED_VALUE"""),113.45)</f>
        <v>113.45</v>
      </c>
      <c r="E453" s="2">
        <f>IFERROR(__xludf.DUMMYFUNCTION("""COMPUTED_VALUE"""),114.51)</f>
        <v>114.51</v>
      </c>
      <c r="F453" s="2">
        <f>IFERROR(__xludf.DUMMYFUNCTION("""COMPUTED_VALUE"""),3237809.0)</f>
        <v>3237809</v>
      </c>
    </row>
    <row r="454">
      <c r="A454" s="3">
        <f>IFERROR(__xludf.DUMMYFUNCTION("""COMPUTED_VALUE"""),38100.645833333336)</f>
        <v>38100.64583</v>
      </c>
      <c r="B454" s="2">
        <f>IFERROR(__xludf.DUMMYFUNCTION("""COMPUTED_VALUE"""),114.36)</f>
        <v>114.36</v>
      </c>
      <c r="C454" s="2">
        <f>IFERROR(__xludf.DUMMYFUNCTION("""COMPUTED_VALUE"""),115.73)</f>
        <v>115.73</v>
      </c>
      <c r="D454" s="2">
        <f>IFERROR(__xludf.DUMMYFUNCTION("""COMPUTED_VALUE"""),113.78)</f>
        <v>113.78</v>
      </c>
      <c r="E454" s="2">
        <f>IFERROR(__xludf.DUMMYFUNCTION("""COMPUTED_VALUE"""),114.22)</f>
        <v>114.22</v>
      </c>
      <c r="F454" s="2">
        <f>IFERROR(__xludf.DUMMYFUNCTION("""COMPUTED_VALUE"""),3588442.0)</f>
        <v>3588442</v>
      </c>
    </row>
    <row r="455">
      <c r="A455" s="3">
        <f>IFERROR(__xludf.DUMMYFUNCTION("""COMPUTED_VALUE"""),38104.645833333336)</f>
        <v>38104.64583</v>
      </c>
      <c r="B455" s="2">
        <f>IFERROR(__xludf.DUMMYFUNCTION("""COMPUTED_VALUE"""),112.75)</f>
        <v>112.75</v>
      </c>
      <c r="C455" s="2">
        <f>IFERROR(__xludf.DUMMYFUNCTION("""COMPUTED_VALUE"""),112.75)</f>
        <v>112.75</v>
      </c>
      <c r="D455" s="2">
        <f>IFERROR(__xludf.DUMMYFUNCTION("""COMPUTED_VALUE"""),108.19)</f>
        <v>108.19</v>
      </c>
      <c r="E455" s="2">
        <f>IFERROR(__xludf.DUMMYFUNCTION("""COMPUTED_VALUE"""),108.61)</f>
        <v>108.61</v>
      </c>
      <c r="F455" s="2">
        <f>IFERROR(__xludf.DUMMYFUNCTION("""COMPUTED_VALUE"""),6683172.0)</f>
        <v>6683172</v>
      </c>
    </row>
    <row r="456">
      <c r="A456" s="3">
        <f>IFERROR(__xludf.DUMMYFUNCTION("""COMPUTED_VALUE"""),38105.645833333336)</f>
        <v>38105.64583</v>
      </c>
      <c r="B456" s="2">
        <f>IFERROR(__xludf.DUMMYFUNCTION("""COMPUTED_VALUE"""),108.73)</f>
        <v>108.73</v>
      </c>
      <c r="C456" s="2">
        <f>IFERROR(__xludf.DUMMYFUNCTION("""COMPUTED_VALUE"""),110.53)</f>
        <v>110.53</v>
      </c>
      <c r="D456" s="2">
        <f>IFERROR(__xludf.DUMMYFUNCTION("""COMPUTED_VALUE"""),108.15)</f>
        <v>108.15</v>
      </c>
      <c r="E456" s="2">
        <f>IFERROR(__xludf.DUMMYFUNCTION("""COMPUTED_VALUE"""),108.8)</f>
        <v>108.8</v>
      </c>
      <c r="F456" s="2">
        <f>IFERROR(__xludf.DUMMYFUNCTION("""COMPUTED_VALUE"""),6583053.0)</f>
        <v>6583053</v>
      </c>
    </row>
    <row r="457">
      <c r="A457" s="3">
        <f>IFERROR(__xludf.DUMMYFUNCTION("""COMPUTED_VALUE"""),38106.645833333336)</f>
        <v>38106.64583</v>
      </c>
      <c r="B457" s="2">
        <f>IFERROR(__xludf.DUMMYFUNCTION("""COMPUTED_VALUE"""),108.52)</f>
        <v>108.52</v>
      </c>
      <c r="C457" s="2">
        <f>IFERROR(__xludf.DUMMYFUNCTION("""COMPUTED_VALUE"""),109.53)</f>
        <v>109.53</v>
      </c>
      <c r="D457" s="2">
        <f>IFERROR(__xludf.DUMMYFUNCTION("""COMPUTED_VALUE"""),106.0)</f>
        <v>106</v>
      </c>
      <c r="E457" s="2">
        <f>IFERROR(__xludf.DUMMYFUNCTION("""COMPUTED_VALUE"""),106.57)</f>
        <v>106.57</v>
      </c>
      <c r="F457" s="2">
        <f>IFERROR(__xludf.DUMMYFUNCTION("""COMPUTED_VALUE"""),1.6522558E7)</f>
        <v>16522558</v>
      </c>
    </row>
    <row r="458">
      <c r="A458" s="3">
        <f>IFERROR(__xludf.DUMMYFUNCTION("""COMPUTED_VALUE"""),38107.645833333336)</f>
        <v>38107.64583</v>
      </c>
      <c r="B458" s="2">
        <f>IFERROR(__xludf.DUMMYFUNCTION("""COMPUTED_VALUE"""),113.76)</f>
        <v>113.76</v>
      </c>
      <c r="C458" s="2">
        <f>IFERROR(__xludf.DUMMYFUNCTION("""COMPUTED_VALUE"""),125.85)</f>
        <v>125.85</v>
      </c>
      <c r="D458" s="2">
        <f>IFERROR(__xludf.DUMMYFUNCTION("""COMPUTED_VALUE"""),105.14)</f>
        <v>105.14</v>
      </c>
      <c r="E458" s="2">
        <f>IFERROR(__xludf.DUMMYFUNCTION("""COMPUTED_VALUE"""),105.99)</f>
        <v>105.99</v>
      </c>
      <c r="F458" s="2">
        <f>IFERROR(__xludf.DUMMYFUNCTION("""COMPUTED_VALUE"""),7435287.0)</f>
        <v>7435287</v>
      </c>
    </row>
    <row r="459">
      <c r="A459" s="3">
        <f>IFERROR(__xludf.DUMMYFUNCTION("""COMPUTED_VALUE"""),38110.645833333336)</f>
        <v>38110.64583</v>
      </c>
      <c r="B459" s="2">
        <f>IFERROR(__xludf.DUMMYFUNCTION("""COMPUTED_VALUE"""),106.11)</f>
        <v>106.11</v>
      </c>
      <c r="C459" s="2">
        <f>IFERROR(__xludf.DUMMYFUNCTION("""COMPUTED_VALUE"""),106.97)</f>
        <v>106.97</v>
      </c>
      <c r="D459" s="2">
        <f>IFERROR(__xludf.DUMMYFUNCTION("""COMPUTED_VALUE"""),103.83)</f>
        <v>103.83</v>
      </c>
      <c r="E459" s="2">
        <f>IFERROR(__xludf.DUMMYFUNCTION("""COMPUTED_VALUE"""),106.4)</f>
        <v>106.4</v>
      </c>
      <c r="F459" s="2">
        <f>IFERROR(__xludf.DUMMYFUNCTION("""COMPUTED_VALUE"""),8237410.0)</f>
        <v>8237410</v>
      </c>
    </row>
    <row r="460">
      <c r="A460" s="3">
        <f>IFERROR(__xludf.DUMMYFUNCTION("""COMPUTED_VALUE"""),38111.645833333336)</f>
        <v>38111.64583</v>
      </c>
      <c r="B460" s="2">
        <f>IFERROR(__xludf.DUMMYFUNCTION("""COMPUTED_VALUE"""),107.9)</f>
        <v>107.9</v>
      </c>
      <c r="C460" s="2">
        <f>IFERROR(__xludf.DUMMYFUNCTION("""COMPUTED_VALUE"""),127.46)</f>
        <v>127.46</v>
      </c>
      <c r="D460" s="2">
        <f>IFERROR(__xludf.DUMMYFUNCTION("""COMPUTED_VALUE"""),106.53)</f>
        <v>106.53</v>
      </c>
      <c r="E460" s="2">
        <f>IFERROR(__xludf.DUMMYFUNCTION("""COMPUTED_VALUE"""),106.86)</f>
        <v>106.86</v>
      </c>
      <c r="F460" s="2">
        <f>IFERROR(__xludf.DUMMYFUNCTION("""COMPUTED_VALUE"""),4785838.0)</f>
        <v>4785838</v>
      </c>
    </row>
    <row r="461">
      <c r="A461" s="3">
        <f>IFERROR(__xludf.DUMMYFUNCTION("""COMPUTED_VALUE"""),38112.645833333336)</f>
        <v>38112.64583</v>
      </c>
      <c r="B461" s="2">
        <f>IFERROR(__xludf.DUMMYFUNCTION("""COMPUTED_VALUE"""),107.11)</f>
        <v>107.11</v>
      </c>
      <c r="C461" s="2">
        <f>IFERROR(__xludf.DUMMYFUNCTION("""COMPUTED_VALUE"""),107.4)</f>
        <v>107.4</v>
      </c>
      <c r="D461" s="2">
        <f>IFERROR(__xludf.DUMMYFUNCTION("""COMPUTED_VALUE"""),106.12)</f>
        <v>106.12</v>
      </c>
      <c r="E461" s="2">
        <f>IFERROR(__xludf.DUMMYFUNCTION("""COMPUTED_VALUE"""),106.71)</f>
        <v>106.71</v>
      </c>
      <c r="F461" s="2">
        <f>IFERROR(__xludf.DUMMYFUNCTION("""COMPUTED_VALUE"""),4266223.0)</f>
        <v>4266223</v>
      </c>
    </row>
    <row r="462">
      <c r="A462" s="3">
        <f>IFERROR(__xludf.DUMMYFUNCTION("""COMPUTED_VALUE"""),38113.645833333336)</f>
        <v>38113.64583</v>
      </c>
      <c r="B462" s="2">
        <f>IFERROR(__xludf.DUMMYFUNCTION("""COMPUTED_VALUE"""),107.71)</f>
        <v>107.71</v>
      </c>
      <c r="C462" s="2">
        <f>IFERROR(__xludf.DUMMYFUNCTION("""COMPUTED_VALUE"""),109.39)</f>
        <v>109.39</v>
      </c>
      <c r="D462" s="2">
        <f>IFERROR(__xludf.DUMMYFUNCTION("""COMPUTED_VALUE"""),107.54)</f>
        <v>107.54</v>
      </c>
      <c r="E462" s="2">
        <f>IFERROR(__xludf.DUMMYFUNCTION("""COMPUTED_VALUE"""),108.82)</f>
        <v>108.82</v>
      </c>
      <c r="F462" s="2">
        <f>IFERROR(__xludf.DUMMYFUNCTION("""COMPUTED_VALUE"""),5894002.0)</f>
        <v>5894002</v>
      </c>
    </row>
    <row r="463">
      <c r="A463" s="3">
        <f>IFERROR(__xludf.DUMMYFUNCTION("""COMPUTED_VALUE"""),38114.645833333336)</f>
        <v>38114.64583</v>
      </c>
      <c r="B463" s="2">
        <f>IFERROR(__xludf.DUMMYFUNCTION("""COMPUTED_VALUE"""),107.11)</f>
        <v>107.11</v>
      </c>
      <c r="C463" s="2">
        <f>IFERROR(__xludf.DUMMYFUNCTION("""COMPUTED_VALUE"""),108.42)</f>
        <v>108.42</v>
      </c>
      <c r="D463" s="2">
        <f>IFERROR(__xludf.DUMMYFUNCTION("""COMPUTED_VALUE"""),106.47)</f>
        <v>106.47</v>
      </c>
      <c r="E463" s="2">
        <f>IFERROR(__xludf.DUMMYFUNCTION("""COMPUTED_VALUE"""),107.19)</f>
        <v>107.19</v>
      </c>
      <c r="F463" s="2">
        <f>IFERROR(__xludf.DUMMYFUNCTION("""COMPUTED_VALUE"""),4446235.0)</f>
        <v>4446235</v>
      </c>
    </row>
    <row r="464">
      <c r="A464" s="3">
        <f>IFERROR(__xludf.DUMMYFUNCTION("""COMPUTED_VALUE"""),38117.645833333336)</f>
        <v>38117.64583</v>
      </c>
      <c r="B464" s="2">
        <f>IFERROR(__xludf.DUMMYFUNCTION("""COMPUTED_VALUE"""),106.65)</f>
        <v>106.65</v>
      </c>
      <c r="C464" s="2">
        <f>IFERROR(__xludf.DUMMYFUNCTION("""COMPUTED_VALUE"""),106.65)</f>
        <v>106.65</v>
      </c>
      <c r="D464" s="2">
        <f>IFERROR(__xludf.DUMMYFUNCTION("""COMPUTED_VALUE"""),103.73)</f>
        <v>103.73</v>
      </c>
      <c r="E464" s="2">
        <f>IFERROR(__xludf.DUMMYFUNCTION("""COMPUTED_VALUE"""),104.53)</f>
        <v>104.53</v>
      </c>
      <c r="F464" s="2">
        <f>IFERROR(__xludf.DUMMYFUNCTION("""COMPUTED_VALUE"""),6391917.0)</f>
        <v>6391917</v>
      </c>
    </row>
    <row r="465">
      <c r="A465" s="3">
        <f>IFERROR(__xludf.DUMMYFUNCTION("""COMPUTED_VALUE"""),38118.645833333336)</f>
        <v>38118.64583</v>
      </c>
      <c r="B465" s="2">
        <f>IFERROR(__xludf.DUMMYFUNCTION("""COMPUTED_VALUE"""),102.8)</f>
        <v>102.8</v>
      </c>
      <c r="C465" s="2">
        <f>IFERROR(__xludf.DUMMYFUNCTION("""COMPUTED_VALUE"""),102.88)</f>
        <v>102.88</v>
      </c>
      <c r="D465" s="2">
        <f>IFERROR(__xludf.DUMMYFUNCTION("""COMPUTED_VALUE"""),97.38)</f>
        <v>97.38</v>
      </c>
      <c r="E465" s="2">
        <f>IFERROR(__xludf.DUMMYFUNCTION("""COMPUTED_VALUE"""),98.71)</f>
        <v>98.71</v>
      </c>
      <c r="F465" s="2">
        <f>IFERROR(__xludf.DUMMYFUNCTION("""COMPUTED_VALUE"""),7292002.0)</f>
        <v>7292002</v>
      </c>
    </row>
    <row r="466">
      <c r="A466" s="3">
        <f>IFERROR(__xludf.DUMMYFUNCTION("""COMPUTED_VALUE"""),38119.645833333336)</f>
        <v>38119.64583</v>
      </c>
      <c r="B466" s="2">
        <f>IFERROR(__xludf.DUMMYFUNCTION("""COMPUTED_VALUE"""),97.45)</f>
        <v>97.45</v>
      </c>
      <c r="C466" s="2">
        <f>IFERROR(__xludf.DUMMYFUNCTION("""COMPUTED_VALUE"""),100.55)</f>
        <v>100.55</v>
      </c>
      <c r="D466" s="2">
        <f>IFERROR(__xludf.DUMMYFUNCTION("""COMPUTED_VALUE"""),97.45)</f>
        <v>97.45</v>
      </c>
      <c r="E466" s="2">
        <f>IFERROR(__xludf.DUMMYFUNCTION("""COMPUTED_VALUE"""),99.99)</f>
        <v>99.99</v>
      </c>
      <c r="F466" s="2">
        <f>IFERROR(__xludf.DUMMYFUNCTION("""COMPUTED_VALUE"""),6245671.0)</f>
        <v>6245671</v>
      </c>
    </row>
    <row r="467">
      <c r="A467" s="3">
        <f>IFERROR(__xludf.DUMMYFUNCTION("""COMPUTED_VALUE"""),38120.645833333336)</f>
        <v>38120.64583</v>
      </c>
      <c r="B467" s="2">
        <f>IFERROR(__xludf.DUMMYFUNCTION("""COMPUTED_VALUE"""),96.64)</f>
        <v>96.64</v>
      </c>
      <c r="C467" s="2">
        <f>IFERROR(__xludf.DUMMYFUNCTION("""COMPUTED_VALUE"""),105.57)</f>
        <v>105.57</v>
      </c>
      <c r="D467" s="2">
        <f>IFERROR(__xludf.DUMMYFUNCTION("""COMPUTED_VALUE"""),95.43)</f>
        <v>95.43</v>
      </c>
      <c r="E467" s="2">
        <f>IFERROR(__xludf.DUMMYFUNCTION("""COMPUTED_VALUE"""),102.97)</f>
        <v>102.97</v>
      </c>
      <c r="F467" s="2">
        <f>IFERROR(__xludf.DUMMYFUNCTION("""COMPUTED_VALUE"""),1.3077915E7)</f>
        <v>13077915</v>
      </c>
    </row>
    <row r="468">
      <c r="A468" s="3">
        <f>IFERROR(__xludf.DUMMYFUNCTION("""COMPUTED_VALUE"""),38121.645833333336)</f>
        <v>38121.64583</v>
      </c>
      <c r="B468" s="2">
        <f>IFERROR(__xludf.DUMMYFUNCTION("""COMPUTED_VALUE"""),102.68)</f>
        <v>102.68</v>
      </c>
      <c r="C468" s="2">
        <f>IFERROR(__xludf.DUMMYFUNCTION("""COMPUTED_VALUE"""),104.25)</f>
        <v>104.25</v>
      </c>
      <c r="D468" s="2">
        <f>IFERROR(__xludf.DUMMYFUNCTION("""COMPUTED_VALUE"""),94.87)</f>
        <v>94.87</v>
      </c>
      <c r="E468" s="2">
        <f>IFERROR(__xludf.DUMMYFUNCTION("""COMPUTED_VALUE"""),96.06)</f>
        <v>96.06</v>
      </c>
      <c r="F468" s="2">
        <f>IFERROR(__xludf.DUMMYFUNCTION("""COMPUTED_VALUE"""),1.2309172E7)</f>
        <v>12309172</v>
      </c>
    </row>
    <row r="469">
      <c r="A469" s="3">
        <f>IFERROR(__xludf.DUMMYFUNCTION("""COMPUTED_VALUE"""),38124.645833333336)</f>
        <v>38124.64583</v>
      </c>
      <c r="B469" s="2">
        <f>IFERROR(__xludf.DUMMYFUNCTION("""COMPUTED_VALUE"""),94.63)</f>
        <v>94.63</v>
      </c>
      <c r="C469" s="2">
        <f>IFERROR(__xludf.DUMMYFUNCTION("""COMPUTED_VALUE"""),95.01)</f>
        <v>95.01</v>
      </c>
      <c r="D469" s="2">
        <f>IFERROR(__xludf.DUMMYFUNCTION("""COMPUTED_VALUE"""),76.85)</f>
        <v>76.85</v>
      </c>
      <c r="E469" s="2">
        <f>IFERROR(__xludf.DUMMYFUNCTION("""COMPUTED_VALUE"""),81.4)</f>
        <v>81.4</v>
      </c>
      <c r="F469" s="2">
        <f>IFERROR(__xludf.DUMMYFUNCTION("""COMPUTED_VALUE"""),9367243.0)</f>
        <v>9367243</v>
      </c>
    </row>
    <row r="470">
      <c r="A470" s="3">
        <f>IFERROR(__xludf.DUMMYFUNCTION("""COMPUTED_VALUE"""),38125.645833333336)</f>
        <v>38125.64583</v>
      </c>
      <c r="B470" s="2">
        <f>IFERROR(__xludf.DUMMYFUNCTION("""COMPUTED_VALUE"""),86.57)</f>
        <v>86.57</v>
      </c>
      <c r="C470" s="2">
        <f>IFERROR(__xludf.DUMMYFUNCTION("""COMPUTED_VALUE"""),92.19)</f>
        <v>92.19</v>
      </c>
      <c r="D470" s="2">
        <f>IFERROR(__xludf.DUMMYFUNCTION("""COMPUTED_VALUE"""),82.57)</f>
        <v>82.57</v>
      </c>
      <c r="E470" s="2">
        <f>IFERROR(__xludf.DUMMYFUNCTION("""COMPUTED_VALUE"""),87.32)</f>
        <v>87.32</v>
      </c>
      <c r="F470" s="2">
        <f>IFERROR(__xludf.DUMMYFUNCTION("""COMPUTED_VALUE"""),1.3502105E7)</f>
        <v>13502105</v>
      </c>
    </row>
    <row r="471">
      <c r="A471" s="3">
        <f>IFERROR(__xludf.DUMMYFUNCTION("""COMPUTED_VALUE"""),38126.645833333336)</f>
        <v>38126.64583</v>
      </c>
      <c r="B471" s="2">
        <f>IFERROR(__xludf.DUMMYFUNCTION("""COMPUTED_VALUE"""),89.44)</f>
        <v>89.44</v>
      </c>
      <c r="C471" s="2">
        <f>IFERROR(__xludf.DUMMYFUNCTION("""COMPUTED_VALUE"""),93.82)</f>
        <v>93.82</v>
      </c>
      <c r="D471" s="2">
        <f>IFERROR(__xludf.DUMMYFUNCTION("""COMPUTED_VALUE"""),89.44)</f>
        <v>89.44</v>
      </c>
      <c r="E471" s="2">
        <f>IFERROR(__xludf.DUMMYFUNCTION("""COMPUTED_VALUE"""),91.1)</f>
        <v>91.1</v>
      </c>
      <c r="F471" s="2">
        <f>IFERROR(__xludf.DUMMYFUNCTION("""COMPUTED_VALUE"""),1.1520015E7)</f>
        <v>11520015</v>
      </c>
    </row>
    <row r="472">
      <c r="A472" s="3">
        <f>IFERROR(__xludf.DUMMYFUNCTION("""COMPUTED_VALUE"""),38127.645833333336)</f>
        <v>38127.64583</v>
      </c>
      <c r="B472" s="2">
        <f>IFERROR(__xludf.DUMMYFUNCTION("""COMPUTED_VALUE"""),93.22)</f>
        <v>93.22</v>
      </c>
      <c r="C472" s="2">
        <f>IFERROR(__xludf.DUMMYFUNCTION("""COMPUTED_VALUE"""),93.56)</f>
        <v>93.56</v>
      </c>
      <c r="D472" s="2">
        <f>IFERROR(__xludf.DUMMYFUNCTION("""COMPUTED_VALUE"""),88.62)</f>
        <v>88.62</v>
      </c>
      <c r="E472" s="2">
        <f>IFERROR(__xludf.DUMMYFUNCTION("""COMPUTED_VALUE"""),89.23)</f>
        <v>89.23</v>
      </c>
      <c r="F472" s="2">
        <f>IFERROR(__xludf.DUMMYFUNCTION("""COMPUTED_VALUE"""),9397118.0)</f>
        <v>9397118</v>
      </c>
    </row>
    <row r="473">
      <c r="A473" s="3">
        <f>IFERROR(__xludf.DUMMYFUNCTION("""COMPUTED_VALUE"""),38128.645833333336)</f>
        <v>38128.64583</v>
      </c>
      <c r="B473" s="2">
        <f>IFERROR(__xludf.DUMMYFUNCTION("""COMPUTED_VALUE"""),88.97)</f>
        <v>88.97</v>
      </c>
      <c r="C473" s="2">
        <f>IFERROR(__xludf.DUMMYFUNCTION("""COMPUTED_VALUE"""),88.99)</f>
        <v>88.99</v>
      </c>
      <c r="D473" s="2">
        <f>IFERROR(__xludf.DUMMYFUNCTION("""COMPUTED_VALUE"""),86.58)</f>
        <v>86.58</v>
      </c>
      <c r="E473" s="2">
        <f>IFERROR(__xludf.DUMMYFUNCTION("""COMPUTED_VALUE"""),88.49)</f>
        <v>88.49</v>
      </c>
      <c r="F473" s="2">
        <f>IFERROR(__xludf.DUMMYFUNCTION("""COMPUTED_VALUE"""),6745232.0)</f>
        <v>6745232</v>
      </c>
    </row>
    <row r="474">
      <c r="A474" s="3">
        <f>IFERROR(__xludf.DUMMYFUNCTION("""COMPUTED_VALUE"""),38131.645833333336)</f>
        <v>38131.64583</v>
      </c>
      <c r="B474" s="2">
        <f>IFERROR(__xludf.DUMMYFUNCTION("""COMPUTED_VALUE"""),90.6)</f>
        <v>90.6</v>
      </c>
      <c r="C474" s="2">
        <f>IFERROR(__xludf.DUMMYFUNCTION("""COMPUTED_VALUE"""),92.21)</f>
        <v>92.21</v>
      </c>
      <c r="D474" s="2">
        <f>IFERROR(__xludf.DUMMYFUNCTION("""COMPUTED_VALUE"""),89.6)</f>
        <v>89.6</v>
      </c>
      <c r="E474" s="2">
        <f>IFERROR(__xludf.DUMMYFUNCTION("""COMPUTED_VALUE"""),91.38)</f>
        <v>91.38</v>
      </c>
      <c r="F474" s="2">
        <f>IFERROR(__xludf.DUMMYFUNCTION("""COMPUTED_VALUE"""),6756909.0)</f>
        <v>6756909</v>
      </c>
    </row>
    <row r="475">
      <c r="A475" s="3">
        <f>IFERROR(__xludf.DUMMYFUNCTION("""COMPUTED_VALUE"""),38132.645833333336)</f>
        <v>38132.64583</v>
      </c>
      <c r="B475" s="2">
        <f>IFERROR(__xludf.DUMMYFUNCTION("""COMPUTED_VALUE"""),91.2)</f>
        <v>91.2</v>
      </c>
      <c r="C475" s="2">
        <f>IFERROR(__xludf.DUMMYFUNCTION("""COMPUTED_VALUE"""),92.59)</f>
        <v>92.59</v>
      </c>
      <c r="D475" s="2">
        <f>IFERROR(__xludf.DUMMYFUNCTION("""COMPUTED_VALUE"""),87.91)</f>
        <v>87.91</v>
      </c>
      <c r="E475" s="2">
        <f>IFERROR(__xludf.DUMMYFUNCTION("""COMPUTED_VALUE"""),91.75)</f>
        <v>91.75</v>
      </c>
      <c r="F475" s="2">
        <f>IFERROR(__xludf.DUMMYFUNCTION("""COMPUTED_VALUE"""),8006622.0)</f>
        <v>8006622</v>
      </c>
    </row>
    <row r="476">
      <c r="A476" s="3">
        <f>IFERROR(__xludf.DUMMYFUNCTION("""COMPUTED_VALUE"""),38133.645833333336)</f>
        <v>38133.64583</v>
      </c>
      <c r="B476" s="2">
        <f>IFERROR(__xludf.DUMMYFUNCTION("""COMPUTED_VALUE"""),92.61)</f>
        <v>92.61</v>
      </c>
      <c r="C476" s="2">
        <f>IFERROR(__xludf.DUMMYFUNCTION("""COMPUTED_VALUE"""),94.23)</f>
        <v>94.23</v>
      </c>
      <c r="D476" s="2">
        <f>IFERROR(__xludf.DUMMYFUNCTION("""COMPUTED_VALUE"""),91.69)</f>
        <v>91.69</v>
      </c>
      <c r="E476" s="2">
        <f>IFERROR(__xludf.DUMMYFUNCTION("""COMPUTED_VALUE"""),92.48)</f>
        <v>92.48</v>
      </c>
      <c r="F476" s="2">
        <f>IFERROR(__xludf.DUMMYFUNCTION("""COMPUTED_VALUE"""),6844810.0)</f>
        <v>6844810</v>
      </c>
    </row>
    <row r="477">
      <c r="A477" s="3">
        <f>IFERROR(__xludf.DUMMYFUNCTION("""COMPUTED_VALUE"""),38134.645833333336)</f>
        <v>38134.64583</v>
      </c>
      <c r="B477" s="2">
        <f>IFERROR(__xludf.DUMMYFUNCTION("""COMPUTED_VALUE"""),91.0)</f>
        <v>91</v>
      </c>
      <c r="C477" s="2">
        <f>IFERROR(__xludf.DUMMYFUNCTION("""COMPUTED_VALUE"""),92.12)</f>
        <v>92.12</v>
      </c>
      <c r="D477" s="2">
        <f>IFERROR(__xludf.DUMMYFUNCTION("""COMPUTED_VALUE"""),89.92)</f>
        <v>89.92</v>
      </c>
      <c r="E477" s="2">
        <f>IFERROR(__xludf.DUMMYFUNCTION("""COMPUTED_VALUE"""),90.41)</f>
        <v>90.41</v>
      </c>
      <c r="F477" s="2">
        <f>IFERROR(__xludf.DUMMYFUNCTION("""COMPUTED_VALUE"""),5707970.0)</f>
        <v>5707970</v>
      </c>
    </row>
    <row r="478">
      <c r="A478" s="3">
        <f>IFERROR(__xludf.DUMMYFUNCTION("""COMPUTED_VALUE"""),38135.645833333336)</f>
        <v>38135.64583</v>
      </c>
      <c r="B478" s="2">
        <f>IFERROR(__xludf.DUMMYFUNCTION("""COMPUTED_VALUE"""),90.01)</f>
        <v>90.01</v>
      </c>
      <c r="C478" s="2">
        <f>IFERROR(__xludf.DUMMYFUNCTION("""COMPUTED_VALUE"""),90.78)</f>
        <v>90.78</v>
      </c>
      <c r="D478" s="2">
        <f>IFERROR(__xludf.DUMMYFUNCTION("""COMPUTED_VALUE"""),85.81)</f>
        <v>85.81</v>
      </c>
      <c r="E478" s="2">
        <f>IFERROR(__xludf.DUMMYFUNCTION("""COMPUTED_VALUE"""),87.12)</f>
        <v>87.12</v>
      </c>
      <c r="F478" s="2">
        <f>IFERROR(__xludf.DUMMYFUNCTION("""COMPUTED_VALUE"""),8904917.0)</f>
        <v>8904917</v>
      </c>
    </row>
    <row r="479">
      <c r="A479" s="3">
        <f>IFERROR(__xludf.DUMMYFUNCTION("""COMPUTED_VALUE"""),38138.645833333336)</f>
        <v>38138.64583</v>
      </c>
      <c r="B479" s="2">
        <f>IFERROR(__xludf.DUMMYFUNCTION("""COMPUTED_VALUE"""),86.88)</f>
        <v>86.88</v>
      </c>
      <c r="C479" s="2">
        <f>IFERROR(__xludf.DUMMYFUNCTION("""COMPUTED_VALUE"""),88.37)</f>
        <v>88.37</v>
      </c>
      <c r="D479" s="2">
        <f>IFERROR(__xludf.DUMMYFUNCTION("""COMPUTED_VALUE"""),83.05)</f>
        <v>83.05</v>
      </c>
      <c r="E479" s="2">
        <f>IFERROR(__xludf.DUMMYFUNCTION("""COMPUTED_VALUE"""),86.53)</f>
        <v>86.53</v>
      </c>
      <c r="F479" s="2">
        <f>IFERROR(__xludf.DUMMYFUNCTION("""COMPUTED_VALUE"""),9652900.0)</f>
        <v>9652900</v>
      </c>
    </row>
    <row r="480">
      <c r="A480" s="3">
        <f>IFERROR(__xludf.DUMMYFUNCTION("""COMPUTED_VALUE"""),38139.645833333336)</f>
        <v>38139.64583</v>
      </c>
      <c r="B480" s="2">
        <f>IFERROR(__xludf.DUMMYFUNCTION("""COMPUTED_VALUE"""),87.58)</f>
        <v>87.58</v>
      </c>
      <c r="C480" s="2">
        <f>IFERROR(__xludf.DUMMYFUNCTION("""COMPUTED_VALUE"""),89.19)</f>
        <v>89.19</v>
      </c>
      <c r="D480" s="2">
        <f>IFERROR(__xludf.DUMMYFUNCTION("""COMPUTED_VALUE"""),87.01)</f>
        <v>87.01</v>
      </c>
      <c r="E480" s="2">
        <f>IFERROR(__xludf.DUMMYFUNCTION("""COMPUTED_VALUE"""),87.42)</f>
        <v>87.42</v>
      </c>
      <c r="F480" s="2">
        <f>IFERROR(__xludf.DUMMYFUNCTION("""COMPUTED_VALUE"""),6215267.0)</f>
        <v>6215267</v>
      </c>
    </row>
    <row r="481">
      <c r="A481" s="3">
        <f>IFERROR(__xludf.DUMMYFUNCTION("""COMPUTED_VALUE"""),38140.645833333336)</f>
        <v>38140.64583</v>
      </c>
      <c r="B481" s="2">
        <f>IFERROR(__xludf.DUMMYFUNCTION("""COMPUTED_VALUE"""),87.76)</f>
        <v>87.76</v>
      </c>
      <c r="C481" s="2">
        <f>IFERROR(__xludf.DUMMYFUNCTION("""COMPUTED_VALUE"""),89.18)</f>
        <v>89.18</v>
      </c>
      <c r="D481" s="2">
        <f>IFERROR(__xludf.DUMMYFUNCTION("""COMPUTED_VALUE"""),87.5)</f>
        <v>87.5</v>
      </c>
      <c r="E481" s="2">
        <f>IFERROR(__xludf.DUMMYFUNCTION("""COMPUTED_VALUE"""),88.48)</f>
        <v>88.48</v>
      </c>
      <c r="F481" s="2">
        <f>IFERROR(__xludf.DUMMYFUNCTION("""COMPUTED_VALUE"""),4296672.0)</f>
        <v>4296672</v>
      </c>
    </row>
    <row r="482">
      <c r="A482" s="3">
        <f>IFERROR(__xludf.DUMMYFUNCTION("""COMPUTED_VALUE"""),38141.645833333336)</f>
        <v>38141.64583</v>
      </c>
      <c r="B482" s="2">
        <f>IFERROR(__xludf.DUMMYFUNCTION("""COMPUTED_VALUE"""),89.8)</f>
        <v>89.8</v>
      </c>
      <c r="C482" s="2">
        <f>IFERROR(__xludf.DUMMYFUNCTION("""COMPUTED_VALUE"""),91.04)</f>
        <v>91.04</v>
      </c>
      <c r="D482" s="2">
        <f>IFERROR(__xludf.DUMMYFUNCTION("""COMPUTED_VALUE"""),85.18)</f>
        <v>85.18</v>
      </c>
      <c r="E482" s="2">
        <f>IFERROR(__xludf.DUMMYFUNCTION("""COMPUTED_VALUE"""),86.24)</f>
        <v>86.24</v>
      </c>
      <c r="F482" s="2">
        <f>IFERROR(__xludf.DUMMYFUNCTION("""COMPUTED_VALUE"""),7208695.0)</f>
        <v>7208695</v>
      </c>
    </row>
    <row r="483">
      <c r="A483" s="3">
        <f>IFERROR(__xludf.DUMMYFUNCTION("""COMPUTED_VALUE"""),38142.645833333336)</f>
        <v>38142.64583</v>
      </c>
      <c r="B483" s="2">
        <f>IFERROR(__xludf.DUMMYFUNCTION("""COMPUTED_VALUE"""),85.16)</f>
        <v>85.16</v>
      </c>
      <c r="C483" s="2">
        <f>IFERROR(__xludf.DUMMYFUNCTION("""COMPUTED_VALUE"""),87.58)</f>
        <v>87.58</v>
      </c>
      <c r="D483" s="2">
        <f>IFERROR(__xludf.DUMMYFUNCTION("""COMPUTED_VALUE"""),85.09)</f>
        <v>85.09</v>
      </c>
      <c r="E483" s="2">
        <f>IFERROR(__xludf.DUMMYFUNCTION("""COMPUTED_VALUE"""),87.28)</f>
        <v>87.28</v>
      </c>
      <c r="F483" s="2">
        <f>IFERROR(__xludf.DUMMYFUNCTION("""COMPUTED_VALUE"""),6151647.0)</f>
        <v>6151647</v>
      </c>
    </row>
    <row r="484">
      <c r="A484" s="3">
        <f>IFERROR(__xludf.DUMMYFUNCTION("""COMPUTED_VALUE"""),38145.645833333336)</f>
        <v>38145.64583</v>
      </c>
      <c r="B484" s="2">
        <f>IFERROR(__xludf.DUMMYFUNCTION("""COMPUTED_VALUE"""),87.58)</f>
        <v>87.58</v>
      </c>
      <c r="C484" s="2">
        <f>IFERROR(__xludf.DUMMYFUNCTION("""COMPUTED_VALUE"""),90.52)</f>
        <v>90.52</v>
      </c>
      <c r="D484" s="2">
        <f>IFERROR(__xludf.DUMMYFUNCTION("""COMPUTED_VALUE"""),87.58)</f>
        <v>87.58</v>
      </c>
      <c r="E484" s="2">
        <f>IFERROR(__xludf.DUMMYFUNCTION("""COMPUTED_VALUE"""),89.56)</f>
        <v>89.56</v>
      </c>
      <c r="F484" s="2">
        <f>IFERROR(__xludf.DUMMYFUNCTION("""COMPUTED_VALUE"""),6611675.0)</f>
        <v>6611675</v>
      </c>
    </row>
    <row r="485">
      <c r="A485" s="3">
        <f>IFERROR(__xludf.DUMMYFUNCTION("""COMPUTED_VALUE"""),38146.645833333336)</f>
        <v>38146.64583</v>
      </c>
      <c r="B485" s="2">
        <f>IFERROR(__xludf.DUMMYFUNCTION("""COMPUTED_VALUE"""),89.59)</f>
        <v>89.59</v>
      </c>
      <c r="C485" s="2">
        <f>IFERROR(__xludf.DUMMYFUNCTION("""COMPUTED_VALUE"""),91.92)</f>
        <v>91.92</v>
      </c>
      <c r="D485" s="2">
        <f>IFERROR(__xludf.DUMMYFUNCTION("""COMPUTED_VALUE"""),88.89)</f>
        <v>88.89</v>
      </c>
      <c r="E485" s="2">
        <f>IFERROR(__xludf.DUMMYFUNCTION("""COMPUTED_VALUE"""),91.66)</f>
        <v>91.66</v>
      </c>
      <c r="F485" s="2">
        <f>IFERROR(__xludf.DUMMYFUNCTION("""COMPUTED_VALUE"""),7265744.0)</f>
        <v>7265744</v>
      </c>
    </row>
    <row r="486">
      <c r="A486" s="3">
        <f>IFERROR(__xludf.DUMMYFUNCTION("""COMPUTED_VALUE"""),38147.645833333336)</f>
        <v>38147.64583</v>
      </c>
      <c r="B486" s="2">
        <f>IFERROR(__xludf.DUMMYFUNCTION("""COMPUTED_VALUE"""),92.01)</f>
        <v>92.01</v>
      </c>
      <c r="C486" s="2">
        <f>IFERROR(__xludf.DUMMYFUNCTION("""COMPUTED_VALUE"""),92.26)</f>
        <v>92.26</v>
      </c>
      <c r="D486" s="2">
        <f>IFERROR(__xludf.DUMMYFUNCTION("""COMPUTED_VALUE"""),90.46)</f>
        <v>90.46</v>
      </c>
      <c r="E486" s="2">
        <f>IFERROR(__xludf.DUMMYFUNCTION("""COMPUTED_VALUE"""),90.76)</f>
        <v>90.76</v>
      </c>
      <c r="F486" s="2">
        <f>IFERROR(__xludf.DUMMYFUNCTION("""COMPUTED_VALUE"""),5136240.0)</f>
        <v>5136240</v>
      </c>
    </row>
    <row r="487">
      <c r="A487" s="3">
        <f>IFERROR(__xludf.DUMMYFUNCTION("""COMPUTED_VALUE"""),38148.645833333336)</f>
        <v>38148.64583</v>
      </c>
      <c r="B487" s="2">
        <f>IFERROR(__xludf.DUMMYFUNCTION("""COMPUTED_VALUE"""),90.38)</f>
        <v>90.38</v>
      </c>
      <c r="C487" s="2">
        <f>IFERROR(__xludf.DUMMYFUNCTION("""COMPUTED_VALUE"""),91.0)</f>
        <v>91</v>
      </c>
      <c r="D487" s="2">
        <f>IFERROR(__xludf.DUMMYFUNCTION("""COMPUTED_VALUE"""),89.59)</f>
        <v>89.59</v>
      </c>
      <c r="E487" s="2">
        <f>IFERROR(__xludf.DUMMYFUNCTION("""COMPUTED_VALUE"""),90.14)</f>
        <v>90.14</v>
      </c>
      <c r="F487" s="2">
        <f>IFERROR(__xludf.DUMMYFUNCTION("""COMPUTED_VALUE"""),3516835.0)</f>
        <v>3516835</v>
      </c>
    </row>
    <row r="488">
      <c r="A488" s="3">
        <f>IFERROR(__xludf.DUMMYFUNCTION("""COMPUTED_VALUE"""),38149.645833333336)</f>
        <v>38149.64583</v>
      </c>
      <c r="B488" s="2">
        <f>IFERROR(__xludf.DUMMYFUNCTION("""COMPUTED_VALUE"""),90.0)</f>
        <v>90</v>
      </c>
      <c r="C488" s="2">
        <f>IFERROR(__xludf.DUMMYFUNCTION("""COMPUTED_VALUE"""),90.0)</f>
        <v>90</v>
      </c>
      <c r="D488" s="2">
        <f>IFERROR(__xludf.DUMMYFUNCTION("""COMPUTED_VALUE"""),86.57)</f>
        <v>86.57</v>
      </c>
      <c r="E488" s="2">
        <f>IFERROR(__xludf.DUMMYFUNCTION("""COMPUTED_VALUE"""),86.92)</f>
        <v>86.92</v>
      </c>
      <c r="F488" s="2">
        <f>IFERROR(__xludf.DUMMYFUNCTION("""COMPUTED_VALUE"""),4722746.0)</f>
        <v>4722746</v>
      </c>
    </row>
    <row r="489">
      <c r="A489" s="3">
        <f>IFERROR(__xludf.DUMMYFUNCTION("""COMPUTED_VALUE"""),38152.645833333336)</f>
        <v>38152.64583</v>
      </c>
      <c r="B489" s="2">
        <f>IFERROR(__xludf.DUMMYFUNCTION("""COMPUTED_VALUE"""),86.37)</f>
        <v>86.37</v>
      </c>
      <c r="C489" s="2">
        <f>IFERROR(__xludf.DUMMYFUNCTION("""COMPUTED_VALUE"""),88.06)</f>
        <v>88.06</v>
      </c>
      <c r="D489" s="2">
        <f>IFERROR(__xludf.DUMMYFUNCTION("""COMPUTED_VALUE"""),85.47)</f>
        <v>85.47</v>
      </c>
      <c r="E489" s="2">
        <f>IFERROR(__xludf.DUMMYFUNCTION("""COMPUTED_VALUE"""),87.56)</f>
        <v>87.56</v>
      </c>
      <c r="F489" s="2">
        <f>IFERROR(__xludf.DUMMYFUNCTION("""COMPUTED_VALUE"""),7250412.0)</f>
        <v>7250412</v>
      </c>
    </row>
    <row r="490">
      <c r="A490" s="3">
        <f>IFERROR(__xludf.DUMMYFUNCTION("""COMPUTED_VALUE"""),38153.645833333336)</f>
        <v>38153.64583</v>
      </c>
      <c r="B490" s="2">
        <f>IFERROR(__xludf.DUMMYFUNCTION("""COMPUTED_VALUE"""),87.6)</f>
        <v>87.6</v>
      </c>
      <c r="C490" s="2">
        <f>IFERROR(__xludf.DUMMYFUNCTION("""COMPUTED_VALUE"""),91.11)</f>
        <v>91.11</v>
      </c>
      <c r="D490" s="2">
        <f>IFERROR(__xludf.DUMMYFUNCTION("""COMPUTED_VALUE"""),87.38)</f>
        <v>87.38</v>
      </c>
      <c r="E490" s="2">
        <f>IFERROR(__xludf.DUMMYFUNCTION("""COMPUTED_VALUE"""),90.72)</f>
        <v>90.72</v>
      </c>
      <c r="F490" s="2">
        <f>IFERROR(__xludf.DUMMYFUNCTION("""COMPUTED_VALUE"""),6785824.0)</f>
        <v>6785824</v>
      </c>
    </row>
    <row r="491">
      <c r="A491" s="3">
        <f>IFERROR(__xludf.DUMMYFUNCTION("""COMPUTED_VALUE"""),38154.645833333336)</f>
        <v>38154.64583</v>
      </c>
      <c r="B491" s="2">
        <f>IFERROR(__xludf.DUMMYFUNCTION("""COMPUTED_VALUE"""),91.2)</f>
        <v>91.2</v>
      </c>
      <c r="C491" s="2">
        <f>IFERROR(__xludf.DUMMYFUNCTION("""COMPUTED_VALUE"""),91.77)</f>
        <v>91.77</v>
      </c>
      <c r="D491" s="2">
        <f>IFERROR(__xludf.DUMMYFUNCTION("""COMPUTED_VALUE"""),89.11)</f>
        <v>89.11</v>
      </c>
      <c r="E491" s="2">
        <f>IFERROR(__xludf.DUMMYFUNCTION("""COMPUTED_VALUE"""),89.83)</f>
        <v>89.83</v>
      </c>
      <c r="F491" s="2">
        <f>IFERROR(__xludf.DUMMYFUNCTION("""COMPUTED_VALUE"""),4553908.0)</f>
        <v>4553908</v>
      </c>
    </row>
    <row r="492">
      <c r="A492" s="3">
        <f>IFERROR(__xludf.DUMMYFUNCTION("""COMPUTED_VALUE"""),38155.645833333336)</f>
        <v>38155.64583</v>
      </c>
      <c r="B492" s="2">
        <f>IFERROR(__xludf.DUMMYFUNCTION("""COMPUTED_VALUE"""),90.48)</f>
        <v>90.48</v>
      </c>
      <c r="C492" s="2">
        <f>IFERROR(__xludf.DUMMYFUNCTION("""COMPUTED_VALUE"""),92.0)</f>
        <v>92</v>
      </c>
      <c r="D492" s="2">
        <f>IFERROR(__xludf.DUMMYFUNCTION("""COMPUTED_VALUE"""),88.41)</f>
        <v>88.41</v>
      </c>
      <c r="E492" s="2">
        <f>IFERROR(__xludf.DUMMYFUNCTION("""COMPUTED_VALUE"""),91.47)</f>
        <v>91.47</v>
      </c>
      <c r="F492" s="2">
        <f>IFERROR(__xludf.DUMMYFUNCTION("""COMPUTED_VALUE"""),5902720.0)</f>
        <v>5902720</v>
      </c>
    </row>
    <row r="493">
      <c r="A493" s="3">
        <f>IFERROR(__xludf.DUMMYFUNCTION("""COMPUTED_VALUE"""),38156.645833333336)</f>
        <v>38156.64583</v>
      </c>
      <c r="B493" s="2">
        <f>IFERROR(__xludf.DUMMYFUNCTION("""COMPUTED_VALUE"""),91.41)</f>
        <v>91.41</v>
      </c>
      <c r="C493" s="2">
        <f>IFERROR(__xludf.DUMMYFUNCTION("""COMPUTED_VALUE"""),91.41)</f>
        <v>91.41</v>
      </c>
      <c r="D493" s="2">
        <f>IFERROR(__xludf.DUMMYFUNCTION("""COMPUTED_VALUE"""),88.82)</f>
        <v>88.82</v>
      </c>
      <c r="E493" s="2">
        <f>IFERROR(__xludf.DUMMYFUNCTION("""COMPUTED_VALUE"""),89.55)</f>
        <v>89.55</v>
      </c>
      <c r="F493" s="2">
        <f>IFERROR(__xludf.DUMMYFUNCTION("""COMPUTED_VALUE"""),4919840.0)</f>
        <v>4919840</v>
      </c>
    </row>
    <row r="494">
      <c r="A494" s="3">
        <f>IFERROR(__xludf.DUMMYFUNCTION("""COMPUTED_VALUE"""),38159.645833333336)</f>
        <v>38159.64583</v>
      </c>
      <c r="B494" s="2">
        <f>IFERROR(__xludf.DUMMYFUNCTION("""COMPUTED_VALUE"""),89.84)</f>
        <v>89.84</v>
      </c>
      <c r="C494" s="2">
        <f>IFERROR(__xludf.DUMMYFUNCTION("""COMPUTED_VALUE"""),90.18)</f>
        <v>90.18</v>
      </c>
      <c r="D494" s="2">
        <f>IFERROR(__xludf.DUMMYFUNCTION("""COMPUTED_VALUE"""),87.19)</f>
        <v>87.19</v>
      </c>
      <c r="E494" s="2">
        <f>IFERROR(__xludf.DUMMYFUNCTION("""COMPUTED_VALUE"""),87.48)</f>
        <v>87.48</v>
      </c>
      <c r="F494" s="2">
        <f>IFERROR(__xludf.DUMMYFUNCTION("""COMPUTED_VALUE"""),5840772.0)</f>
        <v>5840772</v>
      </c>
    </row>
    <row r="495">
      <c r="A495" s="3">
        <f>IFERROR(__xludf.DUMMYFUNCTION("""COMPUTED_VALUE"""),38160.645833333336)</f>
        <v>38160.64583</v>
      </c>
      <c r="B495" s="2">
        <f>IFERROR(__xludf.DUMMYFUNCTION("""COMPUTED_VALUE"""),87.14)</f>
        <v>87.14</v>
      </c>
      <c r="C495" s="2">
        <f>IFERROR(__xludf.DUMMYFUNCTION("""COMPUTED_VALUE"""),88.69)</f>
        <v>88.69</v>
      </c>
      <c r="D495" s="2">
        <f>IFERROR(__xludf.DUMMYFUNCTION("""COMPUTED_VALUE"""),86.57)</f>
        <v>86.57</v>
      </c>
      <c r="E495" s="2">
        <f>IFERROR(__xludf.DUMMYFUNCTION("""COMPUTED_VALUE"""),86.93)</f>
        <v>86.93</v>
      </c>
      <c r="F495" s="2">
        <f>IFERROR(__xludf.DUMMYFUNCTION("""COMPUTED_VALUE"""),5392890.0)</f>
        <v>5392890</v>
      </c>
    </row>
    <row r="496">
      <c r="A496" s="3">
        <f>IFERROR(__xludf.DUMMYFUNCTION("""COMPUTED_VALUE"""),38161.645833333336)</f>
        <v>38161.64583</v>
      </c>
      <c r="B496" s="2">
        <f>IFERROR(__xludf.DUMMYFUNCTION("""COMPUTED_VALUE"""),87.68)</f>
        <v>87.68</v>
      </c>
      <c r="C496" s="2">
        <f>IFERROR(__xludf.DUMMYFUNCTION("""COMPUTED_VALUE"""),87.68)</f>
        <v>87.68</v>
      </c>
      <c r="D496" s="2">
        <f>IFERROR(__xludf.DUMMYFUNCTION("""COMPUTED_VALUE"""),82.38)</f>
        <v>82.38</v>
      </c>
      <c r="E496" s="2">
        <f>IFERROR(__xludf.DUMMYFUNCTION("""COMPUTED_VALUE"""),82.8)</f>
        <v>82.8</v>
      </c>
      <c r="F496" s="2">
        <f>IFERROR(__xludf.DUMMYFUNCTION("""COMPUTED_VALUE"""),1.1069288E7)</f>
        <v>11069288</v>
      </c>
    </row>
    <row r="497">
      <c r="A497" s="3">
        <f>IFERROR(__xludf.DUMMYFUNCTION("""COMPUTED_VALUE"""),38162.645833333336)</f>
        <v>38162.64583</v>
      </c>
      <c r="B497" s="2">
        <f>IFERROR(__xludf.DUMMYFUNCTION("""COMPUTED_VALUE"""),82.75)</f>
        <v>82.75</v>
      </c>
      <c r="C497" s="2">
        <f>IFERROR(__xludf.DUMMYFUNCTION("""COMPUTED_VALUE"""),85.67)</f>
        <v>85.67</v>
      </c>
      <c r="D497" s="2">
        <f>IFERROR(__xludf.DUMMYFUNCTION("""COMPUTED_VALUE"""),82.75)</f>
        <v>82.75</v>
      </c>
      <c r="E497" s="2">
        <f>IFERROR(__xludf.DUMMYFUNCTION("""COMPUTED_VALUE"""),85.17)</f>
        <v>85.17</v>
      </c>
      <c r="F497" s="2">
        <f>IFERROR(__xludf.DUMMYFUNCTION("""COMPUTED_VALUE"""),1.1806191E7)</f>
        <v>11806191</v>
      </c>
    </row>
    <row r="498">
      <c r="A498" s="3">
        <f>IFERROR(__xludf.DUMMYFUNCTION("""COMPUTED_VALUE"""),38163.645833333336)</f>
        <v>38163.64583</v>
      </c>
      <c r="B498" s="2">
        <f>IFERROR(__xludf.DUMMYFUNCTION("""COMPUTED_VALUE"""),85.37)</f>
        <v>85.37</v>
      </c>
      <c r="C498" s="2">
        <f>IFERROR(__xludf.DUMMYFUNCTION("""COMPUTED_VALUE"""),87.9)</f>
        <v>87.9</v>
      </c>
      <c r="D498" s="2">
        <f>IFERROR(__xludf.DUMMYFUNCTION("""COMPUTED_VALUE"""),85.18)</f>
        <v>85.18</v>
      </c>
      <c r="E498" s="2">
        <f>IFERROR(__xludf.DUMMYFUNCTION("""COMPUTED_VALUE"""),86.9)</f>
        <v>86.9</v>
      </c>
      <c r="F498" s="2">
        <f>IFERROR(__xludf.DUMMYFUNCTION("""COMPUTED_VALUE"""),8228788.0)</f>
        <v>8228788</v>
      </c>
    </row>
    <row r="499">
      <c r="A499" s="3">
        <f>IFERROR(__xludf.DUMMYFUNCTION("""COMPUTED_VALUE"""),38166.645833333336)</f>
        <v>38166.64583</v>
      </c>
      <c r="B499" s="2">
        <f>IFERROR(__xludf.DUMMYFUNCTION("""COMPUTED_VALUE"""),86.68)</f>
        <v>86.68</v>
      </c>
      <c r="C499" s="2">
        <f>IFERROR(__xludf.DUMMYFUNCTION("""COMPUTED_VALUE"""),89.18)</f>
        <v>89.18</v>
      </c>
      <c r="D499" s="2">
        <f>IFERROR(__xludf.DUMMYFUNCTION("""COMPUTED_VALUE"""),86.68)</f>
        <v>86.68</v>
      </c>
      <c r="E499" s="2">
        <f>IFERROR(__xludf.DUMMYFUNCTION("""COMPUTED_VALUE"""),88.93)</f>
        <v>88.93</v>
      </c>
      <c r="F499" s="2">
        <f>IFERROR(__xludf.DUMMYFUNCTION("""COMPUTED_VALUE"""),5428478.0)</f>
        <v>5428478</v>
      </c>
    </row>
    <row r="500">
      <c r="A500" s="3">
        <f>IFERROR(__xludf.DUMMYFUNCTION("""COMPUTED_VALUE"""),38167.645833333336)</f>
        <v>38167.64583</v>
      </c>
      <c r="B500" s="2">
        <f>IFERROR(__xludf.DUMMYFUNCTION("""COMPUTED_VALUE"""),88.59)</f>
        <v>88.59</v>
      </c>
      <c r="C500" s="2">
        <f>IFERROR(__xludf.DUMMYFUNCTION("""COMPUTED_VALUE"""),90.05)</f>
        <v>90.05</v>
      </c>
      <c r="D500" s="2">
        <f>IFERROR(__xludf.DUMMYFUNCTION("""COMPUTED_VALUE"""),87.49)</f>
        <v>87.49</v>
      </c>
      <c r="E500" s="2">
        <f>IFERROR(__xludf.DUMMYFUNCTION("""COMPUTED_VALUE"""),89.24)</f>
        <v>89.24</v>
      </c>
      <c r="F500" s="2">
        <f>IFERROR(__xludf.DUMMYFUNCTION("""COMPUTED_VALUE"""),6946267.0)</f>
        <v>6946267</v>
      </c>
    </row>
    <row r="501">
      <c r="A501" s="3">
        <f>IFERROR(__xludf.DUMMYFUNCTION("""COMPUTED_VALUE"""),38168.645833333336)</f>
        <v>38168.64583</v>
      </c>
      <c r="B501" s="2">
        <f>IFERROR(__xludf.DUMMYFUNCTION("""COMPUTED_VALUE"""),89.43)</f>
        <v>89.43</v>
      </c>
      <c r="C501" s="2">
        <f>IFERROR(__xludf.DUMMYFUNCTION("""COMPUTED_VALUE"""),89.85)</f>
        <v>89.85</v>
      </c>
      <c r="D501" s="2">
        <f>IFERROR(__xludf.DUMMYFUNCTION("""COMPUTED_VALUE"""),86.17)</f>
        <v>86.17</v>
      </c>
      <c r="E501" s="2">
        <f>IFERROR(__xludf.DUMMYFUNCTION("""COMPUTED_VALUE"""),86.5)</f>
        <v>86.5</v>
      </c>
      <c r="F501" s="2">
        <f>IFERROR(__xludf.DUMMYFUNCTION("""COMPUTED_VALUE"""),8869472.0)</f>
        <v>8869472</v>
      </c>
    </row>
    <row r="502">
      <c r="A502" s="3">
        <f>IFERROR(__xludf.DUMMYFUNCTION("""COMPUTED_VALUE"""),38169.645833333336)</f>
        <v>38169.64583</v>
      </c>
      <c r="B502" s="2">
        <f>IFERROR(__xludf.DUMMYFUNCTION("""COMPUTED_VALUE"""),88.47)</f>
        <v>88.47</v>
      </c>
      <c r="C502" s="2">
        <f>IFERROR(__xludf.DUMMYFUNCTION("""COMPUTED_VALUE"""),88.57)</f>
        <v>88.57</v>
      </c>
      <c r="D502" s="2">
        <f>IFERROR(__xludf.DUMMYFUNCTION("""COMPUTED_VALUE"""),86.6)</f>
        <v>86.6</v>
      </c>
      <c r="E502" s="2">
        <f>IFERROR(__xludf.DUMMYFUNCTION("""COMPUTED_VALUE"""),88.3)</f>
        <v>88.3</v>
      </c>
      <c r="F502" s="2">
        <f>IFERROR(__xludf.DUMMYFUNCTION("""COMPUTED_VALUE"""),4945934.0)</f>
        <v>4945934</v>
      </c>
    </row>
    <row r="503">
      <c r="A503" s="3">
        <f>IFERROR(__xludf.DUMMYFUNCTION("""COMPUTED_VALUE"""),38170.645833333336)</f>
        <v>38170.64583</v>
      </c>
      <c r="B503" s="2">
        <f>IFERROR(__xludf.DUMMYFUNCTION("""COMPUTED_VALUE"""),87.58)</f>
        <v>87.58</v>
      </c>
      <c r="C503" s="2">
        <f>IFERROR(__xludf.DUMMYFUNCTION("""COMPUTED_VALUE"""),88.27)</f>
        <v>88.27</v>
      </c>
      <c r="D503" s="2">
        <f>IFERROR(__xludf.DUMMYFUNCTION("""COMPUTED_VALUE"""),86.68)</f>
        <v>86.68</v>
      </c>
      <c r="E503" s="2">
        <f>IFERROR(__xludf.DUMMYFUNCTION("""COMPUTED_VALUE"""),87.36)</f>
        <v>87.36</v>
      </c>
      <c r="F503" s="2">
        <f>IFERROR(__xludf.DUMMYFUNCTION("""COMPUTED_VALUE"""),5676172.0)</f>
        <v>5676172</v>
      </c>
    </row>
    <row r="504">
      <c r="A504" s="3">
        <f>IFERROR(__xludf.DUMMYFUNCTION("""COMPUTED_VALUE"""),38173.645833333336)</f>
        <v>38173.64583</v>
      </c>
      <c r="B504" s="2">
        <f>IFERROR(__xludf.DUMMYFUNCTION("""COMPUTED_VALUE"""),87.46)</f>
        <v>87.46</v>
      </c>
      <c r="C504" s="2">
        <f>IFERROR(__xludf.DUMMYFUNCTION("""COMPUTED_VALUE"""),88.58)</f>
        <v>88.58</v>
      </c>
      <c r="D504" s="2">
        <f>IFERROR(__xludf.DUMMYFUNCTION("""COMPUTED_VALUE"""),86.42)</f>
        <v>86.42</v>
      </c>
      <c r="E504" s="2">
        <f>IFERROR(__xludf.DUMMYFUNCTION("""COMPUTED_VALUE"""),86.67)</f>
        <v>86.67</v>
      </c>
      <c r="F504" s="2">
        <f>IFERROR(__xludf.DUMMYFUNCTION("""COMPUTED_VALUE"""),7218450.0)</f>
        <v>7218450</v>
      </c>
    </row>
    <row r="505">
      <c r="A505" s="3">
        <f>IFERROR(__xludf.DUMMYFUNCTION("""COMPUTED_VALUE"""),38174.645833333336)</f>
        <v>38174.64583</v>
      </c>
      <c r="B505" s="2">
        <f>IFERROR(__xludf.DUMMYFUNCTION("""COMPUTED_VALUE"""),86.71)</f>
        <v>86.71</v>
      </c>
      <c r="C505" s="2">
        <f>IFERROR(__xludf.DUMMYFUNCTION("""COMPUTED_VALUE"""),88.39)</f>
        <v>88.39</v>
      </c>
      <c r="D505" s="2">
        <f>IFERROR(__xludf.DUMMYFUNCTION("""COMPUTED_VALUE"""),86.33)</f>
        <v>86.33</v>
      </c>
      <c r="E505" s="2">
        <f>IFERROR(__xludf.DUMMYFUNCTION("""COMPUTED_VALUE"""),88.27)</f>
        <v>88.27</v>
      </c>
      <c r="F505" s="2">
        <f>IFERROR(__xludf.DUMMYFUNCTION("""COMPUTED_VALUE"""),5911012.0)</f>
        <v>5911012</v>
      </c>
    </row>
    <row r="506">
      <c r="A506" s="3">
        <f>IFERROR(__xludf.DUMMYFUNCTION("""COMPUTED_VALUE"""),38175.645833333336)</f>
        <v>38175.64583</v>
      </c>
      <c r="B506" s="2">
        <f>IFERROR(__xludf.DUMMYFUNCTION("""COMPUTED_VALUE"""),88.39)</f>
        <v>88.39</v>
      </c>
      <c r="C506" s="2">
        <f>IFERROR(__xludf.DUMMYFUNCTION("""COMPUTED_VALUE"""),89.19)</f>
        <v>89.19</v>
      </c>
      <c r="D506" s="2">
        <f>IFERROR(__xludf.DUMMYFUNCTION("""COMPUTED_VALUE"""),87.58)</f>
        <v>87.58</v>
      </c>
      <c r="E506" s="2">
        <f>IFERROR(__xludf.DUMMYFUNCTION("""COMPUTED_VALUE"""),88.27)</f>
        <v>88.27</v>
      </c>
      <c r="F506" s="2">
        <f>IFERROR(__xludf.DUMMYFUNCTION("""COMPUTED_VALUE"""),7283552.0)</f>
        <v>7283552</v>
      </c>
    </row>
    <row r="507">
      <c r="A507" s="3">
        <f>IFERROR(__xludf.DUMMYFUNCTION("""COMPUTED_VALUE"""),38176.645833333336)</f>
        <v>38176.64583</v>
      </c>
      <c r="B507" s="2">
        <f>IFERROR(__xludf.DUMMYFUNCTION("""COMPUTED_VALUE"""),88.52)</f>
        <v>88.52</v>
      </c>
      <c r="C507" s="2">
        <f>IFERROR(__xludf.DUMMYFUNCTION("""COMPUTED_VALUE"""),89.98)</f>
        <v>89.98</v>
      </c>
      <c r="D507" s="2">
        <f>IFERROR(__xludf.DUMMYFUNCTION("""COMPUTED_VALUE"""),86.19)</f>
        <v>86.19</v>
      </c>
      <c r="E507" s="2">
        <f>IFERROR(__xludf.DUMMYFUNCTION("""COMPUTED_VALUE"""),86.98)</f>
        <v>86.98</v>
      </c>
      <c r="F507" s="2">
        <f>IFERROR(__xludf.DUMMYFUNCTION("""COMPUTED_VALUE"""),1.0969933E7)</f>
        <v>10969933</v>
      </c>
    </row>
    <row r="508">
      <c r="A508" s="3">
        <f>IFERROR(__xludf.DUMMYFUNCTION("""COMPUTED_VALUE"""),38177.645833333336)</f>
        <v>38177.64583</v>
      </c>
      <c r="B508" s="2">
        <f>IFERROR(__xludf.DUMMYFUNCTION("""COMPUTED_VALUE"""),80.53)</f>
        <v>80.53</v>
      </c>
      <c r="C508" s="2">
        <f>IFERROR(__xludf.DUMMYFUNCTION("""COMPUTED_VALUE"""),88.85)</f>
        <v>88.85</v>
      </c>
      <c r="D508" s="2">
        <f>IFERROR(__xludf.DUMMYFUNCTION("""COMPUTED_VALUE"""),80.53)</f>
        <v>80.53</v>
      </c>
      <c r="E508" s="2">
        <f>IFERROR(__xludf.DUMMYFUNCTION("""COMPUTED_VALUE"""),88.37)</f>
        <v>88.37</v>
      </c>
      <c r="F508" s="2">
        <f>IFERROR(__xludf.DUMMYFUNCTION("""COMPUTED_VALUE"""),4532676.0)</f>
        <v>4532676</v>
      </c>
    </row>
    <row r="509">
      <c r="A509" s="3">
        <f>IFERROR(__xludf.DUMMYFUNCTION("""COMPUTED_VALUE"""),38180.645833333336)</f>
        <v>38180.64583</v>
      </c>
      <c r="B509" s="2">
        <f>IFERROR(__xludf.DUMMYFUNCTION("""COMPUTED_VALUE"""),87.99)</f>
        <v>87.99</v>
      </c>
      <c r="C509" s="2">
        <f>IFERROR(__xludf.DUMMYFUNCTION("""COMPUTED_VALUE"""),88.59)</f>
        <v>88.59</v>
      </c>
      <c r="D509" s="2">
        <f>IFERROR(__xludf.DUMMYFUNCTION("""COMPUTED_VALUE"""),87.0)</f>
        <v>87</v>
      </c>
      <c r="E509" s="2">
        <f>IFERROR(__xludf.DUMMYFUNCTION("""COMPUTED_VALUE"""),87.93)</f>
        <v>87.93</v>
      </c>
      <c r="F509" s="2">
        <f>IFERROR(__xludf.DUMMYFUNCTION("""COMPUTED_VALUE"""),2875397.0)</f>
        <v>2875397</v>
      </c>
    </row>
    <row r="510">
      <c r="A510" s="3">
        <f>IFERROR(__xludf.DUMMYFUNCTION("""COMPUTED_VALUE"""),38181.645833333336)</f>
        <v>38181.64583</v>
      </c>
      <c r="B510" s="2">
        <f>IFERROR(__xludf.DUMMYFUNCTION("""COMPUTED_VALUE"""),87.38)</f>
        <v>87.38</v>
      </c>
      <c r="C510" s="2">
        <f>IFERROR(__xludf.DUMMYFUNCTION("""COMPUTED_VALUE"""),88.33)</f>
        <v>88.33</v>
      </c>
      <c r="D510" s="2">
        <f>IFERROR(__xludf.DUMMYFUNCTION("""COMPUTED_VALUE"""),86.28)</f>
        <v>86.28</v>
      </c>
      <c r="E510" s="2">
        <f>IFERROR(__xludf.DUMMYFUNCTION("""COMPUTED_VALUE"""),86.68)</f>
        <v>86.68</v>
      </c>
      <c r="F510" s="2">
        <f>IFERROR(__xludf.DUMMYFUNCTION("""COMPUTED_VALUE"""),2351426.0)</f>
        <v>2351426</v>
      </c>
    </row>
    <row r="511">
      <c r="A511" s="3">
        <f>IFERROR(__xludf.DUMMYFUNCTION("""COMPUTED_VALUE"""),38182.645833333336)</f>
        <v>38182.64583</v>
      </c>
      <c r="B511" s="2">
        <f>IFERROR(__xludf.DUMMYFUNCTION("""COMPUTED_VALUE"""),87.2)</f>
        <v>87.2</v>
      </c>
      <c r="C511" s="2">
        <f>IFERROR(__xludf.DUMMYFUNCTION("""COMPUTED_VALUE"""),87.2)</f>
        <v>87.2</v>
      </c>
      <c r="D511" s="2">
        <f>IFERROR(__xludf.DUMMYFUNCTION("""COMPUTED_VALUE"""),83.9)</f>
        <v>83.9</v>
      </c>
      <c r="E511" s="2">
        <f>IFERROR(__xludf.DUMMYFUNCTION("""COMPUTED_VALUE"""),84.16)</f>
        <v>84.16</v>
      </c>
      <c r="F511" s="2">
        <f>IFERROR(__xludf.DUMMYFUNCTION("""COMPUTED_VALUE"""),6852963.0)</f>
        <v>6852963</v>
      </c>
    </row>
    <row r="512">
      <c r="A512" s="3">
        <f>IFERROR(__xludf.DUMMYFUNCTION("""COMPUTED_VALUE"""),38183.645833333336)</f>
        <v>38183.64583</v>
      </c>
      <c r="B512" s="2">
        <f>IFERROR(__xludf.DUMMYFUNCTION("""COMPUTED_VALUE"""),84.7)</f>
        <v>84.7</v>
      </c>
      <c r="C512" s="2">
        <f>IFERROR(__xludf.DUMMYFUNCTION("""COMPUTED_VALUE"""),85.45)</f>
        <v>85.45</v>
      </c>
      <c r="D512" s="2">
        <f>IFERROR(__xludf.DUMMYFUNCTION("""COMPUTED_VALUE"""),83.6)</f>
        <v>83.6</v>
      </c>
      <c r="E512" s="2">
        <f>IFERROR(__xludf.DUMMYFUNCTION("""COMPUTED_VALUE"""),84.58)</f>
        <v>84.58</v>
      </c>
      <c r="F512" s="2">
        <f>IFERROR(__xludf.DUMMYFUNCTION("""COMPUTED_VALUE"""),7458953.0)</f>
        <v>7458953</v>
      </c>
    </row>
    <row r="513">
      <c r="A513" s="3">
        <f>IFERROR(__xludf.DUMMYFUNCTION("""COMPUTED_VALUE"""),38184.645833333336)</f>
        <v>38184.64583</v>
      </c>
      <c r="B513" s="2">
        <f>IFERROR(__xludf.DUMMYFUNCTION("""COMPUTED_VALUE"""),84.96)</f>
        <v>84.96</v>
      </c>
      <c r="C513" s="2">
        <f>IFERROR(__xludf.DUMMYFUNCTION("""COMPUTED_VALUE"""),86.03)</f>
        <v>86.03</v>
      </c>
      <c r="D513" s="2">
        <f>IFERROR(__xludf.DUMMYFUNCTION("""COMPUTED_VALUE"""),84.22)</f>
        <v>84.22</v>
      </c>
      <c r="E513" s="2">
        <f>IFERROR(__xludf.DUMMYFUNCTION("""COMPUTED_VALUE"""),85.46)</f>
        <v>85.46</v>
      </c>
      <c r="F513" s="2">
        <f>IFERROR(__xludf.DUMMYFUNCTION("""COMPUTED_VALUE"""),8211826.0)</f>
        <v>8211826</v>
      </c>
    </row>
    <row r="514">
      <c r="A514" s="3">
        <f>IFERROR(__xludf.DUMMYFUNCTION("""COMPUTED_VALUE"""),38187.645833333336)</f>
        <v>38187.64583</v>
      </c>
      <c r="B514" s="2">
        <f>IFERROR(__xludf.DUMMYFUNCTION("""COMPUTED_VALUE"""),85.77)</f>
        <v>85.77</v>
      </c>
      <c r="C514" s="2">
        <f>IFERROR(__xludf.DUMMYFUNCTION("""COMPUTED_VALUE"""),86.35)</f>
        <v>86.35</v>
      </c>
      <c r="D514" s="2">
        <f>IFERROR(__xludf.DUMMYFUNCTION("""COMPUTED_VALUE"""),85.0)</f>
        <v>85</v>
      </c>
      <c r="E514" s="2">
        <f>IFERROR(__xludf.DUMMYFUNCTION("""COMPUTED_VALUE"""),85.33)</f>
        <v>85.33</v>
      </c>
      <c r="F514" s="2">
        <f>IFERROR(__xludf.DUMMYFUNCTION("""COMPUTED_VALUE"""),6175357.0)</f>
        <v>6175357</v>
      </c>
    </row>
    <row r="515">
      <c r="A515" s="3">
        <f>IFERROR(__xludf.DUMMYFUNCTION("""COMPUTED_VALUE"""),38188.645833333336)</f>
        <v>38188.64583</v>
      </c>
      <c r="B515" s="2">
        <f>IFERROR(__xludf.DUMMYFUNCTION("""COMPUTED_VALUE"""),90.6)</f>
        <v>90.6</v>
      </c>
      <c r="C515" s="2">
        <f>IFERROR(__xludf.DUMMYFUNCTION("""COMPUTED_VALUE"""),90.6)</f>
        <v>90.6</v>
      </c>
      <c r="D515" s="2">
        <f>IFERROR(__xludf.DUMMYFUNCTION("""COMPUTED_VALUE"""),84.76)</f>
        <v>84.76</v>
      </c>
      <c r="E515" s="2">
        <f>IFERROR(__xludf.DUMMYFUNCTION("""COMPUTED_VALUE"""),86.28)</f>
        <v>86.28</v>
      </c>
      <c r="F515" s="2">
        <f>IFERROR(__xludf.DUMMYFUNCTION("""COMPUTED_VALUE"""),1.0068399E7)</f>
        <v>10068399</v>
      </c>
    </row>
    <row r="516">
      <c r="A516" s="3">
        <f>IFERROR(__xludf.DUMMYFUNCTION("""COMPUTED_VALUE"""),38189.645833333336)</f>
        <v>38189.64583</v>
      </c>
      <c r="B516" s="2">
        <f>IFERROR(__xludf.DUMMYFUNCTION("""COMPUTED_VALUE"""),86.78)</f>
        <v>86.78</v>
      </c>
      <c r="C516" s="2">
        <f>IFERROR(__xludf.DUMMYFUNCTION("""COMPUTED_VALUE"""),88.53)</f>
        <v>88.53</v>
      </c>
      <c r="D516" s="2">
        <f>IFERROR(__xludf.DUMMYFUNCTION("""COMPUTED_VALUE"""),86.55)</f>
        <v>86.55</v>
      </c>
      <c r="E516" s="2">
        <f>IFERROR(__xludf.DUMMYFUNCTION("""COMPUTED_VALUE"""),87.44)</f>
        <v>87.44</v>
      </c>
      <c r="F516" s="2">
        <f>IFERROR(__xludf.DUMMYFUNCTION("""COMPUTED_VALUE"""),5184791.0)</f>
        <v>5184791</v>
      </c>
    </row>
    <row r="517">
      <c r="A517" s="3">
        <f>IFERROR(__xludf.DUMMYFUNCTION("""COMPUTED_VALUE"""),38190.645833333336)</f>
        <v>38190.64583</v>
      </c>
      <c r="B517" s="2">
        <f>IFERROR(__xludf.DUMMYFUNCTION("""COMPUTED_VALUE"""),89.39)</f>
        <v>89.39</v>
      </c>
      <c r="C517" s="2">
        <f>IFERROR(__xludf.DUMMYFUNCTION("""COMPUTED_VALUE"""),92.2)</f>
        <v>92.2</v>
      </c>
      <c r="D517" s="2">
        <f>IFERROR(__xludf.DUMMYFUNCTION("""COMPUTED_VALUE"""),88.19)</f>
        <v>88.19</v>
      </c>
      <c r="E517" s="2">
        <f>IFERROR(__xludf.DUMMYFUNCTION("""COMPUTED_VALUE"""),91.59)</f>
        <v>91.59</v>
      </c>
      <c r="F517" s="2">
        <f>IFERROR(__xludf.DUMMYFUNCTION("""COMPUTED_VALUE"""),1.0430233E7)</f>
        <v>10430233</v>
      </c>
    </row>
    <row r="518">
      <c r="A518" s="3">
        <f>IFERROR(__xludf.DUMMYFUNCTION("""COMPUTED_VALUE"""),38191.645833333336)</f>
        <v>38191.64583</v>
      </c>
      <c r="B518" s="2">
        <f>IFERROR(__xludf.DUMMYFUNCTION("""COMPUTED_VALUE"""),92.21)</f>
        <v>92.21</v>
      </c>
      <c r="C518" s="2">
        <f>IFERROR(__xludf.DUMMYFUNCTION("""COMPUTED_VALUE"""),94.37)</f>
        <v>94.37</v>
      </c>
      <c r="D518" s="2">
        <f>IFERROR(__xludf.DUMMYFUNCTION("""COMPUTED_VALUE"""),91.44)</f>
        <v>91.44</v>
      </c>
      <c r="E518" s="2">
        <f>IFERROR(__xludf.DUMMYFUNCTION("""COMPUTED_VALUE"""),93.87)</f>
        <v>93.87</v>
      </c>
      <c r="F518" s="2">
        <f>IFERROR(__xludf.DUMMYFUNCTION("""COMPUTED_VALUE"""),8805349.0)</f>
        <v>8805349</v>
      </c>
    </row>
    <row r="519">
      <c r="A519" s="3">
        <f>IFERROR(__xludf.DUMMYFUNCTION("""COMPUTED_VALUE"""),38194.645833333336)</f>
        <v>38194.64583</v>
      </c>
      <c r="B519" s="2">
        <f>IFERROR(__xludf.DUMMYFUNCTION("""COMPUTED_VALUE"""),93.82)</f>
        <v>93.82</v>
      </c>
      <c r="C519" s="2">
        <f>IFERROR(__xludf.DUMMYFUNCTION("""COMPUTED_VALUE"""),96.44)</f>
        <v>96.44</v>
      </c>
      <c r="D519" s="2">
        <f>IFERROR(__xludf.DUMMYFUNCTION("""COMPUTED_VALUE"""),92.64)</f>
        <v>92.64</v>
      </c>
      <c r="E519" s="2">
        <f>IFERROR(__xludf.DUMMYFUNCTION("""COMPUTED_VALUE"""),96.1)</f>
        <v>96.1</v>
      </c>
      <c r="F519" s="2">
        <f>IFERROR(__xludf.DUMMYFUNCTION("""COMPUTED_VALUE"""),8051003.0)</f>
        <v>8051003</v>
      </c>
    </row>
    <row r="520">
      <c r="A520" s="3">
        <f>IFERROR(__xludf.DUMMYFUNCTION("""COMPUTED_VALUE"""),38195.645833333336)</f>
        <v>38195.64583</v>
      </c>
      <c r="B520" s="2">
        <f>IFERROR(__xludf.DUMMYFUNCTION("""COMPUTED_VALUE"""),96.64)</f>
        <v>96.64</v>
      </c>
      <c r="C520" s="2">
        <f>IFERROR(__xludf.DUMMYFUNCTION("""COMPUTED_VALUE"""),97.24)</f>
        <v>97.24</v>
      </c>
      <c r="D520" s="2">
        <f>IFERROR(__xludf.DUMMYFUNCTION("""COMPUTED_VALUE"""),93.12)</f>
        <v>93.12</v>
      </c>
      <c r="E520" s="2">
        <f>IFERROR(__xludf.DUMMYFUNCTION("""COMPUTED_VALUE"""),93.64)</f>
        <v>93.64</v>
      </c>
      <c r="F520" s="2">
        <f>IFERROR(__xludf.DUMMYFUNCTION("""COMPUTED_VALUE"""),1.5580635E7)</f>
        <v>15580635</v>
      </c>
    </row>
    <row r="521">
      <c r="A521" s="3">
        <f>IFERROR(__xludf.DUMMYFUNCTION("""COMPUTED_VALUE"""),38196.645833333336)</f>
        <v>38196.64583</v>
      </c>
      <c r="B521" s="2">
        <f>IFERROR(__xludf.DUMMYFUNCTION("""COMPUTED_VALUE"""),93.02)</f>
        <v>93.02</v>
      </c>
      <c r="C521" s="2">
        <f>IFERROR(__xludf.DUMMYFUNCTION("""COMPUTED_VALUE"""),95.63)</f>
        <v>95.63</v>
      </c>
      <c r="D521" s="2">
        <f>IFERROR(__xludf.DUMMYFUNCTION("""COMPUTED_VALUE"""),93.02)</f>
        <v>93.02</v>
      </c>
      <c r="E521" s="2">
        <f>IFERROR(__xludf.DUMMYFUNCTION("""COMPUTED_VALUE"""),94.81)</f>
        <v>94.81</v>
      </c>
      <c r="F521" s="2">
        <f>IFERROR(__xludf.DUMMYFUNCTION("""COMPUTED_VALUE"""),8270263.0)</f>
        <v>8270263</v>
      </c>
    </row>
    <row r="522">
      <c r="A522" s="3">
        <f>IFERROR(__xludf.DUMMYFUNCTION("""COMPUTED_VALUE"""),38197.645833333336)</f>
        <v>38197.64583</v>
      </c>
      <c r="B522" s="2">
        <f>IFERROR(__xludf.DUMMYFUNCTION("""COMPUTED_VALUE"""),95.63)</f>
        <v>95.63</v>
      </c>
      <c r="C522" s="2">
        <f>IFERROR(__xludf.DUMMYFUNCTION("""COMPUTED_VALUE"""),95.74)</f>
        <v>95.74</v>
      </c>
      <c r="D522" s="2">
        <f>IFERROR(__xludf.DUMMYFUNCTION("""COMPUTED_VALUE"""),94.48)</f>
        <v>94.48</v>
      </c>
      <c r="E522" s="2">
        <f>IFERROR(__xludf.DUMMYFUNCTION("""COMPUTED_VALUE"""),95.53)</f>
        <v>95.53</v>
      </c>
      <c r="F522" s="2">
        <f>IFERROR(__xludf.DUMMYFUNCTION("""COMPUTED_VALUE"""),5239489.0)</f>
        <v>5239489</v>
      </c>
    </row>
    <row r="523">
      <c r="A523" s="3">
        <f>IFERROR(__xludf.DUMMYFUNCTION("""COMPUTED_VALUE"""),38198.645833333336)</f>
        <v>38198.64583</v>
      </c>
      <c r="B523" s="2">
        <f>IFERROR(__xludf.DUMMYFUNCTION("""COMPUTED_VALUE"""),95.65)</f>
        <v>95.65</v>
      </c>
      <c r="C523" s="2">
        <f>IFERROR(__xludf.DUMMYFUNCTION("""COMPUTED_VALUE"""),98.76)</f>
        <v>98.76</v>
      </c>
      <c r="D523" s="2">
        <f>IFERROR(__xludf.DUMMYFUNCTION("""COMPUTED_VALUE"""),95.64)</f>
        <v>95.64</v>
      </c>
      <c r="E523" s="2">
        <f>IFERROR(__xludf.DUMMYFUNCTION("""COMPUTED_VALUE"""),98.43)</f>
        <v>98.43</v>
      </c>
      <c r="F523" s="2">
        <f>IFERROR(__xludf.DUMMYFUNCTION("""COMPUTED_VALUE"""),7111050.0)</f>
        <v>7111050</v>
      </c>
    </row>
    <row r="524">
      <c r="A524" s="3">
        <f>IFERROR(__xludf.DUMMYFUNCTION("""COMPUTED_VALUE"""),38201.645833333336)</f>
        <v>38201.64583</v>
      </c>
      <c r="B524" s="2">
        <f>IFERROR(__xludf.DUMMYFUNCTION("""COMPUTED_VALUE"""),98.25)</f>
        <v>98.25</v>
      </c>
      <c r="C524" s="2">
        <f>IFERROR(__xludf.DUMMYFUNCTION("""COMPUTED_VALUE"""),99.86)</f>
        <v>99.86</v>
      </c>
      <c r="D524" s="2">
        <f>IFERROR(__xludf.DUMMYFUNCTION("""COMPUTED_VALUE"""),97.66)</f>
        <v>97.66</v>
      </c>
      <c r="E524" s="2">
        <f>IFERROR(__xludf.DUMMYFUNCTION("""COMPUTED_VALUE"""),99.48)</f>
        <v>99.48</v>
      </c>
      <c r="F524" s="2">
        <f>IFERROR(__xludf.DUMMYFUNCTION("""COMPUTED_VALUE"""),7074248.0)</f>
        <v>7074248</v>
      </c>
    </row>
    <row r="525">
      <c r="A525" s="3">
        <f>IFERROR(__xludf.DUMMYFUNCTION("""COMPUTED_VALUE"""),38202.645833333336)</f>
        <v>38202.64583</v>
      </c>
      <c r="B525" s="2">
        <f>IFERROR(__xludf.DUMMYFUNCTION("""COMPUTED_VALUE"""),99.51)</f>
        <v>99.51</v>
      </c>
      <c r="C525" s="2">
        <f>IFERROR(__xludf.DUMMYFUNCTION("""COMPUTED_VALUE"""),100.64)</f>
        <v>100.64</v>
      </c>
      <c r="D525" s="2">
        <f>IFERROR(__xludf.DUMMYFUNCTION("""COMPUTED_VALUE"""),98.13)</f>
        <v>98.13</v>
      </c>
      <c r="E525" s="2">
        <f>IFERROR(__xludf.DUMMYFUNCTION("""COMPUTED_VALUE"""),98.53)</f>
        <v>98.53</v>
      </c>
      <c r="F525" s="2">
        <f>IFERROR(__xludf.DUMMYFUNCTION("""COMPUTED_VALUE"""),8322408.0)</f>
        <v>8322408</v>
      </c>
    </row>
    <row r="526">
      <c r="A526" s="3">
        <f>IFERROR(__xludf.DUMMYFUNCTION("""COMPUTED_VALUE"""),38203.645833333336)</f>
        <v>38203.64583</v>
      </c>
      <c r="B526" s="2">
        <f>IFERROR(__xludf.DUMMYFUNCTION("""COMPUTED_VALUE"""),98.86)</f>
        <v>98.86</v>
      </c>
      <c r="C526" s="2">
        <f>IFERROR(__xludf.DUMMYFUNCTION("""COMPUTED_VALUE"""),99.56)</f>
        <v>99.56</v>
      </c>
      <c r="D526" s="2">
        <f>IFERROR(__xludf.DUMMYFUNCTION("""COMPUTED_VALUE"""),97.36)</f>
        <v>97.36</v>
      </c>
      <c r="E526" s="2">
        <f>IFERROR(__xludf.DUMMYFUNCTION("""COMPUTED_VALUE"""),99.31)</f>
        <v>99.31</v>
      </c>
      <c r="F526" s="2">
        <f>IFERROR(__xludf.DUMMYFUNCTION("""COMPUTED_VALUE"""),6740779.0)</f>
        <v>6740779</v>
      </c>
    </row>
    <row r="527">
      <c r="A527" s="3">
        <f>IFERROR(__xludf.DUMMYFUNCTION("""COMPUTED_VALUE"""),38204.645833333336)</f>
        <v>38204.64583</v>
      </c>
      <c r="B527" s="2">
        <f>IFERROR(__xludf.DUMMYFUNCTION("""COMPUTED_VALUE"""),100.04)</f>
        <v>100.04</v>
      </c>
      <c r="C527" s="2">
        <f>IFERROR(__xludf.DUMMYFUNCTION("""COMPUTED_VALUE"""),101.62)</f>
        <v>101.62</v>
      </c>
      <c r="D527" s="2">
        <f>IFERROR(__xludf.DUMMYFUNCTION("""COMPUTED_VALUE"""),99.69)</f>
        <v>99.69</v>
      </c>
      <c r="E527" s="2">
        <f>IFERROR(__xludf.DUMMYFUNCTION("""COMPUTED_VALUE"""),101.27)</f>
        <v>101.27</v>
      </c>
      <c r="F527" s="2">
        <f>IFERROR(__xludf.DUMMYFUNCTION("""COMPUTED_VALUE"""),6354706.0)</f>
        <v>6354706</v>
      </c>
    </row>
    <row r="528">
      <c r="A528" s="3">
        <f>IFERROR(__xludf.DUMMYFUNCTION("""COMPUTED_VALUE"""),38205.645833333336)</f>
        <v>38205.64583</v>
      </c>
      <c r="B528" s="2">
        <f>IFERROR(__xludf.DUMMYFUNCTION("""COMPUTED_VALUE"""),101.05)</f>
        <v>101.05</v>
      </c>
      <c r="C528" s="2">
        <f>IFERROR(__xludf.DUMMYFUNCTION("""COMPUTED_VALUE"""),101.26)</f>
        <v>101.26</v>
      </c>
      <c r="D528" s="2">
        <f>IFERROR(__xludf.DUMMYFUNCTION("""COMPUTED_VALUE"""),98.92)</f>
        <v>98.92</v>
      </c>
      <c r="E528" s="2">
        <f>IFERROR(__xludf.DUMMYFUNCTION("""COMPUTED_VALUE"""),99.44)</f>
        <v>99.44</v>
      </c>
      <c r="F528" s="2">
        <f>IFERROR(__xludf.DUMMYFUNCTION("""COMPUTED_VALUE"""),5479519.0)</f>
        <v>5479519</v>
      </c>
    </row>
    <row r="529">
      <c r="A529" s="3">
        <f>IFERROR(__xludf.DUMMYFUNCTION("""COMPUTED_VALUE"""),38208.645833333336)</f>
        <v>38208.64583</v>
      </c>
      <c r="B529" s="2">
        <f>IFERROR(__xludf.DUMMYFUNCTION("""COMPUTED_VALUE"""),99.06)</f>
        <v>99.06</v>
      </c>
      <c r="C529" s="2">
        <f>IFERROR(__xludf.DUMMYFUNCTION("""COMPUTED_VALUE"""),99.7)</f>
        <v>99.7</v>
      </c>
      <c r="D529" s="2">
        <f>IFERROR(__xludf.DUMMYFUNCTION("""COMPUTED_VALUE"""),97.88)</f>
        <v>97.88</v>
      </c>
      <c r="E529" s="2">
        <f>IFERROR(__xludf.DUMMYFUNCTION("""COMPUTED_VALUE"""),99.1)</f>
        <v>99.1</v>
      </c>
      <c r="F529" s="2">
        <f>IFERROR(__xludf.DUMMYFUNCTION("""COMPUTED_VALUE"""),6018676.0)</f>
        <v>6018676</v>
      </c>
    </row>
    <row r="530">
      <c r="A530" s="3">
        <f>IFERROR(__xludf.DUMMYFUNCTION("""COMPUTED_VALUE"""),38209.645833333336)</f>
        <v>38209.64583</v>
      </c>
      <c r="B530" s="2">
        <f>IFERROR(__xludf.DUMMYFUNCTION("""COMPUTED_VALUE"""),99.27)</f>
        <v>99.27</v>
      </c>
      <c r="C530" s="2">
        <f>IFERROR(__xludf.DUMMYFUNCTION("""COMPUTED_VALUE"""),100.56)</f>
        <v>100.56</v>
      </c>
      <c r="D530" s="2">
        <f>IFERROR(__xludf.DUMMYFUNCTION("""COMPUTED_VALUE"""),98.65)</f>
        <v>98.65</v>
      </c>
      <c r="E530" s="2">
        <f>IFERROR(__xludf.DUMMYFUNCTION("""COMPUTED_VALUE"""),100.0)</f>
        <v>100</v>
      </c>
      <c r="F530" s="2">
        <f>IFERROR(__xludf.DUMMYFUNCTION("""COMPUTED_VALUE"""),4661414.0)</f>
        <v>4661414</v>
      </c>
    </row>
    <row r="531">
      <c r="A531" s="3">
        <f>IFERROR(__xludf.DUMMYFUNCTION("""COMPUTED_VALUE"""),38210.645833333336)</f>
        <v>38210.64583</v>
      </c>
      <c r="B531" s="2">
        <f>IFERROR(__xludf.DUMMYFUNCTION("""COMPUTED_VALUE"""),100.07)</f>
        <v>100.07</v>
      </c>
      <c r="C531" s="2">
        <f>IFERROR(__xludf.DUMMYFUNCTION("""COMPUTED_VALUE"""),100.43)</f>
        <v>100.43</v>
      </c>
      <c r="D531" s="2">
        <f>IFERROR(__xludf.DUMMYFUNCTION("""COMPUTED_VALUE"""),96.15)</f>
        <v>96.15</v>
      </c>
      <c r="E531" s="2">
        <f>IFERROR(__xludf.DUMMYFUNCTION("""COMPUTED_VALUE"""),96.63)</f>
        <v>96.63</v>
      </c>
      <c r="F531" s="2">
        <f>IFERROR(__xludf.DUMMYFUNCTION("""COMPUTED_VALUE"""),7145766.0)</f>
        <v>7145766</v>
      </c>
    </row>
    <row r="532">
      <c r="A532" s="3">
        <f>IFERROR(__xludf.DUMMYFUNCTION("""COMPUTED_VALUE"""),38211.645833333336)</f>
        <v>38211.64583</v>
      </c>
      <c r="B532" s="2">
        <f>IFERROR(__xludf.DUMMYFUNCTION("""COMPUTED_VALUE"""),96.68)</f>
        <v>96.68</v>
      </c>
      <c r="C532" s="2">
        <f>IFERROR(__xludf.DUMMYFUNCTION("""COMPUTED_VALUE"""),97.41)</f>
        <v>97.41</v>
      </c>
      <c r="D532" s="2">
        <f>IFERROR(__xludf.DUMMYFUNCTION("""COMPUTED_VALUE"""),94.89)</f>
        <v>94.89</v>
      </c>
      <c r="E532" s="2">
        <f>IFERROR(__xludf.DUMMYFUNCTION("""COMPUTED_VALUE"""),95.68)</f>
        <v>95.68</v>
      </c>
      <c r="F532" s="2">
        <f>IFERROR(__xludf.DUMMYFUNCTION("""COMPUTED_VALUE"""),6337293.0)</f>
        <v>6337293</v>
      </c>
    </row>
    <row r="533">
      <c r="A533" s="3">
        <f>IFERROR(__xludf.DUMMYFUNCTION("""COMPUTED_VALUE"""),38212.645833333336)</f>
        <v>38212.64583</v>
      </c>
      <c r="B533" s="2">
        <f>IFERROR(__xludf.DUMMYFUNCTION("""COMPUTED_VALUE"""),96.04)</f>
        <v>96.04</v>
      </c>
      <c r="C533" s="2">
        <f>IFERROR(__xludf.DUMMYFUNCTION("""COMPUTED_VALUE"""),96.84)</f>
        <v>96.84</v>
      </c>
      <c r="D533" s="2">
        <f>IFERROR(__xludf.DUMMYFUNCTION("""COMPUTED_VALUE"""),95.23)</f>
        <v>95.23</v>
      </c>
      <c r="E533" s="2">
        <f>IFERROR(__xludf.DUMMYFUNCTION("""COMPUTED_VALUE"""),96.02)</f>
        <v>96.02</v>
      </c>
      <c r="F533" s="2">
        <f>IFERROR(__xludf.DUMMYFUNCTION("""COMPUTED_VALUE"""),7400845.0)</f>
        <v>7400845</v>
      </c>
    </row>
    <row r="534">
      <c r="A534" s="3">
        <f>IFERROR(__xludf.DUMMYFUNCTION("""COMPUTED_VALUE"""),38215.645833333336)</f>
        <v>38215.64583</v>
      </c>
      <c r="B534" s="2">
        <f>IFERROR(__xludf.DUMMYFUNCTION("""COMPUTED_VALUE"""),95.46)</f>
        <v>95.46</v>
      </c>
      <c r="C534" s="2">
        <f>IFERROR(__xludf.DUMMYFUNCTION("""COMPUTED_VALUE"""),96.91)</f>
        <v>96.91</v>
      </c>
      <c r="D534" s="2">
        <f>IFERROR(__xludf.DUMMYFUNCTION("""COMPUTED_VALUE"""),94.9)</f>
        <v>94.9</v>
      </c>
      <c r="E534" s="2">
        <f>IFERROR(__xludf.DUMMYFUNCTION("""COMPUTED_VALUE"""),96.41)</f>
        <v>96.41</v>
      </c>
      <c r="F534" s="2">
        <f>IFERROR(__xludf.DUMMYFUNCTION("""COMPUTED_VALUE"""),5008536.0)</f>
        <v>5008536</v>
      </c>
    </row>
    <row r="535">
      <c r="A535" s="3">
        <f>IFERROR(__xludf.DUMMYFUNCTION("""COMPUTED_VALUE"""),38216.645833333336)</f>
        <v>38216.64583</v>
      </c>
      <c r="B535" s="2">
        <f>IFERROR(__xludf.DUMMYFUNCTION("""COMPUTED_VALUE"""),111.74)</f>
        <v>111.74</v>
      </c>
      <c r="C535" s="2">
        <f>IFERROR(__xludf.DUMMYFUNCTION("""COMPUTED_VALUE"""),111.74)</f>
        <v>111.74</v>
      </c>
      <c r="D535" s="2">
        <f>IFERROR(__xludf.DUMMYFUNCTION("""COMPUTED_VALUE"""),95.85)</f>
        <v>95.85</v>
      </c>
      <c r="E535" s="2">
        <f>IFERROR(__xludf.DUMMYFUNCTION("""COMPUTED_VALUE"""),96.56)</f>
        <v>96.56</v>
      </c>
      <c r="F535" s="2">
        <f>IFERROR(__xludf.DUMMYFUNCTION("""COMPUTED_VALUE"""),5551317.0)</f>
        <v>5551317</v>
      </c>
    </row>
    <row r="536">
      <c r="A536" s="3">
        <f>IFERROR(__xludf.DUMMYFUNCTION("""COMPUTED_VALUE"""),38217.645833333336)</f>
        <v>38217.64583</v>
      </c>
      <c r="B536" s="2">
        <f>IFERROR(__xludf.DUMMYFUNCTION("""COMPUTED_VALUE"""),96.0)</f>
        <v>96</v>
      </c>
      <c r="C536" s="2">
        <f>IFERROR(__xludf.DUMMYFUNCTION("""COMPUTED_VALUE"""),96.0)</f>
        <v>96</v>
      </c>
      <c r="D536" s="2">
        <f>IFERROR(__xludf.DUMMYFUNCTION("""COMPUTED_VALUE"""),94.49)</f>
        <v>94.49</v>
      </c>
      <c r="E536" s="2">
        <f>IFERROR(__xludf.DUMMYFUNCTION("""COMPUTED_VALUE"""),94.74)</f>
        <v>94.74</v>
      </c>
      <c r="F536" s="2">
        <f>IFERROR(__xludf.DUMMYFUNCTION("""COMPUTED_VALUE"""),4375407.0)</f>
        <v>4375407</v>
      </c>
    </row>
    <row r="537">
      <c r="A537" s="3">
        <f>IFERROR(__xludf.DUMMYFUNCTION("""COMPUTED_VALUE"""),38218.645833333336)</f>
        <v>38218.64583</v>
      </c>
      <c r="B537" s="2">
        <f>IFERROR(__xludf.DUMMYFUNCTION("""COMPUTED_VALUE"""),95.03)</f>
        <v>95.03</v>
      </c>
      <c r="C537" s="2">
        <f>IFERROR(__xludf.DUMMYFUNCTION("""COMPUTED_VALUE"""),96.0)</f>
        <v>96</v>
      </c>
      <c r="D537" s="2">
        <f>IFERROR(__xludf.DUMMYFUNCTION("""COMPUTED_VALUE"""),94.85)</f>
        <v>94.85</v>
      </c>
      <c r="E537" s="2">
        <f>IFERROR(__xludf.DUMMYFUNCTION("""COMPUTED_VALUE"""),95.67)</f>
        <v>95.67</v>
      </c>
      <c r="F537" s="2">
        <f>IFERROR(__xludf.DUMMYFUNCTION("""COMPUTED_VALUE"""),4683227.0)</f>
        <v>4683227</v>
      </c>
    </row>
    <row r="538">
      <c r="A538" s="3">
        <f>IFERROR(__xludf.DUMMYFUNCTION("""COMPUTED_VALUE"""),38219.645833333336)</f>
        <v>38219.64583</v>
      </c>
      <c r="B538" s="2">
        <f>IFERROR(__xludf.DUMMYFUNCTION("""COMPUTED_VALUE"""),95.75)</f>
        <v>95.75</v>
      </c>
      <c r="C538" s="2">
        <f>IFERROR(__xludf.DUMMYFUNCTION("""COMPUTED_VALUE"""),95.86)</f>
        <v>95.86</v>
      </c>
      <c r="D538" s="2">
        <f>IFERROR(__xludf.DUMMYFUNCTION("""COMPUTED_VALUE"""),93.12)</f>
        <v>93.12</v>
      </c>
      <c r="E538" s="2">
        <f>IFERROR(__xludf.DUMMYFUNCTION("""COMPUTED_VALUE"""),93.3)</f>
        <v>93.3</v>
      </c>
      <c r="F538" s="2">
        <f>IFERROR(__xludf.DUMMYFUNCTION("""COMPUTED_VALUE"""),5197629.0)</f>
        <v>5197629</v>
      </c>
    </row>
    <row r="539">
      <c r="A539" s="3">
        <f>IFERROR(__xludf.DUMMYFUNCTION("""COMPUTED_VALUE"""),38222.645833333336)</f>
        <v>38222.64583</v>
      </c>
      <c r="B539" s="2">
        <f>IFERROR(__xludf.DUMMYFUNCTION("""COMPUTED_VALUE"""),93.42)</f>
        <v>93.42</v>
      </c>
      <c r="C539" s="2">
        <f>IFERROR(__xludf.DUMMYFUNCTION("""COMPUTED_VALUE"""),93.76)</f>
        <v>93.76</v>
      </c>
      <c r="D539" s="2">
        <f>IFERROR(__xludf.DUMMYFUNCTION("""COMPUTED_VALUE"""),90.3)</f>
        <v>90.3</v>
      </c>
      <c r="E539" s="2">
        <f>IFERROR(__xludf.DUMMYFUNCTION("""COMPUTED_VALUE"""),90.85)</f>
        <v>90.85</v>
      </c>
      <c r="F539" s="2">
        <f>IFERROR(__xludf.DUMMYFUNCTION("""COMPUTED_VALUE"""),8081472.0)</f>
        <v>8081472</v>
      </c>
    </row>
    <row r="540">
      <c r="A540" s="3">
        <f>IFERROR(__xludf.DUMMYFUNCTION("""COMPUTED_VALUE"""),38223.645833333336)</f>
        <v>38223.64583</v>
      </c>
      <c r="B540" s="2">
        <f>IFERROR(__xludf.DUMMYFUNCTION("""COMPUTED_VALUE"""),91.12)</f>
        <v>91.12</v>
      </c>
      <c r="C540" s="2">
        <f>IFERROR(__xludf.DUMMYFUNCTION("""COMPUTED_VALUE"""),92.35)</f>
        <v>92.35</v>
      </c>
      <c r="D540" s="2">
        <f>IFERROR(__xludf.DUMMYFUNCTION("""COMPUTED_VALUE"""),90.73)</f>
        <v>90.73</v>
      </c>
      <c r="E540" s="2">
        <f>IFERROR(__xludf.DUMMYFUNCTION("""COMPUTED_VALUE"""),91.32)</f>
        <v>91.32</v>
      </c>
      <c r="F540" s="2">
        <f>IFERROR(__xludf.DUMMYFUNCTION("""COMPUTED_VALUE"""),7285154.0)</f>
        <v>7285154</v>
      </c>
    </row>
    <row r="541">
      <c r="A541" s="3">
        <f>IFERROR(__xludf.DUMMYFUNCTION("""COMPUTED_VALUE"""),38224.645833333336)</f>
        <v>38224.64583</v>
      </c>
      <c r="B541" s="2">
        <f>IFERROR(__xludf.DUMMYFUNCTION("""COMPUTED_VALUE"""),91.41)</f>
        <v>91.41</v>
      </c>
      <c r="C541" s="2">
        <f>IFERROR(__xludf.DUMMYFUNCTION("""COMPUTED_VALUE"""),92.39)</f>
        <v>92.39</v>
      </c>
      <c r="D541" s="2">
        <f>IFERROR(__xludf.DUMMYFUNCTION("""COMPUTED_VALUE"""),90.69)</f>
        <v>90.69</v>
      </c>
      <c r="E541" s="2">
        <f>IFERROR(__xludf.DUMMYFUNCTION("""COMPUTED_VALUE"""),92.21)</f>
        <v>92.21</v>
      </c>
      <c r="F541" s="2">
        <f>IFERROR(__xludf.DUMMYFUNCTION("""COMPUTED_VALUE"""),6272902.0)</f>
        <v>6272902</v>
      </c>
    </row>
    <row r="542">
      <c r="A542" s="3">
        <f>IFERROR(__xludf.DUMMYFUNCTION("""COMPUTED_VALUE"""),38225.645833333336)</f>
        <v>38225.64583</v>
      </c>
      <c r="B542" s="2">
        <f>IFERROR(__xludf.DUMMYFUNCTION("""COMPUTED_VALUE"""),92.82)</f>
        <v>92.82</v>
      </c>
      <c r="C542" s="2">
        <f>IFERROR(__xludf.DUMMYFUNCTION("""COMPUTED_VALUE"""),93.89)</f>
        <v>93.89</v>
      </c>
      <c r="D542" s="2">
        <f>IFERROR(__xludf.DUMMYFUNCTION("""COMPUTED_VALUE"""),92.48)</f>
        <v>92.48</v>
      </c>
      <c r="E542" s="2">
        <f>IFERROR(__xludf.DUMMYFUNCTION("""COMPUTED_VALUE"""),92.75)</f>
        <v>92.75</v>
      </c>
      <c r="F542" s="2">
        <f>IFERROR(__xludf.DUMMYFUNCTION("""COMPUTED_VALUE"""),6532004.0)</f>
        <v>6532004</v>
      </c>
    </row>
    <row r="543">
      <c r="A543" s="3">
        <f>IFERROR(__xludf.DUMMYFUNCTION("""COMPUTED_VALUE"""),38226.645833333336)</f>
        <v>38226.64583</v>
      </c>
      <c r="B543" s="2">
        <f>IFERROR(__xludf.DUMMYFUNCTION("""COMPUTED_VALUE"""),92.87)</f>
        <v>92.87</v>
      </c>
      <c r="C543" s="2">
        <f>IFERROR(__xludf.DUMMYFUNCTION("""COMPUTED_VALUE"""),93.3)</f>
        <v>93.3</v>
      </c>
      <c r="D543" s="2">
        <f>IFERROR(__xludf.DUMMYFUNCTION("""COMPUTED_VALUE"""),91.34)</f>
        <v>91.34</v>
      </c>
      <c r="E543" s="2">
        <f>IFERROR(__xludf.DUMMYFUNCTION("""COMPUTED_VALUE"""),92.25)</f>
        <v>92.25</v>
      </c>
      <c r="F543" s="2">
        <f>IFERROR(__xludf.DUMMYFUNCTION("""COMPUTED_VALUE"""),4769921.0)</f>
        <v>4769921</v>
      </c>
    </row>
    <row r="544">
      <c r="A544" s="3">
        <f>IFERROR(__xludf.DUMMYFUNCTION("""COMPUTED_VALUE"""),38229.645833333336)</f>
        <v>38229.64583</v>
      </c>
      <c r="B544" s="2">
        <f>IFERROR(__xludf.DUMMYFUNCTION("""COMPUTED_VALUE"""),92.84)</f>
        <v>92.84</v>
      </c>
      <c r="C544" s="2">
        <f>IFERROR(__xludf.DUMMYFUNCTION("""COMPUTED_VALUE"""),94.31)</f>
        <v>94.31</v>
      </c>
      <c r="D544" s="2">
        <f>IFERROR(__xludf.DUMMYFUNCTION("""COMPUTED_VALUE"""),92.84)</f>
        <v>92.84</v>
      </c>
      <c r="E544" s="2">
        <f>IFERROR(__xludf.DUMMYFUNCTION("""COMPUTED_VALUE"""),94.06)</f>
        <v>94.06</v>
      </c>
      <c r="F544" s="2">
        <f>IFERROR(__xludf.DUMMYFUNCTION("""COMPUTED_VALUE"""),3505532.0)</f>
        <v>3505532</v>
      </c>
    </row>
    <row r="545">
      <c r="A545" s="3">
        <f>IFERROR(__xludf.DUMMYFUNCTION("""COMPUTED_VALUE"""),38230.645833333336)</f>
        <v>38230.64583</v>
      </c>
      <c r="B545" s="2">
        <f>IFERROR(__xludf.DUMMYFUNCTION("""COMPUTED_VALUE"""),94.24)</f>
        <v>94.24</v>
      </c>
      <c r="C545" s="2">
        <f>IFERROR(__xludf.DUMMYFUNCTION("""COMPUTED_VALUE"""),96.01)</f>
        <v>96.01</v>
      </c>
      <c r="D545" s="2">
        <f>IFERROR(__xludf.DUMMYFUNCTION("""COMPUTED_VALUE"""),94.24)</f>
        <v>94.24</v>
      </c>
      <c r="E545" s="2">
        <f>IFERROR(__xludf.DUMMYFUNCTION("""COMPUTED_VALUE"""),95.77)</f>
        <v>95.77</v>
      </c>
      <c r="F545" s="2">
        <f>IFERROR(__xludf.DUMMYFUNCTION("""COMPUTED_VALUE"""),5302862.0)</f>
        <v>5302862</v>
      </c>
    </row>
    <row r="546">
      <c r="A546" s="3">
        <f>IFERROR(__xludf.DUMMYFUNCTION("""COMPUTED_VALUE"""),38231.645833333336)</f>
        <v>38231.64583</v>
      </c>
      <c r="B546" s="2">
        <f>IFERROR(__xludf.DUMMYFUNCTION("""COMPUTED_VALUE"""),95.77)</f>
        <v>95.77</v>
      </c>
      <c r="C546" s="2">
        <f>IFERROR(__xludf.DUMMYFUNCTION("""COMPUTED_VALUE"""),96.52)</f>
        <v>96.52</v>
      </c>
      <c r="D546" s="2">
        <f>IFERROR(__xludf.DUMMYFUNCTION("""COMPUTED_VALUE"""),95.45)</f>
        <v>95.45</v>
      </c>
      <c r="E546" s="2">
        <f>IFERROR(__xludf.DUMMYFUNCTION("""COMPUTED_VALUE"""),95.84)</f>
        <v>95.84</v>
      </c>
      <c r="F546" s="2">
        <f>IFERROR(__xludf.DUMMYFUNCTION("""COMPUTED_VALUE"""),3291221.0)</f>
        <v>3291221</v>
      </c>
    </row>
    <row r="547">
      <c r="A547" s="3">
        <f>IFERROR(__xludf.DUMMYFUNCTION("""COMPUTED_VALUE"""),38232.645833333336)</f>
        <v>38232.64583</v>
      </c>
      <c r="B547" s="2">
        <f>IFERROR(__xludf.DUMMYFUNCTION("""COMPUTED_VALUE"""),95.63)</f>
        <v>95.63</v>
      </c>
      <c r="C547" s="2">
        <f>IFERROR(__xludf.DUMMYFUNCTION("""COMPUTED_VALUE"""),96.24)</f>
        <v>96.24</v>
      </c>
      <c r="D547" s="2">
        <f>IFERROR(__xludf.DUMMYFUNCTION("""COMPUTED_VALUE"""),94.77)</f>
        <v>94.77</v>
      </c>
      <c r="E547" s="2">
        <f>IFERROR(__xludf.DUMMYFUNCTION("""COMPUTED_VALUE"""),95.02)</f>
        <v>95.02</v>
      </c>
      <c r="F547" s="2">
        <f>IFERROR(__xludf.DUMMYFUNCTION("""COMPUTED_VALUE"""),3740681.0)</f>
        <v>3740681</v>
      </c>
    </row>
    <row r="548">
      <c r="A548" s="3">
        <f>IFERROR(__xludf.DUMMYFUNCTION("""COMPUTED_VALUE"""),38233.645833333336)</f>
        <v>38233.64583</v>
      </c>
      <c r="B548" s="2">
        <f>IFERROR(__xludf.DUMMYFUNCTION("""COMPUTED_VALUE"""),95.19)</f>
        <v>95.19</v>
      </c>
      <c r="C548" s="2">
        <f>IFERROR(__xludf.DUMMYFUNCTION("""COMPUTED_VALUE"""),95.62)</f>
        <v>95.62</v>
      </c>
      <c r="D548" s="2">
        <f>IFERROR(__xludf.DUMMYFUNCTION("""COMPUTED_VALUE"""),94.35)</f>
        <v>94.35</v>
      </c>
      <c r="E548" s="2">
        <f>IFERROR(__xludf.DUMMYFUNCTION("""COMPUTED_VALUE"""),95.39)</f>
        <v>95.39</v>
      </c>
      <c r="F548" s="2">
        <f>IFERROR(__xludf.DUMMYFUNCTION("""COMPUTED_VALUE"""),3916033.0)</f>
        <v>3916033</v>
      </c>
    </row>
    <row r="549">
      <c r="A549" s="3">
        <f>IFERROR(__xludf.DUMMYFUNCTION("""COMPUTED_VALUE"""),38236.645833333336)</f>
        <v>38236.64583</v>
      </c>
      <c r="B549" s="2">
        <f>IFERROR(__xludf.DUMMYFUNCTION("""COMPUTED_VALUE"""),95.65)</f>
        <v>95.65</v>
      </c>
      <c r="C549" s="2">
        <f>IFERROR(__xludf.DUMMYFUNCTION("""COMPUTED_VALUE"""),96.62)</f>
        <v>96.62</v>
      </c>
      <c r="D549" s="2">
        <f>IFERROR(__xludf.DUMMYFUNCTION("""COMPUTED_VALUE"""),95.54)</f>
        <v>95.54</v>
      </c>
      <c r="E549" s="2">
        <f>IFERROR(__xludf.DUMMYFUNCTION("""COMPUTED_VALUE"""),96.06)</f>
        <v>96.06</v>
      </c>
      <c r="F549" s="2">
        <f>IFERROR(__xludf.DUMMYFUNCTION("""COMPUTED_VALUE"""),2841830.0)</f>
        <v>2841830</v>
      </c>
    </row>
    <row r="550">
      <c r="A550" s="3">
        <f>IFERROR(__xludf.DUMMYFUNCTION("""COMPUTED_VALUE"""),38237.645833333336)</f>
        <v>38237.64583</v>
      </c>
      <c r="B550" s="2">
        <f>IFERROR(__xludf.DUMMYFUNCTION("""COMPUTED_VALUE"""),95.86)</f>
        <v>95.86</v>
      </c>
      <c r="C550" s="2">
        <f>IFERROR(__xludf.DUMMYFUNCTION("""COMPUTED_VALUE"""),97.92)</f>
        <v>97.92</v>
      </c>
      <c r="D550" s="2">
        <f>IFERROR(__xludf.DUMMYFUNCTION("""COMPUTED_VALUE"""),95.86)</f>
        <v>95.86</v>
      </c>
      <c r="E550" s="2">
        <f>IFERROR(__xludf.DUMMYFUNCTION("""COMPUTED_VALUE"""),97.6)</f>
        <v>97.6</v>
      </c>
      <c r="F550" s="2">
        <f>IFERROR(__xludf.DUMMYFUNCTION("""COMPUTED_VALUE"""),6308950.0)</f>
        <v>6308950</v>
      </c>
    </row>
    <row r="551">
      <c r="A551" s="3">
        <f>IFERROR(__xludf.DUMMYFUNCTION("""COMPUTED_VALUE"""),38238.645833333336)</f>
        <v>38238.64583</v>
      </c>
      <c r="B551" s="2">
        <f>IFERROR(__xludf.DUMMYFUNCTION("""COMPUTED_VALUE"""),98.05)</f>
        <v>98.05</v>
      </c>
      <c r="C551" s="2">
        <f>IFERROR(__xludf.DUMMYFUNCTION("""COMPUTED_VALUE"""),98.05)</f>
        <v>98.05</v>
      </c>
      <c r="D551" s="2">
        <f>IFERROR(__xludf.DUMMYFUNCTION("""COMPUTED_VALUE"""),96.86)</f>
        <v>96.86</v>
      </c>
      <c r="E551" s="2">
        <f>IFERROR(__xludf.DUMMYFUNCTION("""COMPUTED_VALUE"""),97.19)</f>
        <v>97.19</v>
      </c>
      <c r="F551" s="2">
        <f>IFERROR(__xludf.DUMMYFUNCTION("""COMPUTED_VALUE"""),4137602.0)</f>
        <v>4137602</v>
      </c>
    </row>
    <row r="552">
      <c r="A552" s="3">
        <f>IFERROR(__xludf.DUMMYFUNCTION("""COMPUTED_VALUE"""),38239.645833333336)</f>
        <v>38239.64583</v>
      </c>
      <c r="B552" s="2">
        <f>IFERROR(__xludf.DUMMYFUNCTION("""COMPUTED_VALUE"""),98.01)</f>
        <v>98.01</v>
      </c>
      <c r="C552" s="2">
        <f>IFERROR(__xludf.DUMMYFUNCTION("""COMPUTED_VALUE"""),98.13)</f>
        <v>98.13</v>
      </c>
      <c r="D552" s="2">
        <f>IFERROR(__xludf.DUMMYFUNCTION("""COMPUTED_VALUE"""),96.9)</f>
        <v>96.9</v>
      </c>
      <c r="E552" s="2">
        <f>IFERROR(__xludf.DUMMYFUNCTION("""COMPUTED_VALUE"""),97.79)</f>
        <v>97.79</v>
      </c>
      <c r="F552" s="2">
        <f>IFERROR(__xludf.DUMMYFUNCTION("""COMPUTED_VALUE"""),5137421.0)</f>
        <v>5137421</v>
      </c>
    </row>
    <row r="553">
      <c r="A553" s="3">
        <f>IFERROR(__xludf.DUMMYFUNCTION("""COMPUTED_VALUE"""),38240.645833333336)</f>
        <v>38240.64583</v>
      </c>
      <c r="B553" s="2">
        <f>IFERROR(__xludf.DUMMYFUNCTION("""COMPUTED_VALUE"""),97.65)</f>
        <v>97.65</v>
      </c>
      <c r="C553" s="2">
        <f>IFERROR(__xludf.DUMMYFUNCTION("""COMPUTED_VALUE"""),98.4)</f>
        <v>98.4</v>
      </c>
      <c r="D553" s="2">
        <f>IFERROR(__xludf.DUMMYFUNCTION("""COMPUTED_VALUE"""),97.07)</f>
        <v>97.07</v>
      </c>
      <c r="E553" s="2">
        <f>IFERROR(__xludf.DUMMYFUNCTION("""COMPUTED_VALUE"""),98.22)</f>
        <v>98.22</v>
      </c>
      <c r="F553" s="2">
        <f>IFERROR(__xludf.DUMMYFUNCTION("""COMPUTED_VALUE"""),2856105.0)</f>
        <v>2856105</v>
      </c>
    </row>
    <row r="554">
      <c r="A554" s="3">
        <f>IFERROR(__xludf.DUMMYFUNCTION("""COMPUTED_VALUE"""),38243.645833333336)</f>
        <v>38243.64583</v>
      </c>
      <c r="B554" s="2">
        <f>IFERROR(__xludf.DUMMYFUNCTION("""COMPUTED_VALUE"""),98.84)</f>
        <v>98.84</v>
      </c>
      <c r="C554" s="2">
        <f>IFERROR(__xludf.DUMMYFUNCTION("""COMPUTED_VALUE"""),99.62)</f>
        <v>99.62</v>
      </c>
      <c r="D554" s="2">
        <f>IFERROR(__xludf.DUMMYFUNCTION("""COMPUTED_VALUE"""),97.69)</f>
        <v>97.69</v>
      </c>
      <c r="E554" s="2">
        <f>IFERROR(__xludf.DUMMYFUNCTION("""COMPUTED_VALUE"""),98.85)</f>
        <v>98.85</v>
      </c>
      <c r="F554" s="2">
        <f>IFERROR(__xludf.DUMMYFUNCTION("""COMPUTED_VALUE"""),4421073.0)</f>
        <v>4421073</v>
      </c>
    </row>
    <row r="555">
      <c r="A555" s="3">
        <f>IFERROR(__xludf.DUMMYFUNCTION("""COMPUTED_VALUE"""),38244.645833333336)</f>
        <v>38244.64583</v>
      </c>
      <c r="B555" s="2">
        <f>IFERROR(__xludf.DUMMYFUNCTION("""COMPUTED_VALUE"""),98.96)</f>
        <v>98.96</v>
      </c>
      <c r="C555" s="2">
        <f>IFERROR(__xludf.DUMMYFUNCTION("""COMPUTED_VALUE"""),99.23)</f>
        <v>99.23</v>
      </c>
      <c r="D555" s="2">
        <f>IFERROR(__xludf.DUMMYFUNCTION("""COMPUTED_VALUE"""),97.4)</f>
        <v>97.4</v>
      </c>
      <c r="E555" s="2">
        <f>IFERROR(__xludf.DUMMYFUNCTION("""COMPUTED_VALUE"""),97.92)</f>
        <v>97.92</v>
      </c>
      <c r="F555" s="2">
        <f>IFERROR(__xludf.DUMMYFUNCTION("""COMPUTED_VALUE"""),3581496.0)</f>
        <v>3581496</v>
      </c>
    </row>
    <row r="556">
      <c r="A556" s="3">
        <f>IFERROR(__xludf.DUMMYFUNCTION("""COMPUTED_VALUE"""),38245.645833333336)</f>
        <v>38245.64583</v>
      </c>
      <c r="B556" s="2">
        <f>IFERROR(__xludf.DUMMYFUNCTION("""COMPUTED_VALUE"""),98.04)</f>
        <v>98.04</v>
      </c>
      <c r="C556" s="2">
        <f>IFERROR(__xludf.DUMMYFUNCTION("""COMPUTED_VALUE"""),99.02)</f>
        <v>99.02</v>
      </c>
      <c r="D556" s="2">
        <f>IFERROR(__xludf.DUMMYFUNCTION("""COMPUTED_VALUE"""),97.53)</f>
        <v>97.53</v>
      </c>
      <c r="E556" s="2">
        <f>IFERROR(__xludf.DUMMYFUNCTION("""COMPUTED_VALUE"""),98.18)</f>
        <v>98.18</v>
      </c>
      <c r="F556" s="2">
        <f>IFERROR(__xludf.DUMMYFUNCTION("""COMPUTED_VALUE"""),3329704.0)</f>
        <v>3329704</v>
      </c>
    </row>
    <row r="557">
      <c r="A557" s="3">
        <f>IFERROR(__xludf.DUMMYFUNCTION("""COMPUTED_VALUE"""),38246.645833333336)</f>
        <v>38246.64583</v>
      </c>
      <c r="B557" s="2">
        <f>IFERROR(__xludf.DUMMYFUNCTION("""COMPUTED_VALUE"""),98.35)</f>
        <v>98.35</v>
      </c>
      <c r="C557" s="2">
        <f>IFERROR(__xludf.DUMMYFUNCTION("""COMPUTED_VALUE"""),99.02)</f>
        <v>99.02</v>
      </c>
      <c r="D557" s="2">
        <f>IFERROR(__xludf.DUMMYFUNCTION("""COMPUTED_VALUE"""),97.2)</f>
        <v>97.2</v>
      </c>
      <c r="E557" s="2">
        <f>IFERROR(__xludf.DUMMYFUNCTION("""COMPUTED_VALUE"""),98.83)</f>
        <v>98.83</v>
      </c>
      <c r="F557" s="2">
        <f>IFERROR(__xludf.DUMMYFUNCTION("""COMPUTED_VALUE"""),3430240.0)</f>
        <v>3430240</v>
      </c>
    </row>
    <row r="558">
      <c r="A558" s="3">
        <f>IFERROR(__xludf.DUMMYFUNCTION("""COMPUTED_VALUE"""),38247.645833333336)</f>
        <v>38247.64583</v>
      </c>
      <c r="B558" s="2">
        <f>IFERROR(__xludf.DUMMYFUNCTION("""COMPUTED_VALUE"""),99.77)</f>
        <v>99.77</v>
      </c>
      <c r="C558" s="2">
        <f>IFERROR(__xludf.DUMMYFUNCTION("""COMPUTED_VALUE"""),102.68)</f>
        <v>102.68</v>
      </c>
      <c r="D558" s="2">
        <f>IFERROR(__xludf.DUMMYFUNCTION("""COMPUTED_VALUE"""),99.69)</f>
        <v>99.69</v>
      </c>
      <c r="E558" s="2">
        <f>IFERROR(__xludf.DUMMYFUNCTION("""COMPUTED_VALUE"""),102.51)</f>
        <v>102.51</v>
      </c>
      <c r="F558" s="2">
        <f>IFERROR(__xludf.DUMMYFUNCTION("""COMPUTED_VALUE"""),8296053.0)</f>
        <v>8296053</v>
      </c>
    </row>
    <row r="559">
      <c r="A559" s="3">
        <f>IFERROR(__xludf.DUMMYFUNCTION("""COMPUTED_VALUE"""),38250.645833333336)</f>
        <v>38250.64583</v>
      </c>
      <c r="B559" s="2">
        <f>IFERROR(__xludf.DUMMYFUNCTION("""COMPUTED_VALUE"""),103.08)</f>
        <v>103.08</v>
      </c>
      <c r="C559" s="2">
        <f>IFERROR(__xludf.DUMMYFUNCTION("""COMPUTED_VALUE"""),103.08)</f>
        <v>103.08</v>
      </c>
      <c r="D559" s="2">
        <f>IFERROR(__xludf.DUMMYFUNCTION("""COMPUTED_VALUE"""),100.68)</f>
        <v>100.68</v>
      </c>
      <c r="E559" s="2">
        <f>IFERROR(__xludf.DUMMYFUNCTION("""COMPUTED_VALUE"""),101.08)</f>
        <v>101.08</v>
      </c>
      <c r="F559" s="2">
        <f>IFERROR(__xludf.DUMMYFUNCTION("""COMPUTED_VALUE"""),4526308.0)</f>
        <v>4526308</v>
      </c>
    </row>
    <row r="560">
      <c r="A560" s="3">
        <f>IFERROR(__xludf.DUMMYFUNCTION("""COMPUTED_VALUE"""),38251.645833333336)</f>
        <v>38251.64583</v>
      </c>
      <c r="B560" s="2">
        <f>IFERROR(__xludf.DUMMYFUNCTION("""COMPUTED_VALUE"""),100.87)</f>
        <v>100.87</v>
      </c>
      <c r="C560" s="2">
        <f>IFERROR(__xludf.DUMMYFUNCTION("""COMPUTED_VALUE"""),102.48)</f>
        <v>102.48</v>
      </c>
      <c r="D560" s="2">
        <f>IFERROR(__xludf.DUMMYFUNCTION("""COMPUTED_VALUE"""),100.18)</f>
        <v>100.18</v>
      </c>
      <c r="E560" s="2">
        <f>IFERROR(__xludf.DUMMYFUNCTION("""COMPUTED_VALUE"""),102.18)</f>
        <v>102.18</v>
      </c>
      <c r="F560" s="2">
        <f>IFERROR(__xludf.DUMMYFUNCTION("""COMPUTED_VALUE"""),5054375.0)</f>
        <v>5054375</v>
      </c>
    </row>
    <row r="561">
      <c r="A561" s="3">
        <f>IFERROR(__xludf.DUMMYFUNCTION("""COMPUTED_VALUE"""),38252.645833333336)</f>
        <v>38252.64583</v>
      </c>
      <c r="B561" s="2">
        <f>IFERROR(__xludf.DUMMYFUNCTION("""COMPUTED_VALUE"""),101.88)</f>
        <v>101.88</v>
      </c>
      <c r="C561" s="2">
        <f>IFERROR(__xludf.DUMMYFUNCTION("""COMPUTED_VALUE"""),101.98)</f>
        <v>101.98</v>
      </c>
      <c r="D561" s="2">
        <f>IFERROR(__xludf.DUMMYFUNCTION("""COMPUTED_VALUE"""),100.7)</f>
        <v>100.7</v>
      </c>
      <c r="E561" s="2">
        <f>IFERROR(__xludf.DUMMYFUNCTION("""COMPUTED_VALUE"""),101.36)</f>
        <v>101.36</v>
      </c>
      <c r="F561" s="2">
        <f>IFERROR(__xludf.DUMMYFUNCTION("""COMPUTED_VALUE"""),5758326.0)</f>
        <v>5758326</v>
      </c>
    </row>
    <row r="562">
      <c r="A562" s="3">
        <f>IFERROR(__xludf.DUMMYFUNCTION("""COMPUTED_VALUE"""),38253.645833333336)</f>
        <v>38253.64583</v>
      </c>
      <c r="B562" s="2">
        <f>IFERROR(__xludf.DUMMYFUNCTION("""COMPUTED_VALUE"""),100.87)</f>
        <v>100.87</v>
      </c>
      <c r="C562" s="2">
        <f>IFERROR(__xludf.DUMMYFUNCTION("""COMPUTED_VALUE"""),101.43)</f>
        <v>101.43</v>
      </c>
      <c r="D562" s="2">
        <f>IFERROR(__xludf.DUMMYFUNCTION("""COMPUTED_VALUE"""),100.27)</f>
        <v>100.27</v>
      </c>
      <c r="E562" s="2">
        <f>IFERROR(__xludf.DUMMYFUNCTION("""COMPUTED_VALUE"""),100.68)</f>
        <v>100.68</v>
      </c>
      <c r="F562" s="2">
        <f>IFERROR(__xludf.DUMMYFUNCTION("""COMPUTED_VALUE"""),4947611.0)</f>
        <v>4947611</v>
      </c>
    </row>
    <row r="563">
      <c r="A563" s="3">
        <f>IFERROR(__xludf.DUMMYFUNCTION("""COMPUTED_VALUE"""),38254.645833333336)</f>
        <v>38254.64583</v>
      </c>
      <c r="B563" s="2">
        <f>IFERROR(__xludf.DUMMYFUNCTION("""COMPUTED_VALUE"""),100.67)</f>
        <v>100.67</v>
      </c>
      <c r="C563" s="2">
        <f>IFERROR(__xludf.DUMMYFUNCTION("""COMPUTED_VALUE"""),102.03)</f>
        <v>102.03</v>
      </c>
      <c r="D563" s="2">
        <f>IFERROR(__xludf.DUMMYFUNCTION("""COMPUTED_VALUE"""),99.67)</f>
        <v>99.67</v>
      </c>
      <c r="E563" s="2">
        <f>IFERROR(__xludf.DUMMYFUNCTION("""COMPUTED_VALUE"""),100.44)</f>
        <v>100.44</v>
      </c>
      <c r="F563" s="2">
        <f>IFERROR(__xludf.DUMMYFUNCTION("""COMPUTED_VALUE"""),5740455.0)</f>
        <v>5740455</v>
      </c>
    </row>
    <row r="564">
      <c r="A564" s="3">
        <f>IFERROR(__xludf.DUMMYFUNCTION("""COMPUTED_VALUE"""),38257.645833333336)</f>
        <v>38257.64583</v>
      </c>
      <c r="B564" s="2">
        <f>IFERROR(__xludf.DUMMYFUNCTION("""COMPUTED_VALUE"""),99.86)</f>
        <v>99.86</v>
      </c>
      <c r="C564" s="2">
        <f>IFERROR(__xludf.DUMMYFUNCTION("""COMPUTED_VALUE"""),100.13)</f>
        <v>100.13</v>
      </c>
      <c r="D564" s="2">
        <f>IFERROR(__xludf.DUMMYFUNCTION("""COMPUTED_VALUE"""),99.0)</f>
        <v>99</v>
      </c>
      <c r="E564" s="2">
        <f>IFERROR(__xludf.DUMMYFUNCTION("""COMPUTED_VALUE"""),99.74)</f>
        <v>99.74</v>
      </c>
      <c r="F564" s="2">
        <f>IFERROR(__xludf.DUMMYFUNCTION("""COMPUTED_VALUE"""),3535910.0)</f>
        <v>3535910</v>
      </c>
    </row>
    <row r="565">
      <c r="A565" s="3">
        <f>IFERROR(__xludf.DUMMYFUNCTION("""COMPUTED_VALUE"""),38258.645833333336)</f>
        <v>38258.64583</v>
      </c>
      <c r="B565" s="2">
        <f>IFERROR(__xludf.DUMMYFUNCTION("""COMPUTED_VALUE"""),99.64)</f>
        <v>99.64</v>
      </c>
      <c r="C565" s="2">
        <f>IFERROR(__xludf.DUMMYFUNCTION("""COMPUTED_VALUE"""),101.02)</f>
        <v>101.02</v>
      </c>
      <c r="D565" s="2">
        <f>IFERROR(__xludf.DUMMYFUNCTION("""COMPUTED_VALUE"""),99.46)</f>
        <v>99.46</v>
      </c>
      <c r="E565" s="2">
        <f>IFERROR(__xludf.DUMMYFUNCTION("""COMPUTED_VALUE"""),99.92)</f>
        <v>99.92</v>
      </c>
      <c r="F565" s="2">
        <f>IFERROR(__xludf.DUMMYFUNCTION("""COMPUTED_VALUE"""),4873375.0)</f>
        <v>4873375</v>
      </c>
    </row>
    <row r="566">
      <c r="A566" s="3">
        <f>IFERROR(__xludf.DUMMYFUNCTION("""COMPUTED_VALUE"""),38259.645833333336)</f>
        <v>38259.64583</v>
      </c>
      <c r="B566" s="2">
        <f>IFERROR(__xludf.DUMMYFUNCTION("""COMPUTED_VALUE"""),100.1)</f>
        <v>100.1</v>
      </c>
      <c r="C566" s="2">
        <f>IFERROR(__xludf.DUMMYFUNCTION("""COMPUTED_VALUE"""),103.99)</f>
        <v>103.99</v>
      </c>
      <c r="D566" s="2">
        <f>IFERROR(__xludf.DUMMYFUNCTION("""COMPUTED_VALUE"""),99.42)</f>
        <v>99.42</v>
      </c>
      <c r="E566" s="2">
        <f>IFERROR(__xludf.DUMMYFUNCTION("""COMPUTED_VALUE"""),103.55)</f>
        <v>103.55</v>
      </c>
      <c r="F566" s="2">
        <f>IFERROR(__xludf.DUMMYFUNCTION("""COMPUTED_VALUE"""),8188668.0)</f>
        <v>8188668</v>
      </c>
    </row>
    <row r="567">
      <c r="A567" s="3">
        <f>IFERROR(__xludf.DUMMYFUNCTION("""COMPUTED_VALUE"""),38260.645833333336)</f>
        <v>38260.64583</v>
      </c>
      <c r="B567" s="2">
        <f>IFERROR(__xludf.DUMMYFUNCTION("""COMPUTED_VALUE"""),103.49)</f>
        <v>103.49</v>
      </c>
      <c r="C567" s="2">
        <f>IFERROR(__xludf.DUMMYFUNCTION("""COMPUTED_VALUE"""),104.64)</f>
        <v>104.64</v>
      </c>
      <c r="D567" s="2">
        <f>IFERROR(__xludf.DUMMYFUNCTION("""COMPUTED_VALUE"""),103.49)</f>
        <v>103.49</v>
      </c>
      <c r="E567" s="2">
        <f>IFERROR(__xludf.DUMMYFUNCTION("""COMPUTED_VALUE"""),104.27)</f>
        <v>104.27</v>
      </c>
      <c r="F567" s="2">
        <f>IFERROR(__xludf.DUMMYFUNCTION("""COMPUTED_VALUE"""),6072349.0)</f>
        <v>6072349</v>
      </c>
    </row>
    <row r="568">
      <c r="A568" s="3">
        <f>IFERROR(__xludf.DUMMYFUNCTION("""COMPUTED_VALUE"""),38261.645833333336)</f>
        <v>38261.64583</v>
      </c>
      <c r="B568" s="2">
        <f>IFERROR(__xludf.DUMMYFUNCTION("""COMPUTED_VALUE"""),104.31)</f>
        <v>104.31</v>
      </c>
      <c r="C568" s="2">
        <f>IFERROR(__xludf.DUMMYFUNCTION("""COMPUTED_VALUE"""),107.71)</f>
        <v>107.71</v>
      </c>
      <c r="D568" s="2">
        <f>IFERROR(__xludf.DUMMYFUNCTION("""COMPUTED_VALUE"""),103.13)</f>
        <v>103.13</v>
      </c>
      <c r="E568" s="2">
        <f>IFERROR(__xludf.DUMMYFUNCTION("""COMPUTED_VALUE"""),107.36)</f>
        <v>107.36</v>
      </c>
      <c r="F568" s="2">
        <f>IFERROR(__xludf.DUMMYFUNCTION("""COMPUTED_VALUE"""),6782434.0)</f>
        <v>6782434</v>
      </c>
    </row>
    <row r="569">
      <c r="A569" s="3">
        <f>IFERROR(__xludf.DUMMYFUNCTION("""COMPUTED_VALUE"""),38264.645833333336)</f>
        <v>38264.64583</v>
      </c>
      <c r="B569" s="2">
        <f>IFERROR(__xludf.DUMMYFUNCTION("""COMPUTED_VALUE"""),107.31)</f>
        <v>107.31</v>
      </c>
      <c r="C569" s="2">
        <f>IFERROR(__xludf.DUMMYFUNCTION("""COMPUTED_VALUE"""),110.61)</f>
        <v>110.61</v>
      </c>
      <c r="D569" s="2">
        <f>IFERROR(__xludf.DUMMYFUNCTION("""COMPUTED_VALUE"""),107.31)</f>
        <v>107.31</v>
      </c>
      <c r="E569" s="2">
        <f>IFERROR(__xludf.DUMMYFUNCTION("""COMPUTED_VALUE"""),109.97)</f>
        <v>109.97</v>
      </c>
      <c r="F569" s="2">
        <f>IFERROR(__xludf.DUMMYFUNCTION("""COMPUTED_VALUE"""),5706154.0)</f>
        <v>5706154</v>
      </c>
    </row>
    <row r="570">
      <c r="A570" s="3">
        <f>IFERROR(__xludf.DUMMYFUNCTION("""COMPUTED_VALUE"""),38265.645833333336)</f>
        <v>38265.64583</v>
      </c>
      <c r="B570" s="2">
        <f>IFERROR(__xludf.DUMMYFUNCTION("""COMPUTED_VALUE"""),109.93)</f>
        <v>109.93</v>
      </c>
      <c r="C570" s="2">
        <f>IFERROR(__xludf.DUMMYFUNCTION("""COMPUTED_VALUE"""),110.29)</f>
        <v>110.29</v>
      </c>
      <c r="D570" s="2">
        <f>IFERROR(__xludf.DUMMYFUNCTION("""COMPUTED_VALUE"""),108.18)</f>
        <v>108.18</v>
      </c>
      <c r="E570" s="2">
        <f>IFERROR(__xludf.DUMMYFUNCTION("""COMPUTED_VALUE"""),108.7)</f>
        <v>108.7</v>
      </c>
      <c r="F570" s="2">
        <f>IFERROR(__xludf.DUMMYFUNCTION("""COMPUTED_VALUE"""),3813992.0)</f>
        <v>3813992</v>
      </c>
    </row>
    <row r="571">
      <c r="A571" s="3">
        <f>IFERROR(__xludf.DUMMYFUNCTION("""COMPUTED_VALUE"""),38266.645833333336)</f>
        <v>38266.64583</v>
      </c>
      <c r="B571" s="2">
        <f>IFERROR(__xludf.DUMMYFUNCTION("""COMPUTED_VALUE"""),108.5)</f>
        <v>108.5</v>
      </c>
      <c r="C571" s="2">
        <f>IFERROR(__xludf.DUMMYFUNCTION("""COMPUTED_VALUE"""),111.89)</f>
        <v>111.89</v>
      </c>
      <c r="D571" s="2">
        <f>IFERROR(__xludf.DUMMYFUNCTION("""COMPUTED_VALUE"""),108.5)</f>
        <v>108.5</v>
      </c>
      <c r="E571" s="2">
        <f>IFERROR(__xludf.DUMMYFUNCTION("""COMPUTED_VALUE"""),110.0)</f>
        <v>110</v>
      </c>
      <c r="F571" s="2">
        <f>IFERROR(__xludf.DUMMYFUNCTION("""COMPUTED_VALUE"""),7394077.0)</f>
        <v>7394077</v>
      </c>
    </row>
    <row r="572">
      <c r="A572" s="3">
        <f>IFERROR(__xludf.DUMMYFUNCTION("""COMPUTED_VALUE"""),38267.645833333336)</f>
        <v>38267.64583</v>
      </c>
      <c r="B572" s="2">
        <f>IFERROR(__xludf.DUMMYFUNCTION("""COMPUTED_VALUE"""),110.71)</f>
        <v>110.71</v>
      </c>
      <c r="C572" s="2">
        <f>IFERROR(__xludf.DUMMYFUNCTION("""COMPUTED_VALUE"""),113.63)</f>
        <v>113.63</v>
      </c>
      <c r="D572" s="2">
        <f>IFERROR(__xludf.DUMMYFUNCTION("""COMPUTED_VALUE"""),110.18)</f>
        <v>110.18</v>
      </c>
      <c r="E572" s="2">
        <f>IFERROR(__xludf.DUMMYFUNCTION("""COMPUTED_VALUE"""),112.51)</f>
        <v>112.51</v>
      </c>
      <c r="F572" s="2">
        <f>IFERROR(__xludf.DUMMYFUNCTION("""COMPUTED_VALUE"""),6830670.0)</f>
        <v>6830670</v>
      </c>
    </row>
    <row r="573">
      <c r="A573" s="3">
        <f>IFERROR(__xludf.DUMMYFUNCTION("""COMPUTED_VALUE"""),38268.645833333336)</f>
        <v>38268.64583</v>
      </c>
      <c r="B573" s="2">
        <f>IFERROR(__xludf.DUMMYFUNCTION("""COMPUTED_VALUE"""),112.75)</f>
        <v>112.75</v>
      </c>
      <c r="C573" s="2">
        <f>IFERROR(__xludf.DUMMYFUNCTION("""COMPUTED_VALUE"""),113.25)</f>
        <v>113.25</v>
      </c>
      <c r="D573" s="2">
        <f>IFERROR(__xludf.DUMMYFUNCTION("""COMPUTED_VALUE"""),111.17)</f>
        <v>111.17</v>
      </c>
      <c r="E573" s="2">
        <f>IFERROR(__xludf.DUMMYFUNCTION("""COMPUTED_VALUE"""),111.63)</f>
        <v>111.63</v>
      </c>
      <c r="F573" s="2">
        <f>IFERROR(__xludf.DUMMYFUNCTION("""COMPUTED_VALUE"""),4085150.0)</f>
        <v>4085150</v>
      </c>
    </row>
    <row r="574">
      <c r="A574" s="3">
        <f>IFERROR(__xludf.DUMMYFUNCTION("""COMPUTED_VALUE"""),38271.645833333336)</f>
        <v>38271.64583</v>
      </c>
      <c r="B574" s="2">
        <f>IFERROR(__xludf.DUMMYFUNCTION("""COMPUTED_VALUE"""),111.74)</f>
        <v>111.74</v>
      </c>
      <c r="C574" s="2">
        <f>IFERROR(__xludf.DUMMYFUNCTION("""COMPUTED_VALUE"""),112.4)</f>
        <v>112.4</v>
      </c>
      <c r="D574" s="2">
        <f>IFERROR(__xludf.DUMMYFUNCTION("""COMPUTED_VALUE"""),109.74)</f>
        <v>109.74</v>
      </c>
      <c r="E574" s="2">
        <f>IFERROR(__xludf.DUMMYFUNCTION("""COMPUTED_VALUE"""),110.11)</f>
        <v>110.11</v>
      </c>
      <c r="F574" s="2">
        <f>IFERROR(__xludf.DUMMYFUNCTION("""COMPUTED_VALUE"""),2563259.0)</f>
        <v>2563259</v>
      </c>
    </row>
    <row r="575">
      <c r="A575" s="3">
        <f>IFERROR(__xludf.DUMMYFUNCTION("""COMPUTED_VALUE"""),38272.645833333336)</f>
        <v>38272.64583</v>
      </c>
      <c r="B575" s="2">
        <f>IFERROR(__xludf.DUMMYFUNCTION("""COMPUTED_VALUE"""),110.13)</f>
        <v>110.13</v>
      </c>
      <c r="C575" s="2">
        <f>IFERROR(__xludf.DUMMYFUNCTION("""COMPUTED_VALUE"""),111.13)</f>
        <v>111.13</v>
      </c>
      <c r="D575" s="2">
        <f>IFERROR(__xludf.DUMMYFUNCTION("""COMPUTED_VALUE"""),107.33)</f>
        <v>107.33</v>
      </c>
      <c r="E575" s="2">
        <f>IFERROR(__xludf.DUMMYFUNCTION("""COMPUTED_VALUE"""),107.73)</f>
        <v>107.73</v>
      </c>
      <c r="F575" s="2">
        <f>IFERROR(__xludf.DUMMYFUNCTION("""COMPUTED_VALUE"""),3993249.0)</f>
        <v>3993249</v>
      </c>
    </row>
    <row r="576">
      <c r="A576" s="3">
        <f>IFERROR(__xludf.DUMMYFUNCTION("""COMPUTED_VALUE"""),38274.645833333336)</f>
        <v>38274.64583</v>
      </c>
      <c r="B576" s="2">
        <f>IFERROR(__xludf.DUMMYFUNCTION("""COMPUTED_VALUE"""),108.12)</f>
        <v>108.12</v>
      </c>
      <c r="C576" s="2">
        <f>IFERROR(__xludf.DUMMYFUNCTION("""COMPUTED_VALUE"""),109.91)</f>
        <v>109.91</v>
      </c>
      <c r="D576" s="2">
        <f>IFERROR(__xludf.DUMMYFUNCTION("""COMPUTED_VALUE"""),107.45)</f>
        <v>107.45</v>
      </c>
      <c r="E576" s="2">
        <f>IFERROR(__xludf.DUMMYFUNCTION("""COMPUTED_VALUE"""),109.3)</f>
        <v>109.3</v>
      </c>
      <c r="F576" s="2">
        <f>IFERROR(__xludf.DUMMYFUNCTION("""COMPUTED_VALUE"""),4439281.0)</f>
        <v>4439281</v>
      </c>
    </row>
    <row r="577">
      <c r="A577" s="3">
        <f>IFERROR(__xludf.DUMMYFUNCTION("""COMPUTED_VALUE"""),38275.645833333336)</f>
        <v>38275.64583</v>
      </c>
      <c r="B577" s="2">
        <f>IFERROR(__xludf.DUMMYFUNCTION("""COMPUTED_VALUE"""),109.99)</f>
        <v>109.99</v>
      </c>
      <c r="C577" s="2">
        <f>IFERROR(__xludf.DUMMYFUNCTION("""COMPUTED_VALUE"""),112.13)</f>
        <v>112.13</v>
      </c>
      <c r="D577" s="2">
        <f>IFERROR(__xludf.DUMMYFUNCTION("""COMPUTED_VALUE"""),109.13)</f>
        <v>109.13</v>
      </c>
      <c r="E577" s="2">
        <f>IFERROR(__xludf.DUMMYFUNCTION("""COMPUTED_VALUE"""),109.99)</f>
        <v>109.99</v>
      </c>
      <c r="F577" s="2">
        <f>IFERROR(__xludf.DUMMYFUNCTION("""COMPUTED_VALUE"""),5812889.0)</f>
        <v>5812889</v>
      </c>
    </row>
    <row r="578">
      <c r="A578" s="3">
        <f>IFERROR(__xludf.DUMMYFUNCTION("""COMPUTED_VALUE"""),38278.645833333336)</f>
        <v>38278.64583</v>
      </c>
      <c r="B578" s="2">
        <f>IFERROR(__xludf.DUMMYFUNCTION("""COMPUTED_VALUE"""),110.53)</f>
        <v>110.53</v>
      </c>
      <c r="C578" s="2">
        <f>IFERROR(__xludf.DUMMYFUNCTION("""COMPUTED_VALUE"""),111.84)</f>
        <v>111.84</v>
      </c>
      <c r="D578" s="2">
        <f>IFERROR(__xludf.DUMMYFUNCTION("""COMPUTED_VALUE"""),109.93)</f>
        <v>109.93</v>
      </c>
      <c r="E578" s="2">
        <f>IFERROR(__xludf.DUMMYFUNCTION("""COMPUTED_VALUE"""),110.87)</f>
        <v>110.87</v>
      </c>
      <c r="F578" s="2">
        <f>IFERROR(__xludf.DUMMYFUNCTION("""COMPUTED_VALUE"""),4194218.0)</f>
        <v>4194218</v>
      </c>
    </row>
    <row r="579">
      <c r="A579" s="3">
        <f>IFERROR(__xludf.DUMMYFUNCTION("""COMPUTED_VALUE"""),38279.645833333336)</f>
        <v>38279.64583</v>
      </c>
      <c r="B579" s="2">
        <f>IFERROR(__xludf.DUMMYFUNCTION("""COMPUTED_VALUE"""),111.38)</f>
        <v>111.38</v>
      </c>
      <c r="C579" s="2">
        <f>IFERROR(__xludf.DUMMYFUNCTION("""COMPUTED_VALUE"""),113.33)</f>
        <v>113.33</v>
      </c>
      <c r="D579" s="2">
        <f>IFERROR(__xludf.DUMMYFUNCTION("""COMPUTED_VALUE"""),111.14)</f>
        <v>111.14</v>
      </c>
      <c r="E579" s="2">
        <f>IFERROR(__xludf.DUMMYFUNCTION("""COMPUTED_VALUE"""),112.72)</f>
        <v>112.72</v>
      </c>
      <c r="F579" s="2">
        <f>IFERROR(__xludf.DUMMYFUNCTION("""COMPUTED_VALUE"""),5507817.0)</f>
        <v>5507817</v>
      </c>
    </row>
    <row r="580">
      <c r="A580" s="3">
        <f>IFERROR(__xludf.DUMMYFUNCTION("""COMPUTED_VALUE"""),38280.645833333336)</f>
        <v>38280.64583</v>
      </c>
      <c r="B580" s="2">
        <f>IFERROR(__xludf.DUMMYFUNCTION("""COMPUTED_VALUE"""),114.16)</f>
        <v>114.16</v>
      </c>
      <c r="C580" s="2">
        <f>IFERROR(__xludf.DUMMYFUNCTION("""COMPUTED_VALUE"""),114.16)</f>
        <v>114.16</v>
      </c>
      <c r="D580" s="2">
        <f>IFERROR(__xludf.DUMMYFUNCTION("""COMPUTED_VALUE"""),110.06)</f>
        <v>110.06</v>
      </c>
      <c r="E580" s="2">
        <f>IFERROR(__xludf.DUMMYFUNCTION("""COMPUTED_VALUE"""),110.36)</f>
        <v>110.36</v>
      </c>
      <c r="F580" s="2">
        <f>IFERROR(__xludf.DUMMYFUNCTION("""COMPUTED_VALUE"""),7307776.0)</f>
        <v>7307776</v>
      </c>
    </row>
    <row r="581">
      <c r="A581" s="3">
        <f>IFERROR(__xludf.DUMMYFUNCTION("""COMPUTED_VALUE"""),38281.645833333336)</f>
        <v>38281.64583</v>
      </c>
      <c r="B581" s="2">
        <f>IFERROR(__xludf.DUMMYFUNCTION("""COMPUTED_VALUE"""),110.56)</f>
        <v>110.56</v>
      </c>
      <c r="C581" s="2">
        <f>IFERROR(__xludf.DUMMYFUNCTION("""COMPUTED_VALUE"""),111.32)</f>
        <v>111.32</v>
      </c>
      <c r="D581" s="2">
        <f>IFERROR(__xludf.DUMMYFUNCTION("""COMPUTED_VALUE"""),108.04)</f>
        <v>108.04</v>
      </c>
      <c r="E581" s="2">
        <f>IFERROR(__xludf.DUMMYFUNCTION("""COMPUTED_VALUE"""),108.56)</f>
        <v>108.56</v>
      </c>
      <c r="F581" s="2">
        <f>IFERROR(__xludf.DUMMYFUNCTION("""COMPUTED_VALUE"""),6138254.0)</f>
        <v>6138254</v>
      </c>
    </row>
    <row r="582">
      <c r="A582" s="3">
        <f>IFERROR(__xludf.DUMMYFUNCTION("""COMPUTED_VALUE"""),38285.645833333336)</f>
        <v>38285.64583</v>
      </c>
      <c r="B582" s="2">
        <f>IFERROR(__xludf.DUMMYFUNCTION("""COMPUTED_VALUE"""),108.72)</f>
        <v>108.72</v>
      </c>
      <c r="C582" s="2">
        <f>IFERROR(__xludf.DUMMYFUNCTION("""COMPUTED_VALUE"""),109.53)</f>
        <v>109.53</v>
      </c>
      <c r="D582" s="2">
        <f>IFERROR(__xludf.DUMMYFUNCTION("""COMPUTED_VALUE"""),107.55)</f>
        <v>107.55</v>
      </c>
      <c r="E582" s="2">
        <f>IFERROR(__xludf.DUMMYFUNCTION("""COMPUTED_VALUE"""),108.08)</f>
        <v>108.08</v>
      </c>
      <c r="F582" s="2">
        <f>IFERROR(__xludf.DUMMYFUNCTION("""COMPUTED_VALUE"""),8526352.0)</f>
        <v>8526352</v>
      </c>
    </row>
    <row r="583">
      <c r="A583" s="3">
        <f>IFERROR(__xludf.DUMMYFUNCTION("""COMPUTED_VALUE"""),38286.645833333336)</f>
        <v>38286.64583</v>
      </c>
      <c r="B583" s="2">
        <f>IFERROR(__xludf.DUMMYFUNCTION("""COMPUTED_VALUE"""),120.8)</f>
        <v>120.8</v>
      </c>
      <c r="C583" s="2">
        <f>IFERROR(__xludf.DUMMYFUNCTION("""COMPUTED_VALUE"""),120.8)</f>
        <v>120.8</v>
      </c>
      <c r="D583" s="2">
        <f>IFERROR(__xludf.DUMMYFUNCTION("""COMPUTED_VALUE"""),108.15)</f>
        <v>108.15</v>
      </c>
      <c r="E583" s="2">
        <f>IFERROR(__xludf.DUMMYFUNCTION("""COMPUTED_VALUE"""),111.09)</f>
        <v>111.09</v>
      </c>
      <c r="F583" s="2">
        <f>IFERROR(__xludf.DUMMYFUNCTION("""COMPUTED_VALUE"""),6395029.0)</f>
        <v>6395029</v>
      </c>
    </row>
    <row r="584">
      <c r="A584" s="3">
        <f>IFERROR(__xludf.DUMMYFUNCTION("""COMPUTED_VALUE"""),38287.645833333336)</f>
        <v>38287.64583</v>
      </c>
      <c r="B584" s="2">
        <f>IFERROR(__xludf.DUMMYFUNCTION("""COMPUTED_VALUE"""),111.25)</f>
        <v>111.25</v>
      </c>
      <c r="C584" s="2">
        <f>IFERROR(__xludf.DUMMYFUNCTION("""COMPUTED_VALUE"""),111.54)</f>
        <v>111.54</v>
      </c>
      <c r="D584" s="2">
        <f>IFERROR(__xludf.DUMMYFUNCTION("""COMPUTED_VALUE"""),108.36)</f>
        <v>108.36</v>
      </c>
      <c r="E584" s="2">
        <f>IFERROR(__xludf.DUMMYFUNCTION("""COMPUTED_VALUE"""),108.84)</f>
        <v>108.84</v>
      </c>
      <c r="F584" s="2">
        <f>IFERROR(__xludf.DUMMYFUNCTION("""COMPUTED_VALUE"""),1.0872643E7)</f>
        <v>10872643</v>
      </c>
    </row>
    <row r="585">
      <c r="A585" s="3">
        <f>IFERROR(__xludf.DUMMYFUNCTION("""COMPUTED_VALUE"""),38288.645833333336)</f>
        <v>38288.64583</v>
      </c>
      <c r="B585" s="2">
        <f>IFERROR(__xludf.DUMMYFUNCTION("""COMPUTED_VALUE"""),109.31)</f>
        <v>109.31</v>
      </c>
      <c r="C585" s="2">
        <f>IFERROR(__xludf.DUMMYFUNCTION("""COMPUTED_VALUE"""),110.43)</f>
        <v>110.43</v>
      </c>
      <c r="D585" s="2">
        <f>IFERROR(__xludf.DUMMYFUNCTION("""COMPUTED_VALUE"""),108.04)</f>
        <v>108.04</v>
      </c>
      <c r="E585" s="2">
        <f>IFERROR(__xludf.DUMMYFUNCTION("""COMPUTED_VALUE"""),108.44)</f>
        <v>108.44</v>
      </c>
      <c r="F585" s="2">
        <f>IFERROR(__xludf.DUMMYFUNCTION("""COMPUTED_VALUE"""),8429951.0)</f>
        <v>8429951</v>
      </c>
    </row>
    <row r="586">
      <c r="A586" s="3">
        <f>IFERROR(__xludf.DUMMYFUNCTION("""COMPUTED_VALUE"""),38289.645833333336)</f>
        <v>38289.64583</v>
      </c>
      <c r="B586" s="2">
        <f>IFERROR(__xludf.DUMMYFUNCTION("""COMPUTED_VALUE"""),108.92)</f>
        <v>108.92</v>
      </c>
      <c r="C586" s="2">
        <f>IFERROR(__xludf.DUMMYFUNCTION("""COMPUTED_VALUE"""),109.53)</f>
        <v>109.53</v>
      </c>
      <c r="D586" s="2">
        <f>IFERROR(__xludf.DUMMYFUNCTION("""COMPUTED_VALUE"""),106.15)</f>
        <v>106.15</v>
      </c>
      <c r="E586" s="2">
        <f>IFERROR(__xludf.DUMMYFUNCTION("""COMPUTED_VALUE"""),106.54)</f>
        <v>106.54</v>
      </c>
      <c r="F586" s="2">
        <f>IFERROR(__xludf.DUMMYFUNCTION("""COMPUTED_VALUE"""),5504459.0)</f>
        <v>5504459</v>
      </c>
    </row>
    <row r="587">
      <c r="A587" s="3">
        <f>IFERROR(__xludf.DUMMYFUNCTION("""COMPUTED_VALUE"""),38292.645833333336)</f>
        <v>38292.64583</v>
      </c>
      <c r="B587" s="2">
        <f>IFERROR(__xludf.DUMMYFUNCTION("""COMPUTED_VALUE"""),107.09)</f>
        <v>107.09</v>
      </c>
      <c r="C587" s="2">
        <f>IFERROR(__xludf.DUMMYFUNCTION("""COMPUTED_VALUE"""),107.65)</f>
        <v>107.65</v>
      </c>
      <c r="D587" s="2">
        <f>IFERROR(__xludf.DUMMYFUNCTION("""COMPUTED_VALUE"""),105.84)</f>
        <v>105.84</v>
      </c>
      <c r="E587" s="2">
        <f>IFERROR(__xludf.DUMMYFUNCTION("""COMPUTED_VALUE"""),106.68)</f>
        <v>106.68</v>
      </c>
      <c r="F587" s="2">
        <f>IFERROR(__xludf.DUMMYFUNCTION("""COMPUTED_VALUE"""),4894088.0)</f>
        <v>4894088</v>
      </c>
    </row>
    <row r="588">
      <c r="A588" s="3">
        <f>IFERROR(__xludf.DUMMYFUNCTION("""COMPUTED_VALUE"""),38293.645833333336)</f>
        <v>38293.64583</v>
      </c>
      <c r="B588" s="2">
        <f>IFERROR(__xludf.DUMMYFUNCTION("""COMPUTED_VALUE"""),107.51)</f>
        <v>107.51</v>
      </c>
      <c r="C588" s="2">
        <f>IFERROR(__xludf.DUMMYFUNCTION("""COMPUTED_VALUE"""),109.83)</f>
        <v>109.83</v>
      </c>
      <c r="D588" s="2">
        <f>IFERROR(__xludf.DUMMYFUNCTION("""COMPUTED_VALUE"""),107.51)</f>
        <v>107.51</v>
      </c>
      <c r="E588" s="2">
        <f>IFERROR(__xludf.DUMMYFUNCTION("""COMPUTED_VALUE"""),109.41)</f>
        <v>109.41</v>
      </c>
      <c r="F588" s="2">
        <f>IFERROR(__xludf.DUMMYFUNCTION("""COMPUTED_VALUE"""),5071120.0)</f>
        <v>5071120</v>
      </c>
    </row>
    <row r="589">
      <c r="A589" s="3">
        <f>IFERROR(__xludf.DUMMYFUNCTION("""COMPUTED_VALUE"""),38294.645833333336)</f>
        <v>38294.64583</v>
      </c>
      <c r="B589" s="2">
        <f>IFERROR(__xludf.DUMMYFUNCTION("""COMPUTED_VALUE"""),109.71)</f>
        <v>109.71</v>
      </c>
      <c r="C589" s="2">
        <f>IFERROR(__xludf.DUMMYFUNCTION("""COMPUTED_VALUE"""),110.01)</f>
        <v>110.01</v>
      </c>
      <c r="D589" s="2">
        <f>IFERROR(__xludf.DUMMYFUNCTION("""COMPUTED_VALUE"""),108.35)</f>
        <v>108.35</v>
      </c>
      <c r="E589" s="2">
        <f>IFERROR(__xludf.DUMMYFUNCTION("""COMPUTED_VALUE"""),109.47)</f>
        <v>109.47</v>
      </c>
      <c r="F589" s="2">
        <f>IFERROR(__xludf.DUMMYFUNCTION("""COMPUTED_VALUE"""),4442667.0)</f>
        <v>4442667</v>
      </c>
    </row>
    <row r="590">
      <c r="A590" s="3">
        <f>IFERROR(__xludf.DUMMYFUNCTION("""COMPUTED_VALUE"""),38295.645833333336)</f>
        <v>38295.64583</v>
      </c>
      <c r="B590" s="2">
        <f>IFERROR(__xludf.DUMMYFUNCTION("""COMPUTED_VALUE"""),111.54)</f>
        <v>111.54</v>
      </c>
      <c r="C590" s="2">
        <f>IFERROR(__xludf.DUMMYFUNCTION("""COMPUTED_VALUE"""),118.19)</f>
        <v>118.19</v>
      </c>
      <c r="D590" s="2">
        <f>IFERROR(__xludf.DUMMYFUNCTION("""COMPUTED_VALUE"""),107.96)</f>
        <v>107.96</v>
      </c>
      <c r="E590" s="2">
        <f>IFERROR(__xludf.DUMMYFUNCTION("""COMPUTED_VALUE"""),108.18)</f>
        <v>108.18</v>
      </c>
      <c r="F590" s="2">
        <f>IFERROR(__xludf.DUMMYFUNCTION("""COMPUTED_VALUE"""),6125154.0)</f>
        <v>6125154</v>
      </c>
    </row>
    <row r="591">
      <c r="A591" s="3">
        <f>IFERROR(__xludf.DUMMYFUNCTION("""COMPUTED_VALUE"""),38296.645833333336)</f>
        <v>38296.64583</v>
      </c>
      <c r="B591" s="2">
        <f>IFERROR(__xludf.DUMMYFUNCTION("""COMPUTED_VALUE"""),108.92)</f>
        <v>108.92</v>
      </c>
      <c r="C591" s="2">
        <f>IFERROR(__xludf.DUMMYFUNCTION("""COMPUTED_VALUE"""),109.48)</f>
        <v>109.48</v>
      </c>
      <c r="D591" s="2">
        <f>IFERROR(__xludf.DUMMYFUNCTION("""COMPUTED_VALUE"""),108.02)</f>
        <v>108.02</v>
      </c>
      <c r="E591" s="2">
        <f>IFERROR(__xludf.DUMMYFUNCTION("""COMPUTED_VALUE"""),108.79)</f>
        <v>108.79</v>
      </c>
      <c r="F591" s="2">
        <f>IFERROR(__xludf.DUMMYFUNCTION("""COMPUTED_VALUE"""),3169206.0)</f>
        <v>3169206</v>
      </c>
    </row>
    <row r="592">
      <c r="A592" s="3">
        <f>IFERROR(__xludf.DUMMYFUNCTION("""COMPUTED_VALUE"""),38299.645833333336)</f>
        <v>38299.64583</v>
      </c>
      <c r="B592" s="2">
        <f>IFERROR(__xludf.DUMMYFUNCTION("""COMPUTED_VALUE"""),109.53)</f>
        <v>109.53</v>
      </c>
      <c r="C592" s="2">
        <f>IFERROR(__xludf.DUMMYFUNCTION("""COMPUTED_VALUE"""),110.6)</f>
        <v>110.6</v>
      </c>
      <c r="D592" s="2">
        <f>IFERROR(__xludf.DUMMYFUNCTION("""COMPUTED_VALUE"""),108.92)</f>
        <v>108.92</v>
      </c>
      <c r="E592" s="2">
        <f>IFERROR(__xludf.DUMMYFUNCTION("""COMPUTED_VALUE"""),109.2)</f>
        <v>109.2</v>
      </c>
      <c r="F592" s="2">
        <f>IFERROR(__xludf.DUMMYFUNCTION("""COMPUTED_VALUE"""),4208643.0)</f>
        <v>4208643</v>
      </c>
    </row>
    <row r="593">
      <c r="A593" s="3">
        <f>IFERROR(__xludf.DUMMYFUNCTION("""COMPUTED_VALUE"""),38300.645833333336)</f>
        <v>38300.64583</v>
      </c>
      <c r="B593" s="2">
        <f>IFERROR(__xludf.DUMMYFUNCTION("""COMPUTED_VALUE"""),109.71)</f>
        <v>109.71</v>
      </c>
      <c r="C593" s="2">
        <f>IFERROR(__xludf.DUMMYFUNCTION("""COMPUTED_VALUE"""),109.84)</f>
        <v>109.84</v>
      </c>
      <c r="D593" s="2">
        <f>IFERROR(__xludf.DUMMYFUNCTION("""COMPUTED_VALUE"""),108.43)</f>
        <v>108.43</v>
      </c>
      <c r="E593" s="2">
        <f>IFERROR(__xludf.DUMMYFUNCTION("""COMPUTED_VALUE"""),108.72)</f>
        <v>108.72</v>
      </c>
      <c r="F593" s="2">
        <f>IFERROR(__xludf.DUMMYFUNCTION("""COMPUTED_VALUE"""),3224197.0)</f>
        <v>3224197</v>
      </c>
    </row>
    <row r="594">
      <c r="A594" s="3">
        <f>IFERROR(__xludf.DUMMYFUNCTION("""COMPUTED_VALUE"""),38301.645833333336)</f>
        <v>38301.64583</v>
      </c>
      <c r="B594" s="2">
        <f>IFERROR(__xludf.DUMMYFUNCTION("""COMPUTED_VALUE"""),109.04)</f>
        <v>109.04</v>
      </c>
      <c r="C594" s="2">
        <f>IFERROR(__xludf.DUMMYFUNCTION("""COMPUTED_VALUE"""),110.03)</f>
        <v>110.03</v>
      </c>
      <c r="D594" s="2">
        <f>IFERROR(__xludf.DUMMYFUNCTION("""COMPUTED_VALUE"""),109.04)</f>
        <v>109.04</v>
      </c>
      <c r="E594" s="2">
        <f>IFERROR(__xludf.DUMMYFUNCTION("""COMPUTED_VALUE"""),109.6)</f>
        <v>109.6</v>
      </c>
      <c r="F594" s="2">
        <f>IFERROR(__xludf.DUMMYFUNCTION("""COMPUTED_VALUE"""),3641603.0)</f>
        <v>3641603</v>
      </c>
    </row>
    <row r="595">
      <c r="A595" s="3">
        <f>IFERROR(__xludf.DUMMYFUNCTION("""COMPUTED_VALUE"""),38302.645833333336)</f>
        <v>38302.64583</v>
      </c>
      <c r="B595" s="2">
        <f>IFERROR(__xludf.DUMMYFUNCTION("""COMPUTED_VALUE"""),110.07)</f>
        <v>110.07</v>
      </c>
      <c r="C595" s="2">
        <f>IFERROR(__xludf.DUMMYFUNCTION("""COMPUTED_VALUE"""),111.09)</f>
        <v>111.09</v>
      </c>
      <c r="D595" s="2">
        <f>IFERROR(__xludf.DUMMYFUNCTION("""COMPUTED_VALUE"""),109.04)</f>
        <v>109.04</v>
      </c>
      <c r="E595" s="2">
        <f>IFERROR(__xludf.DUMMYFUNCTION("""COMPUTED_VALUE"""),109.91)</f>
        <v>109.91</v>
      </c>
      <c r="F595" s="2">
        <f>IFERROR(__xludf.DUMMYFUNCTION("""COMPUTED_VALUE"""),5725700.0)</f>
        <v>5725700</v>
      </c>
    </row>
    <row r="596">
      <c r="A596" s="3">
        <f>IFERROR(__xludf.DUMMYFUNCTION("""COMPUTED_VALUE"""),38303.645833333336)</f>
        <v>38303.64583</v>
      </c>
      <c r="B596" s="2">
        <f>IFERROR(__xludf.DUMMYFUNCTION("""COMPUTED_VALUE"""),110.74)</f>
        <v>110.74</v>
      </c>
      <c r="C596" s="2">
        <f>IFERROR(__xludf.DUMMYFUNCTION("""COMPUTED_VALUE"""),111.13)</f>
        <v>111.13</v>
      </c>
      <c r="D596" s="2">
        <f>IFERROR(__xludf.DUMMYFUNCTION("""COMPUTED_VALUE"""),109.02)</f>
        <v>109.02</v>
      </c>
      <c r="E596" s="2">
        <f>IFERROR(__xludf.DUMMYFUNCTION("""COMPUTED_VALUE"""),109.84)</f>
        <v>109.84</v>
      </c>
      <c r="F596" s="2">
        <f>IFERROR(__xludf.DUMMYFUNCTION("""COMPUTED_VALUE"""),1264067.0)</f>
        <v>1264067</v>
      </c>
    </row>
    <row r="597">
      <c r="A597" s="3">
        <f>IFERROR(__xludf.DUMMYFUNCTION("""COMPUTED_VALUE"""),38307.645833333336)</f>
        <v>38307.64583</v>
      </c>
      <c r="B597" s="2">
        <f>IFERROR(__xludf.DUMMYFUNCTION("""COMPUTED_VALUE"""),110.13)</f>
        <v>110.13</v>
      </c>
      <c r="C597" s="2">
        <f>IFERROR(__xludf.DUMMYFUNCTION("""COMPUTED_VALUE"""),110.13)</f>
        <v>110.13</v>
      </c>
      <c r="D597" s="2">
        <f>IFERROR(__xludf.DUMMYFUNCTION("""COMPUTED_VALUE"""),108.22)</f>
        <v>108.22</v>
      </c>
      <c r="E597" s="2">
        <f>IFERROR(__xludf.DUMMYFUNCTION("""COMPUTED_VALUE"""),109.7)</f>
        <v>109.7</v>
      </c>
      <c r="F597" s="2">
        <f>IFERROR(__xludf.DUMMYFUNCTION("""COMPUTED_VALUE"""),4899923.0)</f>
        <v>4899923</v>
      </c>
    </row>
    <row r="598">
      <c r="A598" s="3">
        <f>IFERROR(__xludf.DUMMYFUNCTION("""COMPUTED_VALUE"""),38308.645833333336)</f>
        <v>38308.64583</v>
      </c>
      <c r="B598" s="2">
        <f>IFERROR(__xludf.DUMMYFUNCTION("""COMPUTED_VALUE"""),109.93)</f>
        <v>109.93</v>
      </c>
      <c r="C598" s="2">
        <f>IFERROR(__xludf.DUMMYFUNCTION("""COMPUTED_VALUE"""),110.5)</f>
        <v>110.5</v>
      </c>
      <c r="D598" s="2">
        <f>IFERROR(__xludf.DUMMYFUNCTION("""COMPUTED_VALUE"""),108.97)</f>
        <v>108.97</v>
      </c>
      <c r="E598" s="2">
        <f>IFERROR(__xludf.DUMMYFUNCTION("""COMPUTED_VALUE"""),109.48)</f>
        <v>109.48</v>
      </c>
      <c r="F598" s="2">
        <f>IFERROR(__xludf.DUMMYFUNCTION("""COMPUTED_VALUE"""),3522004.0)</f>
        <v>3522004</v>
      </c>
    </row>
    <row r="599">
      <c r="A599" s="3">
        <f>IFERROR(__xludf.DUMMYFUNCTION("""COMPUTED_VALUE"""),38309.645833333336)</f>
        <v>38309.64583</v>
      </c>
      <c r="B599" s="2">
        <f>IFERROR(__xludf.DUMMYFUNCTION("""COMPUTED_VALUE"""),109.73)</f>
        <v>109.73</v>
      </c>
      <c r="C599" s="2">
        <f>IFERROR(__xludf.DUMMYFUNCTION("""COMPUTED_VALUE"""),110.65)</f>
        <v>110.65</v>
      </c>
      <c r="D599" s="2">
        <f>IFERROR(__xludf.DUMMYFUNCTION("""COMPUTED_VALUE"""),108.44)</f>
        <v>108.44</v>
      </c>
      <c r="E599" s="2">
        <f>IFERROR(__xludf.DUMMYFUNCTION("""COMPUTED_VALUE"""),109.88)</f>
        <v>109.88</v>
      </c>
      <c r="F599" s="2">
        <f>IFERROR(__xludf.DUMMYFUNCTION("""COMPUTED_VALUE"""),6923035.0)</f>
        <v>6923035</v>
      </c>
    </row>
    <row r="600">
      <c r="A600" s="3">
        <f>IFERROR(__xludf.DUMMYFUNCTION("""COMPUTED_VALUE"""),38310.645833333336)</f>
        <v>38310.64583</v>
      </c>
      <c r="B600" s="2">
        <f>IFERROR(__xludf.DUMMYFUNCTION("""COMPUTED_VALUE"""),107.82)</f>
        <v>107.82</v>
      </c>
      <c r="C600" s="2">
        <f>IFERROR(__xludf.DUMMYFUNCTION("""COMPUTED_VALUE"""),109.32)</f>
        <v>109.32</v>
      </c>
      <c r="D600" s="2">
        <f>IFERROR(__xludf.DUMMYFUNCTION("""COMPUTED_VALUE"""),105.35)</f>
        <v>105.35</v>
      </c>
      <c r="E600" s="2">
        <f>IFERROR(__xludf.DUMMYFUNCTION("""COMPUTED_VALUE"""),106.17)</f>
        <v>106.17</v>
      </c>
      <c r="F600" s="2">
        <f>IFERROR(__xludf.DUMMYFUNCTION("""COMPUTED_VALUE"""),8833904.0)</f>
        <v>8833904</v>
      </c>
    </row>
    <row r="601">
      <c r="A601" s="3">
        <f>IFERROR(__xludf.DUMMYFUNCTION("""COMPUTED_VALUE"""),38313.645833333336)</f>
        <v>38313.64583</v>
      </c>
      <c r="B601" s="2">
        <f>IFERROR(__xludf.DUMMYFUNCTION("""COMPUTED_VALUE"""),104.45)</f>
        <v>104.45</v>
      </c>
      <c r="C601" s="2">
        <f>IFERROR(__xludf.DUMMYFUNCTION("""COMPUTED_VALUE"""),108.48)</f>
        <v>108.48</v>
      </c>
      <c r="D601" s="2">
        <f>IFERROR(__xludf.DUMMYFUNCTION("""COMPUTED_VALUE"""),102.48)</f>
        <v>102.48</v>
      </c>
      <c r="E601" s="2">
        <f>IFERROR(__xludf.DUMMYFUNCTION("""COMPUTED_VALUE"""),107.22)</f>
        <v>107.22</v>
      </c>
      <c r="F601" s="2">
        <f>IFERROR(__xludf.DUMMYFUNCTION("""COMPUTED_VALUE"""),1.3544498E7)</f>
        <v>13544498</v>
      </c>
    </row>
    <row r="602">
      <c r="A602" s="3">
        <f>IFERROR(__xludf.DUMMYFUNCTION("""COMPUTED_VALUE"""),38314.645833333336)</f>
        <v>38314.64583</v>
      </c>
      <c r="B602" s="2">
        <f>IFERROR(__xludf.DUMMYFUNCTION("""COMPUTED_VALUE"""),107.31)</f>
        <v>107.31</v>
      </c>
      <c r="C602" s="2">
        <f>IFERROR(__xludf.DUMMYFUNCTION("""COMPUTED_VALUE"""),107.8)</f>
        <v>107.8</v>
      </c>
      <c r="D602" s="2">
        <f>IFERROR(__xludf.DUMMYFUNCTION("""COMPUTED_VALUE"""),105.12)</f>
        <v>105.12</v>
      </c>
      <c r="E602" s="2">
        <f>IFERROR(__xludf.DUMMYFUNCTION("""COMPUTED_VALUE"""),106.37)</f>
        <v>106.37</v>
      </c>
      <c r="F602" s="2">
        <f>IFERROR(__xludf.DUMMYFUNCTION("""COMPUTED_VALUE"""),8365725.0)</f>
        <v>8365725</v>
      </c>
    </row>
    <row r="603">
      <c r="A603" s="3">
        <f>IFERROR(__xludf.DUMMYFUNCTION("""COMPUTED_VALUE"""),38315.645833333336)</f>
        <v>38315.64583</v>
      </c>
      <c r="B603" s="2">
        <f>IFERROR(__xludf.DUMMYFUNCTION("""COMPUTED_VALUE"""),106.71)</f>
        <v>106.71</v>
      </c>
      <c r="C603" s="2">
        <f>IFERROR(__xludf.DUMMYFUNCTION("""COMPUTED_VALUE"""),106.71)</f>
        <v>106.71</v>
      </c>
      <c r="D603" s="2">
        <f>IFERROR(__xludf.DUMMYFUNCTION("""COMPUTED_VALUE"""),102.62)</f>
        <v>102.62</v>
      </c>
      <c r="E603" s="2">
        <f>IFERROR(__xludf.DUMMYFUNCTION("""COMPUTED_VALUE"""),103.72)</f>
        <v>103.72</v>
      </c>
      <c r="F603" s="2">
        <f>IFERROR(__xludf.DUMMYFUNCTION("""COMPUTED_VALUE"""),8224503.0)</f>
        <v>8224503</v>
      </c>
    </row>
    <row r="604">
      <c r="A604" s="3">
        <f>IFERROR(__xludf.DUMMYFUNCTION("""COMPUTED_VALUE"""),38316.645833333336)</f>
        <v>38316.64583</v>
      </c>
      <c r="B604" s="2">
        <f>IFERROR(__xludf.DUMMYFUNCTION("""COMPUTED_VALUE"""),102.68)</f>
        <v>102.68</v>
      </c>
      <c r="C604" s="2">
        <f>IFERROR(__xludf.DUMMYFUNCTION("""COMPUTED_VALUE"""),105.37)</f>
        <v>105.37</v>
      </c>
      <c r="D604" s="2">
        <f>IFERROR(__xludf.DUMMYFUNCTION("""COMPUTED_VALUE"""),100.69)</f>
        <v>100.69</v>
      </c>
      <c r="E604" s="2">
        <f>IFERROR(__xludf.DUMMYFUNCTION("""COMPUTED_VALUE"""),101.34)</f>
        <v>101.34</v>
      </c>
      <c r="F604" s="2">
        <f>IFERROR(__xludf.DUMMYFUNCTION("""COMPUTED_VALUE"""),1.7677184E7)</f>
        <v>17677184</v>
      </c>
    </row>
    <row r="605">
      <c r="A605" s="3">
        <f>IFERROR(__xludf.DUMMYFUNCTION("""COMPUTED_VALUE"""),38320.645833333336)</f>
        <v>38320.64583</v>
      </c>
      <c r="B605" s="2">
        <f>IFERROR(__xludf.DUMMYFUNCTION("""COMPUTED_VALUE"""),100.27)</f>
        <v>100.27</v>
      </c>
      <c r="C605" s="2">
        <f>IFERROR(__xludf.DUMMYFUNCTION("""COMPUTED_VALUE"""),103.28)</f>
        <v>103.28</v>
      </c>
      <c r="D605" s="2">
        <f>IFERROR(__xludf.DUMMYFUNCTION("""COMPUTED_VALUE"""),98.05)</f>
        <v>98.05</v>
      </c>
      <c r="E605" s="2">
        <f>IFERROR(__xludf.DUMMYFUNCTION("""COMPUTED_VALUE"""),102.64)</f>
        <v>102.64</v>
      </c>
      <c r="F605" s="2">
        <f>IFERROR(__xludf.DUMMYFUNCTION("""COMPUTED_VALUE"""),2.0340652E7)</f>
        <v>20340652</v>
      </c>
    </row>
    <row r="606">
      <c r="A606" s="3">
        <f>IFERROR(__xludf.DUMMYFUNCTION("""COMPUTED_VALUE"""),38321.645833333336)</f>
        <v>38321.64583</v>
      </c>
      <c r="B606" s="2">
        <f>IFERROR(__xludf.DUMMYFUNCTION("""COMPUTED_VALUE"""),103.08)</f>
        <v>103.08</v>
      </c>
      <c r="C606" s="2">
        <f>IFERROR(__xludf.DUMMYFUNCTION("""COMPUTED_VALUE"""),105.44)</f>
        <v>105.44</v>
      </c>
      <c r="D606" s="2">
        <f>IFERROR(__xludf.DUMMYFUNCTION("""COMPUTED_VALUE"""),102.9)</f>
        <v>102.9</v>
      </c>
      <c r="E606" s="2">
        <f>IFERROR(__xludf.DUMMYFUNCTION("""COMPUTED_VALUE"""),104.1)</f>
        <v>104.1</v>
      </c>
      <c r="F606" s="2">
        <f>IFERROR(__xludf.DUMMYFUNCTION("""COMPUTED_VALUE"""),1.129539E7)</f>
        <v>11295390</v>
      </c>
    </row>
    <row r="607">
      <c r="A607" s="3">
        <f>IFERROR(__xludf.DUMMYFUNCTION("""COMPUTED_VALUE"""),38322.645833333336)</f>
        <v>38322.64583</v>
      </c>
      <c r="B607" s="2">
        <f>IFERROR(__xludf.DUMMYFUNCTION("""COMPUTED_VALUE"""),105.3)</f>
        <v>105.3</v>
      </c>
      <c r="C607" s="2">
        <f>IFERROR(__xludf.DUMMYFUNCTION("""COMPUTED_VALUE"""),108.08)</f>
        <v>108.08</v>
      </c>
      <c r="D607" s="2">
        <f>IFERROR(__xludf.DUMMYFUNCTION("""COMPUTED_VALUE"""),105.3)</f>
        <v>105.3</v>
      </c>
      <c r="E607" s="2">
        <f>IFERROR(__xludf.DUMMYFUNCTION("""COMPUTED_VALUE"""),106.2)</f>
        <v>106.2</v>
      </c>
      <c r="F607" s="2">
        <f>IFERROR(__xludf.DUMMYFUNCTION("""COMPUTED_VALUE"""),6203906.0)</f>
        <v>6203906</v>
      </c>
    </row>
    <row r="608">
      <c r="A608" s="3">
        <f>IFERROR(__xludf.DUMMYFUNCTION("""COMPUTED_VALUE"""),38323.645833333336)</f>
        <v>38323.64583</v>
      </c>
      <c r="B608" s="2">
        <f>IFERROR(__xludf.DUMMYFUNCTION("""COMPUTED_VALUE"""),106.93)</f>
        <v>106.93</v>
      </c>
      <c r="C608" s="2">
        <f>IFERROR(__xludf.DUMMYFUNCTION("""COMPUTED_VALUE"""),109.53)</f>
        <v>109.53</v>
      </c>
      <c r="D608" s="2">
        <f>IFERROR(__xludf.DUMMYFUNCTION("""COMPUTED_VALUE"""),105.72)</f>
        <v>105.72</v>
      </c>
      <c r="E608" s="2">
        <f>IFERROR(__xludf.DUMMYFUNCTION("""COMPUTED_VALUE"""),109.12)</f>
        <v>109.12</v>
      </c>
      <c r="F608" s="2">
        <f>IFERROR(__xludf.DUMMYFUNCTION("""COMPUTED_VALUE"""),1.0424103E7)</f>
        <v>10424103</v>
      </c>
    </row>
    <row r="609">
      <c r="A609" s="3">
        <f>IFERROR(__xludf.DUMMYFUNCTION("""COMPUTED_VALUE"""),38324.645833333336)</f>
        <v>38324.64583</v>
      </c>
      <c r="B609" s="2">
        <f>IFERROR(__xludf.DUMMYFUNCTION("""COMPUTED_VALUE"""),104.75)</f>
        <v>104.75</v>
      </c>
      <c r="C609" s="2">
        <f>IFERROR(__xludf.DUMMYFUNCTION("""COMPUTED_VALUE"""),110.31)</f>
        <v>110.31</v>
      </c>
      <c r="D609" s="2">
        <f>IFERROR(__xludf.DUMMYFUNCTION("""COMPUTED_VALUE"""),104.75)</f>
        <v>104.75</v>
      </c>
      <c r="E609" s="2">
        <f>IFERROR(__xludf.DUMMYFUNCTION("""COMPUTED_VALUE"""),109.47)</f>
        <v>109.47</v>
      </c>
      <c r="F609" s="2">
        <f>IFERROR(__xludf.DUMMYFUNCTION("""COMPUTED_VALUE"""),7448219.0)</f>
        <v>7448219</v>
      </c>
    </row>
    <row r="610">
      <c r="A610" s="3">
        <f>IFERROR(__xludf.DUMMYFUNCTION("""COMPUTED_VALUE"""),38327.645833333336)</f>
        <v>38327.64583</v>
      </c>
      <c r="B610" s="2">
        <f>IFERROR(__xludf.DUMMYFUNCTION("""COMPUTED_VALUE"""),109.53)</f>
        <v>109.53</v>
      </c>
      <c r="C610" s="2">
        <f>IFERROR(__xludf.DUMMYFUNCTION("""COMPUTED_VALUE"""),110.13)</f>
        <v>110.13</v>
      </c>
      <c r="D610" s="2">
        <f>IFERROR(__xludf.DUMMYFUNCTION("""COMPUTED_VALUE"""),106.44)</f>
        <v>106.44</v>
      </c>
      <c r="E610" s="2">
        <f>IFERROR(__xludf.DUMMYFUNCTION("""COMPUTED_VALUE"""),106.9)</f>
        <v>106.9</v>
      </c>
      <c r="F610" s="2">
        <f>IFERROR(__xludf.DUMMYFUNCTION("""COMPUTED_VALUE"""),5374142.0)</f>
        <v>5374142</v>
      </c>
    </row>
    <row r="611">
      <c r="A611" s="3">
        <f>IFERROR(__xludf.DUMMYFUNCTION("""COMPUTED_VALUE"""),38328.645833333336)</f>
        <v>38328.64583</v>
      </c>
      <c r="B611" s="2">
        <f>IFERROR(__xludf.DUMMYFUNCTION("""COMPUTED_VALUE"""),107.73)</f>
        <v>107.73</v>
      </c>
      <c r="C611" s="2">
        <f>IFERROR(__xludf.DUMMYFUNCTION("""COMPUTED_VALUE"""),107.73)</f>
        <v>107.73</v>
      </c>
      <c r="D611" s="2">
        <f>IFERROR(__xludf.DUMMYFUNCTION("""COMPUTED_VALUE"""),102.98)</f>
        <v>102.98</v>
      </c>
      <c r="E611" s="2">
        <f>IFERROR(__xludf.DUMMYFUNCTION("""COMPUTED_VALUE"""),104.1)</f>
        <v>104.1</v>
      </c>
      <c r="F611" s="2">
        <f>IFERROR(__xludf.DUMMYFUNCTION("""COMPUTED_VALUE"""),7591960.0)</f>
        <v>7591960</v>
      </c>
    </row>
    <row r="612">
      <c r="A612" s="3">
        <f>IFERROR(__xludf.DUMMYFUNCTION("""COMPUTED_VALUE"""),38329.645833333336)</f>
        <v>38329.64583</v>
      </c>
      <c r="B612" s="2">
        <f>IFERROR(__xludf.DUMMYFUNCTION("""COMPUTED_VALUE"""),104.9)</f>
        <v>104.9</v>
      </c>
      <c r="C612" s="2">
        <f>IFERROR(__xludf.DUMMYFUNCTION("""COMPUTED_VALUE"""),105.7)</f>
        <v>105.7</v>
      </c>
      <c r="D612" s="2">
        <f>IFERROR(__xludf.DUMMYFUNCTION("""COMPUTED_VALUE"""),101.89)</f>
        <v>101.89</v>
      </c>
      <c r="E612" s="2">
        <f>IFERROR(__xludf.DUMMYFUNCTION("""COMPUTED_VALUE"""),102.24)</f>
        <v>102.24</v>
      </c>
      <c r="F612" s="2">
        <f>IFERROR(__xludf.DUMMYFUNCTION("""COMPUTED_VALUE"""),7427583.0)</f>
        <v>7427583</v>
      </c>
    </row>
    <row r="613">
      <c r="A613" s="3">
        <f>IFERROR(__xludf.DUMMYFUNCTION("""COMPUTED_VALUE"""),38330.645833333336)</f>
        <v>38330.64583</v>
      </c>
      <c r="B613" s="2">
        <f>IFERROR(__xludf.DUMMYFUNCTION("""COMPUTED_VALUE"""),102.3)</f>
        <v>102.3</v>
      </c>
      <c r="C613" s="2">
        <f>IFERROR(__xludf.DUMMYFUNCTION("""COMPUTED_VALUE"""),103.69)</f>
        <v>103.69</v>
      </c>
      <c r="D613" s="2">
        <f>IFERROR(__xludf.DUMMYFUNCTION("""COMPUTED_VALUE"""),100.67)</f>
        <v>100.67</v>
      </c>
      <c r="E613" s="2">
        <f>IFERROR(__xludf.DUMMYFUNCTION("""COMPUTED_VALUE"""),103.12)</f>
        <v>103.12</v>
      </c>
      <c r="F613" s="2">
        <f>IFERROR(__xludf.DUMMYFUNCTION("""COMPUTED_VALUE"""),6742416.0)</f>
        <v>6742416</v>
      </c>
    </row>
    <row r="614">
      <c r="A614" s="3">
        <f>IFERROR(__xludf.DUMMYFUNCTION("""COMPUTED_VALUE"""),38331.645833333336)</f>
        <v>38331.64583</v>
      </c>
      <c r="B614" s="2">
        <f>IFERROR(__xludf.DUMMYFUNCTION("""COMPUTED_VALUE"""),103.28)</f>
        <v>103.28</v>
      </c>
      <c r="C614" s="2">
        <f>IFERROR(__xludf.DUMMYFUNCTION("""COMPUTED_VALUE"""),103.28)</f>
        <v>103.28</v>
      </c>
      <c r="D614" s="2">
        <f>IFERROR(__xludf.DUMMYFUNCTION("""COMPUTED_VALUE"""),99.79)</f>
        <v>99.79</v>
      </c>
      <c r="E614" s="2">
        <f>IFERROR(__xludf.DUMMYFUNCTION("""COMPUTED_VALUE"""),100.51)</f>
        <v>100.51</v>
      </c>
      <c r="F614" s="2">
        <f>IFERROR(__xludf.DUMMYFUNCTION("""COMPUTED_VALUE"""),9490211.0)</f>
        <v>9490211</v>
      </c>
    </row>
    <row r="615">
      <c r="A615" s="3">
        <f>IFERROR(__xludf.DUMMYFUNCTION("""COMPUTED_VALUE"""),38334.645833333336)</f>
        <v>38334.64583</v>
      </c>
      <c r="B615" s="2">
        <f>IFERROR(__xludf.DUMMYFUNCTION("""COMPUTED_VALUE"""),100.47)</f>
        <v>100.47</v>
      </c>
      <c r="C615" s="2">
        <f>IFERROR(__xludf.DUMMYFUNCTION("""COMPUTED_VALUE"""),101.67)</f>
        <v>101.67</v>
      </c>
      <c r="D615" s="2">
        <f>IFERROR(__xludf.DUMMYFUNCTION("""COMPUTED_VALUE"""),97.92)</f>
        <v>97.92</v>
      </c>
      <c r="E615" s="2">
        <f>IFERROR(__xludf.DUMMYFUNCTION("""COMPUTED_VALUE"""),101.14)</f>
        <v>101.14</v>
      </c>
      <c r="F615" s="2">
        <f>IFERROR(__xludf.DUMMYFUNCTION("""COMPUTED_VALUE"""),9825655.0)</f>
        <v>9825655</v>
      </c>
    </row>
    <row r="616">
      <c r="A616" s="3">
        <f>IFERROR(__xludf.DUMMYFUNCTION("""COMPUTED_VALUE"""),38335.645833333336)</f>
        <v>38335.64583</v>
      </c>
      <c r="B616" s="2">
        <f>IFERROR(__xludf.DUMMYFUNCTION("""COMPUTED_VALUE"""),101.07)</f>
        <v>101.07</v>
      </c>
      <c r="C616" s="2">
        <f>IFERROR(__xludf.DUMMYFUNCTION("""COMPUTED_VALUE"""),102.28)</f>
        <v>102.28</v>
      </c>
      <c r="D616" s="2">
        <f>IFERROR(__xludf.DUMMYFUNCTION("""COMPUTED_VALUE"""),99.86)</f>
        <v>99.86</v>
      </c>
      <c r="E616" s="2">
        <f>IFERROR(__xludf.DUMMYFUNCTION("""COMPUTED_VALUE"""),101.84)</f>
        <v>101.84</v>
      </c>
      <c r="F616" s="2">
        <f>IFERROR(__xludf.DUMMYFUNCTION("""COMPUTED_VALUE"""),6098934.0)</f>
        <v>6098934</v>
      </c>
    </row>
    <row r="617">
      <c r="A617" s="3">
        <f>IFERROR(__xludf.DUMMYFUNCTION("""COMPUTED_VALUE"""),38336.645833333336)</f>
        <v>38336.64583</v>
      </c>
      <c r="B617" s="2">
        <f>IFERROR(__xludf.DUMMYFUNCTION("""COMPUTED_VALUE"""),101.82)</f>
        <v>101.82</v>
      </c>
      <c r="C617" s="2">
        <f>IFERROR(__xludf.DUMMYFUNCTION("""COMPUTED_VALUE"""),101.82)</f>
        <v>101.82</v>
      </c>
      <c r="D617" s="2">
        <f>IFERROR(__xludf.DUMMYFUNCTION("""COMPUTED_VALUE"""),99.12)</f>
        <v>99.12</v>
      </c>
      <c r="E617" s="2">
        <f>IFERROR(__xludf.DUMMYFUNCTION("""COMPUTED_VALUE"""),99.68)</f>
        <v>99.68</v>
      </c>
      <c r="F617" s="2">
        <f>IFERROR(__xludf.DUMMYFUNCTION("""COMPUTED_VALUE"""),6972362.0)</f>
        <v>6972362</v>
      </c>
    </row>
    <row r="618">
      <c r="A618" s="3">
        <f>IFERROR(__xludf.DUMMYFUNCTION("""COMPUTED_VALUE"""),38337.645833333336)</f>
        <v>38337.64583</v>
      </c>
      <c r="B618" s="2">
        <f>IFERROR(__xludf.DUMMYFUNCTION("""COMPUTED_VALUE"""),99.66)</f>
        <v>99.66</v>
      </c>
      <c r="C618" s="2">
        <f>IFERROR(__xludf.DUMMYFUNCTION("""COMPUTED_VALUE"""),100.06)</f>
        <v>100.06</v>
      </c>
      <c r="D618" s="2">
        <f>IFERROR(__xludf.DUMMYFUNCTION("""COMPUTED_VALUE"""),98.26)</f>
        <v>98.26</v>
      </c>
      <c r="E618" s="2">
        <f>IFERROR(__xludf.DUMMYFUNCTION("""COMPUTED_VALUE"""),98.88)</f>
        <v>98.88</v>
      </c>
      <c r="F618" s="2">
        <f>IFERROR(__xludf.DUMMYFUNCTION("""COMPUTED_VALUE"""),7070852.0)</f>
        <v>7070852</v>
      </c>
    </row>
    <row r="619">
      <c r="A619" s="3">
        <f>IFERROR(__xludf.DUMMYFUNCTION("""COMPUTED_VALUE"""),38338.645833333336)</f>
        <v>38338.64583</v>
      </c>
      <c r="B619" s="2">
        <f>IFERROR(__xludf.DUMMYFUNCTION("""COMPUTED_VALUE"""),98.65)</f>
        <v>98.65</v>
      </c>
      <c r="C619" s="2">
        <f>IFERROR(__xludf.DUMMYFUNCTION("""COMPUTED_VALUE"""),99.8)</f>
        <v>99.8</v>
      </c>
      <c r="D619" s="2">
        <f>IFERROR(__xludf.DUMMYFUNCTION("""COMPUTED_VALUE"""),96.37)</f>
        <v>96.37</v>
      </c>
      <c r="E619" s="2">
        <f>IFERROR(__xludf.DUMMYFUNCTION("""COMPUTED_VALUE"""),96.75)</f>
        <v>96.75</v>
      </c>
      <c r="F619" s="2">
        <f>IFERROR(__xludf.DUMMYFUNCTION("""COMPUTED_VALUE"""),1.1503787E7)</f>
        <v>11503787</v>
      </c>
    </row>
    <row r="620">
      <c r="A620" s="3">
        <f>IFERROR(__xludf.DUMMYFUNCTION("""COMPUTED_VALUE"""),38341.645833333336)</f>
        <v>38341.64583</v>
      </c>
      <c r="B620" s="2">
        <f>IFERROR(__xludf.DUMMYFUNCTION("""COMPUTED_VALUE"""),97.65)</f>
        <v>97.65</v>
      </c>
      <c r="C620" s="2">
        <f>IFERROR(__xludf.DUMMYFUNCTION("""COMPUTED_VALUE"""),98.39)</f>
        <v>98.39</v>
      </c>
      <c r="D620" s="2">
        <f>IFERROR(__xludf.DUMMYFUNCTION("""COMPUTED_VALUE"""),95.05)</f>
        <v>95.05</v>
      </c>
      <c r="E620" s="2">
        <f>IFERROR(__xludf.DUMMYFUNCTION("""COMPUTED_VALUE"""),96.77)</f>
        <v>96.77</v>
      </c>
      <c r="F620" s="2">
        <f>IFERROR(__xludf.DUMMYFUNCTION("""COMPUTED_VALUE"""),2.1093704E7)</f>
        <v>21093704</v>
      </c>
    </row>
    <row r="621">
      <c r="A621" s="3">
        <f>IFERROR(__xludf.DUMMYFUNCTION("""COMPUTED_VALUE"""),38342.645833333336)</f>
        <v>38342.64583</v>
      </c>
      <c r="B621" s="2">
        <f>IFERROR(__xludf.DUMMYFUNCTION("""COMPUTED_VALUE"""),97.35)</f>
        <v>97.35</v>
      </c>
      <c r="C621" s="2">
        <f>IFERROR(__xludf.DUMMYFUNCTION("""COMPUTED_VALUE"""),99.0)</f>
        <v>99</v>
      </c>
      <c r="D621" s="2">
        <f>IFERROR(__xludf.DUMMYFUNCTION("""COMPUTED_VALUE"""),96.92)</f>
        <v>96.92</v>
      </c>
      <c r="E621" s="2">
        <f>IFERROR(__xludf.DUMMYFUNCTION("""COMPUTED_VALUE"""),97.65)</f>
        <v>97.65</v>
      </c>
      <c r="F621" s="2">
        <f>IFERROR(__xludf.DUMMYFUNCTION("""COMPUTED_VALUE"""),1.1010746E7)</f>
        <v>11010746</v>
      </c>
    </row>
    <row r="622">
      <c r="A622" s="3">
        <f>IFERROR(__xludf.DUMMYFUNCTION("""COMPUTED_VALUE"""),38343.645833333336)</f>
        <v>38343.64583</v>
      </c>
      <c r="B622" s="2">
        <f>IFERROR(__xludf.DUMMYFUNCTION("""COMPUTED_VALUE"""),98.24)</f>
        <v>98.24</v>
      </c>
      <c r="C622" s="2">
        <f>IFERROR(__xludf.DUMMYFUNCTION("""COMPUTED_VALUE"""),100.43)</f>
        <v>100.43</v>
      </c>
      <c r="D622" s="2">
        <f>IFERROR(__xludf.DUMMYFUNCTION("""COMPUTED_VALUE"""),97.66)</f>
        <v>97.66</v>
      </c>
      <c r="E622" s="2">
        <f>IFERROR(__xludf.DUMMYFUNCTION("""COMPUTED_VALUE"""),99.67)</f>
        <v>99.67</v>
      </c>
      <c r="F622" s="2">
        <f>IFERROR(__xludf.DUMMYFUNCTION("""COMPUTED_VALUE"""),9654627.0)</f>
        <v>9654627</v>
      </c>
    </row>
    <row r="623">
      <c r="A623" s="3">
        <f>IFERROR(__xludf.DUMMYFUNCTION("""COMPUTED_VALUE"""),38344.645833333336)</f>
        <v>38344.64583</v>
      </c>
      <c r="B623" s="2">
        <f>IFERROR(__xludf.DUMMYFUNCTION("""COMPUTED_VALUE"""),100.41)</f>
        <v>100.41</v>
      </c>
      <c r="C623" s="2">
        <f>IFERROR(__xludf.DUMMYFUNCTION("""COMPUTED_VALUE"""),102.53)</f>
        <v>102.53</v>
      </c>
      <c r="D623" s="2">
        <f>IFERROR(__xludf.DUMMYFUNCTION("""COMPUTED_VALUE"""),100.16)</f>
        <v>100.16</v>
      </c>
      <c r="E623" s="2">
        <f>IFERROR(__xludf.DUMMYFUNCTION("""COMPUTED_VALUE"""),101.94)</f>
        <v>101.94</v>
      </c>
      <c r="F623" s="2">
        <f>IFERROR(__xludf.DUMMYFUNCTION("""COMPUTED_VALUE"""),8663566.0)</f>
        <v>8663566</v>
      </c>
    </row>
    <row r="624">
      <c r="A624" s="3">
        <f>IFERROR(__xludf.DUMMYFUNCTION("""COMPUTED_VALUE"""),38345.645833333336)</f>
        <v>38345.64583</v>
      </c>
      <c r="B624" s="2">
        <f>IFERROR(__xludf.DUMMYFUNCTION("""COMPUTED_VALUE"""),103.69)</f>
        <v>103.69</v>
      </c>
      <c r="C624" s="2">
        <f>IFERROR(__xludf.DUMMYFUNCTION("""COMPUTED_VALUE"""),105.84)</f>
        <v>105.84</v>
      </c>
      <c r="D624" s="2">
        <f>IFERROR(__xludf.DUMMYFUNCTION("""COMPUTED_VALUE"""),102.75)</f>
        <v>102.75</v>
      </c>
      <c r="E624" s="2">
        <f>IFERROR(__xludf.DUMMYFUNCTION("""COMPUTED_VALUE"""),105.38)</f>
        <v>105.38</v>
      </c>
      <c r="F624" s="2">
        <f>IFERROR(__xludf.DUMMYFUNCTION("""COMPUTED_VALUE"""),9409228.0)</f>
        <v>9409228</v>
      </c>
    </row>
    <row r="625">
      <c r="A625" s="3">
        <f>IFERROR(__xludf.DUMMYFUNCTION("""COMPUTED_VALUE"""),38348.645833333336)</f>
        <v>38348.64583</v>
      </c>
      <c r="B625" s="2">
        <f>IFERROR(__xludf.DUMMYFUNCTION("""COMPUTED_VALUE"""),104.7)</f>
        <v>104.7</v>
      </c>
      <c r="C625" s="2">
        <f>IFERROR(__xludf.DUMMYFUNCTION("""COMPUTED_VALUE"""),110.13)</f>
        <v>110.13</v>
      </c>
      <c r="D625" s="2">
        <f>IFERROR(__xludf.DUMMYFUNCTION("""COMPUTED_VALUE"""),101.95)</f>
        <v>101.95</v>
      </c>
      <c r="E625" s="2">
        <f>IFERROR(__xludf.DUMMYFUNCTION("""COMPUTED_VALUE"""),104.08)</f>
        <v>104.08</v>
      </c>
      <c r="F625" s="2">
        <f>IFERROR(__xludf.DUMMYFUNCTION("""COMPUTED_VALUE"""),1.8636084E7)</f>
        <v>18636084</v>
      </c>
    </row>
    <row r="626">
      <c r="A626" s="3">
        <f>IFERROR(__xludf.DUMMYFUNCTION("""COMPUTED_VALUE"""),38349.645833333336)</f>
        <v>38349.64583</v>
      </c>
      <c r="B626" s="2">
        <f>IFERROR(__xludf.DUMMYFUNCTION("""COMPUTED_VALUE"""),104.68)</f>
        <v>104.68</v>
      </c>
      <c r="C626" s="2">
        <f>IFERROR(__xludf.DUMMYFUNCTION("""COMPUTED_VALUE"""),106.51)</f>
        <v>106.51</v>
      </c>
      <c r="D626" s="2">
        <f>IFERROR(__xludf.DUMMYFUNCTION("""COMPUTED_VALUE"""),104.41)</f>
        <v>104.41</v>
      </c>
      <c r="E626" s="2">
        <f>IFERROR(__xludf.DUMMYFUNCTION("""COMPUTED_VALUE"""),106.21)</f>
        <v>106.21</v>
      </c>
      <c r="F626" s="2">
        <f>IFERROR(__xludf.DUMMYFUNCTION("""COMPUTED_VALUE"""),7676579.0)</f>
        <v>7676579</v>
      </c>
    </row>
    <row r="627">
      <c r="A627" s="3">
        <f>IFERROR(__xludf.DUMMYFUNCTION("""COMPUTED_VALUE"""),38350.645833333336)</f>
        <v>38350.64583</v>
      </c>
      <c r="B627" s="2">
        <f>IFERROR(__xludf.DUMMYFUNCTION("""COMPUTED_VALUE"""),106.55)</f>
        <v>106.55</v>
      </c>
      <c r="C627" s="2">
        <f>IFERROR(__xludf.DUMMYFUNCTION("""COMPUTED_VALUE"""),108.47)</f>
        <v>108.47</v>
      </c>
      <c r="D627" s="2">
        <f>IFERROR(__xludf.DUMMYFUNCTION("""COMPUTED_VALUE"""),106.02)</f>
        <v>106.02</v>
      </c>
      <c r="E627" s="2">
        <f>IFERROR(__xludf.DUMMYFUNCTION("""COMPUTED_VALUE"""),107.01)</f>
        <v>107.01</v>
      </c>
      <c r="F627" s="2">
        <f>IFERROR(__xludf.DUMMYFUNCTION("""COMPUTED_VALUE"""),6930557.0)</f>
        <v>6930557</v>
      </c>
    </row>
    <row r="628">
      <c r="A628" s="3">
        <f>IFERROR(__xludf.DUMMYFUNCTION("""COMPUTED_VALUE"""),38351.645833333336)</f>
        <v>38351.64583</v>
      </c>
      <c r="B628" s="2">
        <f>IFERROR(__xludf.DUMMYFUNCTION("""COMPUTED_VALUE"""),107.52)</f>
        <v>107.52</v>
      </c>
      <c r="C628" s="2">
        <f>IFERROR(__xludf.DUMMYFUNCTION("""COMPUTED_VALUE"""),108.49)</f>
        <v>108.49</v>
      </c>
      <c r="D628" s="2">
        <f>IFERROR(__xludf.DUMMYFUNCTION("""COMPUTED_VALUE"""),104.94)</f>
        <v>104.94</v>
      </c>
      <c r="E628" s="2">
        <f>IFERROR(__xludf.DUMMYFUNCTION("""COMPUTED_VALUE"""),105.32)</f>
        <v>105.32</v>
      </c>
      <c r="F628" s="2">
        <f>IFERROR(__xludf.DUMMYFUNCTION("""COMPUTED_VALUE"""),6747019.0)</f>
        <v>6747019</v>
      </c>
    </row>
    <row r="629">
      <c r="A629" s="3">
        <f>IFERROR(__xludf.DUMMYFUNCTION("""COMPUTED_VALUE"""),38352.645833333336)</f>
        <v>38352.64583</v>
      </c>
      <c r="B629" s="2">
        <f>IFERROR(__xludf.DUMMYFUNCTION("""COMPUTED_VALUE"""),106.96)</f>
        <v>106.96</v>
      </c>
      <c r="C629" s="2">
        <f>IFERROR(__xludf.DUMMYFUNCTION("""COMPUTED_VALUE"""),107.89)</f>
        <v>107.89</v>
      </c>
      <c r="D629" s="2">
        <f>IFERROR(__xludf.DUMMYFUNCTION("""COMPUTED_VALUE"""),105.82)</f>
        <v>105.82</v>
      </c>
      <c r="E629" s="2">
        <f>IFERROR(__xludf.DUMMYFUNCTION("""COMPUTED_VALUE"""),107.45)</f>
        <v>107.45</v>
      </c>
      <c r="F629" s="2">
        <f>IFERROR(__xludf.DUMMYFUNCTION("""COMPUTED_VALUE"""),4782233.0)</f>
        <v>4782233</v>
      </c>
    </row>
    <row r="630">
      <c r="A630" s="3">
        <f>IFERROR(__xludf.DUMMYFUNCTION("""COMPUTED_VALUE"""),38355.645833333336)</f>
        <v>38355.64583</v>
      </c>
      <c r="B630" s="2">
        <f>IFERROR(__xludf.DUMMYFUNCTION("""COMPUTED_VALUE"""),108.6)</f>
        <v>108.6</v>
      </c>
      <c r="C630" s="2">
        <f>IFERROR(__xludf.DUMMYFUNCTION("""COMPUTED_VALUE"""),109.73)</f>
        <v>109.73</v>
      </c>
      <c r="D630" s="2">
        <f>IFERROR(__xludf.DUMMYFUNCTION("""COMPUTED_VALUE"""),107.47)</f>
        <v>107.47</v>
      </c>
      <c r="E630" s="2">
        <f>IFERROR(__xludf.DUMMYFUNCTION("""COMPUTED_VALUE"""),109.5)</f>
        <v>109.5</v>
      </c>
      <c r="F630" s="2">
        <f>IFERROR(__xludf.DUMMYFUNCTION("""COMPUTED_VALUE"""),6868471.0)</f>
        <v>6868471</v>
      </c>
    </row>
    <row r="631">
      <c r="A631" s="3">
        <f>IFERROR(__xludf.DUMMYFUNCTION("""COMPUTED_VALUE"""),38356.645833333336)</f>
        <v>38356.64583</v>
      </c>
      <c r="B631" s="2">
        <f>IFERROR(__xludf.DUMMYFUNCTION("""COMPUTED_VALUE"""),110.74)</f>
        <v>110.74</v>
      </c>
      <c r="C631" s="2">
        <f>IFERROR(__xludf.DUMMYFUNCTION("""COMPUTED_VALUE"""),110.74)</f>
        <v>110.74</v>
      </c>
      <c r="D631" s="2">
        <f>IFERROR(__xludf.DUMMYFUNCTION("""COMPUTED_VALUE"""),106.63)</f>
        <v>106.63</v>
      </c>
      <c r="E631" s="2">
        <f>IFERROR(__xludf.DUMMYFUNCTION("""COMPUTED_VALUE"""),106.96)</f>
        <v>106.96</v>
      </c>
      <c r="F631" s="2">
        <f>IFERROR(__xludf.DUMMYFUNCTION("""COMPUTED_VALUE"""),5258329.0)</f>
        <v>5258329</v>
      </c>
    </row>
    <row r="632">
      <c r="A632" s="3">
        <f>IFERROR(__xludf.DUMMYFUNCTION("""COMPUTED_VALUE"""),38357.645833333336)</f>
        <v>38357.64583</v>
      </c>
      <c r="B632" s="2">
        <f>IFERROR(__xludf.DUMMYFUNCTION("""COMPUTED_VALUE"""),105.9)</f>
        <v>105.9</v>
      </c>
      <c r="C632" s="2">
        <f>IFERROR(__xludf.DUMMYFUNCTION("""COMPUTED_VALUE"""),107.4)</f>
        <v>107.4</v>
      </c>
      <c r="D632" s="2">
        <f>IFERROR(__xludf.DUMMYFUNCTION("""COMPUTED_VALUE"""),103.92)</f>
        <v>103.92</v>
      </c>
      <c r="E632" s="2">
        <f>IFERROR(__xludf.DUMMYFUNCTION("""COMPUTED_VALUE"""),106.7)</f>
        <v>106.7</v>
      </c>
      <c r="F632" s="2">
        <f>IFERROR(__xludf.DUMMYFUNCTION("""COMPUTED_VALUE"""),8029644.0)</f>
        <v>8029644</v>
      </c>
    </row>
    <row r="633">
      <c r="A633" s="3">
        <f>IFERROR(__xludf.DUMMYFUNCTION("""COMPUTED_VALUE"""),38358.645833333336)</f>
        <v>38358.64583</v>
      </c>
      <c r="B633" s="2">
        <f>IFERROR(__xludf.DUMMYFUNCTION("""COMPUTED_VALUE"""),106.31)</f>
        <v>106.31</v>
      </c>
      <c r="C633" s="2">
        <f>IFERROR(__xludf.DUMMYFUNCTION("""COMPUTED_VALUE"""),108.02)</f>
        <v>108.02</v>
      </c>
      <c r="D633" s="2">
        <f>IFERROR(__xludf.DUMMYFUNCTION("""COMPUTED_VALUE"""),105.15)</f>
        <v>105.15</v>
      </c>
      <c r="E633" s="2">
        <f>IFERROR(__xludf.DUMMYFUNCTION("""COMPUTED_VALUE"""),105.94)</f>
        <v>105.94</v>
      </c>
      <c r="F633" s="2">
        <f>IFERROR(__xludf.DUMMYFUNCTION("""COMPUTED_VALUE"""),6567799.0)</f>
        <v>6567799</v>
      </c>
    </row>
    <row r="634">
      <c r="A634" s="3">
        <f>IFERROR(__xludf.DUMMYFUNCTION("""COMPUTED_VALUE"""),38359.645833333336)</f>
        <v>38359.64583</v>
      </c>
      <c r="B634" s="2">
        <f>IFERROR(__xludf.DUMMYFUNCTION("""COMPUTED_VALUE"""),107.71)</f>
        <v>107.71</v>
      </c>
      <c r="C634" s="2">
        <f>IFERROR(__xludf.DUMMYFUNCTION("""COMPUTED_VALUE"""),110.27)</f>
        <v>110.27</v>
      </c>
      <c r="D634" s="2">
        <f>IFERROR(__xludf.DUMMYFUNCTION("""COMPUTED_VALUE"""),106.21)</f>
        <v>106.21</v>
      </c>
      <c r="E634" s="2">
        <f>IFERROR(__xludf.DUMMYFUNCTION("""COMPUTED_VALUE"""),109.17)</f>
        <v>109.17</v>
      </c>
      <c r="F634" s="2">
        <f>IFERROR(__xludf.DUMMYFUNCTION("""COMPUTED_VALUE"""),7721496.0)</f>
        <v>7721496</v>
      </c>
    </row>
    <row r="635">
      <c r="A635" s="3">
        <f>IFERROR(__xludf.DUMMYFUNCTION("""COMPUTED_VALUE"""),38362.645833333336)</f>
        <v>38362.64583</v>
      </c>
      <c r="B635" s="2">
        <f>IFERROR(__xludf.DUMMYFUNCTION("""COMPUTED_VALUE"""),109.76)</f>
        <v>109.76</v>
      </c>
      <c r="C635" s="2">
        <f>IFERROR(__xludf.DUMMYFUNCTION("""COMPUTED_VALUE"""),110.31)</f>
        <v>110.31</v>
      </c>
      <c r="D635" s="2">
        <f>IFERROR(__xludf.DUMMYFUNCTION("""COMPUTED_VALUE"""),106.93)</f>
        <v>106.93</v>
      </c>
      <c r="E635" s="2">
        <f>IFERROR(__xludf.DUMMYFUNCTION("""COMPUTED_VALUE"""),107.54)</f>
        <v>107.54</v>
      </c>
      <c r="F635" s="2">
        <f>IFERROR(__xludf.DUMMYFUNCTION("""COMPUTED_VALUE"""),5334906.0)</f>
        <v>5334906</v>
      </c>
    </row>
    <row r="636">
      <c r="A636" s="3">
        <f>IFERROR(__xludf.DUMMYFUNCTION("""COMPUTED_VALUE"""),38363.645833333336)</f>
        <v>38363.64583</v>
      </c>
      <c r="B636" s="2">
        <f>IFERROR(__xludf.DUMMYFUNCTION("""COMPUTED_VALUE"""),107.71)</f>
        <v>107.71</v>
      </c>
      <c r="C636" s="2">
        <f>IFERROR(__xludf.DUMMYFUNCTION("""COMPUTED_VALUE"""),107.71)</f>
        <v>107.71</v>
      </c>
      <c r="D636" s="2">
        <f>IFERROR(__xludf.DUMMYFUNCTION("""COMPUTED_VALUE"""),105.32)</f>
        <v>105.32</v>
      </c>
      <c r="E636" s="2">
        <f>IFERROR(__xludf.DUMMYFUNCTION("""COMPUTED_VALUE"""),105.85)</f>
        <v>105.85</v>
      </c>
      <c r="F636" s="2">
        <f>IFERROR(__xludf.DUMMYFUNCTION("""COMPUTED_VALUE"""),4224467.0)</f>
        <v>4224467</v>
      </c>
    </row>
    <row r="637">
      <c r="A637" s="3">
        <f>IFERROR(__xludf.DUMMYFUNCTION("""COMPUTED_VALUE"""),38364.645833333336)</f>
        <v>38364.64583</v>
      </c>
      <c r="B637" s="2">
        <f>IFERROR(__xludf.DUMMYFUNCTION("""COMPUTED_VALUE"""),106.51)</f>
        <v>106.51</v>
      </c>
      <c r="C637" s="2">
        <f>IFERROR(__xludf.DUMMYFUNCTION("""COMPUTED_VALUE"""),106.71)</f>
        <v>106.71</v>
      </c>
      <c r="D637" s="2">
        <f>IFERROR(__xludf.DUMMYFUNCTION("""COMPUTED_VALUE"""),103.71)</f>
        <v>103.71</v>
      </c>
      <c r="E637" s="2">
        <f>IFERROR(__xludf.DUMMYFUNCTION("""COMPUTED_VALUE"""),104.33)</f>
        <v>104.33</v>
      </c>
      <c r="F637" s="2">
        <f>IFERROR(__xludf.DUMMYFUNCTION("""COMPUTED_VALUE"""),7463046.0)</f>
        <v>7463046</v>
      </c>
    </row>
    <row r="638">
      <c r="A638" s="3">
        <f>IFERROR(__xludf.DUMMYFUNCTION("""COMPUTED_VALUE"""),38365.645833333336)</f>
        <v>38365.64583</v>
      </c>
      <c r="B638" s="2">
        <f>IFERROR(__xludf.DUMMYFUNCTION("""COMPUTED_VALUE"""),105.7)</f>
        <v>105.7</v>
      </c>
      <c r="C638" s="2">
        <f>IFERROR(__xludf.DUMMYFUNCTION("""COMPUTED_VALUE"""),105.85)</f>
        <v>105.85</v>
      </c>
      <c r="D638" s="2">
        <f>IFERROR(__xludf.DUMMYFUNCTION("""COMPUTED_VALUE"""),104.39)</f>
        <v>104.39</v>
      </c>
      <c r="E638" s="2">
        <f>IFERROR(__xludf.DUMMYFUNCTION("""COMPUTED_VALUE"""),104.72)</f>
        <v>104.72</v>
      </c>
      <c r="F638" s="2">
        <f>IFERROR(__xludf.DUMMYFUNCTION("""COMPUTED_VALUE"""),5701722.0)</f>
        <v>5701722</v>
      </c>
    </row>
    <row r="639">
      <c r="A639" s="3">
        <f>IFERROR(__xludf.DUMMYFUNCTION("""COMPUTED_VALUE"""),38366.645833333336)</f>
        <v>38366.64583</v>
      </c>
      <c r="B639" s="2">
        <f>IFERROR(__xludf.DUMMYFUNCTION("""COMPUTED_VALUE"""),105.43)</f>
        <v>105.43</v>
      </c>
      <c r="C639" s="2">
        <f>IFERROR(__xludf.DUMMYFUNCTION("""COMPUTED_VALUE"""),105.43)</f>
        <v>105.43</v>
      </c>
      <c r="D639" s="2">
        <f>IFERROR(__xludf.DUMMYFUNCTION("""COMPUTED_VALUE"""),102.9)</f>
        <v>102.9</v>
      </c>
      <c r="E639" s="2">
        <f>IFERROR(__xludf.DUMMYFUNCTION("""COMPUTED_VALUE"""),103.47)</f>
        <v>103.47</v>
      </c>
      <c r="F639" s="2">
        <f>IFERROR(__xludf.DUMMYFUNCTION("""COMPUTED_VALUE"""),5021951.0)</f>
        <v>5021951</v>
      </c>
    </row>
    <row r="640">
      <c r="A640" s="3">
        <f>IFERROR(__xludf.DUMMYFUNCTION("""COMPUTED_VALUE"""),38369.645833333336)</f>
        <v>38369.64583</v>
      </c>
      <c r="B640" s="2">
        <f>IFERROR(__xludf.DUMMYFUNCTION("""COMPUTED_VALUE"""),103.69)</f>
        <v>103.69</v>
      </c>
      <c r="C640" s="2">
        <f>IFERROR(__xludf.DUMMYFUNCTION("""COMPUTED_VALUE"""),104.29)</f>
        <v>104.29</v>
      </c>
      <c r="D640" s="2">
        <f>IFERROR(__xludf.DUMMYFUNCTION("""COMPUTED_VALUE"""),101.55)</f>
        <v>101.55</v>
      </c>
      <c r="E640" s="2">
        <f>IFERROR(__xludf.DUMMYFUNCTION("""COMPUTED_VALUE"""),102.99)</f>
        <v>102.99</v>
      </c>
      <c r="F640" s="2">
        <f>IFERROR(__xludf.DUMMYFUNCTION("""COMPUTED_VALUE"""),5042715.0)</f>
        <v>5042715</v>
      </c>
    </row>
    <row r="641">
      <c r="A641" s="3">
        <f>IFERROR(__xludf.DUMMYFUNCTION("""COMPUTED_VALUE"""),38370.645833333336)</f>
        <v>38370.64583</v>
      </c>
      <c r="B641" s="2">
        <f>IFERROR(__xludf.DUMMYFUNCTION("""COMPUTED_VALUE"""),103.31)</f>
        <v>103.31</v>
      </c>
      <c r="C641" s="2">
        <f>IFERROR(__xludf.DUMMYFUNCTION("""COMPUTED_VALUE"""),105.18)</f>
        <v>105.18</v>
      </c>
      <c r="D641" s="2">
        <f>IFERROR(__xludf.DUMMYFUNCTION("""COMPUTED_VALUE"""),102.45)</f>
        <v>102.45</v>
      </c>
      <c r="E641" s="2">
        <f>IFERROR(__xludf.DUMMYFUNCTION("""COMPUTED_VALUE"""),102.85)</f>
        <v>102.85</v>
      </c>
      <c r="F641" s="2">
        <f>IFERROR(__xludf.DUMMYFUNCTION("""COMPUTED_VALUE"""),6375660.0)</f>
        <v>6375660</v>
      </c>
    </row>
    <row r="642">
      <c r="A642" s="3">
        <f>IFERROR(__xludf.DUMMYFUNCTION("""COMPUTED_VALUE"""),38371.645833333336)</f>
        <v>38371.64583</v>
      </c>
      <c r="B642" s="2">
        <f>IFERROR(__xludf.DUMMYFUNCTION("""COMPUTED_VALUE"""),103.49)</f>
        <v>103.49</v>
      </c>
      <c r="C642" s="2">
        <f>IFERROR(__xludf.DUMMYFUNCTION("""COMPUTED_VALUE"""),104.37)</f>
        <v>104.37</v>
      </c>
      <c r="D642" s="2">
        <f>IFERROR(__xludf.DUMMYFUNCTION("""COMPUTED_VALUE"""),102.92)</f>
        <v>102.92</v>
      </c>
      <c r="E642" s="2">
        <f>IFERROR(__xludf.DUMMYFUNCTION("""COMPUTED_VALUE"""),103.43)</f>
        <v>103.43</v>
      </c>
      <c r="F642" s="2">
        <f>IFERROR(__xludf.DUMMYFUNCTION("""COMPUTED_VALUE"""),3254090.0)</f>
        <v>3254090</v>
      </c>
    </row>
    <row r="643">
      <c r="A643" s="3">
        <f>IFERROR(__xludf.DUMMYFUNCTION("""COMPUTED_VALUE"""),38372.645833333336)</f>
        <v>38372.64583</v>
      </c>
      <c r="B643" s="2">
        <f>IFERROR(__xludf.DUMMYFUNCTION("""COMPUTED_VALUE"""),102.7)</f>
        <v>102.7</v>
      </c>
      <c r="C643" s="2">
        <f>IFERROR(__xludf.DUMMYFUNCTION("""COMPUTED_VALUE"""),103.69)</f>
        <v>103.69</v>
      </c>
      <c r="D643" s="2">
        <f>IFERROR(__xludf.DUMMYFUNCTION("""COMPUTED_VALUE"""),101.51)</f>
        <v>101.51</v>
      </c>
      <c r="E643" s="2">
        <f>IFERROR(__xludf.DUMMYFUNCTION("""COMPUTED_VALUE"""),102.98)</f>
        <v>102.98</v>
      </c>
      <c r="F643" s="2">
        <f>IFERROR(__xludf.DUMMYFUNCTION("""COMPUTED_VALUE"""),3663190.0)</f>
        <v>3663190</v>
      </c>
    </row>
    <row r="644">
      <c r="A644" s="3">
        <f>IFERROR(__xludf.DUMMYFUNCTION("""COMPUTED_VALUE"""),38376.645833333336)</f>
        <v>38376.64583</v>
      </c>
      <c r="B644" s="2">
        <f>IFERROR(__xludf.DUMMYFUNCTION("""COMPUTED_VALUE"""),103.39)</f>
        <v>103.39</v>
      </c>
      <c r="C644" s="2">
        <f>IFERROR(__xludf.DUMMYFUNCTION("""COMPUTED_VALUE"""),104.97)</f>
        <v>104.97</v>
      </c>
      <c r="D644" s="2">
        <f>IFERROR(__xludf.DUMMYFUNCTION("""COMPUTED_VALUE"""),101.8)</f>
        <v>101.8</v>
      </c>
      <c r="E644" s="2">
        <f>IFERROR(__xludf.DUMMYFUNCTION("""COMPUTED_VALUE"""),102.02)</f>
        <v>102.02</v>
      </c>
      <c r="F644" s="2">
        <f>IFERROR(__xludf.DUMMYFUNCTION("""COMPUTED_VALUE"""),6705592.0)</f>
        <v>6705592</v>
      </c>
    </row>
    <row r="645">
      <c r="A645" s="3">
        <f>IFERROR(__xludf.DUMMYFUNCTION("""COMPUTED_VALUE"""),38377.645833333336)</f>
        <v>38377.64583</v>
      </c>
      <c r="B645" s="2">
        <f>IFERROR(__xludf.DUMMYFUNCTION("""COMPUTED_VALUE"""),101.86)</f>
        <v>101.86</v>
      </c>
      <c r="C645" s="2">
        <f>IFERROR(__xludf.DUMMYFUNCTION("""COMPUTED_VALUE"""),102.66)</f>
        <v>102.66</v>
      </c>
      <c r="D645" s="2">
        <f>IFERROR(__xludf.DUMMYFUNCTION("""COMPUTED_VALUE"""),100.36)</f>
        <v>100.36</v>
      </c>
      <c r="E645" s="2">
        <f>IFERROR(__xludf.DUMMYFUNCTION("""COMPUTED_VALUE"""),100.99)</f>
        <v>100.99</v>
      </c>
      <c r="F645" s="2">
        <f>IFERROR(__xludf.DUMMYFUNCTION("""COMPUTED_VALUE"""),8209129.0)</f>
        <v>8209129</v>
      </c>
    </row>
    <row r="646">
      <c r="A646" s="3">
        <f>IFERROR(__xludf.DUMMYFUNCTION("""COMPUTED_VALUE"""),38379.645833333336)</f>
        <v>38379.64583</v>
      </c>
      <c r="B646" s="2">
        <f>IFERROR(__xludf.DUMMYFUNCTION("""COMPUTED_VALUE"""),101.69)</f>
        <v>101.69</v>
      </c>
      <c r="C646" s="2">
        <f>IFERROR(__xludf.DUMMYFUNCTION("""COMPUTED_VALUE"""),103.28)</f>
        <v>103.28</v>
      </c>
      <c r="D646" s="2">
        <f>IFERROR(__xludf.DUMMYFUNCTION("""COMPUTED_VALUE"""),101.41)</f>
        <v>101.41</v>
      </c>
      <c r="E646" s="2">
        <f>IFERROR(__xludf.DUMMYFUNCTION("""COMPUTED_VALUE"""),101.9)</f>
        <v>101.9</v>
      </c>
      <c r="F646" s="2">
        <f>IFERROR(__xludf.DUMMYFUNCTION("""COMPUTED_VALUE"""),6907925.0)</f>
        <v>6907925</v>
      </c>
    </row>
    <row r="647">
      <c r="A647" s="3">
        <f>IFERROR(__xludf.DUMMYFUNCTION("""COMPUTED_VALUE"""),38380.645833333336)</f>
        <v>38380.64583</v>
      </c>
      <c r="B647" s="2">
        <f>IFERROR(__xludf.DUMMYFUNCTION("""COMPUTED_VALUE"""),102.08)</f>
        <v>102.08</v>
      </c>
      <c r="C647" s="2">
        <f>IFERROR(__xludf.DUMMYFUNCTION("""COMPUTED_VALUE"""),105.39)</f>
        <v>105.39</v>
      </c>
      <c r="D647" s="2">
        <f>IFERROR(__xludf.DUMMYFUNCTION("""COMPUTED_VALUE"""),98.65)</f>
        <v>98.65</v>
      </c>
      <c r="E647" s="2">
        <f>IFERROR(__xludf.DUMMYFUNCTION("""COMPUTED_VALUE"""),105.15)</f>
        <v>105.15</v>
      </c>
      <c r="F647" s="2">
        <f>IFERROR(__xludf.DUMMYFUNCTION("""COMPUTED_VALUE"""),5674790.0)</f>
        <v>5674790</v>
      </c>
    </row>
    <row r="648">
      <c r="A648" s="3">
        <f>IFERROR(__xludf.DUMMYFUNCTION("""COMPUTED_VALUE"""),38383.645833333336)</f>
        <v>38383.64583</v>
      </c>
      <c r="B648" s="2">
        <f>IFERROR(__xludf.DUMMYFUNCTION("""COMPUTED_VALUE"""),105.7)</f>
        <v>105.7</v>
      </c>
      <c r="C648" s="2">
        <f>IFERROR(__xludf.DUMMYFUNCTION("""COMPUTED_VALUE"""),107.61)</f>
        <v>107.61</v>
      </c>
      <c r="D648" s="2">
        <f>IFERROR(__xludf.DUMMYFUNCTION("""COMPUTED_VALUE"""),105.24)</f>
        <v>105.24</v>
      </c>
      <c r="E648" s="2">
        <f>IFERROR(__xludf.DUMMYFUNCTION("""COMPUTED_VALUE"""),107.17)</f>
        <v>107.17</v>
      </c>
      <c r="F648" s="2">
        <f>IFERROR(__xludf.DUMMYFUNCTION("""COMPUTED_VALUE"""),6130579.0)</f>
        <v>6130579</v>
      </c>
    </row>
    <row r="649">
      <c r="A649" s="3">
        <f>IFERROR(__xludf.DUMMYFUNCTION("""COMPUTED_VALUE"""),38384.645833333336)</f>
        <v>38384.64583</v>
      </c>
      <c r="B649" s="2">
        <f>IFERROR(__xludf.DUMMYFUNCTION("""COMPUTED_VALUE"""),107.49)</f>
        <v>107.49</v>
      </c>
      <c r="C649" s="2">
        <f>IFERROR(__xludf.DUMMYFUNCTION("""COMPUTED_VALUE"""),110.13)</f>
        <v>110.13</v>
      </c>
      <c r="D649" s="2">
        <f>IFERROR(__xludf.DUMMYFUNCTION("""COMPUTED_VALUE"""),106.72)</f>
        <v>106.72</v>
      </c>
      <c r="E649" s="2">
        <f>IFERROR(__xludf.DUMMYFUNCTION("""COMPUTED_VALUE"""),109.31)</f>
        <v>109.31</v>
      </c>
      <c r="F649" s="2">
        <f>IFERROR(__xludf.DUMMYFUNCTION("""COMPUTED_VALUE"""),8016759.0)</f>
        <v>8016759</v>
      </c>
    </row>
    <row r="650">
      <c r="A650" s="3">
        <f>IFERROR(__xludf.DUMMYFUNCTION("""COMPUTED_VALUE"""),38385.645833333336)</f>
        <v>38385.64583</v>
      </c>
      <c r="B650" s="2">
        <f>IFERROR(__xludf.DUMMYFUNCTION("""COMPUTED_VALUE"""),109.57)</f>
        <v>109.57</v>
      </c>
      <c r="C650" s="2">
        <f>IFERROR(__xludf.DUMMYFUNCTION("""COMPUTED_VALUE"""),110.2)</f>
        <v>110.2</v>
      </c>
      <c r="D650" s="2">
        <f>IFERROR(__xludf.DUMMYFUNCTION("""COMPUTED_VALUE"""),106.75)</f>
        <v>106.75</v>
      </c>
      <c r="E650" s="2">
        <f>IFERROR(__xludf.DUMMYFUNCTION("""COMPUTED_VALUE"""),107.42)</f>
        <v>107.42</v>
      </c>
      <c r="F650" s="2">
        <f>IFERROR(__xludf.DUMMYFUNCTION("""COMPUTED_VALUE"""),4900179.0)</f>
        <v>4900179</v>
      </c>
    </row>
    <row r="651">
      <c r="A651" s="3">
        <f>IFERROR(__xludf.DUMMYFUNCTION("""COMPUTED_VALUE"""),38386.645833333336)</f>
        <v>38386.64583</v>
      </c>
      <c r="B651" s="2">
        <f>IFERROR(__xludf.DUMMYFUNCTION("""COMPUTED_VALUE"""),108.68)</f>
        <v>108.68</v>
      </c>
      <c r="C651" s="2">
        <f>IFERROR(__xludf.DUMMYFUNCTION("""COMPUTED_VALUE"""),109.41)</f>
        <v>109.41</v>
      </c>
      <c r="D651" s="2">
        <f>IFERROR(__xludf.DUMMYFUNCTION("""COMPUTED_VALUE"""),107.92)</f>
        <v>107.92</v>
      </c>
      <c r="E651" s="2">
        <f>IFERROR(__xludf.DUMMYFUNCTION("""COMPUTED_VALUE"""),108.91)</f>
        <v>108.91</v>
      </c>
      <c r="F651" s="2">
        <f>IFERROR(__xludf.DUMMYFUNCTION("""COMPUTED_VALUE"""),3296368.0)</f>
        <v>3296368</v>
      </c>
    </row>
    <row r="652">
      <c r="A652" s="3">
        <f>IFERROR(__xludf.DUMMYFUNCTION("""COMPUTED_VALUE"""),38387.645833333336)</f>
        <v>38387.64583</v>
      </c>
      <c r="B652" s="2">
        <f>IFERROR(__xludf.DUMMYFUNCTION("""COMPUTED_VALUE"""),109.53)</f>
        <v>109.53</v>
      </c>
      <c r="C652" s="2">
        <f>IFERROR(__xludf.DUMMYFUNCTION("""COMPUTED_VALUE"""),109.73)</f>
        <v>109.73</v>
      </c>
      <c r="D652" s="2">
        <f>IFERROR(__xludf.DUMMYFUNCTION("""COMPUTED_VALUE"""),107.19)</f>
        <v>107.19</v>
      </c>
      <c r="E652" s="2">
        <f>IFERROR(__xludf.DUMMYFUNCTION("""COMPUTED_VALUE"""),108.15)</f>
        <v>108.15</v>
      </c>
      <c r="F652" s="2">
        <f>IFERROR(__xludf.DUMMYFUNCTION("""COMPUTED_VALUE"""),3977210.0)</f>
        <v>3977210</v>
      </c>
    </row>
    <row r="653">
      <c r="A653" s="3">
        <f>IFERROR(__xludf.DUMMYFUNCTION("""COMPUTED_VALUE"""),38390.645833333336)</f>
        <v>38390.64583</v>
      </c>
      <c r="B653" s="2">
        <f>IFERROR(__xludf.DUMMYFUNCTION("""COMPUTED_VALUE"""),120.36)</f>
        <v>120.36</v>
      </c>
      <c r="C653" s="2">
        <f>IFERROR(__xludf.DUMMYFUNCTION("""COMPUTED_VALUE"""),120.36)</f>
        <v>120.36</v>
      </c>
      <c r="D653" s="2">
        <f>IFERROR(__xludf.DUMMYFUNCTION("""COMPUTED_VALUE"""),106.44)</f>
        <v>106.44</v>
      </c>
      <c r="E653" s="2">
        <f>IFERROR(__xludf.DUMMYFUNCTION("""COMPUTED_VALUE"""),106.78)</f>
        <v>106.78</v>
      </c>
      <c r="F653" s="2">
        <f>IFERROR(__xludf.DUMMYFUNCTION("""COMPUTED_VALUE"""),2583027.0)</f>
        <v>2583027</v>
      </c>
    </row>
    <row r="654">
      <c r="A654" s="3">
        <f>IFERROR(__xludf.DUMMYFUNCTION("""COMPUTED_VALUE"""),38391.645833333336)</f>
        <v>38391.64583</v>
      </c>
      <c r="B654" s="2">
        <f>IFERROR(__xludf.DUMMYFUNCTION("""COMPUTED_VALUE"""),107.11)</f>
        <v>107.11</v>
      </c>
      <c r="C654" s="2">
        <f>IFERROR(__xludf.DUMMYFUNCTION("""COMPUTED_VALUE"""),108.07)</f>
        <v>108.07</v>
      </c>
      <c r="D654" s="2">
        <f>IFERROR(__xludf.DUMMYFUNCTION("""COMPUTED_VALUE"""),106.51)</f>
        <v>106.51</v>
      </c>
      <c r="E654" s="2">
        <f>IFERROR(__xludf.DUMMYFUNCTION("""COMPUTED_VALUE"""),107.47)</f>
        <v>107.47</v>
      </c>
      <c r="F654" s="2">
        <f>IFERROR(__xludf.DUMMYFUNCTION("""COMPUTED_VALUE"""),3602698.0)</f>
        <v>3602698</v>
      </c>
    </row>
    <row r="655">
      <c r="A655" s="3">
        <f>IFERROR(__xludf.DUMMYFUNCTION("""COMPUTED_VALUE"""),38392.645833333336)</f>
        <v>38392.64583</v>
      </c>
      <c r="B655" s="2">
        <f>IFERROR(__xludf.DUMMYFUNCTION("""COMPUTED_VALUE"""),107.56)</f>
        <v>107.56</v>
      </c>
      <c r="C655" s="2">
        <f>IFERROR(__xludf.DUMMYFUNCTION("""COMPUTED_VALUE"""),108.82)</f>
        <v>108.82</v>
      </c>
      <c r="D655" s="2">
        <f>IFERROR(__xludf.DUMMYFUNCTION("""COMPUTED_VALUE"""),107.52)</f>
        <v>107.52</v>
      </c>
      <c r="E655" s="2">
        <f>IFERROR(__xludf.DUMMYFUNCTION("""COMPUTED_VALUE"""),108.15)</f>
        <v>108.15</v>
      </c>
      <c r="F655" s="2">
        <f>IFERROR(__xludf.DUMMYFUNCTION("""COMPUTED_VALUE"""),2583200.0)</f>
        <v>2583200</v>
      </c>
    </row>
    <row r="656">
      <c r="A656" s="3">
        <f>IFERROR(__xludf.DUMMYFUNCTION("""COMPUTED_VALUE"""),38393.645833333336)</f>
        <v>38393.64583</v>
      </c>
      <c r="B656" s="2">
        <f>IFERROR(__xludf.DUMMYFUNCTION("""COMPUTED_VALUE"""),108.3)</f>
        <v>108.3</v>
      </c>
      <c r="C656" s="2">
        <f>IFERROR(__xludf.DUMMYFUNCTION("""COMPUTED_VALUE"""),109.67)</f>
        <v>109.67</v>
      </c>
      <c r="D656" s="2">
        <f>IFERROR(__xludf.DUMMYFUNCTION("""COMPUTED_VALUE"""),107.08)</f>
        <v>107.08</v>
      </c>
      <c r="E656" s="2">
        <f>IFERROR(__xludf.DUMMYFUNCTION("""COMPUTED_VALUE"""),109.23)</f>
        <v>109.23</v>
      </c>
      <c r="F656" s="2">
        <f>IFERROR(__xludf.DUMMYFUNCTION("""COMPUTED_VALUE"""),3549816.0)</f>
        <v>3549816</v>
      </c>
    </row>
    <row r="657">
      <c r="A657" s="3">
        <f>IFERROR(__xludf.DUMMYFUNCTION("""COMPUTED_VALUE"""),38394.645833333336)</f>
        <v>38394.64583</v>
      </c>
      <c r="B657" s="2">
        <f>IFERROR(__xludf.DUMMYFUNCTION("""COMPUTED_VALUE"""),109.54)</f>
        <v>109.54</v>
      </c>
      <c r="C657" s="2">
        <f>IFERROR(__xludf.DUMMYFUNCTION("""COMPUTED_VALUE"""),111.14)</f>
        <v>111.14</v>
      </c>
      <c r="D657" s="2">
        <f>IFERROR(__xludf.DUMMYFUNCTION("""COMPUTED_VALUE"""),109.35)</f>
        <v>109.35</v>
      </c>
      <c r="E657" s="2">
        <f>IFERROR(__xludf.DUMMYFUNCTION("""COMPUTED_VALUE"""),110.21)</f>
        <v>110.21</v>
      </c>
      <c r="F657" s="2">
        <f>IFERROR(__xludf.DUMMYFUNCTION("""COMPUTED_VALUE"""),5562621.0)</f>
        <v>5562621</v>
      </c>
    </row>
    <row r="658">
      <c r="A658" s="3">
        <f>IFERROR(__xludf.DUMMYFUNCTION("""COMPUTED_VALUE"""),38397.645833333336)</f>
        <v>38397.64583</v>
      </c>
      <c r="B658" s="2">
        <f>IFERROR(__xludf.DUMMYFUNCTION("""COMPUTED_VALUE"""),111.12)</f>
        <v>111.12</v>
      </c>
      <c r="C658" s="2">
        <f>IFERROR(__xludf.DUMMYFUNCTION("""COMPUTED_VALUE"""),111.39)</f>
        <v>111.39</v>
      </c>
      <c r="D658" s="2">
        <f>IFERROR(__xludf.DUMMYFUNCTION("""COMPUTED_VALUE"""),108.49)</f>
        <v>108.49</v>
      </c>
      <c r="E658" s="2">
        <f>IFERROR(__xludf.DUMMYFUNCTION("""COMPUTED_VALUE"""),109.44)</f>
        <v>109.44</v>
      </c>
      <c r="F658" s="2">
        <f>IFERROR(__xludf.DUMMYFUNCTION("""COMPUTED_VALUE"""),3844535.0)</f>
        <v>3844535</v>
      </c>
    </row>
    <row r="659">
      <c r="A659" s="3">
        <f>IFERROR(__xludf.DUMMYFUNCTION("""COMPUTED_VALUE"""),38398.645833333336)</f>
        <v>38398.64583</v>
      </c>
      <c r="B659" s="2">
        <f>IFERROR(__xludf.DUMMYFUNCTION("""COMPUTED_VALUE"""),109.46)</f>
        <v>109.46</v>
      </c>
      <c r="C659" s="2">
        <f>IFERROR(__xludf.DUMMYFUNCTION("""COMPUTED_VALUE"""),109.46)</f>
        <v>109.46</v>
      </c>
      <c r="D659" s="2">
        <f>IFERROR(__xludf.DUMMYFUNCTION("""COMPUTED_VALUE"""),107.82)</f>
        <v>107.82</v>
      </c>
      <c r="E659" s="2">
        <f>IFERROR(__xludf.DUMMYFUNCTION("""COMPUTED_VALUE"""),108.56)</f>
        <v>108.56</v>
      </c>
      <c r="F659" s="2">
        <f>IFERROR(__xludf.DUMMYFUNCTION("""COMPUTED_VALUE"""),3379078.0)</f>
        <v>3379078</v>
      </c>
    </row>
    <row r="660">
      <c r="A660" s="3">
        <f>IFERROR(__xludf.DUMMYFUNCTION("""COMPUTED_VALUE"""),38399.645833333336)</f>
        <v>38399.64583</v>
      </c>
      <c r="B660" s="2">
        <f>IFERROR(__xludf.DUMMYFUNCTION("""COMPUTED_VALUE"""),108.53)</f>
        <v>108.53</v>
      </c>
      <c r="C660" s="2">
        <f>IFERROR(__xludf.DUMMYFUNCTION("""COMPUTED_VALUE"""),109.51)</f>
        <v>109.51</v>
      </c>
      <c r="D660" s="2">
        <f>IFERROR(__xludf.DUMMYFUNCTION("""COMPUTED_VALUE"""),107.13)</f>
        <v>107.13</v>
      </c>
      <c r="E660" s="2">
        <f>IFERROR(__xludf.DUMMYFUNCTION("""COMPUTED_VALUE"""),107.72)</f>
        <v>107.72</v>
      </c>
      <c r="F660" s="2">
        <f>IFERROR(__xludf.DUMMYFUNCTION("""COMPUTED_VALUE"""),3589822.0)</f>
        <v>3589822</v>
      </c>
    </row>
    <row r="661">
      <c r="A661" s="3">
        <f>IFERROR(__xludf.DUMMYFUNCTION("""COMPUTED_VALUE"""),38400.645833333336)</f>
        <v>38400.64583</v>
      </c>
      <c r="B661" s="2">
        <f>IFERROR(__xludf.DUMMYFUNCTION("""COMPUTED_VALUE"""),107.92)</f>
        <v>107.92</v>
      </c>
      <c r="C661" s="2">
        <f>IFERROR(__xludf.DUMMYFUNCTION("""COMPUTED_VALUE"""),108.27)</f>
        <v>108.27</v>
      </c>
      <c r="D661" s="2">
        <f>IFERROR(__xludf.DUMMYFUNCTION("""COMPUTED_VALUE"""),106.74)</f>
        <v>106.74</v>
      </c>
      <c r="E661" s="2">
        <f>IFERROR(__xludf.DUMMYFUNCTION("""COMPUTED_VALUE"""),107.89)</f>
        <v>107.89</v>
      </c>
      <c r="F661" s="2">
        <f>IFERROR(__xludf.DUMMYFUNCTION("""COMPUTED_VALUE"""),3365895.0)</f>
        <v>3365895</v>
      </c>
    </row>
    <row r="662">
      <c r="A662" s="3">
        <f>IFERROR(__xludf.DUMMYFUNCTION("""COMPUTED_VALUE"""),38401.645833333336)</f>
        <v>38401.64583</v>
      </c>
      <c r="B662" s="2">
        <f>IFERROR(__xludf.DUMMYFUNCTION("""COMPUTED_VALUE"""),107.92)</f>
        <v>107.92</v>
      </c>
      <c r="C662" s="2">
        <f>IFERROR(__xludf.DUMMYFUNCTION("""COMPUTED_VALUE"""),109.29)</f>
        <v>109.29</v>
      </c>
      <c r="D662" s="2">
        <f>IFERROR(__xludf.DUMMYFUNCTION("""COMPUTED_VALUE"""),106.93)</f>
        <v>106.93</v>
      </c>
      <c r="E662" s="2">
        <f>IFERROR(__xludf.DUMMYFUNCTION("""COMPUTED_VALUE"""),107.55)</f>
        <v>107.55</v>
      </c>
      <c r="F662" s="2">
        <f>IFERROR(__xludf.DUMMYFUNCTION("""COMPUTED_VALUE"""),4333745.0)</f>
        <v>4333745</v>
      </c>
    </row>
    <row r="663">
      <c r="A663" s="3">
        <f>IFERROR(__xludf.DUMMYFUNCTION("""COMPUTED_VALUE"""),38404.645833333336)</f>
        <v>38404.64583</v>
      </c>
      <c r="B663" s="2">
        <f>IFERROR(__xludf.DUMMYFUNCTION("""COMPUTED_VALUE"""),107.56)</f>
        <v>107.56</v>
      </c>
      <c r="C663" s="2">
        <f>IFERROR(__xludf.DUMMYFUNCTION("""COMPUTED_VALUE"""),108.48)</f>
        <v>108.48</v>
      </c>
      <c r="D663" s="2">
        <f>IFERROR(__xludf.DUMMYFUNCTION("""COMPUTED_VALUE"""),107.03)</f>
        <v>107.03</v>
      </c>
      <c r="E663" s="2">
        <f>IFERROR(__xludf.DUMMYFUNCTION("""COMPUTED_VALUE"""),107.61)</f>
        <v>107.61</v>
      </c>
      <c r="F663" s="2">
        <f>IFERROR(__xludf.DUMMYFUNCTION("""COMPUTED_VALUE"""),3352414.0)</f>
        <v>3352414</v>
      </c>
    </row>
    <row r="664">
      <c r="A664" s="3">
        <f>IFERROR(__xludf.DUMMYFUNCTION("""COMPUTED_VALUE"""),38405.645833333336)</f>
        <v>38405.64583</v>
      </c>
      <c r="B664" s="2">
        <f>IFERROR(__xludf.DUMMYFUNCTION("""COMPUTED_VALUE"""),107.51)</f>
        <v>107.51</v>
      </c>
      <c r="C664" s="2">
        <f>IFERROR(__xludf.DUMMYFUNCTION("""COMPUTED_VALUE"""),108.99)</f>
        <v>108.99</v>
      </c>
      <c r="D664" s="2">
        <f>IFERROR(__xludf.DUMMYFUNCTION("""COMPUTED_VALUE"""),107.12)</f>
        <v>107.12</v>
      </c>
      <c r="E664" s="2">
        <f>IFERROR(__xludf.DUMMYFUNCTION("""COMPUTED_VALUE"""),108.63)</f>
        <v>108.63</v>
      </c>
      <c r="F664" s="2">
        <f>IFERROR(__xludf.DUMMYFUNCTION("""COMPUTED_VALUE"""),4257283.0)</f>
        <v>4257283</v>
      </c>
    </row>
    <row r="665">
      <c r="A665" s="3">
        <f>IFERROR(__xludf.DUMMYFUNCTION("""COMPUTED_VALUE"""),38406.645833333336)</f>
        <v>38406.64583</v>
      </c>
      <c r="B665" s="2">
        <f>IFERROR(__xludf.DUMMYFUNCTION("""COMPUTED_VALUE"""),108.66)</f>
        <v>108.66</v>
      </c>
      <c r="C665" s="2">
        <f>IFERROR(__xludf.DUMMYFUNCTION("""COMPUTED_VALUE"""),110.74)</f>
        <v>110.74</v>
      </c>
      <c r="D665" s="2">
        <f>IFERROR(__xludf.DUMMYFUNCTION("""COMPUTED_VALUE"""),108.66)</f>
        <v>108.66</v>
      </c>
      <c r="E665" s="2">
        <f>IFERROR(__xludf.DUMMYFUNCTION("""COMPUTED_VALUE"""),110.39)</f>
        <v>110.39</v>
      </c>
      <c r="F665" s="2">
        <f>IFERROR(__xludf.DUMMYFUNCTION("""COMPUTED_VALUE"""),5568923.0)</f>
        <v>5568923</v>
      </c>
    </row>
    <row r="666">
      <c r="A666" s="3">
        <f>IFERROR(__xludf.DUMMYFUNCTION("""COMPUTED_VALUE"""),38407.645833333336)</f>
        <v>38407.64583</v>
      </c>
      <c r="B666" s="2">
        <f>IFERROR(__xludf.DUMMYFUNCTION("""COMPUTED_VALUE"""),110.8)</f>
        <v>110.8</v>
      </c>
      <c r="C666" s="2">
        <f>IFERROR(__xludf.DUMMYFUNCTION("""COMPUTED_VALUE"""),111.44)</f>
        <v>111.44</v>
      </c>
      <c r="D666" s="2">
        <f>IFERROR(__xludf.DUMMYFUNCTION("""COMPUTED_VALUE"""),109.85)</f>
        <v>109.85</v>
      </c>
      <c r="E666" s="2">
        <f>IFERROR(__xludf.DUMMYFUNCTION("""COMPUTED_VALUE"""),110.13)</f>
        <v>110.13</v>
      </c>
      <c r="F666" s="2">
        <f>IFERROR(__xludf.DUMMYFUNCTION("""COMPUTED_VALUE"""),4971064.0)</f>
        <v>4971064</v>
      </c>
    </row>
    <row r="667">
      <c r="A667" s="3">
        <f>IFERROR(__xludf.DUMMYFUNCTION("""COMPUTED_VALUE"""),38408.645833333336)</f>
        <v>38408.64583</v>
      </c>
      <c r="B667" s="2">
        <f>IFERROR(__xludf.DUMMYFUNCTION("""COMPUTED_VALUE"""),110.74)</f>
        <v>110.74</v>
      </c>
      <c r="C667" s="2">
        <f>IFERROR(__xludf.DUMMYFUNCTION("""COMPUTED_VALUE"""),110.92)</f>
        <v>110.92</v>
      </c>
      <c r="D667" s="2">
        <f>IFERROR(__xludf.DUMMYFUNCTION("""COMPUTED_VALUE"""),108.36)</f>
        <v>108.36</v>
      </c>
      <c r="E667" s="2">
        <f>IFERROR(__xludf.DUMMYFUNCTION("""COMPUTED_VALUE"""),108.75)</f>
        <v>108.75</v>
      </c>
      <c r="F667" s="2">
        <f>IFERROR(__xludf.DUMMYFUNCTION("""COMPUTED_VALUE"""),3983640.0)</f>
        <v>3983640</v>
      </c>
    </row>
    <row r="668">
      <c r="A668" s="3">
        <f>IFERROR(__xludf.DUMMYFUNCTION("""COMPUTED_VALUE"""),38411.645833333336)</f>
        <v>38411.64583</v>
      </c>
      <c r="B668" s="2">
        <f>IFERROR(__xludf.DUMMYFUNCTION("""COMPUTED_VALUE"""),108.76)</f>
        <v>108.76</v>
      </c>
      <c r="C668" s="2">
        <f>IFERROR(__xludf.DUMMYFUNCTION("""COMPUTED_VALUE"""),112.75)</f>
        <v>112.75</v>
      </c>
      <c r="D668" s="2">
        <f>IFERROR(__xludf.DUMMYFUNCTION("""COMPUTED_VALUE"""),107.89)</f>
        <v>107.89</v>
      </c>
      <c r="E668" s="2">
        <f>IFERROR(__xludf.DUMMYFUNCTION("""COMPUTED_VALUE"""),111.99)</f>
        <v>111.99</v>
      </c>
      <c r="F668" s="2">
        <f>IFERROR(__xludf.DUMMYFUNCTION("""COMPUTED_VALUE"""),7580763.0)</f>
        <v>7580763</v>
      </c>
    </row>
    <row r="669">
      <c r="A669" s="3">
        <f>IFERROR(__xludf.DUMMYFUNCTION("""COMPUTED_VALUE"""),38412.645833333336)</f>
        <v>38412.64583</v>
      </c>
      <c r="B669" s="2">
        <f>IFERROR(__xludf.DUMMYFUNCTION("""COMPUTED_VALUE"""),112.24)</f>
        <v>112.24</v>
      </c>
      <c r="C669" s="2">
        <f>IFERROR(__xludf.DUMMYFUNCTION("""COMPUTED_VALUE"""),112.24)</f>
        <v>112.24</v>
      </c>
      <c r="D669" s="2">
        <f>IFERROR(__xludf.DUMMYFUNCTION("""COMPUTED_VALUE"""),109.63)</f>
        <v>109.63</v>
      </c>
      <c r="E669" s="2">
        <f>IFERROR(__xludf.DUMMYFUNCTION("""COMPUTED_VALUE"""),110.24)</f>
        <v>110.24</v>
      </c>
      <c r="F669" s="2">
        <f>IFERROR(__xludf.DUMMYFUNCTION("""COMPUTED_VALUE"""),4874365.0)</f>
        <v>4874365</v>
      </c>
    </row>
    <row r="670">
      <c r="A670" s="3">
        <f>IFERROR(__xludf.DUMMYFUNCTION("""COMPUTED_VALUE"""),38413.645833333336)</f>
        <v>38413.64583</v>
      </c>
      <c r="B670" s="2">
        <f>IFERROR(__xludf.DUMMYFUNCTION("""COMPUTED_VALUE"""),110.13)</f>
        <v>110.13</v>
      </c>
      <c r="C670" s="2">
        <f>IFERROR(__xludf.DUMMYFUNCTION("""COMPUTED_VALUE"""),111.13)</f>
        <v>111.13</v>
      </c>
      <c r="D670" s="2">
        <f>IFERROR(__xludf.DUMMYFUNCTION("""COMPUTED_VALUE"""),109.64)</f>
        <v>109.64</v>
      </c>
      <c r="E670" s="2">
        <f>IFERROR(__xludf.DUMMYFUNCTION("""COMPUTED_VALUE"""),110.66)</f>
        <v>110.66</v>
      </c>
      <c r="F670" s="2">
        <f>IFERROR(__xludf.DUMMYFUNCTION("""COMPUTED_VALUE"""),5196032.0)</f>
        <v>5196032</v>
      </c>
    </row>
    <row r="671">
      <c r="A671" s="3">
        <f>IFERROR(__xludf.DUMMYFUNCTION("""COMPUTED_VALUE"""),38414.645833333336)</f>
        <v>38414.64583</v>
      </c>
      <c r="B671" s="2">
        <f>IFERROR(__xludf.DUMMYFUNCTION("""COMPUTED_VALUE"""),110.78)</f>
        <v>110.78</v>
      </c>
      <c r="C671" s="2">
        <f>IFERROR(__xludf.DUMMYFUNCTION("""COMPUTED_VALUE"""),113.25)</f>
        <v>113.25</v>
      </c>
      <c r="D671" s="2">
        <f>IFERROR(__xludf.DUMMYFUNCTION("""COMPUTED_VALUE"""),110.78)</f>
        <v>110.78</v>
      </c>
      <c r="E671" s="2">
        <f>IFERROR(__xludf.DUMMYFUNCTION("""COMPUTED_VALUE"""),112.47)</f>
        <v>112.47</v>
      </c>
      <c r="F671" s="2">
        <f>IFERROR(__xludf.DUMMYFUNCTION("""COMPUTED_VALUE"""),6489464.0)</f>
        <v>6489464</v>
      </c>
    </row>
    <row r="672">
      <c r="A672" s="3">
        <f>IFERROR(__xludf.DUMMYFUNCTION("""COMPUTED_VALUE"""),38415.645833333336)</f>
        <v>38415.64583</v>
      </c>
      <c r="B672" s="2">
        <f>IFERROR(__xludf.DUMMYFUNCTION("""COMPUTED_VALUE"""),112.66)</f>
        <v>112.66</v>
      </c>
      <c r="C672" s="2">
        <f>IFERROR(__xludf.DUMMYFUNCTION("""COMPUTED_VALUE"""),115.45)</f>
        <v>115.45</v>
      </c>
      <c r="D672" s="2">
        <f>IFERROR(__xludf.DUMMYFUNCTION("""COMPUTED_VALUE"""),112.66)</f>
        <v>112.66</v>
      </c>
      <c r="E672" s="2">
        <f>IFERROR(__xludf.DUMMYFUNCTION("""COMPUTED_VALUE"""),115.17)</f>
        <v>115.17</v>
      </c>
      <c r="F672" s="2">
        <f>IFERROR(__xludf.DUMMYFUNCTION("""COMPUTED_VALUE"""),8710667.0)</f>
        <v>8710667</v>
      </c>
    </row>
    <row r="673">
      <c r="A673" s="3">
        <f>IFERROR(__xludf.DUMMYFUNCTION("""COMPUTED_VALUE"""),38418.645833333336)</f>
        <v>38418.64583</v>
      </c>
      <c r="B673" s="2">
        <f>IFERROR(__xludf.DUMMYFUNCTION("""COMPUTED_VALUE"""),111.78)</f>
        <v>111.78</v>
      </c>
      <c r="C673" s="2">
        <f>IFERROR(__xludf.DUMMYFUNCTION("""COMPUTED_VALUE"""),118.88)</f>
        <v>118.88</v>
      </c>
      <c r="D673" s="2">
        <f>IFERROR(__xludf.DUMMYFUNCTION("""COMPUTED_VALUE"""),111.78)</f>
        <v>111.78</v>
      </c>
      <c r="E673" s="2">
        <f>IFERROR(__xludf.DUMMYFUNCTION("""COMPUTED_VALUE"""),118.17)</f>
        <v>118.17</v>
      </c>
      <c r="F673" s="2">
        <f>IFERROR(__xludf.DUMMYFUNCTION("""COMPUTED_VALUE"""),7251185.0)</f>
        <v>7251185</v>
      </c>
    </row>
    <row r="674">
      <c r="A674" s="3">
        <f>IFERROR(__xludf.DUMMYFUNCTION("""COMPUTED_VALUE"""),38419.645833333336)</f>
        <v>38419.64583</v>
      </c>
      <c r="B674" s="2">
        <f>IFERROR(__xludf.DUMMYFUNCTION("""COMPUTED_VALUE"""),118.55)</f>
        <v>118.55</v>
      </c>
      <c r="C674" s="2">
        <f>IFERROR(__xludf.DUMMYFUNCTION("""COMPUTED_VALUE"""),119.52)</f>
        <v>119.52</v>
      </c>
      <c r="D674" s="2">
        <f>IFERROR(__xludf.DUMMYFUNCTION("""COMPUTED_VALUE"""),117.22)</f>
        <v>117.22</v>
      </c>
      <c r="E674" s="2">
        <f>IFERROR(__xludf.DUMMYFUNCTION("""COMPUTED_VALUE"""),119.01)</f>
        <v>119.01</v>
      </c>
      <c r="F674" s="2">
        <f>IFERROR(__xludf.DUMMYFUNCTION("""COMPUTED_VALUE"""),7242982.0)</f>
        <v>7242982</v>
      </c>
    </row>
    <row r="675">
      <c r="A675" s="3">
        <f>IFERROR(__xludf.DUMMYFUNCTION("""COMPUTED_VALUE"""),38420.645833333336)</f>
        <v>38420.64583</v>
      </c>
      <c r="B675" s="2">
        <f>IFERROR(__xludf.DUMMYFUNCTION("""COMPUTED_VALUE"""),119.81)</f>
        <v>119.81</v>
      </c>
      <c r="C675" s="2">
        <f>IFERROR(__xludf.DUMMYFUNCTION("""COMPUTED_VALUE"""),120.95)</f>
        <v>120.95</v>
      </c>
      <c r="D675" s="2">
        <f>IFERROR(__xludf.DUMMYFUNCTION("""COMPUTED_VALUE"""),117.59)</f>
        <v>117.59</v>
      </c>
      <c r="E675" s="2">
        <f>IFERROR(__xludf.DUMMYFUNCTION("""COMPUTED_VALUE"""),118.36)</f>
        <v>118.36</v>
      </c>
      <c r="F675" s="2">
        <f>IFERROR(__xludf.DUMMYFUNCTION("""COMPUTED_VALUE"""),7616622.0)</f>
        <v>7616622</v>
      </c>
    </row>
    <row r="676">
      <c r="A676" s="3">
        <f>IFERROR(__xludf.DUMMYFUNCTION("""COMPUTED_VALUE"""),38421.645833333336)</f>
        <v>38421.64583</v>
      </c>
      <c r="B676" s="2">
        <f>IFERROR(__xludf.DUMMYFUNCTION("""COMPUTED_VALUE"""),118.39)</f>
        <v>118.39</v>
      </c>
      <c r="C676" s="2">
        <f>IFERROR(__xludf.DUMMYFUNCTION("""COMPUTED_VALUE"""),120.2)</f>
        <v>120.2</v>
      </c>
      <c r="D676" s="2">
        <f>IFERROR(__xludf.DUMMYFUNCTION("""COMPUTED_VALUE"""),117.68)</f>
        <v>117.68</v>
      </c>
      <c r="E676" s="2">
        <f>IFERROR(__xludf.DUMMYFUNCTION("""COMPUTED_VALUE"""),119.59)</f>
        <v>119.59</v>
      </c>
      <c r="F676" s="2">
        <f>IFERROR(__xludf.DUMMYFUNCTION("""COMPUTED_VALUE"""),5397416.0)</f>
        <v>5397416</v>
      </c>
    </row>
    <row r="677">
      <c r="A677" s="3">
        <f>IFERROR(__xludf.DUMMYFUNCTION("""COMPUTED_VALUE"""),38422.645833333336)</f>
        <v>38422.64583</v>
      </c>
      <c r="B677" s="2">
        <f>IFERROR(__xludf.DUMMYFUNCTION("""COMPUTED_VALUE"""),120.0)</f>
        <v>120</v>
      </c>
      <c r="C677" s="2">
        <f>IFERROR(__xludf.DUMMYFUNCTION("""COMPUTED_VALUE"""),120.96)</f>
        <v>120.96</v>
      </c>
      <c r="D677" s="2">
        <f>IFERROR(__xludf.DUMMYFUNCTION("""COMPUTED_VALUE"""),117.88)</f>
        <v>117.88</v>
      </c>
      <c r="E677" s="2">
        <f>IFERROR(__xludf.DUMMYFUNCTION("""COMPUTED_VALUE"""),118.38)</f>
        <v>118.38</v>
      </c>
      <c r="F677" s="2">
        <f>IFERROR(__xludf.DUMMYFUNCTION("""COMPUTED_VALUE"""),5910172.0)</f>
        <v>5910172</v>
      </c>
    </row>
    <row r="678">
      <c r="A678" s="3">
        <f>IFERROR(__xludf.DUMMYFUNCTION("""COMPUTED_VALUE"""),38425.645833333336)</f>
        <v>38425.64583</v>
      </c>
      <c r="B678" s="2">
        <f>IFERROR(__xludf.DUMMYFUNCTION("""COMPUTED_VALUE"""),118.24)</f>
        <v>118.24</v>
      </c>
      <c r="C678" s="2">
        <f>IFERROR(__xludf.DUMMYFUNCTION("""COMPUTED_VALUE"""),119.17)</f>
        <v>119.17</v>
      </c>
      <c r="D678" s="2">
        <f>IFERROR(__xludf.DUMMYFUNCTION("""COMPUTED_VALUE"""),115.98)</f>
        <v>115.98</v>
      </c>
      <c r="E678" s="2">
        <f>IFERROR(__xludf.DUMMYFUNCTION("""COMPUTED_VALUE"""),116.57)</f>
        <v>116.57</v>
      </c>
      <c r="F678" s="2">
        <f>IFERROR(__xludf.DUMMYFUNCTION("""COMPUTED_VALUE"""),3534086.0)</f>
        <v>3534086</v>
      </c>
    </row>
    <row r="679">
      <c r="A679" s="3">
        <f>IFERROR(__xludf.DUMMYFUNCTION("""COMPUTED_VALUE"""),38426.645833333336)</f>
        <v>38426.64583</v>
      </c>
      <c r="B679" s="2">
        <f>IFERROR(__xludf.DUMMYFUNCTION("""COMPUTED_VALUE"""),116.78)</f>
        <v>116.78</v>
      </c>
      <c r="C679" s="2">
        <f>IFERROR(__xludf.DUMMYFUNCTION("""COMPUTED_VALUE"""),117.6)</f>
        <v>117.6</v>
      </c>
      <c r="D679" s="2">
        <f>IFERROR(__xludf.DUMMYFUNCTION("""COMPUTED_VALUE"""),114.6)</f>
        <v>114.6</v>
      </c>
      <c r="E679" s="2">
        <f>IFERROR(__xludf.DUMMYFUNCTION("""COMPUTED_VALUE"""),114.93)</f>
        <v>114.93</v>
      </c>
      <c r="F679" s="2">
        <f>IFERROR(__xludf.DUMMYFUNCTION("""COMPUTED_VALUE"""),5005254.0)</f>
        <v>5005254</v>
      </c>
    </row>
    <row r="680">
      <c r="A680" s="3">
        <f>IFERROR(__xludf.DUMMYFUNCTION("""COMPUTED_VALUE"""),38427.645833333336)</f>
        <v>38427.64583</v>
      </c>
      <c r="B680" s="2">
        <f>IFERROR(__xludf.DUMMYFUNCTION("""COMPUTED_VALUE"""),114.97)</f>
        <v>114.97</v>
      </c>
      <c r="C680" s="2">
        <f>IFERROR(__xludf.DUMMYFUNCTION("""COMPUTED_VALUE"""),116.33)</f>
        <v>116.33</v>
      </c>
      <c r="D680" s="2">
        <f>IFERROR(__xludf.DUMMYFUNCTION("""COMPUTED_VALUE"""),114.28)</f>
        <v>114.28</v>
      </c>
      <c r="E680" s="2">
        <f>IFERROR(__xludf.DUMMYFUNCTION("""COMPUTED_VALUE"""),115.63)</f>
        <v>115.63</v>
      </c>
      <c r="F680" s="2">
        <f>IFERROR(__xludf.DUMMYFUNCTION("""COMPUTED_VALUE"""),4275833.0)</f>
        <v>4275833</v>
      </c>
    </row>
    <row r="681">
      <c r="A681" s="3">
        <f>IFERROR(__xludf.DUMMYFUNCTION("""COMPUTED_VALUE"""),38428.645833333336)</f>
        <v>38428.64583</v>
      </c>
      <c r="B681" s="2">
        <f>IFERROR(__xludf.DUMMYFUNCTION("""COMPUTED_VALUE"""),114.56)</f>
        <v>114.56</v>
      </c>
      <c r="C681" s="2">
        <f>IFERROR(__xludf.DUMMYFUNCTION("""COMPUTED_VALUE"""),115.73)</f>
        <v>115.73</v>
      </c>
      <c r="D681" s="2">
        <f>IFERROR(__xludf.DUMMYFUNCTION("""COMPUTED_VALUE"""),112.4)</f>
        <v>112.4</v>
      </c>
      <c r="E681" s="2">
        <f>IFERROR(__xludf.DUMMYFUNCTION("""COMPUTED_VALUE"""),113.25)</f>
        <v>113.25</v>
      </c>
      <c r="F681" s="2">
        <f>IFERROR(__xludf.DUMMYFUNCTION("""COMPUTED_VALUE"""),4647394.0)</f>
        <v>4647394</v>
      </c>
    </row>
    <row r="682">
      <c r="A682" s="3">
        <f>IFERROR(__xludf.DUMMYFUNCTION("""COMPUTED_VALUE"""),38429.645833333336)</f>
        <v>38429.64583</v>
      </c>
      <c r="B682" s="2">
        <f>IFERROR(__xludf.DUMMYFUNCTION("""COMPUTED_VALUE"""),112.75)</f>
        <v>112.75</v>
      </c>
      <c r="C682" s="2">
        <f>IFERROR(__xludf.DUMMYFUNCTION("""COMPUTED_VALUE"""),115.55)</f>
        <v>115.55</v>
      </c>
      <c r="D682" s="2">
        <f>IFERROR(__xludf.DUMMYFUNCTION("""COMPUTED_VALUE"""),111.77)</f>
        <v>111.77</v>
      </c>
      <c r="E682" s="2">
        <f>IFERROR(__xludf.DUMMYFUNCTION("""COMPUTED_VALUE"""),115.13)</f>
        <v>115.13</v>
      </c>
      <c r="F682" s="2">
        <f>IFERROR(__xludf.DUMMYFUNCTION("""COMPUTED_VALUE"""),4802555.0)</f>
        <v>4802555</v>
      </c>
    </row>
    <row r="683">
      <c r="A683" s="3">
        <f>IFERROR(__xludf.DUMMYFUNCTION("""COMPUTED_VALUE"""),38432.645833333336)</f>
        <v>38432.64583</v>
      </c>
      <c r="B683" s="2">
        <f>IFERROR(__xludf.DUMMYFUNCTION("""COMPUTED_VALUE"""),115.36)</f>
        <v>115.36</v>
      </c>
      <c r="C683" s="2">
        <f>IFERROR(__xludf.DUMMYFUNCTION("""COMPUTED_VALUE"""),116.13)</f>
        <v>116.13</v>
      </c>
      <c r="D683" s="2">
        <f>IFERROR(__xludf.DUMMYFUNCTION("""COMPUTED_VALUE"""),112.35)</f>
        <v>112.35</v>
      </c>
      <c r="E683" s="2">
        <f>IFERROR(__xludf.DUMMYFUNCTION("""COMPUTED_VALUE"""),112.69)</f>
        <v>112.69</v>
      </c>
      <c r="F683" s="2">
        <f>IFERROR(__xludf.DUMMYFUNCTION("""COMPUTED_VALUE"""),2731618.0)</f>
        <v>2731618</v>
      </c>
    </row>
    <row r="684">
      <c r="A684" s="3">
        <f>IFERROR(__xludf.DUMMYFUNCTION("""COMPUTED_VALUE"""),38433.645833333336)</f>
        <v>38433.64583</v>
      </c>
      <c r="B684" s="2">
        <f>IFERROR(__xludf.DUMMYFUNCTION("""COMPUTED_VALUE"""),112.57)</f>
        <v>112.57</v>
      </c>
      <c r="C684" s="2">
        <f>IFERROR(__xludf.DUMMYFUNCTION("""COMPUTED_VALUE"""),112.87)</f>
        <v>112.87</v>
      </c>
      <c r="D684" s="2">
        <f>IFERROR(__xludf.DUMMYFUNCTION("""COMPUTED_VALUE"""),108.94)</f>
        <v>108.94</v>
      </c>
      <c r="E684" s="2">
        <f>IFERROR(__xludf.DUMMYFUNCTION("""COMPUTED_VALUE"""),109.67)</f>
        <v>109.67</v>
      </c>
      <c r="F684" s="2">
        <f>IFERROR(__xludf.DUMMYFUNCTION("""COMPUTED_VALUE"""),4768019.0)</f>
        <v>4768019</v>
      </c>
    </row>
    <row r="685">
      <c r="A685" s="3">
        <f>IFERROR(__xludf.DUMMYFUNCTION("""COMPUTED_VALUE"""),38434.645833333336)</f>
        <v>38434.64583</v>
      </c>
      <c r="B685" s="2">
        <f>IFERROR(__xludf.DUMMYFUNCTION("""COMPUTED_VALUE"""),109.53)</f>
        <v>109.53</v>
      </c>
      <c r="C685" s="2">
        <f>IFERROR(__xludf.DUMMYFUNCTION("""COMPUTED_VALUE"""),114.74)</f>
        <v>114.74</v>
      </c>
      <c r="D685" s="2">
        <f>IFERROR(__xludf.DUMMYFUNCTION("""COMPUTED_VALUE"""),108.58)</f>
        <v>108.58</v>
      </c>
      <c r="E685" s="2">
        <f>IFERROR(__xludf.DUMMYFUNCTION("""COMPUTED_VALUE"""),111.29)</f>
        <v>111.29</v>
      </c>
      <c r="F685" s="2">
        <f>IFERROR(__xludf.DUMMYFUNCTION("""COMPUTED_VALUE"""),1.3640236E7)</f>
        <v>13640236</v>
      </c>
    </row>
    <row r="686">
      <c r="A686" s="3">
        <f>IFERROR(__xludf.DUMMYFUNCTION("""COMPUTED_VALUE"""),38435.645833333336)</f>
        <v>38435.64583</v>
      </c>
      <c r="B686" s="2">
        <f>IFERROR(__xludf.DUMMYFUNCTION("""COMPUTED_VALUE"""),111.74)</f>
        <v>111.74</v>
      </c>
      <c r="C686" s="2">
        <f>IFERROR(__xludf.DUMMYFUNCTION("""COMPUTED_VALUE"""),114.24)</f>
        <v>114.24</v>
      </c>
      <c r="D686" s="2">
        <f>IFERROR(__xludf.DUMMYFUNCTION("""COMPUTED_VALUE"""),111.74)</f>
        <v>111.74</v>
      </c>
      <c r="E686" s="2">
        <f>IFERROR(__xludf.DUMMYFUNCTION("""COMPUTED_VALUE"""),112.75)</f>
        <v>112.75</v>
      </c>
      <c r="F686" s="2">
        <f>IFERROR(__xludf.DUMMYFUNCTION("""COMPUTED_VALUE"""),8069883.0)</f>
        <v>8069883</v>
      </c>
    </row>
    <row r="687">
      <c r="A687" s="3">
        <f>IFERROR(__xludf.DUMMYFUNCTION("""COMPUTED_VALUE"""),38439.645833333336)</f>
        <v>38439.64583</v>
      </c>
      <c r="B687" s="2">
        <f>IFERROR(__xludf.DUMMYFUNCTION("""COMPUTED_VALUE"""),113.15)</f>
        <v>113.15</v>
      </c>
      <c r="C687" s="2">
        <f>IFERROR(__xludf.DUMMYFUNCTION("""COMPUTED_VALUE"""),115.43)</f>
        <v>115.43</v>
      </c>
      <c r="D687" s="2">
        <f>IFERROR(__xludf.DUMMYFUNCTION("""COMPUTED_VALUE"""),113.05)</f>
        <v>113.05</v>
      </c>
      <c r="E687" s="2">
        <f>IFERROR(__xludf.DUMMYFUNCTION("""COMPUTED_VALUE"""),113.98)</f>
        <v>113.98</v>
      </c>
      <c r="F687" s="2">
        <f>IFERROR(__xludf.DUMMYFUNCTION("""COMPUTED_VALUE"""),4037567.0)</f>
        <v>4037567</v>
      </c>
    </row>
    <row r="688">
      <c r="A688" s="3">
        <f>IFERROR(__xludf.DUMMYFUNCTION("""COMPUTED_VALUE"""),38440.645833333336)</f>
        <v>38440.64583</v>
      </c>
      <c r="B688" s="2">
        <f>IFERROR(__xludf.DUMMYFUNCTION("""COMPUTED_VALUE"""),114.16)</f>
        <v>114.16</v>
      </c>
      <c r="C688" s="2">
        <f>IFERROR(__xludf.DUMMYFUNCTION("""COMPUTED_VALUE"""),114.34)</f>
        <v>114.34</v>
      </c>
      <c r="D688" s="2">
        <f>IFERROR(__xludf.DUMMYFUNCTION("""COMPUTED_VALUE"""),109.75)</f>
        <v>109.75</v>
      </c>
      <c r="E688" s="2">
        <f>IFERROR(__xludf.DUMMYFUNCTION("""COMPUTED_VALUE"""),110.56)</f>
        <v>110.56</v>
      </c>
      <c r="F688" s="2">
        <f>IFERROR(__xludf.DUMMYFUNCTION("""COMPUTED_VALUE"""),4771867.0)</f>
        <v>4771867</v>
      </c>
    </row>
    <row r="689">
      <c r="A689" s="3">
        <f>IFERROR(__xludf.DUMMYFUNCTION("""COMPUTED_VALUE"""),38441.645833333336)</f>
        <v>38441.64583</v>
      </c>
      <c r="B689" s="2">
        <f>IFERROR(__xludf.DUMMYFUNCTION("""COMPUTED_VALUE"""),110.33)</f>
        <v>110.33</v>
      </c>
      <c r="C689" s="2">
        <f>IFERROR(__xludf.DUMMYFUNCTION("""COMPUTED_VALUE"""),111.68)</f>
        <v>111.68</v>
      </c>
      <c r="D689" s="2">
        <f>IFERROR(__xludf.DUMMYFUNCTION("""COMPUTED_VALUE"""),108.54)</f>
        <v>108.54</v>
      </c>
      <c r="E689" s="2">
        <f>IFERROR(__xludf.DUMMYFUNCTION("""COMPUTED_VALUE"""),109.36)</f>
        <v>109.36</v>
      </c>
      <c r="F689" s="2">
        <f>IFERROR(__xludf.DUMMYFUNCTION("""COMPUTED_VALUE"""),5789149.0)</f>
        <v>5789149</v>
      </c>
    </row>
    <row r="690">
      <c r="A690" s="3">
        <f>IFERROR(__xludf.DUMMYFUNCTION("""COMPUTED_VALUE"""),38442.645833333336)</f>
        <v>38442.64583</v>
      </c>
      <c r="B690" s="2">
        <f>IFERROR(__xludf.DUMMYFUNCTION("""COMPUTED_VALUE"""),109.75)</f>
        <v>109.75</v>
      </c>
      <c r="C690" s="2">
        <f>IFERROR(__xludf.DUMMYFUNCTION("""COMPUTED_VALUE"""),111.42)</f>
        <v>111.42</v>
      </c>
      <c r="D690" s="2">
        <f>IFERROR(__xludf.DUMMYFUNCTION("""COMPUTED_VALUE"""),109.44)</f>
        <v>109.44</v>
      </c>
      <c r="E690" s="2">
        <f>IFERROR(__xludf.DUMMYFUNCTION("""COMPUTED_VALUE"""),109.94)</f>
        <v>109.94</v>
      </c>
      <c r="F690" s="2">
        <f>IFERROR(__xludf.DUMMYFUNCTION("""COMPUTED_VALUE"""),6305110.0)</f>
        <v>6305110</v>
      </c>
    </row>
    <row r="691">
      <c r="A691" s="3">
        <f>IFERROR(__xludf.DUMMYFUNCTION("""COMPUTED_VALUE"""),38443.645833333336)</f>
        <v>38443.64583</v>
      </c>
      <c r="B691" s="2">
        <f>IFERROR(__xludf.DUMMYFUNCTION("""COMPUTED_VALUE"""),112.15)</f>
        <v>112.15</v>
      </c>
      <c r="C691" s="2">
        <f>IFERROR(__xludf.DUMMYFUNCTION("""COMPUTED_VALUE"""),114.08)</f>
        <v>114.08</v>
      </c>
      <c r="D691" s="2">
        <f>IFERROR(__xludf.DUMMYFUNCTION("""COMPUTED_VALUE"""),110.31)</f>
        <v>110.31</v>
      </c>
      <c r="E691" s="2">
        <f>IFERROR(__xludf.DUMMYFUNCTION("""COMPUTED_VALUE"""),113.68)</f>
        <v>113.68</v>
      </c>
      <c r="F691" s="2">
        <f>IFERROR(__xludf.DUMMYFUNCTION("""COMPUTED_VALUE"""),5027975.0)</f>
        <v>5027975</v>
      </c>
    </row>
    <row r="692">
      <c r="A692" s="3">
        <f>IFERROR(__xludf.DUMMYFUNCTION("""COMPUTED_VALUE"""),38446.645833333336)</f>
        <v>38446.64583</v>
      </c>
      <c r="B692" s="2">
        <f>IFERROR(__xludf.DUMMYFUNCTION("""COMPUTED_VALUE"""),114.16)</f>
        <v>114.16</v>
      </c>
      <c r="C692" s="2">
        <f>IFERROR(__xludf.DUMMYFUNCTION("""COMPUTED_VALUE"""),114.47)</f>
        <v>114.47</v>
      </c>
      <c r="D692" s="2">
        <f>IFERROR(__xludf.DUMMYFUNCTION("""COMPUTED_VALUE"""),112.57)</f>
        <v>112.57</v>
      </c>
      <c r="E692" s="2">
        <f>IFERROR(__xludf.DUMMYFUNCTION("""COMPUTED_VALUE"""),113.76)</f>
        <v>113.76</v>
      </c>
      <c r="F692" s="2">
        <f>IFERROR(__xludf.DUMMYFUNCTION("""COMPUTED_VALUE"""),3448867.0)</f>
        <v>3448867</v>
      </c>
    </row>
    <row r="693">
      <c r="A693" s="3">
        <f>IFERROR(__xludf.DUMMYFUNCTION("""COMPUTED_VALUE"""),38447.645833333336)</f>
        <v>38447.64583</v>
      </c>
      <c r="B693" s="2">
        <f>IFERROR(__xludf.DUMMYFUNCTION("""COMPUTED_VALUE"""),113.95)</f>
        <v>113.95</v>
      </c>
      <c r="C693" s="2">
        <f>IFERROR(__xludf.DUMMYFUNCTION("""COMPUTED_VALUE"""),114.72)</f>
        <v>114.72</v>
      </c>
      <c r="D693" s="2">
        <f>IFERROR(__xludf.DUMMYFUNCTION("""COMPUTED_VALUE"""),111.45)</f>
        <v>111.45</v>
      </c>
      <c r="E693" s="2">
        <f>IFERROR(__xludf.DUMMYFUNCTION("""COMPUTED_VALUE"""),111.95)</f>
        <v>111.95</v>
      </c>
      <c r="F693" s="2">
        <f>IFERROR(__xludf.DUMMYFUNCTION("""COMPUTED_VALUE"""),3895664.0)</f>
        <v>3895664</v>
      </c>
    </row>
    <row r="694">
      <c r="A694" s="3">
        <f>IFERROR(__xludf.DUMMYFUNCTION("""COMPUTED_VALUE"""),38448.645833333336)</f>
        <v>38448.64583</v>
      </c>
      <c r="B694" s="2">
        <f>IFERROR(__xludf.DUMMYFUNCTION("""COMPUTED_VALUE"""),112.35)</f>
        <v>112.35</v>
      </c>
      <c r="C694" s="2">
        <f>IFERROR(__xludf.DUMMYFUNCTION("""COMPUTED_VALUE"""),115.34)</f>
        <v>115.34</v>
      </c>
      <c r="D694" s="2">
        <f>IFERROR(__xludf.DUMMYFUNCTION("""COMPUTED_VALUE"""),112.35)</f>
        <v>112.35</v>
      </c>
      <c r="E694" s="2">
        <f>IFERROR(__xludf.DUMMYFUNCTION("""COMPUTED_VALUE"""),115.08)</f>
        <v>115.08</v>
      </c>
      <c r="F694" s="2">
        <f>IFERROR(__xludf.DUMMYFUNCTION("""COMPUTED_VALUE"""),4393667.0)</f>
        <v>4393667</v>
      </c>
    </row>
    <row r="695">
      <c r="A695" s="3">
        <f>IFERROR(__xludf.DUMMYFUNCTION("""COMPUTED_VALUE"""),38449.645833333336)</f>
        <v>38449.64583</v>
      </c>
      <c r="B695" s="2">
        <f>IFERROR(__xludf.DUMMYFUNCTION("""COMPUTED_VALUE"""),115.34)</f>
        <v>115.34</v>
      </c>
      <c r="C695" s="2">
        <f>IFERROR(__xludf.DUMMYFUNCTION("""COMPUTED_VALUE"""),116.15)</f>
        <v>116.15</v>
      </c>
      <c r="D695" s="2">
        <f>IFERROR(__xludf.DUMMYFUNCTION("""COMPUTED_VALUE"""),113.46)</f>
        <v>113.46</v>
      </c>
      <c r="E695" s="2">
        <f>IFERROR(__xludf.DUMMYFUNCTION("""COMPUTED_VALUE"""),113.85)</f>
        <v>113.85</v>
      </c>
      <c r="F695" s="2">
        <f>IFERROR(__xludf.DUMMYFUNCTION("""COMPUTED_VALUE"""),3651592.0)</f>
        <v>3651592</v>
      </c>
    </row>
    <row r="696">
      <c r="A696" s="3">
        <f>IFERROR(__xludf.DUMMYFUNCTION("""COMPUTED_VALUE"""),38450.645833333336)</f>
        <v>38450.64583</v>
      </c>
      <c r="B696" s="2">
        <f>IFERROR(__xludf.DUMMYFUNCTION("""COMPUTED_VALUE"""),114.16)</f>
        <v>114.16</v>
      </c>
      <c r="C696" s="2">
        <f>IFERROR(__xludf.DUMMYFUNCTION("""COMPUTED_VALUE"""),114.36)</f>
        <v>114.36</v>
      </c>
      <c r="D696" s="2">
        <f>IFERROR(__xludf.DUMMYFUNCTION("""COMPUTED_VALUE"""),111.42)</f>
        <v>111.42</v>
      </c>
      <c r="E696" s="2">
        <f>IFERROR(__xludf.DUMMYFUNCTION("""COMPUTED_VALUE"""),112.11)</f>
        <v>112.11</v>
      </c>
      <c r="F696" s="2">
        <f>IFERROR(__xludf.DUMMYFUNCTION("""COMPUTED_VALUE"""),3359996.0)</f>
        <v>3359996</v>
      </c>
    </row>
    <row r="697">
      <c r="A697" s="3">
        <f>IFERROR(__xludf.DUMMYFUNCTION("""COMPUTED_VALUE"""),38453.645833333336)</f>
        <v>38453.64583</v>
      </c>
      <c r="B697" s="2">
        <f>IFERROR(__xludf.DUMMYFUNCTION("""COMPUTED_VALUE"""),112.15)</f>
        <v>112.15</v>
      </c>
      <c r="C697" s="2">
        <f>IFERROR(__xludf.DUMMYFUNCTION("""COMPUTED_VALUE"""),112.15)</f>
        <v>112.15</v>
      </c>
      <c r="D697" s="2">
        <f>IFERROR(__xludf.DUMMYFUNCTION("""COMPUTED_VALUE"""),109.73)</f>
        <v>109.73</v>
      </c>
      <c r="E697" s="2">
        <f>IFERROR(__xludf.DUMMYFUNCTION("""COMPUTED_VALUE"""),110.2)</f>
        <v>110.2</v>
      </c>
      <c r="F697" s="2">
        <f>IFERROR(__xludf.DUMMYFUNCTION("""COMPUTED_VALUE"""),1865509.0)</f>
        <v>1865509</v>
      </c>
    </row>
    <row r="698">
      <c r="A698" s="3">
        <f>IFERROR(__xludf.DUMMYFUNCTION("""COMPUTED_VALUE"""),38454.645833333336)</f>
        <v>38454.64583</v>
      </c>
      <c r="B698" s="2">
        <f>IFERROR(__xludf.DUMMYFUNCTION("""COMPUTED_VALUE"""),110.37)</f>
        <v>110.37</v>
      </c>
      <c r="C698" s="2">
        <f>IFERROR(__xludf.DUMMYFUNCTION("""COMPUTED_VALUE"""),111.21)</f>
        <v>111.21</v>
      </c>
      <c r="D698" s="2">
        <f>IFERROR(__xludf.DUMMYFUNCTION("""COMPUTED_VALUE"""),109.73)</f>
        <v>109.73</v>
      </c>
      <c r="E698" s="2">
        <f>IFERROR(__xludf.DUMMYFUNCTION("""COMPUTED_VALUE"""),110.47)</f>
        <v>110.47</v>
      </c>
      <c r="F698" s="2">
        <f>IFERROR(__xludf.DUMMYFUNCTION("""COMPUTED_VALUE"""),3331744.0)</f>
        <v>3331744</v>
      </c>
    </row>
    <row r="699">
      <c r="A699" s="3">
        <f>IFERROR(__xludf.DUMMYFUNCTION("""COMPUTED_VALUE"""),38455.645833333336)</f>
        <v>38455.64583</v>
      </c>
      <c r="B699" s="2">
        <f>IFERROR(__xludf.DUMMYFUNCTION("""COMPUTED_VALUE"""),110.94)</f>
        <v>110.94</v>
      </c>
      <c r="C699" s="2">
        <f>IFERROR(__xludf.DUMMYFUNCTION("""COMPUTED_VALUE"""),111.3)</f>
        <v>111.3</v>
      </c>
      <c r="D699" s="2">
        <f>IFERROR(__xludf.DUMMYFUNCTION("""COMPUTED_VALUE"""),109.32)</f>
        <v>109.32</v>
      </c>
      <c r="E699" s="2">
        <f>IFERROR(__xludf.DUMMYFUNCTION("""COMPUTED_VALUE"""),109.84)</f>
        <v>109.84</v>
      </c>
      <c r="F699" s="2">
        <f>IFERROR(__xludf.DUMMYFUNCTION("""COMPUTED_VALUE"""),2069914.0)</f>
        <v>2069914</v>
      </c>
    </row>
    <row r="700">
      <c r="A700" s="3">
        <f>IFERROR(__xludf.DUMMYFUNCTION("""COMPUTED_VALUE"""),38457.645833333336)</f>
        <v>38457.64583</v>
      </c>
      <c r="B700" s="2">
        <f>IFERROR(__xludf.DUMMYFUNCTION("""COMPUTED_VALUE"""),109.51)</f>
        <v>109.51</v>
      </c>
      <c r="C700" s="2">
        <f>IFERROR(__xludf.DUMMYFUNCTION("""COMPUTED_VALUE"""),109.51)</f>
        <v>109.51</v>
      </c>
      <c r="D700" s="2">
        <f>IFERROR(__xludf.DUMMYFUNCTION("""COMPUTED_VALUE"""),105.91)</f>
        <v>105.91</v>
      </c>
      <c r="E700" s="2">
        <f>IFERROR(__xludf.DUMMYFUNCTION("""COMPUTED_VALUE"""),106.66)</f>
        <v>106.66</v>
      </c>
      <c r="F700" s="2">
        <f>IFERROR(__xludf.DUMMYFUNCTION("""COMPUTED_VALUE"""),3912912.0)</f>
        <v>3912912</v>
      </c>
    </row>
    <row r="701">
      <c r="A701" s="3">
        <f>IFERROR(__xludf.DUMMYFUNCTION("""COMPUTED_VALUE"""),38460.645833333336)</f>
        <v>38460.64583</v>
      </c>
      <c r="B701" s="2">
        <f>IFERROR(__xludf.DUMMYFUNCTION("""COMPUTED_VALUE"""),106.11)</f>
        <v>106.11</v>
      </c>
      <c r="C701" s="2">
        <f>IFERROR(__xludf.DUMMYFUNCTION("""COMPUTED_VALUE"""),106.11)</f>
        <v>106.11</v>
      </c>
      <c r="D701" s="2">
        <f>IFERROR(__xludf.DUMMYFUNCTION("""COMPUTED_VALUE"""),103.69)</f>
        <v>103.69</v>
      </c>
      <c r="E701" s="2">
        <f>IFERROR(__xludf.DUMMYFUNCTION("""COMPUTED_VALUE"""),104.4)</f>
        <v>104.4</v>
      </c>
      <c r="F701" s="2">
        <f>IFERROR(__xludf.DUMMYFUNCTION("""COMPUTED_VALUE"""),4456598.0)</f>
        <v>4456598</v>
      </c>
    </row>
    <row r="702">
      <c r="A702" s="3">
        <f>IFERROR(__xludf.DUMMYFUNCTION("""COMPUTED_VALUE"""),38461.645833333336)</f>
        <v>38461.64583</v>
      </c>
      <c r="B702" s="2">
        <f>IFERROR(__xludf.DUMMYFUNCTION("""COMPUTED_VALUE"""),105.5)</f>
        <v>105.5</v>
      </c>
      <c r="C702" s="2">
        <f>IFERROR(__xludf.DUMMYFUNCTION("""COMPUTED_VALUE"""),106.81)</f>
        <v>106.81</v>
      </c>
      <c r="D702" s="2">
        <f>IFERROR(__xludf.DUMMYFUNCTION("""COMPUTED_VALUE"""),103.08)</f>
        <v>103.08</v>
      </c>
      <c r="E702" s="2">
        <f>IFERROR(__xludf.DUMMYFUNCTION("""COMPUTED_VALUE"""),103.49)</f>
        <v>103.49</v>
      </c>
      <c r="F702" s="2">
        <f>IFERROR(__xludf.DUMMYFUNCTION("""COMPUTED_VALUE"""),3618427.0)</f>
        <v>3618427</v>
      </c>
    </row>
    <row r="703">
      <c r="A703" s="3">
        <f>IFERROR(__xludf.DUMMYFUNCTION("""COMPUTED_VALUE"""),38462.645833333336)</f>
        <v>38462.64583</v>
      </c>
      <c r="B703" s="2">
        <f>IFERROR(__xludf.DUMMYFUNCTION("""COMPUTED_VALUE"""),104.01)</f>
        <v>104.01</v>
      </c>
      <c r="C703" s="2">
        <f>IFERROR(__xludf.DUMMYFUNCTION("""COMPUTED_VALUE"""),107.1)</f>
        <v>107.1</v>
      </c>
      <c r="D703" s="2">
        <f>IFERROR(__xludf.DUMMYFUNCTION("""COMPUTED_VALUE"""),103.71)</f>
        <v>103.71</v>
      </c>
      <c r="E703" s="2">
        <f>IFERROR(__xludf.DUMMYFUNCTION("""COMPUTED_VALUE"""),106.72)</f>
        <v>106.72</v>
      </c>
      <c r="F703" s="2">
        <f>IFERROR(__xludf.DUMMYFUNCTION("""COMPUTED_VALUE"""),4341054.0)</f>
        <v>4341054</v>
      </c>
    </row>
    <row r="704">
      <c r="A704" s="3">
        <f>IFERROR(__xludf.DUMMYFUNCTION("""COMPUTED_VALUE"""),38463.645833333336)</f>
        <v>38463.64583</v>
      </c>
      <c r="B704" s="2">
        <f>IFERROR(__xludf.DUMMYFUNCTION("""COMPUTED_VALUE"""),106.31)</f>
        <v>106.31</v>
      </c>
      <c r="C704" s="2">
        <f>IFERROR(__xludf.DUMMYFUNCTION("""COMPUTED_VALUE"""),109.93)</f>
        <v>109.93</v>
      </c>
      <c r="D704" s="2">
        <f>IFERROR(__xludf.DUMMYFUNCTION("""COMPUTED_VALUE"""),105.7)</f>
        <v>105.7</v>
      </c>
      <c r="E704" s="2">
        <f>IFERROR(__xludf.DUMMYFUNCTION("""COMPUTED_VALUE"""),109.3)</f>
        <v>109.3</v>
      </c>
      <c r="F704" s="2">
        <f>IFERROR(__xludf.DUMMYFUNCTION("""COMPUTED_VALUE"""),6087464.0)</f>
        <v>6087464</v>
      </c>
    </row>
    <row r="705">
      <c r="A705" s="3">
        <f>IFERROR(__xludf.DUMMYFUNCTION("""COMPUTED_VALUE"""),38464.645833333336)</f>
        <v>38464.64583</v>
      </c>
      <c r="B705" s="2">
        <f>IFERROR(__xludf.DUMMYFUNCTION("""COMPUTED_VALUE"""),110.13)</f>
        <v>110.13</v>
      </c>
      <c r="C705" s="2">
        <f>IFERROR(__xludf.DUMMYFUNCTION("""COMPUTED_VALUE"""),110.69)</f>
        <v>110.69</v>
      </c>
      <c r="D705" s="2">
        <f>IFERROR(__xludf.DUMMYFUNCTION("""COMPUTED_VALUE"""),107.96)</f>
        <v>107.96</v>
      </c>
      <c r="E705" s="2">
        <f>IFERROR(__xludf.DUMMYFUNCTION("""COMPUTED_VALUE"""),110.23)</f>
        <v>110.23</v>
      </c>
      <c r="F705" s="2">
        <f>IFERROR(__xludf.DUMMYFUNCTION("""COMPUTED_VALUE"""),5567905.0)</f>
        <v>5567905</v>
      </c>
    </row>
    <row r="706">
      <c r="A706" s="3">
        <f>IFERROR(__xludf.DUMMYFUNCTION("""COMPUTED_VALUE"""),38467.645833333336)</f>
        <v>38467.64583</v>
      </c>
      <c r="B706" s="2">
        <f>IFERROR(__xludf.DUMMYFUNCTION("""COMPUTED_VALUE"""),109.73)</f>
        <v>109.73</v>
      </c>
      <c r="C706" s="2">
        <f>IFERROR(__xludf.DUMMYFUNCTION("""COMPUTED_VALUE"""),110.49)</f>
        <v>110.49</v>
      </c>
      <c r="D706" s="2">
        <f>IFERROR(__xludf.DUMMYFUNCTION("""COMPUTED_VALUE"""),108.63)</f>
        <v>108.63</v>
      </c>
      <c r="E706" s="2">
        <f>IFERROR(__xludf.DUMMYFUNCTION("""COMPUTED_VALUE"""),110.07)</f>
        <v>110.07</v>
      </c>
      <c r="F706" s="2">
        <f>IFERROR(__xludf.DUMMYFUNCTION("""COMPUTED_VALUE"""),3463076.0)</f>
        <v>3463076</v>
      </c>
    </row>
    <row r="707">
      <c r="A707" s="3">
        <f>IFERROR(__xludf.DUMMYFUNCTION("""COMPUTED_VALUE"""),38468.645833333336)</f>
        <v>38468.64583</v>
      </c>
      <c r="B707" s="2">
        <f>IFERROR(__xludf.DUMMYFUNCTION("""COMPUTED_VALUE"""),109.12)</f>
        <v>109.12</v>
      </c>
      <c r="C707" s="2">
        <f>IFERROR(__xludf.DUMMYFUNCTION("""COMPUTED_VALUE"""),110.87)</f>
        <v>110.87</v>
      </c>
      <c r="D707" s="2">
        <f>IFERROR(__xludf.DUMMYFUNCTION("""COMPUTED_VALUE"""),108.94)</f>
        <v>108.94</v>
      </c>
      <c r="E707" s="2">
        <f>IFERROR(__xludf.DUMMYFUNCTION("""COMPUTED_VALUE"""),110.16)</f>
        <v>110.16</v>
      </c>
      <c r="F707" s="2">
        <f>IFERROR(__xludf.DUMMYFUNCTION("""COMPUTED_VALUE"""),3871831.0)</f>
        <v>3871831</v>
      </c>
    </row>
    <row r="708">
      <c r="A708" s="3">
        <f>IFERROR(__xludf.DUMMYFUNCTION("""COMPUTED_VALUE"""),38469.645833333336)</f>
        <v>38469.64583</v>
      </c>
      <c r="B708" s="2">
        <f>IFERROR(__xludf.DUMMYFUNCTION("""COMPUTED_VALUE"""),111.74)</f>
        <v>111.74</v>
      </c>
      <c r="C708" s="2">
        <f>IFERROR(__xludf.DUMMYFUNCTION("""COMPUTED_VALUE"""),112.65)</f>
        <v>112.65</v>
      </c>
      <c r="D708" s="2">
        <f>IFERROR(__xludf.DUMMYFUNCTION("""COMPUTED_VALUE"""),107.37)</f>
        <v>107.37</v>
      </c>
      <c r="E708" s="2">
        <f>IFERROR(__xludf.DUMMYFUNCTION("""COMPUTED_VALUE"""),108.52)</f>
        <v>108.52</v>
      </c>
      <c r="F708" s="2">
        <f>IFERROR(__xludf.DUMMYFUNCTION("""COMPUTED_VALUE"""),1.3395995E7)</f>
        <v>13395995</v>
      </c>
    </row>
    <row r="709">
      <c r="A709" s="3">
        <f>IFERROR(__xludf.DUMMYFUNCTION("""COMPUTED_VALUE"""),38470.645833333336)</f>
        <v>38470.64583</v>
      </c>
      <c r="B709" s="2">
        <f>IFERROR(__xludf.DUMMYFUNCTION("""COMPUTED_VALUE"""),108.68)</f>
        <v>108.68</v>
      </c>
      <c r="C709" s="2">
        <f>IFERROR(__xludf.DUMMYFUNCTION("""COMPUTED_VALUE"""),110.74)</f>
        <v>110.74</v>
      </c>
      <c r="D709" s="2">
        <f>IFERROR(__xludf.DUMMYFUNCTION("""COMPUTED_VALUE"""),107.38)</f>
        <v>107.38</v>
      </c>
      <c r="E709" s="2">
        <f>IFERROR(__xludf.DUMMYFUNCTION("""COMPUTED_VALUE"""),109.5)</f>
        <v>109.5</v>
      </c>
      <c r="F709" s="2">
        <f>IFERROR(__xludf.DUMMYFUNCTION("""COMPUTED_VALUE"""),7511621.0)</f>
        <v>7511621</v>
      </c>
    </row>
    <row r="710">
      <c r="A710" s="3">
        <f>IFERROR(__xludf.DUMMYFUNCTION("""COMPUTED_VALUE"""),38471.645833333336)</f>
        <v>38471.64583</v>
      </c>
      <c r="B710" s="2">
        <f>IFERROR(__xludf.DUMMYFUNCTION("""COMPUTED_VALUE"""),110.78)</f>
        <v>110.78</v>
      </c>
      <c r="C710" s="2">
        <f>IFERROR(__xludf.DUMMYFUNCTION("""COMPUTED_VALUE"""),110.78)</f>
        <v>110.78</v>
      </c>
      <c r="D710" s="2">
        <f>IFERROR(__xludf.DUMMYFUNCTION("""COMPUTED_VALUE"""),105.72)</f>
        <v>105.72</v>
      </c>
      <c r="E710" s="2">
        <f>IFERROR(__xludf.DUMMYFUNCTION("""COMPUTED_VALUE"""),106.32)</f>
        <v>106.32</v>
      </c>
      <c r="F710" s="2">
        <f>IFERROR(__xludf.DUMMYFUNCTION("""COMPUTED_VALUE"""),3762517.0)</f>
        <v>3762517</v>
      </c>
    </row>
    <row r="711">
      <c r="A711" s="3">
        <f>IFERROR(__xludf.DUMMYFUNCTION("""COMPUTED_VALUE"""),38474.645833333336)</f>
        <v>38474.64583</v>
      </c>
      <c r="B711" s="2">
        <f>IFERROR(__xludf.DUMMYFUNCTION("""COMPUTED_VALUE"""),106.61)</f>
        <v>106.61</v>
      </c>
      <c r="C711" s="2">
        <f>IFERROR(__xludf.DUMMYFUNCTION("""COMPUTED_VALUE"""),107.82)</f>
        <v>107.82</v>
      </c>
      <c r="D711" s="2">
        <f>IFERROR(__xludf.DUMMYFUNCTION("""COMPUTED_VALUE"""),105.63)</f>
        <v>105.63</v>
      </c>
      <c r="E711" s="2">
        <f>IFERROR(__xludf.DUMMYFUNCTION("""COMPUTED_VALUE"""),107.48)</f>
        <v>107.48</v>
      </c>
      <c r="F711" s="2">
        <f>IFERROR(__xludf.DUMMYFUNCTION("""COMPUTED_VALUE"""),3072191.0)</f>
        <v>3072191</v>
      </c>
    </row>
    <row r="712">
      <c r="A712" s="3">
        <f>IFERROR(__xludf.DUMMYFUNCTION("""COMPUTED_VALUE"""),38475.645833333336)</f>
        <v>38475.64583</v>
      </c>
      <c r="B712" s="2">
        <f>IFERROR(__xludf.DUMMYFUNCTION("""COMPUTED_VALUE"""),107.31)</f>
        <v>107.31</v>
      </c>
      <c r="C712" s="2">
        <f>IFERROR(__xludf.DUMMYFUNCTION("""COMPUTED_VALUE"""),109.32)</f>
        <v>109.32</v>
      </c>
      <c r="D712" s="2">
        <f>IFERROR(__xludf.DUMMYFUNCTION("""COMPUTED_VALUE"""),105.81)</f>
        <v>105.81</v>
      </c>
      <c r="E712" s="2">
        <f>IFERROR(__xludf.DUMMYFUNCTION("""COMPUTED_VALUE"""),108.91)</f>
        <v>108.91</v>
      </c>
      <c r="F712" s="2">
        <f>IFERROR(__xludf.DUMMYFUNCTION("""COMPUTED_VALUE"""),3454317.0)</f>
        <v>3454317</v>
      </c>
    </row>
    <row r="713">
      <c r="A713" s="3">
        <f>IFERROR(__xludf.DUMMYFUNCTION("""COMPUTED_VALUE"""),38476.645833333336)</f>
        <v>38476.64583</v>
      </c>
      <c r="B713" s="2">
        <f>IFERROR(__xludf.DUMMYFUNCTION("""COMPUTED_VALUE"""),109.12)</f>
        <v>109.12</v>
      </c>
      <c r="C713" s="2">
        <f>IFERROR(__xludf.DUMMYFUNCTION("""COMPUTED_VALUE"""),109.73)</f>
        <v>109.73</v>
      </c>
      <c r="D713" s="2">
        <f>IFERROR(__xludf.DUMMYFUNCTION("""COMPUTED_VALUE"""),108.12)</f>
        <v>108.12</v>
      </c>
      <c r="E713" s="2">
        <f>IFERROR(__xludf.DUMMYFUNCTION("""COMPUTED_VALUE"""),108.99)</f>
        <v>108.99</v>
      </c>
      <c r="F713" s="2">
        <f>IFERROR(__xludf.DUMMYFUNCTION("""COMPUTED_VALUE"""),2098028.0)</f>
        <v>2098028</v>
      </c>
    </row>
    <row r="714">
      <c r="A714" s="3">
        <f>IFERROR(__xludf.DUMMYFUNCTION("""COMPUTED_VALUE"""),38477.645833333336)</f>
        <v>38477.64583</v>
      </c>
      <c r="B714" s="2">
        <f>IFERROR(__xludf.DUMMYFUNCTION("""COMPUTED_VALUE"""),109.28)</f>
        <v>109.28</v>
      </c>
      <c r="C714" s="2">
        <f>IFERROR(__xludf.DUMMYFUNCTION("""COMPUTED_VALUE"""),110.21)</f>
        <v>110.21</v>
      </c>
      <c r="D714" s="2">
        <f>IFERROR(__xludf.DUMMYFUNCTION("""COMPUTED_VALUE"""),108.56)</f>
        <v>108.56</v>
      </c>
      <c r="E714" s="2">
        <f>IFERROR(__xludf.DUMMYFUNCTION("""COMPUTED_VALUE"""),108.95)</f>
        <v>108.95</v>
      </c>
      <c r="F714" s="2">
        <f>IFERROR(__xludf.DUMMYFUNCTION("""COMPUTED_VALUE"""),1737052.0)</f>
        <v>1737052</v>
      </c>
    </row>
    <row r="715">
      <c r="A715" s="3">
        <f>IFERROR(__xludf.DUMMYFUNCTION("""COMPUTED_VALUE"""),38478.645833333336)</f>
        <v>38478.64583</v>
      </c>
      <c r="B715" s="2">
        <f>IFERROR(__xludf.DUMMYFUNCTION("""COMPUTED_VALUE"""),108.72)</f>
        <v>108.72</v>
      </c>
      <c r="C715" s="2">
        <f>IFERROR(__xludf.DUMMYFUNCTION("""COMPUTED_VALUE"""),110.84)</f>
        <v>110.84</v>
      </c>
      <c r="D715" s="2">
        <f>IFERROR(__xludf.DUMMYFUNCTION("""COMPUTED_VALUE"""),108.72)</f>
        <v>108.72</v>
      </c>
      <c r="E715" s="2">
        <f>IFERROR(__xludf.DUMMYFUNCTION("""COMPUTED_VALUE"""),110.55)</f>
        <v>110.55</v>
      </c>
      <c r="F715" s="2">
        <f>IFERROR(__xludf.DUMMYFUNCTION("""COMPUTED_VALUE"""),4635840.0)</f>
        <v>4635840</v>
      </c>
    </row>
    <row r="716">
      <c r="A716" s="3">
        <f>IFERROR(__xludf.DUMMYFUNCTION("""COMPUTED_VALUE"""),38481.645833333336)</f>
        <v>38481.64583</v>
      </c>
      <c r="B716" s="2">
        <f>IFERROR(__xludf.DUMMYFUNCTION("""COMPUTED_VALUE"""),110.59)</f>
        <v>110.59</v>
      </c>
      <c r="C716" s="2">
        <f>IFERROR(__xludf.DUMMYFUNCTION("""COMPUTED_VALUE"""),111.73)</f>
        <v>111.73</v>
      </c>
      <c r="D716" s="2">
        <f>IFERROR(__xludf.DUMMYFUNCTION("""COMPUTED_VALUE"""),109.97)</f>
        <v>109.97</v>
      </c>
      <c r="E716" s="2">
        <f>IFERROR(__xludf.DUMMYFUNCTION("""COMPUTED_VALUE"""),111.42)</f>
        <v>111.42</v>
      </c>
      <c r="F716" s="2">
        <f>IFERROR(__xludf.DUMMYFUNCTION("""COMPUTED_VALUE"""),3164957.0)</f>
        <v>3164957</v>
      </c>
    </row>
    <row r="717">
      <c r="A717" s="3">
        <f>IFERROR(__xludf.DUMMYFUNCTION("""COMPUTED_VALUE"""),38482.645833333336)</f>
        <v>38482.64583</v>
      </c>
      <c r="B717" s="2">
        <f>IFERROR(__xludf.DUMMYFUNCTION("""COMPUTED_VALUE"""),111.49)</f>
        <v>111.49</v>
      </c>
      <c r="C717" s="2">
        <f>IFERROR(__xludf.DUMMYFUNCTION("""COMPUTED_VALUE"""),111.89)</f>
        <v>111.89</v>
      </c>
      <c r="D717" s="2">
        <f>IFERROR(__xludf.DUMMYFUNCTION("""COMPUTED_VALUE"""),109.36)</f>
        <v>109.36</v>
      </c>
      <c r="E717" s="2">
        <f>IFERROR(__xludf.DUMMYFUNCTION("""COMPUTED_VALUE"""),109.58)</f>
        <v>109.58</v>
      </c>
      <c r="F717" s="2">
        <f>IFERROR(__xludf.DUMMYFUNCTION("""COMPUTED_VALUE"""),2272721.0)</f>
        <v>2272721</v>
      </c>
    </row>
    <row r="718">
      <c r="A718" s="3">
        <f>IFERROR(__xludf.DUMMYFUNCTION("""COMPUTED_VALUE"""),38483.645833333336)</f>
        <v>38483.64583</v>
      </c>
      <c r="B718" s="2">
        <f>IFERROR(__xludf.DUMMYFUNCTION("""COMPUTED_VALUE"""),109.12)</f>
        <v>109.12</v>
      </c>
      <c r="C718" s="2">
        <f>IFERROR(__xludf.DUMMYFUNCTION("""COMPUTED_VALUE"""),110.22)</f>
        <v>110.22</v>
      </c>
      <c r="D718" s="2">
        <f>IFERROR(__xludf.DUMMYFUNCTION("""COMPUTED_VALUE"""),108.65)</f>
        <v>108.65</v>
      </c>
      <c r="E718" s="2">
        <f>IFERROR(__xludf.DUMMYFUNCTION("""COMPUTED_VALUE"""),109.23)</f>
        <v>109.23</v>
      </c>
      <c r="F718" s="2">
        <f>IFERROR(__xludf.DUMMYFUNCTION("""COMPUTED_VALUE"""),3128737.0)</f>
        <v>3128737</v>
      </c>
    </row>
    <row r="719">
      <c r="A719" s="3">
        <f>IFERROR(__xludf.DUMMYFUNCTION("""COMPUTED_VALUE"""),38484.645833333336)</f>
        <v>38484.64583</v>
      </c>
      <c r="B719" s="2">
        <f>IFERROR(__xludf.DUMMYFUNCTION("""COMPUTED_VALUE"""),108.7)</f>
        <v>108.7</v>
      </c>
      <c r="C719" s="2">
        <f>IFERROR(__xludf.DUMMYFUNCTION("""COMPUTED_VALUE"""),109.0)</f>
        <v>109</v>
      </c>
      <c r="D719" s="2">
        <f>IFERROR(__xludf.DUMMYFUNCTION("""COMPUTED_VALUE"""),107.65)</f>
        <v>107.65</v>
      </c>
      <c r="E719" s="2">
        <f>IFERROR(__xludf.DUMMYFUNCTION("""COMPUTED_VALUE"""),108.53)</f>
        <v>108.53</v>
      </c>
      <c r="F719" s="2">
        <f>IFERROR(__xludf.DUMMYFUNCTION("""COMPUTED_VALUE"""),3689457.0)</f>
        <v>3689457</v>
      </c>
    </row>
    <row r="720">
      <c r="A720" s="3">
        <f>IFERROR(__xludf.DUMMYFUNCTION("""COMPUTED_VALUE"""),38485.645833333336)</f>
        <v>38485.64583</v>
      </c>
      <c r="B720" s="2">
        <f>IFERROR(__xludf.DUMMYFUNCTION("""COMPUTED_VALUE"""),108.42)</f>
        <v>108.42</v>
      </c>
      <c r="C720" s="2">
        <f>IFERROR(__xludf.DUMMYFUNCTION("""COMPUTED_VALUE"""),108.52)</f>
        <v>108.52</v>
      </c>
      <c r="D720" s="2">
        <f>IFERROR(__xludf.DUMMYFUNCTION("""COMPUTED_VALUE"""),107.51)</f>
        <v>107.51</v>
      </c>
      <c r="E720" s="2">
        <f>IFERROR(__xludf.DUMMYFUNCTION("""COMPUTED_VALUE"""),107.97)</f>
        <v>107.97</v>
      </c>
      <c r="F720" s="2">
        <f>IFERROR(__xludf.DUMMYFUNCTION("""COMPUTED_VALUE"""),1774336.0)</f>
        <v>1774336</v>
      </c>
    </row>
    <row r="721">
      <c r="A721" s="3">
        <f>IFERROR(__xludf.DUMMYFUNCTION("""COMPUTED_VALUE"""),38488.645833333336)</f>
        <v>38488.64583</v>
      </c>
      <c r="B721" s="2">
        <f>IFERROR(__xludf.DUMMYFUNCTION("""COMPUTED_VALUE"""),108.22)</f>
        <v>108.22</v>
      </c>
      <c r="C721" s="2">
        <f>IFERROR(__xludf.DUMMYFUNCTION("""COMPUTED_VALUE"""),109.46)</f>
        <v>109.46</v>
      </c>
      <c r="D721" s="2">
        <f>IFERROR(__xludf.DUMMYFUNCTION("""COMPUTED_VALUE"""),108.22)</f>
        <v>108.22</v>
      </c>
      <c r="E721" s="2">
        <f>IFERROR(__xludf.DUMMYFUNCTION("""COMPUTED_VALUE"""),108.77)</f>
        <v>108.77</v>
      </c>
      <c r="F721" s="2">
        <f>IFERROR(__xludf.DUMMYFUNCTION("""COMPUTED_VALUE"""),2412883.0)</f>
        <v>2412883</v>
      </c>
    </row>
    <row r="722">
      <c r="A722" s="3">
        <f>IFERROR(__xludf.DUMMYFUNCTION("""COMPUTED_VALUE"""),38489.645833333336)</f>
        <v>38489.64583</v>
      </c>
      <c r="B722" s="2">
        <f>IFERROR(__xludf.DUMMYFUNCTION("""COMPUTED_VALUE"""),109.12)</f>
        <v>109.12</v>
      </c>
      <c r="C722" s="2">
        <f>IFERROR(__xludf.DUMMYFUNCTION("""COMPUTED_VALUE"""),109.47)</f>
        <v>109.47</v>
      </c>
      <c r="D722" s="2">
        <f>IFERROR(__xludf.DUMMYFUNCTION("""COMPUTED_VALUE"""),105.69)</f>
        <v>105.69</v>
      </c>
      <c r="E722" s="2">
        <f>IFERROR(__xludf.DUMMYFUNCTION("""COMPUTED_VALUE"""),105.89)</f>
        <v>105.89</v>
      </c>
      <c r="F722" s="2">
        <f>IFERROR(__xludf.DUMMYFUNCTION("""COMPUTED_VALUE"""),3605609.0)</f>
        <v>3605609</v>
      </c>
    </row>
    <row r="723">
      <c r="A723" s="3">
        <f>IFERROR(__xludf.DUMMYFUNCTION("""COMPUTED_VALUE"""),38490.645833333336)</f>
        <v>38490.64583</v>
      </c>
      <c r="B723" s="2">
        <f>IFERROR(__xludf.DUMMYFUNCTION("""COMPUTED_VALUE"""),106.31)</f>
        <v>106.31</v>
      </c>
      <c r="C723" s="2">
        <f>IFERROR(__xludf.DUMMYFUNCTION("""COMPUTED_VALUE"""),107.03)</f>
        <v>107.03</v>
      </c>
      <c r="D723" s="2">
        <f>IFERROR(__xludf.DUMMYFUNCTION("""COMPUTED_VALUE"""),105.32)</f>
        <v>105.32</v>
      </c>
      <c r="E723" s="2">
        <f>IFERROR(__xludf.DUMMYFUNCTION("""COMPUTED_VALUE"""),106.63)</f>
        <v>106.63</v>
      </c>
      <c r="F723" s="2">
        <f>IFERROR(__xludf.DUMMYFUNCTION("""COMPUTED_VALUE"""),4470270.0)</f>
        <v>4470270</v>
      </c>
    </row>
    <row r="724">
      <c r="A724" s="3">
        <f>IFERROR(__xludf.DUMMYFUNCTION("""COMPUTED_VALUE"""),38491.645833333336)</f>
        <v>38491.64583</v>
      </c>
      <c r="B724" s="2">
        <f>IFERROR(__xludf.DUMMYFUNCTION("""COMPUTED_VALUE"""),106.91)</f>
        <v>106.91</v>
      </c>
      <c r="C724" s="2">
        <f>IFERROR(__xludf.DUMMYFUNCTION("""COMPUTED_VALUE"""),107.71)</f>
        <v>107.71</v>
      </c>
      <c r="D724" s="2">
        <f>IFERROR(__xludf.DUMMYFUNCTION("""COMPUTED_VALUE"""),105.23)</f>
        <v>105.23</v>
      </c>
      <c r="E724" s="2">
        <f>IFERROR(__xludf.DUMMYFUNCTION("""COMPUTED_VALUE"""),105.56)</f>
        <v>105.56</v>
      </c>
      <c r="F724" s="2">
        <f>IFERROR(__xludf.DUMMYFUNCTION("""COMPUTED_VALUE"""),3029203.0)</f>
        <v>3029203</v>
      </c>
    </row>
    <row r="725">
      <c r="A725" s="3">
        <f>IFERROR(__xludf.DUMMYFUNCTION("""COMPUTED_VALUE"""),38492.645833333336)</f>
        <v>38492.64583</v>
      </c>
      <c r="B725" s="2">
        <f>IFERROR(__xludf.DUMMYFUNCTION("""COMPUTED_VALUE"""),105.7)</f>
        <v>105.7</v>
      </c>
      <c r="C725" s="2">
        <f>IFERROR(__xludf.DUMMYFUNCTION("""COMPUTED_VALUE"""),106.08)</f>
        <v>106.08</v>
      </c>
      <c r="D725" s="2">
        <f>IFERROR(__xludf.DUMMYFUNCTION("""COMPUTED_VALUE"""),103.81)</f>
        <v>103.81</v>
      </c>
      <c r="E725" s="2">
        <f>IFERROR(__xludf.DUMMYFUNCTION("""COMPUTED_VALUE"""),104.79)</f>
        <v>104.79</v>
      </c>
      <c r="F725" s="2">
        <f>IFERROR(__xludf.DUMMYFUNCTION("""COMPUTED_VALUE"""),4235432.0)</f>
        <v>4235432</v>
      </c>
    </row>
    <row r="726">
      <c r="A726" s="3">
        <f>IFERROR(__xludf.DUMMYFUNCTION("""COMPUTED_VALUE"""),38495.645833333336)</f>
        <v>38495.64583</v>
      </c>
      <c r="B726" s="2">
        <f>IFERROR(__xludf.DUMMYFUNCTION("""COMPUTED_VALUE"""),105.5)</f>
        <v>105.5</v>
      </c>
      <c r="C726" s="2">
        <f>IFERROR(__xludf.DUMMYFUNCTION("""COMPUTED_VALUE"""),107.3)</f>
        <v>107.3</v>
      </c>
      <c r="D726" s="2">
        <f>IFERROR(__xludf.DUMMYFUNCTION("""COMPUTED_VALUE"""),105.1)</f>
        <v>105.1</v>
      </c>
      <c r="E726" s="2">
        <f>IFERROR(__xludf.DUMMYFUNCTION("""COMPUTED_VALUE"""),106.94)</f>
        <v>106.94</v>
      </c>
      <c r="F726" s="2">
        <f>IFERROR(__xludf.DUMMYFUNCTION("""COMPUTED_VALUE"""),2051339.0)</f>
        <v>2051339</v>
      </c>
    </row>
    <row r="727">
      <c r="A727" s="3">
        <f>IFERROR(__xludf.DUMMYFUNCTION("""COMPUTED_VALUE"""),38496.645833333336)</f>
        <v>38496.64583</v>
      </c>
      <c r="B727" s="2">
        <f>IFERROR(__xludf.DUMMYFUNCTION("""COMPUTED_VALUE"""),107.34)</f>
        <v>107.34</v>
      </c>
      <c r="C727" s="2">
        <f>IFERROR(__xludf.DUMMYFUNCTION("""COMPUTED_VALUE"""),107.87)</f>
        <v>107.87</v>
      </c>
      <c r="D727" s="2">
        <f>IFERROR(__xludf.DUMMYFUNCTION("""COMPUTED_VALUE"""),106.02)</f>
        <v>106.02</v>
      </c>
      <c r="E727" s="2">
        <f>IFERROR(__xludf.DUMMYFUNCTION("""COMPUTED_VALUE"""),106.91)</f>
        <v>106.91</v>
      </c>
      <c r="F727" s="2">
        <f>IFERROR(__xludf.DUMMYFUNCTION("""COMPUTED_VALUE"""),3664809.0)</f>
        <v>3664809</v>
      </c>
    </row>
    <row r="728">
      <c r="A728" s="3">
        <f>IFERROR(__xludf.DUMMYFUNCTION("""COMPUTED_VALUE"""),38497.645833333336)</f>
        <v>38497.64583</v>
      </c>
      <c r="B728" s="2">
        <f>IFERROR(__xludf.DUMMYFUNCTION("""COMPUTED_VALUE"""),106.31)</f>
        <v>106.31</v>
      </c>
      <c r="C728" s="2">
        <f>IFERROR(__xludf.DUMMYFUNCTION("""COMPUTED_VALUE"""),107.51)</f>
        <v>107.51</v>
      </c>
      <c r="D728" s="2">
        <f>IFERROR(__xludf.DUMMYFUNCTION("""COMPUTED_VALUE"""),105.8)</f>
        <v>105.8</v>
      </c>
      <c r="E728" s="2">
        <f>IFERROR(__xludf.DUMMYFUNCTION("""COMPUTED_VALUE"""),106.84)</f>
        <v>106.84</v>
      </c>
      <c r="F728" s="2">
        <f>IFERROR(__xludf.DUMMYFUNCTION("""COMPUTED_VALUE"""),4031194.0)</f>
        <v>4031194</v>
      </c>
    </row>
    <row r="729">
      <c r="A729" s="3">
        <f>IFERROR(__xludf.DUMMYFUNCTION("""COMPUTED_VALUE"""),38498.645833333336)</f>
        <v>38498.64583</v>
      </c>
      <c r="B729" s="2">
        <f>IFERROR(__xludf.DUMMYFUNCTION("""COMPUTED_VALUE"""),106.91)</f>
        <v>106.91</v>
      </c>
      <c r="C729" s="2">
        <f>IFERROR(__xludf.DUMMYFUNCTION("""COMPUTED_VALUE"""),107.41)</f>
        <v>107.41</v>
      </c>
      <c r="D729" s="2">
        <f>IFERROR(__xludf.DUMMYFUNCTION("""COMPUTED_VALUE"""),106.01)</f>
        <v>106.01</v>
      </c>
      <c r="E729" s="2">
        <f>IFERROR(__xludf.DUMMYFUNCTION("""COMPUTED_VALUE"""),106.79)</f>
        <v>106.79</v>
      </c>
      <c r="F729" s="2">
        <f>IFERROR(__xludf.DUMMYFUNCTION("""COMPUTED_VALUE"""),7769559.0)</f>
        <v>7769559</v>
      </c>
    </row>
    <row r="730">
      <c r="A730" s="3">
        <f>IFERROR(__xludf.DUMMYFUNCTION("""COMPUTED_VALUE"""),38499.645833333336)</f>
        <v>38499.64583</v>
      </c>
      <c r="B730" s="2">
        <f>IFERROR(__xludf.DUMMYFUNCTION("""COMPUTED_VALUE"""),106.93)</f>
        <v>106.93</v>
      </c>
      <c r="C730" s="2">
        <f>IFERROR(__xludf.DUMMYFUNCTION("""COMPUTED_VALUE"""),108.6)</f>
        <v>108.6</v>
      </c>
      <c r="D730" s="2">
        <f>IFERROR(__xludf.DUMMYFUNCTION("""COMPUTED_VALUE"""),106.58)</f>
        <v>106.58</v>
      </c>
      <c r="E730" s="2">
        <f>IFERROR(__xludf.DUMMYFUNCTION("""COMPUTED_VALUE"""),106.96)</f>
        <v>106.96</v>
      </c>
      <c r="F730" s="2">
        <f>IFERROR(__xludf.DUMMYFUNCTION("""COMPUTED_VALUE"""),4193107.0)</f>
        <v>4193107</v>
      </c>
    </row>
    <row r="731">
      <c r="A731" s="3">
        <f>IFERROR(__xludf.DUMMYFUNCTION("""COMPUTED_VALUE"""),38502.645833333336)</f>
        <v>38502.64583</v>
      </c>
      <c r="B731" s="2">
        <f>IFERROR(__xludf.DUMMYFUNCTION("""COMPUTED_VALUE"""),107.01)</f>
        <v>107.01</v>
      </c>
      <c r="C731" s="2">
        <f>IFERROR(__xludf.DUMMYFUNCTION("""COMPUTED_VALUE"""),107.66)</f>
        <v>107.66</v>
      </c>
      <c r="D731" s="2">
        <f>IFERROR(__xludf.DUMMYFUNCTION("""COMPUTED_VALUE"""),105.7)</f>
        <v>105.7</v>
      </c>
      <c r="E731" s="2">
        <f>IFERROR(__xludf.DUMMYFUNCTION("""COMPUTED_VALUE"""),106.06)</f>
        <v>106.06</v>
      </c>
      <c r="F731" s="2">
        <f>IFERROR(__xludf.DUMMYFUNCTION("""COMPUTED_VALUE"""),2282045.0)</f>
        <v>2282045</v>
      </c>
    </row>
    <row r="732">
      <c r="A732" s="3">
        <f>IFERROR(__xludf.DUMMYFUNCTION("""COMPUTED_VALUE"""),38503.645833333336)</f>
        <v>38503.64583</v>
      </c>
      <c r="B732" s="2">
        <f>IFERROR(__xludf.DUMMYFUNCTION("""COMPUTED_VALUE"""),106.11)</f>
        <v>106.11</v>
      </c>
      <c r="C732" s="2">
        <f>IFERROR(__xludf.DUMMYFUNCTION("""COMPUTED_VALUE"""),108.3)</f>
        <v>108.3</v>
      </c>
      <c r="D732" s="2">
        <f>IFERROR(__xludf.DUMMYFUNCTION("""COMPUTED_VALUE"""),105.58)</f>
        <v>105.58</v>
      </c>
      <c r="E732" s="2">
        <f>IFERROR(__xludf.DUMMYFUNCTION("""COMPUTED_VALUE"""),107.71)</f>
        <v>107.71</v>
      </c>
      <c r="F732" s="2">
        <f>IFERROR(__xludf.DUMMYFUNCTION("""COMPUTED_VALUE"""),5421328.0)</f>
        <v>5421328</v>
      </c>
    </row>
    <row r="733">
      <c r="A733" s="3">
        <f>IFERROR(__xludf.DUMMYFUNCTION("""COMPUTED_VALUE"""),38504.645833333336)</f>
        <v>38504.64583</v>
      </c>
      <c r="B733" s="2">
        <f>IFERROR(__xludf.DUMMYFUNCTION("""COMPUTED_VALUE"""),108.32)</f>
        <v>108.32</v>
      </c>
      <c r="C733" s="2">
        <f>IFERROR(__xludf.DUMMYFUNCTION("""COMPUTED_VALUE"""),109.57)</f>
        <v>109.57</v>
      </c>
      <c r="D733" s="2">
        <f>IFERROR(__xludf.DUMMYFUNCTION("""COMPUTED_VALUE"""),107.92)</f>
        <v>107.92</v>
      </c>
      <c r="E733" s="2">
        <f>IFERROR(__xludf.DUMMYFUNCTION("""COMPUTED_VALUE"""),108.92)</f>
        <v>108.92</v>
      </c>
      <c r="F733" s="2">
        <f>IFERROR(__xludf.DUMMYFUNCTION("""COMPUTED_VALUE"""),4406235.0)</f>
        <v>4406235</v>
      </c>
    </row>
    <row r="734">
      <c r="A734" s="3">
        <f>IFERROR(__xludf.DUMMYFUNCTION("""COMPUTED_VALUE"""),38505.645833333336)</f>
        <v>38505.64583</v>
      </c>
      <c r="B734" s="2">
        <f>IFERROR(__xludf.DUMMYFUNCTION("""COMPUTED_VALUE"""),109.53)</f>
        <v>109.53</v>
      </c>
      <c r="C734" s="2">
        <f>IFERROR(__xludf.DUMMYFUNCTION("""COMPUTED_VALUE"""),109.79)</f>
        <v>109.79</v>
      </c>
      <c r="D734" s="2">
        <f>IFERROR(__xludf.DUMMYFUNCTION("""COMPUTED_VALUE"""),106.42)</f>
        <v>106.42</v>
      </c>
      <c r="E734" s="2">
        <f>IFERROR(__xludf.DUMMYFUNCTION("""COMPUTED_VALUE"""),106.68)</f>
        <v>106.68</v>
      </c>
      <c r="F734" s="2">
        <f>IFERROR(__xludf.DUMMYFUNCTION("""COMPUTED_VALUE"""),3829036.0)</f>
        <v>3829036</v>
      </c>
    </row>
    <row r="735">
      <c r="A735" s="3">
        <f>IFERROR(__xludf.DUMMYFUNCTION("""COMPUTED_VALUE"""),38506.645833333336)</f>
        <v>38506.64583</v>
      </c>
      <c r="B735" s="2">
        <f>IFERROR(__xludf.DUMMYFUNCTION("""COMPUTED_VALUE"""),106.31)</f>
        <v>106.31</v>
      </c>
      <c r="C735" s="2">
        <f>IFERROR(__xludf.DUMMYFUNCTION("""COMPUTED_VALUE"""),111.9)</f>
        <v>111.9</v>
      </c>
      <c r="D735" s="2">
        <f>IFERROR(__xludf.DUMMYFUNCTION("""COMPUTED_VALUE"""),106.31)</f>
        <v>106.31</v>
      </c>
      <c r="E735" s="2">
        <f>IFERROR(__xludf.DUMMYFUNCTION("""COMPUTED_VALUE"""),111.37)</f>
        <v>111.37</v>
      </c>
      <c r="F735" s="2">
        <f>IFERROR(__xludf.DUMMYFUNCTION("""COMPUTED_VALUE"""),9390410.0)</f>
        <v>9390410</v>
      </c>
    </row>
    <row r="736">
      <c r="A736" s="3">
        <f>IFERROR(__xludf.DUMMYFUNCTION("""COMPUTED_VALUE"""),38509.645833333336)</f>
        <v>38509.64583</v>
      </c>
      <c r="B736" s="2">
        <f>IFERROR(__xludf.DUMMYFUNCTION("""COMPUTED_VALUE"""),111.54)</f>
        <v>111.54</v>
      </c>
      <c r="C736" s="2">
        <f>IFERROR(__xludf.DUMMYFUNCTION("""COMPUTED_VALUE"""),113.98)</f>
        <v>113.98</v>
      </c>
      <c r="D736" s="2">
        <f>IFERROR(__xludf.DUMMYFUNCTION("""COMPUTED_VALUE"""),110.53)</f>
        <v>110.53</v>
      </c>
      <c r="E736" s="2">
        <f>IFERROR(__xludf.DUMMYFUNCTION("""COMPUTED_VALUE"""),111.2)</f>
        <v>111.2</v>
      </c>
      <c r="F736" s="2">
        <f>IFERROR(__xludf.DUMMYFUNCTION("""COMPUTED_VALUE"""),6259593.0)</f>
        <v>6259593</v>
      </c>
    </row>
    <row r="737">
      <c r="A737" s="3">
        <f>IFERROR(__xludf.DUMMYFUNCTION("""COMPUTED_VALUE"""),38510.645833333336)</f>
        <v>38510.64583</v>
      </c>
      <c r="B737" s="2">
        <f>IFERROR(__xludf.DUMMYFUNCTION("""COMPUTED_VALUE"""),111.14)</f>
        <v>111.14</v>
      </c>
      <c r="C737" s="2">
        <f>IFERROR(__xludf.DUMMYFUNCTION("""COMPUTED_VALUE"""),111.9)</f>
        <v>111.9</v>
      </c>
      <c r="D737" s="2">
        <f>IFERROR(__xludf.DUMMYFUNCTION("""COMPUTED_VALUE"""),109.73)</f>
        <v>109.73</v>
      </c>
      <c r="E737" s="2">
        <f>IFERROR(__xludf.DUMMYFUNCTION("""COMPUTED_VALUE"""),110.3)</f>
        <v>110.3</v>
      </c>
      <c r="F737" s="2">
        <f>IFERROR(__xludf.DUMMYFUNCTION("""COMPUTED_VALUE"""),4210618.0)</f>
        <v>4210618</v>
      </c>
    </row>
    <row r="738">
      <c r="A738" s="3">
        <f>IFERROR(__xludf.DUMMYFUNCTION("""COMPUTED_VALUE"""),38511.645833333336)</f>
        <v>38511.64583</v>
      </c>
      <c r="B738" s="2">
        <f>IFERROR(__xludf.DUMMYFUNCTION("""COMPUTED_VALUE"""),111.0)</f>
        <v>111</v>
      </c>
      <c r="C738" s="2">
        <f>IFERROR(__xludf.DUMMYFUNCTION("""COMPUTED_VALUE"""),112.75)</f>
        <v>112.75</v>
      </c>
      <c r="D738" s="2">
        <f>IFERROR(__xludf.DUMMYFUNCTION("""COMPUTED_VALUE"""),110.74)</f>
        <v>110.74</v>
      </c>
      <c r="E738" s="2">
        <f>IFERROR(__xludf.DUMMYFUNCTION("""COMPUTED_VALUE"""),112.44)</f>
        <v>112.44</v>
      </c>
      <c r="F738" s="2">
        <f>IFERROR(__xludf.DUMMYFUNCTION("""COMPUTED_VALUE"""),5176615.0)</f>
        <v>5176615</v>
      </c>
    </row>
    <row r="739">
      <c r="A739" s="3">
        <f>IFERROR(__xludf.DUMMYFUNCTION("""COMPUTED_VALUE"""),38512.645833333336)</f>
        <v>38512.64583</v>
      </c>
      <c r="B739" s="2">
        <f>IFERROR(__xludf.DUMMYFUNCTION("""COMPUTED_VALUE"""),112.91)</f>
        <v>112.91</v>
      </c>
      <c r="C739" s="2">
        <f>IFERROR(__xludf.DUMMYFUNCTION("""COMPUTED_VALUE"""),113.5)</f>
        <v>113.5</v>
      </c>
      <c r="D739" s="2">
        <f>IFERROR(__xludf.DUMMYFUNCTION("""COMPUTED_VALUE"""),112.08)</f>
        <v>112.08</v>
      </c>
      <c r="E739" s="2">
        <f>IFERROR(__xludf.DUMMYFUNCTION("""COMPUTED_VALUE"""),112.56)</f>
        <v>112.56</v>
      </c>
      <c r="F739" s="2">
        <f>IFERROR(__xludf.DUMMYFUNCTION("""COMPUTED_VALUE"""),4048621.0)</f>
        <v>4048621</v>
      </c>
    </row>
    <row r="740">
      <c r="A740" s="3">
        <f>IFERROR(__xludf.DUMMYFUNCTION("""COMPUTED_VALUE"""),38513.645833333336)</f>
        <v>38513.64583</v>
      </c>
      <c r="B740" s="2">
        <f>IFERROR(__xludf.DUMMYFUNCTION("""COMPUTED_VALUE"""),112.95)</f>
        <v>112.95</v>
      </c>
      <c r="C740" s="2">
        <f>IFERROR(__xludf.DUMMYFUNCTION("""COMPUTED_VALUE"""),114.64)</f>
        <v>114.64</v>
      </c>
      <c r="D740" s="2">
        <f>IFERROR(__xludf.DUMMYFUNCTION("""COMPUTED_VALUE"""),112.95)</f>
        <v>112.95</v>
      </c>
      <c r="E740" s="2">
        <f>IFERROR(__xludf.DUMMYFUNCTION("""COMPUTED_VALUE"""),114.07)</f>
        <v>114.07</v>
      </c>
      <c r="F740" s="2">
        <f>IFERROR(__xludf.DUMMYFUNCTION("""COMPUTED_VALUE"""),6310394.0)</f>
        <v>6310394</v>
      </c>
    </row>
    <row r="741">
      <c r="A741" s="3">
        <f>IFERROR(__xludf.DUMMYFUNCTION("""COMPUTED_VALUE"""),38516.645833333336)</f>
        <v>38516.64583</v>
      </c>
      <c r="B741" s="2">
        <f>IFERROR(__xludf.DUMMYFUNCTION("""COMPUTED_VALUE"""),114.14)</f>
        <v>114.14</v>
      </c>
      <c r="C741" s="2">
        <f>IFERROR(__xludf.DUMMYFUNCTION("""COMPUTED_VALUE"""),120.78)</f>
        <v>120.78</v>
      </c>
      <c r="D741" s="2">
        <f>IFERROR(__xludf.DUMMYFUNCTION("""COMPUTED_VALUE"""),112.88)</f>
        <v>112.88</v>
      </c>
      <c r="E741" s="2">
        <f>IFERROR(__xludf.DUMMYFUNCTION("""COMPUTED_VALUE"""),114.68)</f>
        <v>114.68</v>
      </c>
      <c r="F741" s="2">
        <f>IFERROR(__xludf.DUMMYFUNCTION("""COMPUTED_VALUE"""),3260828.0)</f>
        <v>3260828</v>
      </c>
    </row>
    <row r="742">
      <c r="A742" s="3">
        <f>IFERROR(__xludf.DUMMYFUNCTION("""COMPUTED_VALUE"""),38517.645833333336)</f>
        <v>38517.64583</v>
      </c>
      <c r="B742" s="2">
        <f>IFERROR(__xludf.DUMMYFUNCTION("""COMPUTED_VALUE"""),114.96)</f>
        <v>114.96</v>
      </c>
      <c r="C742" s="2">
        <f>IFERROR(__xludf.DUMMYFUNCTION("""COMPUTED_VALUE"""),115.77)</f>
        <v>115.77</v>
      </c>
      <c r="D742" s="2">
        <f>IFERROR(__xludf.DUMMYFUNCTION("""COMPUTED_VALUE"""),113.72)</f>
        <v>113.72</v>
      </c>
      <c r="E742" s="2">
        <f>IFERROR(__xludf.DUMMYFUNCTION("""COMPUTED_VALUE"""),115.58)</f>
        <v>115.58</v>
      </c>
      <c r="F742" s="2">
        <f>IFERROR(__xludf.DUMMYFUNCTION("""COMPUTED_VALUE"""),3311105.0)</f>
        <v>3311105</v>
      </c>
    </row>
    <row r="743">
      <c r="A743" s="3">
        <f>IFERROR(__xludf.DUMMYFUNCTION("""COMPUTED_VALUE"""),38518.645833333336)</f>
        <v>38518.64583</v>
      </c>
      <c r="B743" s="2">
        <f>IFERROR(__xludf.DUMMYFUNCTION("""COMPUTED_VALUE"""),114.31)</f>
        <v>114.31</v>
      </c>
      <c r="C743" s="2">
        <f>IFERROR(__xludf.DUMMYFUNCTION("""COMPUTED_VALUE"""),116.17)</f>
        <v>116.17</v>
      </c>
      <c r="D743" s="2">
        <f>IFERROR(__xludf.DUMMYFUNCTION("""COMPUTED_VALUE"""),114.31)</f>
        <v>114.31</v>
      </c>
      <c r="E743" s="2">
        <f>IFERROR(__xludf.DUMMYFUNCTION("""COMPUTED_VALUE"""),115.76)</f>
        <v>115.76</v>
      </c>
      <c r="F743" s="2">
        <f>IFERROR(__xludf.DUMMYFUNCTION("""COMPUTED_VALUE"""),3469660.0)</f>
        <v>3469660</v>
      </c>
    </row>
    <row r="744">
      <c r="A744" s="3">
        <f>IFERROR(__xludf.DUMMYFUNCTION("""COMPUTED_VALUE"""),38519.645833333336)</f>
        <v>38519.64583</v>
      </c>
      <c r="B744" s="2">
        <f>IFERROR(__xludf.DUMMYFUNCTION("""COMPUTED_VALUE"""),116.17)</f>
        <v>116.17</v>
      </c>
      <c r="C744" s="2">
        <f>IFERROR(__xludf.DUMMYFUNCTION("""COMPUTED_VALUE"""),119.8)</f>
        <v>119.8</v>
      </c>
      <c r="D744" s="2">
        <f>IFERROR(__xludf.DUMMYFUNCTION("""COMPUTED_VALUE"""),115.97)</f>
        <v>115.97</v>
      </c>
      <c r="E744" s="2">
        <f>IFERROR(__xludf.DUMMYFUNCTION("""COMPUTED_VALUE"""),118.84)</f>
        <v>118.84</v>
      </c>
      <c r="F744" s="2">
        <f>IFERROR(__xludf.DUMMYFUNCTION("""COMPUTED_VALUE"""),8227646.0)</f>
        <v>8227646</v>
      </c>
    </row>
    <row r="745">
      <c r="A745" s="3">
        <f>IFERROR(__xludf.DUMMYFUNCTION("""COMPUTED_VALUE"""),38520.645833333336)</f>
        <v>38520.64583</v>
      </c>
      <c r="B745" s="2">
        <f>IFERROR(__xludf.DUMMYFUNCTION("""COMPUTED_VALUE"""),118.79)</f>
        <v>118.79</v>
      </c>
      <c r="C745" s="2">
        <f>IFERROR(__xludf.DUMMYFUNCTION("""COMPUTED_VALUE"""),121.92)</f>
        <v>121.92</v>
      </c>
      <c r="D745" s="2">
        <f>IFERROR(__xludf.DUMMYFUNCTION("""COMPUTED_VALUE"""),117.58)</f>
        <v>117.58</v>
      </c>
      <c r="E745" s="2">
        <f>IFERROR(__xludf.DUMMYFUNCTION("""COMPUTED_VALUE"""),120.85)</f>
        <v>120.85</v>
      </c>
      <c r="F745" s="2">
        <f>IFERROR(__xludf.DUMMYFUNCTION("""COMPUTED_VALUE"""),9028624.0)</f>
        <v>9028624</v>
      </c>
    </row>
    <row r="746">
      <c r="A746" s="3">
        <f>IFERROR(__xludf.DUMMYFUNCTION("""COMPUTED_VALUE"""),38523.645833333336)</f>
        <v>38523.64583</v>
      </c>
      <c r="B746" s="2">
        <f>IFERROR(__xludf.DUMMYFUNCTION("""COMPUTED_VALUE"""),125.84)</f>
        <v>125.84</v>
      </c>
      <c r="C746" s="2">
        <f>IFERROR(__xludf.DUMMYFUNCTION("""COMPUTED_VALUE"""),130.0)</f>
        <v>130</v>
      </c>
      <c r="D746" s="2">
        <f>IFERROR(__xludf.DUMMYFUNCTION("""COMPUTED_VALUE"""),124.09)</f>
        <v>124.09</v>
      </c>
      <c r="E746" s="2">
        <f>IFERROR(__xludf.DUMMYFUNCTION("""COMPUTED_VALUE"""),126.94)</f>
        <v>126.94</v>
      </c>
      <c r="F746" s="2">
        <f>IFERROR(__xludf.DUMMYFUNCTION("""COMPUTED_VALUE"""),2.4100424E7)</f>
        <v>24100424</v>
      </c>
    </row>
    <row r="747">
      <c r="A747" s="3">
        <f>IFERROR(__xludf.DUMMYFUNCTION("""COMPUTED_VALUE"""),38524.645833333336)</f>
        <v>38524.64583</v>
      </c>
      <c r="B747" s="2">
        <f>IFERROR(__xludf.DUMMYFUNCTION("""COMPUTED_VALUE"""),127.24)</f>
        <v>127.24</v>
      </c>
      <c r="C747" s="2">
        <f>IFERROR(__xludf.DUMMYFUNCTION("""COMPUTED_VALUE"""),130.47)</f>
        <v>130.47</v>
      </c>
      <c r="D747" s="2">
        <f>IFERROR(__xludf.DUMMYFUNCTION("""COMPUTED_VALUE"""),125.03)</f>
        <v>125.03</v>
      </c>
      <c r="E747" s="2">
        <f>IFERROR(__xludf.DUMMYFUNCTION("""COMPUTED_VALUE"""),130.09)</f>
        <v>130.09</v>
      </c>
      <c r="F747" s="2">
        <f>IFERROR(__xludf.DUMMYFUNCTION("""COMPUTED_VALUE"""),1.6475825E7)</f>
        <v>16475825</v>
      </c>
    </row>
    <row r="748">
      <c r="A748" s="3">
        <f>IFERROR(__xludf.DUMMYFUNCTION("""COMPUTED_VALUE"""),38525.645833333336)</f>
        <v>38525.64583</v>
      </c>
      <c r="B748" s="2">
        <f>IFERROR(__xludf.DUMMYFUNCTION("""COMPUTED_VALUE"""),129.46)</f>
        <v>129.46</v>
      </c>
      <c r="C748" s="2">
        <f>IFERROR(__xludf.DUMMYFUNCTION("""COMPUTED_VALUE"""),132.88)</f>
        <v>132.88</v>
      </c>
      <c r="D748" s="2">
        <f>IFERROR(__xludf.DUMMYFUNCTION("""COMPUTED_VALUE"""),129.26)</f>
        <v>129.26</v>
      </c>
      <c r="E748" s="2">
        <f>IFERROR(__xludf.DUMMYFUNCTION("""COMPUTED_VALUE"""),131.79)</f>
        <v>131.79</v>
      </c>
      <c r="F748" s="2">
        <f>IFERROR(__xludf.DUMMYFUNCTION("""COMPUTED_VALUE"""),1.2836742E7)</f>
        <v>12836742</v>
      </c>
    </row>
    <row r="749">
      <c r="A749" s="3">
        <f>IFERROR(__xludf.DUMMYFUNCTION("""COMPUTED_VALUE"""),38526.645833333336)</f>
        <v>38526.64583</v>
      </c>
      <c r="B749" s="2">
        <f>IFERROR(__xludf.DUMMYFUNCTION("""COMPUTED_VALUE"""),131.71)</f>
        <v>131.71</v>
      </c>
      <c r="C749" s="2">
        <f>IFERROR(__xludf.DUMMYFUNCTION("""COMPUTED_VALUE"""),131.88)</f>
        <v>131.88</v>
      </c>
      <c r="D749" s="2">
        <f>IFERROR(__xludf.DUMMYFUNCTION("""COMPUTED_VALUE"""),130.2)</f>
        <v>130.2</v>
      </c>
      <c r="E749" s="2">
        <f>IFERROR(__xludf.DUMMYFUNCTION("""COMPUTED_VALUE"""),130.99)</f>
        <v>130.99</v>
      </c>
      <c r="F749" s="2">
        <f>IFERROR(__xludf.DUMMYFUNCTION("""COMPUTED_VALUE"""),6411276.0)</f>
        <v>6411276</v>
      </c>
    </row>
    <row r="750">
      <c r="A750" s="3">
        <f>IFERROR(__xludf.DUMMYFUNCTION("""COMPUTED_VALUE"""),38527.645833333336)</f>
        <v>38527.64583</v>
      </c>
      <c r="B750" s="2">
        <f>IFERROR(__xludf.DUMMYFUNCTION("""COMPUTED_VALUE"""),130.67)</f>
        <v>130.67</v>
      </c>
      <c r="C750" s="2">
        <f>IFERROR(__xludf.DUMMYFUNCTION("""COMPUTED_VALUE"""),132.58)</f>
        <v>132.58</v>
      </c>
      <c r="D750" s="2">
        <f>IFERROR(__xludf.DUMMYFUNCTION("""COMPUTED_VALUE"""),129.47)</f>
        <v>129.47</v>
      </c>
      <c r="E750" s="2">
        <f>IFERROR(__xludf.DUMMYFUNCTION("""COMPUTED_VALUE"""),131.81)</f>
        <v>131.81</v>
      </c>
      <c r="F750" s="2">
        <f>IFERROR(__xludf.DUMMYFUNCTION("""COMPUTED_VALUE"""),6446770.0)</f>
        <v>6446770</v>
      </c>
    </row>
    <row r="751">
      <c r="A751" s="3">
        <f>IFERROR(__xludf.DUMMYFUNCTION("""COMPUTED_VALUE"""),38530.645833333336)</f>
        <v>38530.64583</v>
      </c>
      <c r="B751" s="2">
        <f>IFERROR(__xludf.DUMMYFUNCTION("""COMPUTED_VALUE"""),130.47)</f>
        <v>130.47</v>
      </c>
      <c r="C751" s="2">
        <f>IFERROR(__xludf.DUMMYFUNCTION("""COMPUTED_VALUE"""),135.9)</f>
        <v>135.9</v>
      </c>
      <c r="D751" s="2">
        <f>IFERROR(__xludf.DUMMYFUNCTION("""COMPUTED_VALUE"""),129.91)</f>
        <v>129.91</v>
      </c>
      <c r="E751" s="2">
        <f>IFERROR(__xludf.DUMMYFUNCTION("""COMPUTED_VALUE"""),130.6)</f>
        <v>130.6</v>
      </c>
      <c r="F751" s="2">
        <f>IFERROR(__xludf.DUMMYFUNCTION("""COMPUTED_VALUE"""),1.24417E7)</f>
        <v>12441700</v>
      </c>
    </row>
    <row r="752">
      <c r="A752" s="3">
        <f>IFERROR(__xludf.DUMMYFUNCTION("""COMPUTED_VALUE"""),38531.645833333336)</f>
        <v>38531.64583</v>
      </c>
      <c r="B752" s="2">
        <f>IFERROR(__xludf.DUMMYFUNCTION("""COMPUTED_VALUE"""),134.9)</f>
        <v>134.9</v>
      </c>
      <c r="C752" s="2">
        <f>IFERROR(__xludf.DUMMYFUNCTION("""COMPUTED_VALUE"""),134.9)</f>
        <v>134.9</v>
      </c>
      <c r="D752" s="2">
        <f>IFERROR(__xludf.DUMMYFUNCTION("""COMPUTED_VALUE"""),126.27)</f>
        <v>126.27</v>
      </c>
      <c r="E752" s="2">
        <f>IFERROR(__xludf.DUMMYFUNCTION("""COMPUTED_VALUE"""),126.75)</f>
        <v>126.75</v>
      </c>
      <c r="F752" s="2">
        <f>IFERROR(__xludf.DUMMYFUNCTION("""COMPUTED_VALUE"""),1.0011559E7)</f>
        <v>10011559</v>
      </c>
    </row>
    <row r="753">
      <c r="A753" s="3">
        <f>IFERROR(__xludf.DUMMYFUNCTION("""COMPUTED_VALUE"""),38532.645833333336)</f>
        <v>38532.64583</v>
      </c>
      <c r="B753" s="2">
        <f>IFERROR(__xludf.DUMMYFUNCTION("""COMPUTED_VALUE"""),127.65)</f>
        <v>127.65</v>
      </c>
      <c r="C753" s="2">
        <f>IFERROR(__xludf.DUMMYFUNCTION("""COMPUTED_VALUE"""),130.27)</f>
        <v>130.27</v>
      </c>
      <c r="D753" s="2">
        <f>IFERROR(__xludf.DUMMYFUNCTION("""COMPUTED_VALUE"""),127.39)</f>
        <v>127.39</v>
      </c>
      <c r="E753" s="2">
        <f>IFERROR(__xludf.DUMMYFUNCTION("""COMPUTED_VALUE"""),129.23)</f>
        <v>129.23</v>
      </c>
      <c r="F753" s="2">
        <f>IFERROR(__xludf.DUMMYFUNCTION("""COMPUTED_VALUE"""),8831638.0)</f>
        <v>8831638</v>
      </c>
    </row>
    <row r="754">
      <c r="A754" s="3">
        <f>IFERROR(__xludf.DUMMYFUNCTION("""COMPUTED_VALUE"""),38533.645833333336)</f>
        <v>38533.64583</v>
      </c>
      <c r="B754" s="2">
        <f>IFERROR(__xludf.DUMMYFUNCTION("""COMPUTED_VALUE"""),130.47)</f>
        <v>130.47</v>
      </c>
      <c r="C754" s="2">
        <f>IFERROR(__xludf.DUMMYFUNCTION("""COMPUTED_VALUE"""),131.5)</f>
        <v>131.5</v>
      </c>
      <c r="D754" s="2">
        <f>IFERROR(__xludf.DUMMYFUNCTION("""COMPUTED_VALUE"""),128.18)</f>
        <v>128.18</v>
      </c>
      <c r="E754" s="2">
        <f>IFERROR(__xludf.DUMMYFUNCTION("""COMPUTED_VALUE"""),129.37)</f>
        <v>129.37</v>
      </c>
      <c r="F754" s="2">
        <f>IFERROR(__xludf.DUMMYFUNCTION("""COMPUTED_VALUE"""),7195559.0)</f>
        <v>7195559</v>
      </c>
    </row>
    <row r="755">
      <c r="A755" s="3">
        <f>IFERROR(__xludf.DUMMYFUNCTION("""COMPUTED_VALUE"""),38534.645833333336)</f>
        <v>38534.64583</v>
      </c>
      <c r="B755" s="2">
        <f>IFERROR(__xludf.DUMMYFUNCTION("""COMPUTED_VALUE"""),129.46)</f>
        <v>129.46</v>
      </c>
      <c r="C755" s="2">
        <f>IFERROR(__xludf.DUMMYFUNCTION("""COMPUTED_VALUE"""),129.86)</f>
        <v>129.86</v>
      </c>
      <c r="D755" s="2">
        <f>IFERROR(__xludf.DUMMYFUNCTION("""COMPUTED_VALUE"""),128.36)</f>
        <v>128.36</v>
      </c>
      <c r="E755" s="2">
        <f>IFERROR(__xludf.DUMMYFUNCTION("""COMPUTED_VALUE"""),128.88)</f>
        <v>128.88</v>
      </c>
      <c r="F755" s="2">
        <f>IFERROR(__xludf.DUMMYFUNCTION("""COMPUTED_VALUE"""),3513766.0)</f>
        <v>3513766</v>
      </c>
    </row>
    <row r="756">
      <c r="A756" s="3">
        <f>IFERROR(__xludf.DUMMYFUNCTION("""COMPUTED_VALUE"""),38537.645833333336)</f>
        <v>38537.64583</v>
      </c>
      <c r="B756" s="2">
        <f>IFERROR(__xludf.DUMMYFUNCTION("""COMPUTED_VALUE"""),129.26)</f>
        <v>129.26</v>
      </c>
      <c r="C756" s="2">
        <f>IFERROR(__xludf.DUMMYFUNCTION("""COMPUTED_VALUE"""),130.77)</f>
        <v>130.77</v>
      </c>
      <c r="D756" s="2">
        <f>IFERROR(__xludf.DUMMYFUNCTION("""COMPUTED_VALUE"""),128.65)</f>
        <v>128.65</v>
      </c>
      <c r="E756" s="2">
        <f>IFERROR(__xludf.DUMMYFUNCTION("""COMPUTED_VALUE"""),129.74)</f>
        <v>129.74</v>
      </c>
      <c r="F756" s="2">
        <f>IFERROR(__xludf.DUMMYFUNCTION("""COMPUTED_VALUE"""),3814948.0)</f>
        <v>3814948</v>
      </c>
    </row>
    <row r="757">
      <c r="A757" s="3">
        <f>IFERROR(__xludf.DUMMYFUNCTION("""COMPUTED_VALUE"""),38538.645833333336)</f>
        <v>38538.64583</v>
      </c>
      <c r="B757" s="2">
        <f>IFERROR(__xludf.DUMMYFUNCTION("""COMPUTED_VALUE"""),129.66)</f>
        <v>129.66</v>
      </c>
      <c r="C757" s="2">
        <f>IFERROR(__xludf.DUMMYFUNCTION("""COMPUTED_VALUE"""),130.47)</f>
        <v>130.47</v>
      </c>
      <c r="D757" s="2">
        <f>IFERROR(__xludf.DUMMYFUNCTION("""COMPUTED_VALUE"""),128.14)</f>
        <v>128.14</v>
      </c>
      <c r="E757" s="2">
        <f>IFERROR(__xludf.DUMMYFUNCTION("""COMPUTED_VALUE"""),128.46)</f>
        <v>128.46</v>
      </c>
      <c r="F757" s="2">
        <f>IFERROR(__xludf.DUMMYFUNCTION("""COMPUTED_VALUE"""),4700583.0)</f>
        <v>4700583</v>
      </c>
    </row>
    <row r="758">
      <c r="A758" s="3">
        <f>IFERROR(__xludf.DUMMYFUNCTION("""COMPUTED_VALUE"""),38539.645833333336)</f>
        <v>38539.64583</v>
      </c>
      <c r="B758" s="2">
        <f>IFERROR(__xludf.DUMMYFUNCTION("""COMPUTED_VALUE"""),128.32)</f>
        <v>128.32</v>
      </c>
      <c r="C758" s="2">
        <f>IFERROR(__xludf.DUMMYFUNCTION("""COMPUTED_VALUE"""),130.27)</f>
        <v>130.27</v>
      </c>
      <c r="D758" s="2">
        <f>IFERROR(__xludf.DUMMYFUNCTION("""COMPUTED_VALUE"""),128.32)</f>
        <v>128.32</v>
      </c>
      <c r="E758" s="2">
        <f>IFERROR(__xludf.DUMMYFUNCTION("""COMPUTED_VALUE"""),129.9)</f>
        <v>129.9</v>
      </c>
      <c r="F758" s="2">
        <f>IFERROR(__xludf.DUMMYFUNCTION("""COMPUTED_VALUE"""),3357409.0)</f>
        <v>3357409</v>
      </c>
    </row>
    <row r="759">
      <c r="A759" s="3">
        <f>IFERROR(__xludf.DUMMYFUNCTION("""COMPUTED_VALUE"""),38540.645833333336)</f>
        <v>38540.64583</v>
      </c>
      <c r="B759" s="2">
        <f>IFERROR(__xludf.DUMMYFUNCTION("""COMPUTED_VALUE"""),129.14)</f>
        <v>129.14</v>
      </c>
      <c r="C759" s="2">
        <f>IFERROR(__xludf.DUMMYFUNCTION("""COMPUTED_VALUE"""),129.14)</f>
        <v>129.14</v>
      </c>
      <c r="D759" s="2">
        <f>IFERROR(__xludf.DUMMYFUNCTION("""COMPUTED_VALUE"""),122.68)</f>
        <v>122.68</v>
      </c>
      <c r="E759" s="2">
        <f>IFERROR(__xludf.DUMMYFUNCTION("""COMPUTED_VALUE"""),123.61)</f>
        <v>123.61</v>
      </c>
      <c r="F759" s="2">
        <f>IFERROR(__xludf.DUMMYFUNCTION("""COMPUTED_VALUE"""),8735824.0)</f>
        <v>8735824</v>
      </c>
    </row>
    <row r="760">
      <c r="A760" s="3">
        <f>IFERROR(__xludf.DUMMYFUNCTION("""COMPUTED_VALUE"""),38541.645833333336)</f>
        <v>38541.64583</v>
      </c>
      <c r="B760" s="2">
        <f>IFERROR(__xludf.DUMMYFUNCTION("""COMPUTED_VALUE"""),126.44)</f>
        <v>126.44</v>
      </c>
      <c r="C760" s="2">
        <f>IFERROR(__xludf.DUMMYFUNCTION("""COMPUTED_VALUE"""),126.44)</f>
        <v>126.44</v>
      </c>
      <c r="D760" s="2">
        <f>IFERROR(__xludf.DUMMYFUNCTION("""COMPUTED_VALUE"""),123.82)</f>
        <v>123.82</v>
      </c>
      <c r="E760" s="2">
        <f>IFERROR(__xludf.DUMMYFUNCTION("""COMPUTED_VALUE"""),124.89)</f>
        <v>124.89</v>
      </c>
      <c r="F760" s="2">
        <f>IFERROR(__xludf.DUMMYFUNCTION("""COMPUTED_VALUE"""),5541157.0)</f>
        <v>5541157</v>
      </c>
    </row>
    <row r="761">
      <c r="A761" s="3">
        <f>IFERROR(__xludf.DUMMYFUNCTION("""COMPUTED_VALUE"""),38544.645833333336)</f>
        <v>38544.64583</v>
      </c>
      <c r="B761" s="2">
        <f>IFERROR(__xludf.DUMMYFUNCTION("""COMPUTED_VALUE"""),124.46)</f>
        <v>124.46</v>
      </c>
      <c r="C761" s="2">
        <f>IFERROR(__xludf.DUMMYFUNCTION("""COMPUTED_VALUE"""),128.05)</f>
        <v>128.05</v>
      </c>
      <c r="D761" s="2">
        <f>IFERROR(__xludf.DUMMYFUNCTION("""COMPUTED_VALUE"""),124.46)</f>
        <v>124.46</v>
      </c>
      <c r="E761" s="2">
        <f>IFERROR(__xludf.DUMMYFUNCTION("""COMPUTED_VALUE"""),127.63)</f>
        <v>127.63</v>
      </c>
      <c r="F761" s="2">
        <f>IFERROR(__xludf.DUMMYFUNCTION("""COMPUTED_VALUE"""),4123835.0)</f>
        <v>4123835</v>
      </c>
    </row>
    <row r="762">
      <c r="A762" s="3">
        <f>IFERROR(__xludf.DUMMYFUNCTION("""COMPUTED_VALUE"""),38545.645833333336)</f>
        <v>38545.64583</v>
      </c>
      <c r="B762" s="2">
        <f>IFERROR(__xludf.DUMMYFUNCTION("""COMPUTED_VALUE"""),127.83)</f>
        <v>127.83</v>
      </c>
      <c r="C762" s="2">
        <f>IFERROR(__xludf.DUMMYFUNCTION("""COMPUTED_VALUE"""),129.66)</f>
        <v>129.66</v>
      </c>
      <c r="D762" s="2">
        <f>IFERROR(__xludf.DUMMYFUNCTION("""COMPUTED_VALUE"""),126.95)</f>
        <v>126.95</v>
      </c>
      <c r="E762" s="2">
        <f>IFERROR(__xludf.DUMMYFUNCTION("""COMPUTED_VALUE"""),128.51)</f>
        <v>128.51</v>
      </c>
      <c r="F762" s="2">
        <f>IFERROR(__xludf.DUMMYFUNCTION("""COMPUTED_VALUE"""),5132947.0)</f>
        <v>5132947</v>
      </c>
    </row>
    <row r="763">
      <c r="A763" s="3">
        <f>IFERROR(__xludf.DUMMYFUNCTION("""COMPUTED_VALUE"""),38546.645833333336)</f>
        <v>38546.64583</v>
      </c>
      <c r="B763" s="2">
        <f>IFERROR(__xludf.DUMMYFUNCTION("""COMPUTED_VALUE"""),128.86)</f>
        <v>128.86</v>
      </c>
      <c r="C763" s="2">
        <f>IFERROR(__xludf.DUMMYFUNCTION("""COMPUTED_VALUE"""),129.14)</f>
        <v>129.14</v>
      </c>
      <c r="D763" s="2">
        <f>IFERROR(__xludf.DUMMYFUNCTION("""COMPUTED_VALUE"""),126.66)</f>
        <v>126.66</v>
      </c>
      <c r="E763" s="2">
        <f>IFERROR(__xludf.DUMMYFUNCTION("""COMPUTED_VALUE"""),127.03)</f>
        <v>127.03</v>
      </c>
      <c r="F763" s="2">
        <f>IFERROR(__xludf.DUMMYFUNCTION("""COMPUTED_VALUE"""),2739244.0)</f>
        <v>2739244</v>
      </c>
    </row>
    <row r="764">
      <c r="A764" s="3">
        <f>IFERROR(__xludf.DUMMYFUNCTION("""COMPUTED_VALUE"""),38547.645833333336)</f>
        <v>38547.64583</v>
      </c>
      <c r="B764" s="2">
        <f>IFERROR(__xludf.DUMMYFUNCTION("""COMPUTED_VALUE"""),127.17)</f>
        <v>127.17</v>
      </c>
      <c r="C764" s="2">
        <f>IFERROR(__xludf.DUMMYFUNCTION("""COMPUTED_VALUE"""),130.24)</f>
        <v>130.24</v>
      </c>
      <c r="D764" s="2">
        <f>IFERROR(__xludf.DUMMYFUNCTION("""COMPUTED_VALUE"""),125.05)</f>
        <v>125.05</v>
      </c>
      <c r="E764" s="2">
        <f>IFERROR(__xludf.DUMMYFUNCTION("""COMPUTED_VALUE"""),129.16)</f>
        <v>129.16</v>
      </c>
      <c r="F764" s="2">
        <f>IFERROR(__xludf.DUMMYFUNCTION("""COMPUTED_VALUE"""),8425709.0)</f>
        <v>8425709</v>
      </c>
    </row>
    <row r="765">
      <c r="A765" s="3">
        <f>IFERROR(__xludf.DUMMYFUNCTION("""COMPUTED_VALUE"""),38548.645833333336)</f>
        <v>38548.64583</v>
      </c>
      <c r="B765" s="2">
        <f>IFERROR(__xludf.DUMMYFUNCTION("""COMPUTED_VALUE"""),129.46)</f>
        <v>129.46</v>
      </c>
      <c r="C765" s="2">
        <f>IFERROR(__xludf.DUMMYFUNCTION("""COMPUTED_VALUE"""),134.9)</f>
        <v>134.9</v>
      </c>
      <c r="D765" s="2">
        <f>IFERROR(__xludf.DUMMYFUNCTION("""COMPUTED_VALUE"""),129.46)</f>
        <v>129.46</v>
      </c>
      <c r="E765" s="2">
        <f>IFERROR(__xludf.DUMMYFUNCTION("""COMPUTED_VALUE"""),134.22)</f>
        <v>134.22</v>
      </c>
      <c r="F765" s="2">
        <f>IFERROR(__xludf.DUMMYFUNCTION("""COMPUTED_VALUE"""),7099154.0)</f>
        <v>7099154</v>
      </c>
    </row>
    <row r="766">
      <c r="A766" s="3">
        <f>IFERROR(__xludf.DUMMYFUNCTION("""COMPUTED_VALUE"""),38551.645833333336)</f>
        <v>38551.64583</v>
      </c>
      <c r="B766" s="2">
        <f>IFERROR(__xludf.DUMMYFUNCTION("""COMPUTED_VALUE"""),134.29)</f>
        <v>134.29</v>
      </c>
      <c r="C766" s="2">
        <f>IFERROR(__xludf.DUMMYFUNCTION("""COMPUTED_VALUE"""),135.47)</f>
        <v>135.47</v>
      </c>
      <c r="D766" s="2">
        <f>IFERROR(__xludf.DUMMYFUNCTION("""COMPUTED_VALUE"""),132.52)</f>
        <v>132.52</v>
      </c>
      <c r="E766" s="2">
        <f>IFERROR(__xludf.DUMMYFUNCTION("""COMPUTED_VALUE"""),133.24)</f>
        <v>133.24</v>
      </c>
      <c r="F766" s="2">
        <f>IFERROR(__xludf.DUMMYFUNCTION("""COMPUTED_VALUE"""),7839312.0)</f>
        <v>7839312</v>
      </c>
    </row>
    <row r="767">
      <c r="A767" s="3">
        <f>IFERROR(__xludf.DUMMYFUNCTION("""COMPUTED_VALUE"""),38552.645833333336)</f>
        <v>38552.64583</v>
      </c>
      <c r="B767" s="2">
        <f>IFERROR(__xludf.DUMMYFUNCTION("""COMPUTED_VALUE"""),133.69)</f>
        <v>133.69</v>
      </c>
      <c r="C767" s="2">
        <f>IFERROR(__xludf.DUMMYFUNCTION("""COMPUTED_VALUE"""),135.26)</f>
        <v>135.26</v>
      </c>
      <c r="D767" s="2">
        <f>IFERROR(__xludf.DUMMYFUNCTION("""COMPUTED_VALUE"""),133.1)</f>
        <v>133.1</v>
      </c>
      <c r="E767" s="2">
        <f>IFERROR(__xludf.DUMMYFUNCTION("""COMPUTED_VALUE"""),133.82)</f>
        <v>133.82</v>
      </c>
      <c r="F767" s="2">
        <f>IFERROR(__xludf.DUMMYFUNCTION("""COMPUTED_VALUE"""),5288380.0)</f>
        <v>5288380</v>
      </c>
    </row>
    <row r="768">
      <c r="A768" s="3">
        <f>IFERROR(__xludf.DUMMYFUNCTION("""COMPUTED_VALUE"""),38553.645833333336)</f>
        <v>38553.64583</v>
      </c>
      <c r="B768" s="2">
        <f>IFERROR(__xludf.DUMMYFUNCTION("""COMPUTED_VALUE"""),134.09)</f>
        <v>134.09</v>
      </c>
      <c r="C768" s="2">
        <f>IFERROR(__xludf.DUMMYFUNCTION("""COMPUTED_VALUE"""),137.51)</f>
        <v>137.51</v>
      </c>
      <c r="D768" s="2">
        <f>IFERROR(__xludf.DUMMYFUNCTION("""COMPUTED_VALUE"""),134.09)</f>
        <v>134.09</v>
      </c>
      <c r="E768" s="2">
        <f>IFERROR(__xludf.DUMMYFUNCTION("""COMPUTED_VALUE"""),136.73)</f>
        <v>136.73</v>
      </c>
      <c r="F768" s="2">
        <f>IFERROR(__xludf.DUMMYFUNCTION("""COMPUTED_VALUE"""),5825914.0)</f>
        <v>5825914</v>
      </c>
    </row>
    <row r="769">
      <c r="A769" s="3">
        <f>IFERROR(__xludf.DUMMYFUNCTION("""COMPUTED_VALUE"""),38554.645833333336)</f>
        <v>38554.64583</v>
      </c>
      <c r="B769" s="2">
        <f>IFERROR(__xludf.DUMMYFUNCTION("""COMPUTED_VALUE"""),136.1)</f>
        <v>136.1</v>
      </c>
      <c r="C769" s="2">
        <f>IFERROR(__xludf.DUMMYFUNCTION("""COMPUTED_VALUE"""),138.18)</f>
        <v>138.18</v>
      </c>
      <c r="D769" s="2">
        <f>IFERROR(__xludf.DUMMYFUNCTION("""COMPUTED_VALUE"""),135.03)</f>
        <v>135.03</v>
      </c>
      <c r="E769" s="2">
        <f>IFERROR(__xludf.DUMMYFUNCTION("""COMPUTED_VALUE"""),136.56)</f>
        <v>136.56</v>
      </c>
      <c r="F769" s="2">
        <f>IFERROR(__xludf.DUMMYFUNCTION("""COMPUTED_VALUE"""),4972401.0)</f>
        <v>4972401</v>
      </c>
    </row>
    <row r="770">
      <c r="A770" s="3">
        <f>IFERROR(__xludf.DUMMYFUNCTION("""COMPUTED_VALUE"""),38555.645833333336)</f>
        <v>38555.64583</v>
      </c>
      <c r="B770" s="2">
        <f>IFERROR(__xludf.DUMMYFUNCTION("""COMPUTED_VALUE"""),136.91)</f>
        <v>136.91</v>
      </c>
      <c r="C770" s="2">
        <f>IFERROR(__xludf.DUMMYFUNCTION("""COMPUTED_VALUE"""),139.21)</f>
        <v>139.21</v>
      </c>
      <c r="D770" s="2">
        <f>IFERROR(__xludf.DUMMYFUNCTION("""COMPUTED_VALUE"""),136.54)</f>
        <v>136.54</v>
      </c>
      <c r="E770" s="2">
        <f>IFERROR(__xludf.DUMMYFUNCTION("""COMPUTED_VALUE"""),138.83)</f>
        <v>138.83</v>
      </c>
      <c r="F770" s="2">
        <f>IFERROR(__xludf.DUMMYFUNCTION("""COMPUTED_VALUE"""),3826622.0)</f>
        <v>3826622</v>
      </c>
    </row>
    <row r="771">
      <c r="A771" s="3">
        <f>IFERROR(__xludf.DUMMYFUNCTION("""COMPUTED_VALUE"""),38558.645833333336)</f>
        <v>38558.64583</v>
      </c>
      <c r="B771" s="2">
        <f>IFERROR(__xludf.DUMMYFUNCTION("""COMPUTED_VALUE"""),139.21)</f>
        <v>139.21</v>
      </c>
      <c r="C771" s="2">
        <f>IFERROR(__xludf.DUMMYFUNCTION("""COMPUTED_VALUE"""),140.07)</f>
        <v>140.07</v>
      </c>
      <c r="D771" s="2">
        <f>IFERROR(__xludf.DUMMYFUNCTION("""COMPUTED_VALUE"""),137.84)</f>
        <v>137.84</v>
      </c>
      <c r="E771" s="2">
        <f>IFERROR(__xludf.DUMMYFUNCTION("""COMPUTED_VALUE"""),138.43)</f>
        <v>138.43</v>
      </c>
      <c r="F771" s="2">
        <f>IFERROR(__xludf.DUMMYFUNCTION("""COMPUTED_VALUE"""),5505138.0)</f>
        <v>5505138</v>
      </c>
    </row>
    <row r="772">
      <c r="A772" s="3">
        <f>IFERROR(__xludf.DUMMYFUNCTION("""COMPUTED_VALUE"""),38559.645833333336)</f>
        <v>38559.64583</v>
      </c>
      <c r="B772" s="2">
        <f>IFERROR(__xludf.DUMMYFUNCTION("""COMPUTED_VALUE"""),137.92)</f>
        <v>137.92</v>
      </c>
      <c r="C772" s="2">
        <f>IFERROR(__xludf.DUMMYFUNCTION("""COMPUTED_VALUE"""),139.41)</f>
        <v>139.41</v>
      </c>
      <c r="D772" s="2">
        <f>IFERROR(__xludf.DUMMYFUNCTION("""COMPUTED_VALUE"""),136.95)</f>
        <v>136.95</v>
      </c>
      <c r="E772" s="2">
        <f>IFERROR(__xludf.DUMMYFUNCTION("""COMPUTED_VALUE"""),139.15)</f>
        <v>139.15</v>
      </c>
      <c r="F772" s="2">
        <f>IFERROR(__xludf.DUMMYFUNCTION("""COMPUTED_VALUE"""),4407445.0)</f>
        <v>4407445</v>
      </c>
    </row>
    <row r="773">
      <c r="A773" s="3">
        <f>IFERROR(__xludf.DUMMYFUNCTION("""COMPUTED_VALUE"""),38560.645833333336)</f>
        <v>38560.64583</v>
      </c>
      <c r="B773" s="2">
        <f>IFERROR(__xludf.DUMMYFUNCTION("""COMPUTED_VALUE"""),139.43)</f>
        <v>139.43</v>
      </c>
      <c r="C773" s="2">
        <f>IFERROR(__xludf.DUMMYFUNCTION("""COMPUTED_VALUE"""),141.92)</f>
        <v>141.92</v>
      </c>
      <c r="D773" s="2">
        <f>IFERROR(__xludf.DUMMYFUNCTION("""COMPUTED_VALUE"""),138.8)</f>
        <v>138.8</v>
      </c>
      <c r="E773" s="2">
        <f>IFERROR(__xludf.DUMMYFUNCTION("""COMPUTED_VALUE"""),140.7)</f>
        <v>140.7</v>
      </c>
      <c r="F773" s="2">
        <f>IFERROR(__xludf.DUMMYFUNCTION("""COMPUTED_VALUE"""),7561778.0)</f>
        <v>7561778</v>
      </c>
    </row>
    <row r="774">
      <c r="A774" s="3">
        <f>IFERROR(__xludf.DUMMYFUNCTION("""COMPUTED_VALUE"""),38562.645833333336)</f>
        <v>38562.64583</v>
      </c>
      <c r="B774" s="2">
        <f>IFERROR(__xludf.DUMMYFUNCTION("""COMPUTED_VALUE"""),140.53)</f>
        <v>140.53</v>
      </c>
      <c r="C774" s="2">
        <f>IFERROR(__xludf.DUMMYFUNCTION("""COMPUTED_VALUE"""),143.33)</f>
        <v>143.33</v>
      </c>
      <c r="D774" s="2">
        <f>IFERROR(__xludf.DUMMYFUNCTION("""COMPUTED_VALUE"""),139.53)</f>
        <v>139.53</v>
      </c>
      <c r="E774" s="2">
        <f>IFERROR(__xludf.DUMMYFUNCTION("""COMPUTED_VALUE"""),141.61)</f>
        <v>141.61</v>
      </c>
      <c r="F774" s="2">
        <f>IFERROR(__xludf.DUMMYFUNCTION("""COMPUTED_VALUE"""),7613858.0)</f>
        <v>7613858</v>
      </c>
    </row>
    <row r="775">
      <c r="A775" s="3">
        <f>IFERROR(__xludf.DUMMYFUNCTION("""COMPUTED_VALUE"""),38565.645833333336)</f>
        <v>38565.64583</v>
      </c>
      <c r="B775" s="2">
        <f>IFERROR(__xludf.DUMMYFUNCTION("""COMPUTED_VALUE"""),141.54)</f>
        <v>141.54</v>
      </c>
      <c r="C775" s="2">
        <f>IFERROR(__xludf.DUMMYFUNCTION("""COMPUTED_VALUE"""),142.93)</f>
        <v>142.93</v>
      </c>
      <c r="D775" s="2">
        <f>IFERROR(__xludf.DUMMYFUNCTION("""COMPUTED_VALUE"""),140.23)</f>
        <v>140.23</v>
      </c>
      <c r="E775" s="2">
        <f>IFERROR(__xludf.DUMMYFUNCTION("""COMPUTED_VALUE"""),142.5)</f>
        <v>142.5</v>
      </c>
      <c r="F775" s="2">
        <f>IFERROR(__xludf.DUMMYFUNCTION("""COMPUTED_VALUE"""),4456070.0)</f>
        <v>4456070</v>
      </c>
    </row>
    <row r="776">
      <c r="A776" s="3">
        <f>IFERROR(__xludf.DUMMYFUNCTION("""COMPUTED_VALUE"""),38566.645833333336)</f>
        <v>38566.64583</v>
      </c>
      <c r="B776" s="2">
        <f>IFERROR(__xludf.DUMMYFUNCTION("""COMPUTED_VALUE"""),143.33)</f>
        <v>143.33</v>
      </c>
      <c r="C776" s="2">
        <f>IFERROR(__xludf.DUMMYFUNCTION("""COMPUTED_VALUE"""),150.29)</f>
        <v>150.29</v>
      </c>
      <c r="D776" s="2">
        <f>IFERROR(__xludf.DUMMYFUNCTION("""COMPUTED_VALUE"""),143.15)</f>
        <v>143.15</v>
      </c>
      <c r="E776" s="2">
        <f>IFERROR(__xludf.DUMMYFUNCTION("""COMPUTED_VALUE"""),149.28)</f>
        <v>149.28</v>
      </c>
      <c r="F776" s="2">
        <f>IFERROR(__xludf.DUMMYFUNCTION("""COMPUTED_VALUE"""),9092585.0)</f>
        <v>9092585</v>
      </c>
    </row>
    <row r="777">
      <c r="A777" s="3">
        <f>IFERROR(__xludf.DUMMYFUNCTION("""COMPUTED_VALUE"""),38567.645833333336)</f>
        <v>38567.64583</v>
      </c>
      <c r="B777" s="2">
        <f>IFERROR(__xludf.DUMMYFUNCTION("""COMPUTED_VALUE"""),152.98)</f>
        <v>152.98</v>
      </c>
      <c r="C777" s="2">
        <f>IFERROR(__xludf.DUMMYFUNCTION("""COMPUTED_VALUE"""),153.0)</f>
        <v>153</v>
      </c>
      <c r="D777" s="2">
        <f>IFERROR(__xludf.DUMMYFUNCTION("""COMPUTED_VALUE"""),143.08)</f>
        <v>143.08</v>
      </c>
      <c r="E777" s="2">
        <f>IFERROR(__xludf.DUMMYFUNCTION("""COMPUTED_VALUE"""),143.86)</f>
        <v>143.86</v>
      </c>
      <c r="F777" s="2">
        <f>IFERROR(__xludf.DUMMYFUNCTION("""COMPUTED_VALUE"""),2.613638E7)</f>
        <v>26136380</v>
      </c>
    </row>
    <row r="778">
      <c r="A778" s="3">
        <f>IFERROR(__xludf.DUMMYFUNCTION("""COMPUTED_VALUE"""),38568.645833333336)</f>
        <v>38568.64583</v>
      </c>
      <c r="B778" s="2">
        <f>IFERROR(__xludf.DUMMYFUNCTION("""COMPUTED_VALUE"""),144.36)</f>
        <v>144.36</v>
      </c>
      <c r="C778" s="2">
        <f>IFERROR(__xludf.DUMMYFUNCTION("""COMPUTED_VALUE"""),152.14)</f>
        <v>152.14</v>
      </c>
      <c r="D778" s="2">
        <f>IFERROR(__xludf.DUMMYFUNCTION("""COMPUTED_VALUE"""),144.36)</f>
        <v>144.36</v>
      </c>
      <c r="E778" s="2">
        <f>IFERROR(__xludf.DUMMYFUNCTION("""COMPUTED_VALUE"""),146.82)</f>
        <v>146.82</v>
      </c>
      <c r="F778" s="2">
        <f>IFERROR(__xludf.DUMMYFUNCTION("""COMPUTED_VALUE"""),1.4466212E7)</f>
        <v>14466212</v>
      </c>
    </row>
    <row r="779">
      <c r="A779" s="3">
        <f>IFERROR(__xludf.DUMMYFUNCTION("""COMPUTED_VALUE"""),38569.645833333336)</f>
        <v>38569.64583</v>
      </c>
      <c r="B779" s="2">
        <f>IFERROR(__xludf.DUMMYFUNCTION("""COMPUTED_VALUE"""),146.98)</f>
        <v>146.98</v>
      </c>
      <c r="C779" s="2">
        <f>IFERROR(__xludf.DUMMYFUNCTION("""COMPUTED_VALUE"""),148.97)</f>
        <v>148.97</v>
      </c>
      <c r="D779" s="2">
        <f>IFERROR(__xludf.DUMMYFUNCTION("""COMPUTED_VALUE"""),145.44)</f>
        <v>145.44</v>
      </c>
      <c r="E779" s="2">
        <f>IFERROR(__xludf.DUMMYFUNCTION("""COMPUTED_VALUE"""),146.12)</f>
        <v>146.12</v>
      </c>
      <c r="F779" s="2">
        <f>IFERROR(__xludf.DUMMYFUNCTION("""COMPUTED_VALUE"""),8039641.0)</f>
        <v>8039641</v>
      </c>
    </row>
    <row r="780">
      <c r="A780" s="3">
        <f>IFERROR(__xludf.DUMMYFUNCTION("""COMPUTED_VALUE"""),38572.645833333336)</f>
        <v>38572.64583</v>
      </c>
      <c r="B780" s="2">
        <f>IFERROR(__xludf.DUMMYFUNCTION("""COMPUTED_VALUE"""),150.96)</f>
        <v>150.96</v>
      </c>
      <c r="C780" s="2">
        <f>IFERROR(__xludf.DUMMYFUNCTION("""COMPUTED_VALUE"""),160.87)</f>
        <v>160.87</v>
      </c>
      <c r="D780" s="2">
        <f>IFERROR(__xludf.DUMMYFUNCTION("""COMPUTED_VALUE"""),142.37)</f>
        <v>142.37</v>
      </c>
      <c r="E780" s="2">
        <f>IFERROR(__xludf.DUMMYFUNCTION("""COMPUTED_VALUE"""),143.21)</f>
        <v>143.21</v>
      </c>
      <c r="F780" s="2">
        <f>IFERROR(__xludf.DUMMYFUNCTION("""COMPUTED_VALUE"""),1.1115184E7)</f>
        <v>11115184</v>
      </c>
    </row>
    <row r="781">
      <c r="A781" s="3">
        <f>IFERROR(__xludf.DUMMYFUNCTION("""COMPUTED_VALUE"""),38573.645833333336)</f>
        <v>38573.64583</v>
      </c>
      <c r="B781" s="2">
        <f>IFERROR(__xludf.DUMMYFUNCTION("""COMPUTED_VALUE"""),143.75)</f>
        <v>143.75</v>
      </c>
      <c r="C781" s="2">
        <f>IFERROR(__xludf.DUMMYFUNCTION("""COMPUTED_VALUE"""),145.93)</f>
        <v>145.93</v>
      </c>
      <c r="D781" s="2">
        <f>IFERROR(__xludf.DUMMYFUNCTION("""COMPUTED_VALUE"""),141.46)</f>
        <v>141.46</v>
      </c>
      <c r="E781" s="2">
        <f>IFERROR(__xludf.DUMMYFUNCTION("""COMPUTED_VALUE"""),142.48)</f>
        <v>142.48</v>
      </c>
      <c r="F781" s="2">
        <f>IFERROR(__xludf.DUMMYFUNCTION("""COMPUTED_VALUE"""),8903267.0)</f>
        <v>8903267</v>
      </c>
    </row>
    <row r="782">
      <c r="A782" s="3">
        <f>IFERROR(__xludf.DUMMYFUNCTION("""COMPUTED_VALUE"""),38574.645833333336)</f>
        <v>38574.64583</v>
      </c>
      <c r="B782" s="2">
        <f>IFERROR(__xludf.DUMMYFUNCTION("""COMPUTED_VALUE"""),144.9)</f>
        <v>144.9</v>
      </c>
      <c r="C782" s="2">
        <f>IFERROR(__xludf.DUMMYFUNCTION("""COMPUTED_VALUE"""),145.5)</f>
        <v>145.5</v>
      </c>
      <c r="D782" s="2">
        <f>IFERROR(__xludf.DUMMYFUNCTION("""COMPUTED_VALUE"""),142.79)</f>
        <v>142.79</v>
      </c>
      <c r="E782" s="2">
        <f>IFERROR(__xludf.DUMMYFUNCTION("""COMPUTED_VALUE"""),144.85)</f>
        <v>144.85</v>
      </c>
      <c r="F782" s="2">
        <f>IFERROR(__xludf.DUMMYFUNCTION("""COMPUTED_VALUE"""),7302607.0)</f>
        <v>7302607</v>
      </c>
    </row>
    <row r="783">
      <c r="A783" s="3">
        <f>IFERROR(__xludf.DUMMYFUNCTION("""COMPUTED_VALUE"""),38575.645833333336)</f>
        <v>38575.64583</v>
      </c>
      <c r="B783" s="2">
        <f>IFERROR(__xludf.DUMMYFUNCTION("""COMPUTED_VALUE"""),145.5)</f>
        <v>145.5</v>
      </c>
      <c r="C783" s="2">
        <f>IFERROR(__xludf.DUMMYFUNCTION("""COMPUTED_VALUE"""),146.87)</f>
        <v>146.87</v>
      </c>
      <c r="D783" s="2">
        <f>IFERROR(__xludf.DUMMYFUNCTION("""COMPUTED_VALUE"""),143.55)</f>
        <v>143.55</v>
      </c>
      <c r="E783" s="2">
        <f>IFERROR(__xludf.DUMMYFUNCTION("""COMPUTED_VALUE"""),144.48)</f>
        <v>144.48</v>
      </c>
      <c r="F783" s="2">
        <f>IFERROR(__xludf.DUMMYFUNCTION("""COMPUTED_VALUE"""),6610025.0)</f>
        <v>6610025</v>
      </c>
    </row>
    <row r="784">
      <c r="A784" s="3">
        <f>IFERROR(__xludf.DUMMYFUNCTION("""COMPUTED_VALUE"""),38576.645833333336)</f>
        <v>38576.64583</v>
      </c>
      <c r="B784" s="2">
        <f>IFERROR(__xludf.DUMMYFUNCTION("""COMPUTED_VALUE"""),144.92)</f>
        <v>144.92</v>
      </c>
      <c r="C784" s="2">
        <f>IFERROR(__xludf.DUMMYFUNCTION("""COMPUTED_VALUE"""),145.51)</f>
        <v>145.51</v>
      </c>
      <c r="D784" s="2">
        <f>IFERROR(__xludf.DUMMYFUNCTION("""COMPUTED_VALUE"""),141.37)</f>
        <v>141.37</v>
      </c>
      <c r="E784" s="2">
        <f>IFERROR(__xludf.DUMMYFUNCTION("""COMPUTED_VALUE"""),141.78)</f>
        <v>141.78</v>
      </c>
      <c r="F784" s="2">
        <f>IFERROR(__xludf.DUMMYFUNCTION("""COMPUTED_VALUE"""),6459920.0)</f>
        <v>6459920</v>
      </c>
    </row>
    <row r="785">
      <c r="A785" s="3">
        <f>IFERROR(__xludf.DUMMYFUNCTION("""COMPUTED_VALUE"""),38580.645833333336)</f>
        <v>38580.64583</v>
      </c>
      <c r="B785" s="2">
        <f>IFERROR(__xludf.DUMMYFUNCTION("""COMPUTED_VALUE"""),141.84)</f>
        <v>141.84</v>
      </c>
      <c r="C785" s="2">
        <f>IFERROR(__xludf.DUMMYFUNCTION("""COMPUTED_VALUE"""),142.95)</f>
        <v>142.95</v>
      </c>
      <c r="D785" s="2">
        <f>IFERROR(__xludf.DUMMYFUNCTION("""COMPUTED_VALUE"""),140.35)</f>
        <v>140.35</v>
      </c>
      <c r="E785" s="2">
        <f>IFERROR(__xludf.DUMMYFUNCTION("""COMPUTED_VALUE"""),140.89)</f>
        <v>140.89</v>
      </c>
      <c r="F785" s="2">
        <f>IFERROR(__xludf.DUMMYFUNCTION("""COMPUTED_VALUE"""),5203768.0)</f>
        <v>5203768</v>
      </c>
    </row>
    <row r="786">
      <c r="A786" s="3">
        <f>IFERROR(__xludf.DUMMYFUNCTION("""COMPUTED_VALUE"""),38581.645833333336)</f>
        <v>38581.64583</v>
      </c>
      <c r="B786" s="2">
        <f>IFERROR(__xludf.DUMMYFUNCTION("""COMPUTED_VALUE"""),140.94)</f>
        <v>140.94</v>
      </c>
      <c r="C786" s="2">
        <f>IFERROR(__xludf.DUMMYFUNCTION("""COMPUTED_VALUE"""),144.56)</f>
        <v>144.56</v>
      </c>
      <c r="D786" s="2">
        <f>IFERROR(__xludf.DUMMYFUNCTION("""COMPUTED_VALUE"""),139.93)</f>
        <v>139.93</v>
      </c>
      <c r="E786" s="2">
        <f>IFERROR(__xludf.DUMMYFUNCTION("""COMPUTED_VALUE"""),143.95)</f>
        <v>143.95</v>
      </c>
      <c r="F786" s="2">
        <f>IFERROR(__xludf.DUMMYFUNCTION("""COMPUTED_VALUE"""),6998309.0)</f>
        <v>6998309</v>
      </c>
    </row>
    <row r="787">
      <c r="A787" s="3">
        <f>IFERROR(__xludf.DUMMYFUNCTION("""COMPUTED_VALUE"""),38582.645833333336)</f>
        <v>38582.64583</v>
      </c>
      <c r="B787" s="2">
        <f>IFERROR(__xludf.DUMMYFUNCTION("""COMPUTED_VALUE"""),144.96)</f>
        <v>144.96</v>
      </c>
      <c r="C787" s="2">
        <f>IFERROR(__xludf.DUMMYFUNCTION("""COMPUTED_VALUE"""),149.79)</f>
        <v>149.79</v>
      </c>
      <c r="D787" s="2">
        <f>IFERROR(__xludf.DUMMYFUNCTION("""COMPUTED_VALUE"""),141.99)</f>
        <v>141.99</v>
      </c>
      <c r="E787" s="2">
        <f>IFERROR(__xludf.DUMMYFUNCTION("""COMPUTED_VALUE"""),142.62)</f>
        <v>142.62</v>
      </c>
      <c r="F787" s="2">
        <f>IFERROR(__xludf.DUMMYFUNCTION("""COMPUTED_VALUE"""),8674278.0)</f>
        <v>8674278</v>
      </c>
    </row>
    <row r="788">
      <c r="A788" s="3">
        <f>IFERROR(__xludf.DUMMYFUNCTION("""COMPUTED_VALUE"""),38583.645833333336)</f>
        <v>38583.64583</v>
      </c>
      <c r="B788" s="2">
        <f>IFERROR(__xludf.DUMMYFUNCTION("""COMPUTED_VALUE"""),151.0)</f>
        <v>151</v>
      </c>
      <c r="C788" s="2">
        <f>IFERROR(__xludf.DUMMYFUNCTION("""COMPUTED_VALUE"""),151.0)</f>
        <v>151</v>
      </c>
      <c r="D788" s="2">
        <f>IFERROR(__xludf.DUMMYFUNCTION("""COMPUTED_VALUE"""),141.57)</f>
        <v>141.57</v>
      </c>
      <c r="E788" s="2">
        <f>IFERROR(__xludf.DUMMYFUNCTION("""COMPUTED_VALUE"""),142.09)</f>
        <v>142.09</v>
      </c>
      <c r="F788" s="2">
        <f>IFERROR(__xludf.DUMMYFUNCTION("""COMPUTED_VALUE"""),6480313.0)</f>
        <v>6480313</v>
      </c>
    </row>
    <row r="789">
      <c r="A789" s="3">
        <f>IFERROR(__xludf.DUMMYFUNCTION("""COMPUTED_VALUE"""),38586.645833333336)</f>
        <v>38586.64583</v>
      </c>
      <c r="B789" s="2">
        <f>IFERROR(__xludf.DUMMYFUNCTION("""COMPUTED_VALUE"""),142.89)</f>
        <v>142.89</v>
      </c>
      <c r="C789" s="2">
        <f>IFERROR(__xludf.DUMMYFUNCTION("""COMPUTED_VALUE"""),143.67)</f>
        <v>143.67</v>
      </c>
      <c r="D789" s="2">
        <f>IFERROR(__xludf.DUMMYFUNCTION("""COMPUTED_VALUE"""),139.85)</f>
        <v>139.85</v>
      </c>
      <c r="E789" s="2">
        <f>IFERROR(__xludf.DUMMYFUNCTION("""COMPUTED_VALUE"""),140.8)</f>
        <v>140.8</v>
      </c>
      <c r="F789" s="2">
        <f>IFERROR(__xludf.DUMMYFUNCTION("""COMPUTED_VALUE"""),5069105.0)</f>
        <v>5069105</v>
      </c>
    </row>
    <row r="790">
      <c r="A790" s="3">
        <f>IFERROR(__xludf.DUMMYFUNCTION("""COMPUTED_VALUE"""),38587.645833333336)</f>
        <v>38587.64583</v>
      </c>
      <c r="B790" s="2">
        <f>IFERROR(__xludf.DUMMYFUNCTION("""COMPUTED_VALUE"""),141.94)</f>
        <v>141.94</v>
      </c>
      <c r="C790" s="2">
        <f>IFERROR(__xludf.DUMMYFUNCTION("""COMPUTED_VALUE"""),142.24)</f>
        <v>142.24</v>
      </c>
      <c r="D790" s="2">
        <f>IFERROR(__xludf.DUMMYFUNCTION("""COMPUTED_VALUE"""),137.52)</f>
        <v>137.52</v>
      </c>
      <c r="E790" s="2">
        <f>IFERROR(__xludf.DUMMYFUNCTION("""COMPUTED_VALUE"""),137.94)</f>
        <v>137.94</v>
      </c>
      <c r="F790" s="2">
        <f>IFERROR(__xludf.DUMMYFUNCTION("""COMPUTED_VALUE"""),6610919.0)</f>
        <v>6610919</v>
      </c>
    </row>
    <row r="791">
      <c r="A791" s="3">
        <f>IFERROR(__xludf.DUMMYFUNCTION("""COMPUTED_VALUE"""),38588.645833333336)</f>
        <v>38588.64583</v>
      </c>
      <c r="B791" s="2">
        <f>IFERROR(__xludf.DUMMYFUNCTION("""COMPUTED_VALUE"""),138.32)</f>
        <v>138.32</v>
      </c>
      <c r="C791" s="2">
        <f>IFERROR(__xludf.DUMMYFUNCTION("""COMPUTED_VALUE"""),140.33)</f>
        <v>140.33</v>
      </c>
      <c r="D791" s="2">
        <f>IFERROR(__xludf.DUMMYFUNCTION("""COMPUTED_VALUE"""),137.53)</f>
        <v>137.53</v>
      </c>
      <c r="E791" s="2">
        <f>IFERROR(__xludf.DUMMYFUNCTION("""COMPUTED_VALUE"""),139.9)</f>
        <v>139.9</v>
      </c>
      <c r="F791" s="2">
        <f>IFERROR(__xludf.DUMMYFUNCTION("""COMPUTED_VALUE"""),6916076.0)</f>
        <v>6916076</v>
      </c>
    </row>
    <row r="792">
      <c r="A792" s="3">
        <f>IFERROR(__xludf.DUMMYFUNCTION("""COMPUTED_VALUE"""),38589.645833333336)</f>
        <v>38589.64583</v>
      </c>
      <c r="B792" s="2">
        <f>IFERROR(__xludf.DUMMYFUNCTION("""COMPUTED_VALUE"""),140.83)</f>
        <v>140.83</v>
      </c>
      <c r="C792" s="2">
        <f>IFERROR(__xludf.DUMMYFUNCTION("""COMPUTED_VALUE"""),141.1)</f>
        <v>141.1</v>
      </c>
      <c r="D792" s="2">
        <f>IFERROR(__xludf.DUMMYFUNCTION("""COMPUTED_VALUE"""),139.52)</f>
        <v>139.52</v>
      </c>
      <c r="E792" s="2">
        <f>IFERROR(__xludf.DUMMYFUNCTION("""COMPUTED_VALUE"""),140.2)</f>
        <v>140.2</v>
      </c>
      <c r="F792" s="2">
        <f>IFERROR(__xludf.DUMMYFUNCTION("""COMPUTED_VALUE"""),7201850.0)</f>
        <v>7201850</v>
      </c>
    </row>
    <row r="793">
      <c r="A793" s="3">
        <f>IFERROR(__xludf.DUMMYFUNCTION("""COMPUTED_VALUE"""),38590.645833333336)</f>
        <v>38590.64583</v>
      </c>
      <c r="B793" s="2">
        <f>IFERROR(__xludf.DUMMYFUNCTION("""COMPUTED_VALUE"""),140.82)</f>
        <v>140.82</v>
      </c>
      <c r="C793" s="2">
        <f>IFERROR(__xludf.DUMMYFUNCTION("""COMPUTED_VALUE"""),141.72)</f>
        <v>141.72</v>
      </c>
      <c r="D793" s="2">
        <f>IFERROR(__xludf.DUMMYFUNCTION("""COMPUTED_VALUE"""),139.65)</f>
        <v>139.65</v>
      </c>
      <c r="E793" s="2">
        <f>IFERROR(__xludf.DUMMYFUNCTION("""COMPUTED_VALUE"""),140.68)</f>
        <v>140.68</v>
      </c>
      <c r="F793" s="2">
        <f>IFERROR(__xludf.DUMMYFUNCTION("""COMPUTED_VALUE"""),3624522.0)</f>
        <v>3624522</v>
      </c>
    </row>
    <row r="794">
      <c r="A794" s="3">
        <f>IFERROR(__xludf.DUMMYFUNCTION("""COMPUTED_VALUE"""),38593.645833333336)</f>
        <v>38593.64583</v>
      </c>
      <c r="B794" s="2">
        <f>IFERROR(__xludf.DUMMYFUNCTION("""COMPUTED_VALUE"""),142.14)</f>
        <v>142.14</v>
      </c>
      <c r="C794" s="2">
        <f>IFERROR(__xludf.DUMMYFUNCTION("""COMPUTED_VALUE"""),145.97)</f>
        <v>145.97</v>
      </c>
      <c r="D794" s="2">
        <f>IFERROR(__xludf.DUMMYFUNCTION("""COMPUTED_VALUE"""),139.54)</f>
        <v>139.54</v>
      </c>
      <c r="E794" s="2">
        <f>IFERROR(__xludf.DUMMYFUNCTION("""COMPUTED_VALUE"""),141.01)</f>
        <v>141.01</v>
      </c>
      <c r="F794" s="2">
        <f>IFERROR(__xludf.DUMMYFUNCTION("""COMPUTED_VALUE"""),4568030.0)</f>
        <v>4568030</v>
      </c>
    </row>
    <row r="795">
      <c r="A795" s="3">
        <f>IFERROR(__xludf.DUMMYFUNCTION("""COMPUTED_VALUE"""),38594.645833333336)</f>
        <v>38594.64583</v>
      </c>
      <c r="B795" s="2">
        <f>IFERROR(__xludf.DUMMYFUNCTION("""COMPUTED_VALUE"""),141.54)</f>
        <v>141.54</v>
      </c>
      <c r="C795" s="2">
        <f>IFERROR(__xludf.DUMMYFUNCTION("""COMPUTED_VALUE"""),142.91)</f>
        <v>142.91</v>
      </c>
      <c r="D795" s="2">
        <f>IFERROR(__xludf.DUMMYFUNCTION("""COMPUTED_VALUE"""),140.74)</f>
        <v>140.74</v>
      </c>
      <c r="E795" s="2">
        <f>IFERROR(__xludf.DUMMYFUNCTION("""COMPUTED_VALUE"""),142.47)</f>
        <v>142.47</v>
      </c>
      <c r="F795" s="2">
        <f>IFERROR(__xludf.DUMMYFUNCTION("""COMPUTED_VALUE"""),4498578.0)</f>
        <v>4498578</v>
      </c>
    </row>
    <row r="796">
      <c r="A796" s="3">
        <f>IFERROR(__xludf.DUMMYFUNCTION("""COMPUTED_VALUE"""),38595.645833333336)</f>
        <v>38595.64583</v>
      </c>
      <c r="B796" s="2">
        <f>IFERROR(__xludf.DUMMYFUNCTION("""COMPUTED_VALUE"""),143.35)</f>
        <v>143.35</v>
      </c>
      <c r="C796" s="2">
        <f>IFERROR(__xludf.DUMMYFUNCTION("""COMPUTED_VALUE"""),145.72)</f>
        <v>145.72</v>
      </c>
      <c r="D796" s="2">
        <f>IFERROR(__xludf.DUMMYFUNCTION("""COMPUTED_VALUE"""),142.6)</f>
        <v>142.6</v>
      </c>
      <c r="E796" s="2">
        <f>IFERROR(__xludf.DUMMYFUNCTION("""COMPUTED_VALUE"""),144.84)</f>
        <v>144.84</v>
      </c>
      <c r="F796" s="2">
        <f>IFERROR(__xludf.DUMMYFUNCTION("""COMPUTED_VALUE"""),6712154.0)</f>
        <v>6712154</v>
      </c>
    </row>
    <row r="797">
      <c r="A797" s="3">
        <f>IFERROR(__xludf.DUMMYFUNCTION("""COMPUTED_VALUE"""),38596.645833333336)</f>
        <v>38596.64583</v>
      </c>
      <c r="B797" s="2">
        <f>IFERROR(__xludf.DUMMYFUNCTION("""COMPUTED_VALUE"""),144.76)</f>
        <v>144.76</v>
      </c>
      <c r="C797" s="2">
        <f>IFERROR(__xludf.DUMMYFUNCTION("""COMPUTED_VALUE"""),146.86)</f>
        <v>146.86</v>
      </c>
      <c r="D797" s="2">
        <f>IFERROR(__xludf.DUMMYFUNCTION("""COMPUTED_VALUE"""),144.76)</f>
        <v>144.76</v>
      </c>
      <c r="E797" s="2">
        <f>IFERROR(__xludf.DUMMYFUNCTION("""COMPUTED_VALUE"""),146.31)</f>
        <v>146.31</v>
      </c>
      <c r="F797" s="2">
        <f>IFERROR(__xludf.DUMMYFUNCTION("""COMPUTED_VALUE"""),5338618.0)</f>
        <v>5338618</v>
      </c>
    </row>
    <row r="798">
      <c r="A798" s="3">
        <f>IFERROR(__xludf.DUMMYFUNCTION("""COMPUTED_VALUE"""),38597.645833333336)</f>
        <v>38597.64583</v>
      </c>
      <c r="B798" s="2">
        <f>IFERROR(__xludf.DUMMYFUNCTION("""COMPUTED_VALUE"""),145.97)</f>
        <v>145.97</v>
      </c>
      <c r="C798" s="2">
        <f>IFERROR(__xludf.DUMMYFUNCTION("""COMPUTED_VALUE"""),147.5)</f>
        <v>147.5</v>
      </c>
      <c r="D798" s="2">
        <f>IFERROR(__xludf.DUMMYFUNCTION("""COMPUTED_VALUE"""),144.98)</f>
        <v>144.98</v>
      </c>
      <c r="E798" s="2">
        <f>IFERROR(__xludf.DUMMYFUNCTION("""COMPUTED_VALUE"""),147.08)</f>
        <v>147.08</v>
      </c>
      <c r="F798" s="2">
        <f>IFERROR(__xludf.DUMMYFUNCTION("""COMPUTED_VALUE"""),4968560.0)</f>
        <v>4968560</v>
      </c>
    </row>
    <row r="799">
      <c r="A799" s="3">
        <f>IFERROR(__xludf.DUMMYFUNCTION("""COMPUTED_VALUE"""),38600.645833333336)</f>
        <v>38600.64583</v>
      </c>
      <c r="B799" s="2">
        <f>IFERROR(__xludf.DUMMYFUNCTION("""COMPUTED_VALUE"""),147.38)</f>
        <v>147.38</v>
      </c>
      <c r="C799" s="2">
        <f>IFERROR(__xludf.DUMMYFUNCTION("""COMPUTED_VALUE"""),148.44)</f>
        <v>148.44</v>
      </c>
      <c r="D799" s="2">
        <f>IFERROR(__xludf.DUMMYFUNCTION("""COMPUTED_VALUE"""),146.61)</f>
        <v>146.61</v>
      </c>
      <c r="E799" s="2">
        <f>IFERROR(__xludf.DUMMYFUNCTION("""COMPUTED_VALUE"""),147.05)</f>
        <v>147.05</v>
      </c>
      <c r="F799" s="2">
        <f>IFERROR(__xludf.DUMMYFUNCTION("""COMPUTED_VALUE"""),3729150.0)</f>
        <v>3729150</v>
      </c>
    </row>
    <row r="800">
      <c r="A800" s="3">
        <f>IFERROR(__xludf.DUMMYFUNCTION("""COMPUTED_VALUE"""),38601.645833333336)</f>
        <v>38601.64583</v>
      </c>
      <c r="B800" s="2">
        <f>IFERROR(__xludf.DUMMYFUNCTION("""COMPUTED_VALUE"""),146.98)</f>
        <v>146.98</v>
      </c>
      <c r="C800" s="2">
        <f>IFERROR(__xludf.DUMMYFUNCTION("""COMPUTED_VALUE"""),147.96)</f>
        <v>147.96</v>
      </c>
      <c r="D800" s="2">
        <f>IFERROR(__xludf.DUMMYFUNCTION("""COMPUTED_VALUE"""),146.07)</f>
        <v>146.07</v>
      </c>
      <c r="E800" s="2">
        <f>IFERROR(__xludf.DUMMYFUNCTION("""COMPUTED_VALUE"""),146.75)</f>
        <v>146.75</v>
      </c>
      <c r="F800" s="2">
        <f>IFERROR(__xludf.DUMMYFUNCTION("""COMPUTED_VALUE"""),3100515.0)</f>
        <v>3100515</v>
      </c>
    </row>
    <row r="801">
      <c r="A801" s="3">
        <f>IFERROR(__xludf.DUMMYFUNCTION("""COMPUTED_VALUE"""),38603.645833333336)</f>
        <v>38603.64583</v>
      </c>
      <c r="B801" s="2">
        <f>IFERROR(__xludf.DUMMYFUNCTION("""COMPUTED_VALUE"""),147.78)</f>
        <v>147.78</v>
      </c>
      <c r="C801" s="2">
        <f>IFERROR(__xludf.DUMMYFUNCTION("""COMPUTED_VALUE"""),150.1)</f>
        <v>150.1</v>
      </c>
      <c r="D801" s="2">
        <f>IFERROR(__xludf.DUMMYFUNCTION("""COMPUTED_VALUE"""),147.65)</f>
        <v>147.65</v>
      </c>
      <c r="E801" s="2">
        <f>IFERROR(__xludf.DUMMYFUNCTION("""COMPUTED_VALUE"""),148.72)</f>
        <v>148.72</v>
      </c>
      <c r="F801" s="2">
        <f>IFERROR(__xludf.DUMMYFUNCTION("""COMPUTED_VALUE"""),5309545.0)</f>
        <v>5309545</v>
      </c>
    </row>
    <row r="802">
      <c r="A802" s="3">
        <f>IFERROR(__xludf.DUMMYFUNCTION("""COMPUTED_VALUE"""),38604.645833333336)</f>
        <v>38604.64583</v>
      </c>
      <c r="B802" s="2">
        <f>IFERROR(__xludf.DUMMYFUNCTION("""COMPUTED_VALUE"""),148.99)</f>
        <v>148.99</v>
      </c>
      <c r="C802" s="2">
        <f>IFERROR(__xludf.DUMMYFUNCTION("""COMPUTED_VALUE"""),150.0)</f>
        <v>150</v>
      </c>
      <c r="D802" s="2">
        <f>IFERROR(__xludf.DUMMYFUNCTION("""COMPUTED_VALUE"""),147.9)</f>
        <v>147.9</v>
      </c>
      <c r="E802" s="2">
        <f>IFERROR(__xludf.DUMMYFUNCTION("""COMPUTED_VALUE"""),149.32)</f>
        <v>149.32</v>
      </c>
      <c r="F802" s="2">
        <f>IFERROR(__xludf.DUMMYFUNCTION("""COMPUTED_VALUE"""),4094641.0)</f>
        <v>4094641</v>
      </c>
    </row>
    <row r="803">
      <c r="A803" s="3">
        <f>IFERROR(__xludf.DUMMYFUNCTION("""COMPUTED_VALUE"""),38607.645833333336)</f>
        <v>38607.64583</v>
      </c>
      <c r="B803" s="2">
        <f>IFERROR(__xludf.DUMMYFUNCTION("""COMPUTED_VALUE"""),150.05)</f>
        <v>150.05</v>
      </c>
      <c r="C803" s="2">
        <f>IFERROR(__xludf.DUMMYFUNCTION("""COMPUTED_VALUE"""),151.79)</f>
        <v>151.79</v>
      </c>
      <c r="D803" s="2">
        <f>IFERROR(__xludf.DUMMYFUNCTION("""COMPUTED_VALUE"""),149.82)</f>
        <v>149.82</v>
      </c>
      <c r="E803" s="2">
        <f>IFERROR(__xludf.DUMMYFUNCTION("""COMPUTED_VALUE"""),151.51)</f>
        <v>151.51</v>
      </c>
      <c r="F803" s="2">
        <f>IFERROR(__xludf.DUMMYFUNCTION("""COMPUTED_VALUE"""),3770214.0)</f>
        <v>3770214</v>
      </c>
    </row>
    <row r="804">
      <c r="A804" s="3">
        <f>IFERROR(__xludf.DUMMYFUNCTION("""COMPUTED_VALUE"""),38608.645833333336)</f>
        <v>38608.64583</v>
      </c>
      <c r="B804" s="2">
        <f>IFERROR(__xludf.DUMMYFUNCTION("""COMPUTED_VALUE"""),151.61)</f>
        <v>151.61</v>
      </c>
      <c r="C804" s="2">
        <f>IFERROR(__xludf.DUMMYFUNCTION("""COMPUTED_VALUE"""),152.9)</f>
        <v>152.9</v>
      </c>
      <c r="D804" s="2">
        <f>IFERROR(__xludf.DUMMYFUNCTION("""COMPUTED_VALUE"""),150.99)</f>
        <v>150.99</v>
      </c>
      <c r="E804" s="2">
        <f>IFERROR(__xludf.DUMMYFUNCTION("""COMPUTED_VALUE"""),151.47)</f>
        <v>151.47</v>
      </c>
      <c r="F804" s="2">
        <f>IFERROR(__xludf.DUMMYFUNCTION("""COMPUTED_VALUE"""),5456619.0)</f>
        <v>5456619</v>
      </c>
    </row>
    <row r="805">
      <c r="A805" s="3">
        <f>IFERROR(__xludf.DUMMYFUNCTION("""COMPUTED_VALUE"""),38609.645833333336)</f>
        <v>38609.64583</v>
      </c>
      <c r="B805" s="2">
        <f>IFERROR(__xludf.DUMMYFUNCTION("""COMPUTED_VALUE"""),151.0)</f>
        <v>151</v>
      </c>
      <c r="C805" s="2">
        <f>IFERROR(__xludf.DUMMYFUNCTION("""COMPUTED_VALUE"""),152.21)</f>
        <v>152.21</v>
      </c>
      <c r="D805" s="2">
        <f>IFERROR(__xludf.DUMMYFUNCTION("""COMPUTED_VALUE"""),148.29)</f>
        <v>148.29</v>
      </c>
      <c r="E805" s="2">
        <f>IFERROR(__xludf.DUMMYFUNCTION("""COMPUTED_VALUE"""),149.18)</f>
        <v>149.18</v>
      </c>
      <c r="F805" s="2">
        <f>IFERROR(__xludf.DUMMYFUNCTION("""COMPUTED_VALUE"""),4240354.0)</f>
        <v>4240354</v>
      </c>
    </row>
    <row r="806">
      <c r="A806" s="3">
        <f>IFERROR(__xludf.DUMMYFUNCTION("""COMPUTED_VALUE"""),38610.645833333336)</f>
        <v>38610.64583</v>
      </c>
      <c r="B806" s="2">
        <f>IFERROR(__xludf.DUMMYFUNCTION("""COMPUTED_VALUE"""),149.29)</f>
        <v>149.29</v>
      </c>
      <c r="C806" s="2">
        <f>IFERROR(__xludf.DUMMYFUNCTION("""COMPUTED_VALUE"""),153.81)</f>
        <v>153.81</v>
      </c>
      <c r="D806" s="2">
        <f>IFERROR(__xludf.DUMMYFUNCTION("""COMPUTED_VALUE"""),148.0)</f>
        <v>148</v>
      </c>
      <c r="E806" s="2">
        <f>IFERROR(__xludf.DUMMYFUNCTION("""COMPUTED_VALUE"""),153.18)</f>
        <v>153.18</v>
      </c>
      <c r="F806" s="2">
        <f>IFERROR(__xludf.DUMMYFUNCTION("""COMPUTED_VALUE"""),5435200.0)</f>
        <v>5435200</v>
      </c>
    </row>
    <row r="807">
      <c r="A807" s="3">
        <f>IFERROR(__xludf.DUMMYFUNCTION("""COMPUTED_VALUE"""),38611.645833333336)</f>
        <v>38611.64583</v>
      </c>
      <c r="B807" s="2">
        <f>IFERROR(__xludf.DUMMYFUNCTION("""COMPUTED_VALUE"""),153.81)</f>
        <v>153.81</v>
      </c>
      <c r="C807" s="2">
        <f>IFERROR(__xludf.DUMMYFUNCTION("""COMPUTED_VALUE"""),154.6)</f>
        <v>154.6</v>
      </c>
      <c r="D807" s="2">
        <f>IFERROR(__xludf.DUMMYFUNCTION("""COMPUTED_VALUE"""),152.2)</f>
        <v>152.2</v>
      </c>
      <c r="E807" s="2">
        <f>IFERROR(__xludf.DUMMYFUNCTION("""COMPUTED_VALUE"""),153.83)</f>
        <v>153.83</v>
      </c>
      <c r="F807" s="2">
        <f>IFERROR(__xludf.DUMMYFUNCTION("""COMPUTED_VALUE"""),3903180.0)</f>
        <v>3903180</v>
      </c>
    </row>
    <row r="808">
      <c r="A808" s="3">
        <f>IFERROR(__xludf.DUMMYFUNCTION("""COMPUTED_VALUE"""),38614.645833333336)</f>
        <v>38614.64583</v>
      </c>
      <c r="B808" s="2">
        <f>IFERROR(__xludf.DUMMYFUNCTION("""COMPUTED_VALUE"""),155.91)</f>
        <v>155.91</v>
      </c>
      <c r="C808" s="2">
        <f>IFERROR(__xludf.DUMMYFUNCTION("""COMPUTED_VALUE"""),169.12)</f>
        <v>169.12</v>
      </c>
      <c r="D808" s="2">
        <f>IFERROR(__xludf.DUMMYFUNCTION("""COMPUTED_VALUE"""),152.61)</f>
        <v>152.61</v>
      </c>
      <c r="E808" s="2">
        <f>IFERROR(__xludf.DUMMYFUNCTION("""COMPUTED_VALUE"""),153.86)</f>
        <v>153.86</v>
      </c>
      <c r="F808" s="2">
        <f>IFERROR(__xludf.DUMMYFUNCTION("""COMPUTED_VALUE"""),3850409.0)</f>
        <v>3850409</v>
      </c>
    </row>
    <row r="809">
      <c r="A809" s="3">
        <f>IFERROR(__xludf.DUMMYFUNCTION("""COMPUTED_VALUE"""),38615.645833333336)</f>
        <v>38615.64583</v>
      </c>
      <c r="B809" s="2">
        <f>IFERROR(__xludf.DUMMYFUNCTION("""COMPUTED_VALUE"""),154.02)</f>
        <v>154.02</v>
      </c>
      <c r="C809" s="2">
        <f>IFERROR(__xludf.DUMMYFUNCTION("""COMPUTED_VALUE"""),157.24)</f>
        <v>157.24</v>
      </c>
      <c r="D809" s="2">
        <f>IFERROR(__xludf.DUMMYFUNCTION("""COMPUTED_VALUE"""),152.21)</f>
        <v>152.21</v>
      </c>
      <c r="E809" s="2">
        <f>IFERROR(__xludf.DUMMYFUNCTION("""COMPUTED_VALUE"""),156.63)</f>
        <v>156.63</v>
      </c>
      <c r="F809" s="2">
        <f>IFERROR(__xludf.DUMMYFUNCTION("""COMPUTED_VALUE"""),9665891.0)</f>
        <v>9665891</v>
      </c>
    </row>
    <row r="810">
      <c r="A810" s="3">
        <f>IFERROR(__xludf.DUMMYFUNCTION("""COMPUTED_VALUE"""),38616.645833333336)</f>
        <v>38616.64583</v>
      </c>
      <c r="B810" s="2">
        <f>IFERROR(__xludf.DUMMYFUNCTION("""COMPUTED_VALUE"""),157.04)</f>
        <v>157.04</v>
      </c>
      <c r="C810" s="2">
        <f>IFERROR(__xludf.DUMMYFUNCTION("""COMPUTED_VALUE"""),158.05)</f>
        <v>158.05</v>
      </c>
      <c r="D810" s="2">
        <f>IFERROR(__xludf.DUMMYFUNCTION("""COMPUTED_VALUE"""),151.0)</f>
        <v>151</v>
      </c>
      <c r="E810" s="2">
        <f>IFERROR(__xludf.DUMMYFUNCTION("""COMPUTED_VALUE"""),157.5)</f>
        <v>157.5</v>
      </c>
      <c r="F810" s="2">
        <f>IFERROR(__xludf.DUMMYFUNCTION("""COMPUTED_VALUE"""),1.1453566E7)</f>
        <v>11453566</v>
      </c>
    </row>
    <row r="811">
      <c r="A811" s="3">
        <f>IFERROR(__xludf.DUMMYFUNCTION("""COMPUTED_VALUE"""),38617.645833333336)</f>
        <v>38617.64583</v>
      </c>
      <c r="B811" s="2">
        <f>IFERROR(__xludf.DUMMYFUNCTION("""COMPUTED_VALUE"""),157.85)</f>
        <v>157.85</v>
      </c>
      <c r="C811" s="2">
        <f>IFERROR(__xludf.DUMMYFUNCTION("""COMPUTED_VALUE"""),157.85)</f>
        <v>157.85</v>
      </c>
      <c r="D811" s="2">
        <f>IFERROR(__xludf.DUMMYFUNCTION("""COMPUTED_VALUE"""),151.0)</f>
        <v>151</v>
      </c>
      <c r="E811" s="2">
        <f>IFERROR(__xludf.DUMMYFUNCTION("""COMPUTED_VALUE"""),151.9)</f>
        <v>151.9</v>
      </c>
      <c r="F811" s="2">
        <f>IFERROR(__xludf.DUMMYFUNCTION("""COMPUTED_VALUE"""),8411554.0)</f>
        <v>8411554</v>
      </c>
    </row>
    <row r="812">
      <c r="A812" s="3">
        <f>IFERROR(__xludf.DUMMYFUNCTION("""COMPUTED_VALUE"""),38618.645833333336)</f>
        <v>38618.64583</v>
      </c>
      <c r="B812" s="2">
        <f>IFERROR(__xludf.DUMMYFUNCTION("""COMPUTED_VALUE"""),154.63)</f>
        <v>154.63</v>
      </c>
      <c r="C812" s="2">
        <f>IFERROR(__xludf.DUMMYFUNCTION("""COMPUTED_VALUE"""),154.63)</f>
        <v>154.63</v>
      </c>
      <c r="D812" s="2">
        <f>IFERROR(__xludf.DUMMYFUNCTION("""COMPUTED_VALUE"""),148.81)</f>
        <v>148.81</v>
      </c>
      <c r="E812" s="2">
        <f>IFERROR(__xludf.DUMMYFUNCTION("""COMPUTED_VALUE"""),150.55)</f>
        <v>150.55</v>
      </c>
      <c r="F812" s="2">
        <f>IFERROR(__xludf.DUMMYFUNCTION("""COMPUTED_VALUE"""),1.0567094E7)</f>
        <v>10567094</v>
      </c>
    </row>
    <row r="813">
      <c r="A813" s="3">
        <f>IFERROR(__xludf.DUMMYFUNCTION("""COMPUTED_VALUE"""),38621.645833333336)</f>
        <v>38621.64583</v>
      </c>
      <c r="B813" s="2">
        <f>IFERROR(__xludf.DUMMYFUNCTION("""COMPUTED_VALUE"""),151.0)</f>
        <v>151</v>
      </c>
      <c r="C813" s="2">
        <f>IFERROR(__xludf.DUMMYFUNCTION("""COMPUTED_VALUE"""),157.75)</f>
        <v>157.75</v>
      </c>
      <c r="D813" s="2">
        <f>IFERROR(__xludf.DUMMYFUNCTION("""COMPUTED_VALUE"""),151.0)</f>
        <v>151</v>
      </c>
      <c r="E813" s="2">
        <f>IFERROR(__xludf.DUMMYFUNCTION("""COMPUTED_VALUE"""),157.09)</f>
        <v>157.09</v>
      </c>
      <c r="F813" s="2">
        <f>IFERROR(__xludf.DUMMYFUNCTION("""COMPUTED_VALUE"""),6457657.0)</f>
        <v>6457657</v>
      </c>
    </row>
    <row r="814">
      <c r="A814" s="3">
        <f>IFERROR(__xludf.DUMMYFUNCTION("""COMPUTED_VALUE"""),38622.645833333336)</f>
        <v>38622.64583</v>
      </c>
      <c r="B814" s="2">
        <f>IFERROR(__xludf.DUMMYFUNCTION("""COMPUTED_VALUE"""),159.04)</f>
        <v>159.04</v>
      </c>
      <c r="C814" s="2">
        <f>IFERROR(__xludf.DUMMYFUNCTION("""COMPUTED_VALUE"""),160.26)</f>
        <v>160.26</v>
      </c>
      <c r="D814" s="2">
        <f>IFERROR(__xludf.DUMMYFUNCTION("""COMPUTED_VALUE"""),157.05)</f>
        <v>157.05</v>
      </c>
      <c r="E814" s="2">
        <f>IFERROR(__xludf.DUMMYFUNCTION("""COMPUTED_VALUE"""),158.65)</f>
        <v>158.65</v>
      </c>
      <c r="F814" s="2">
        <f>IFERROR(__xludf.DUMMYFUNCTION("""COMPUTED_VALUE"""),7123069.0)</f>
        <v>7123069</v>
      </c>
    </row>
    <row r="815">
      <c r="A815" s="3">
        <f>IFERROR(__xludf.DUMMYFUNCTION("""COMPUTED_VALUE"""),38623.645833333336)</f>
        <v>38623.64583</v>
      </c>
      <c r="B815" s="2">
        <f>IFERROR(__xludf.DUMMYFUNCTION("""COMPUTED_VALUE"""),159.06)</f>
        <v>159.06</v>
      </c>
      <c r="C815" s="2">
        <f>IFERROR(__xludf.DUMMYFUNCTION("""COMPUTED_VALUE"""),161.81)</f>
        <v>161.81</v>
      </c>
      <c r="D815" s="2">
        <f>IFERROR(__xludf.DUMMYFUNCTION("""COMPUTED_VALUE"""),158.05)</f>
        <v>158.05</v>
      </c>
      <c r="E815" s="2">
        <f>IFERROR(__xludf.DUMMYFUNCTION("""COMPUTED_VALUE"""),161.16)</f>
        <v>161.16</v>
      </c>
      <c r="F815" s="2">
        <f>IFERROR(__xludf.DUMMYFUNCTION("""COMPUTED_VALUE"""),6978287.0)</f>
        <v>6978287</v>
      </c>
    </row>
    <row r="816">
      <c r="A816" s="3">
        <f>IFERROR(__xludf.DUMMYFUNCTION("""COMPUTED_VALUE"""),38624.645833333336)</f>
        <v>38624.64583</v>
      </c>
      <c r="B816" s="2">
        <f>IFERROR(__xludf.DUMMYFUNCTION("""COMPUTED_VALUE"""),161.07)</f>
        <v>161.07</v>
      </c>
      <c r="C816" s="2">
        <f>IFERROR(__xludf.DUMMYFUNCTION("""COMPUTED_VALUE"""),163.77)</f>
        <v>163.77</v>
      </c>
      <c r="D816" s="2">
        <f>IFERROR(__xludf.DUMMYFUNCTION("""COMPUTED_VALUE"""),161.07)</f>
        <v>161.07</v>
      </c>
      <c r="E816" s="2">
        <f>IFERROR(__xludf.DUMMYFUNCTION("""COMPUTED_VALUE"""),162.74)</f>
        <v>162.74</v>
      </c>
      <c r="F816" s="2">
        <f>IFERROR(__xludf.DUMMYFUNCTION("""COMPUTED_VALUE"""),7138866.0)</f>
        <v>7138866</v>
      </c>
    </row>
    <row r="817">
      <c r="A817" s="3">
        <f>IFERROR(__xludf.DUMMYFUNCTION("""COMPUTED_VALUE"""),38625.645833333336)</f>
        <v>38625.64583</v>
      </c>
      <c r="B817" s="2">
        <f>IFERROR(__xludf.DUMMYFUNCTION("""COMPUTED_VALUE"""),162.28)</f>
        <v>162.28</v>
      </c>
      <c r="C817" s="2">
        <f>IFERROR(__xludf.DUMMYFUNCTION("""COMPUTED_VALUE"""),163.06)</f>
        <v>163.06</v>
      </c>
      <c r="D817" s="2">
        <f>IFERROR(__xludf.DUMMYFUNCTION("""COMPUTED_VALUE"""),157.24)</f>
        <v>157.24</v>
      </c>
      <c r="E817" s="2">
        <f>IFERROR(__xludf.DUMMYFUNCTION("""COMPUTED_VALUE"""),159.77)</f>
        <v>159.77</v>
      </c>
      <c r="F817" s="2">
        <f>IFERROR(__xludf.DUMMYFUNCTION("""COMPUTED_VALUE"""),8637061.0)</f>
        <v>8637061</v>
      </c>
    </row>
    <row r="818">
      <c r="A818" s="3">
        <f>IFERROR(__xludf.DUMMYFUNCTION("""COMPUTED_VALUE"""),38628.645833333336)</f>
        <v>38628.64583</v>
      </c>
      <c r="B818" s="2">
        <f>IFERROR(__xludf.DUMMYFUNCTION("""COMPUTED_VALUE"""),158.05)</f>
        <v>158.05</v>
      </c>
      <c r="C818" s="2">
        <f>IFERROR(__xludf.DUMMYFUNCTION("""COMPUTED_VALUE"""),161.63)</f>
        <v>161.63</v>
      </c>
      <c r="D818" s="2">
        <f>IFERROR(__xludf.DUMMYFUNCTION("""COMPUTED_VALUE"""),158.05)</f>
        <v>158.05</v>
      </c>
      <c r="E818" s="2">
        <f>IFERROR(__xludf.DUMMYFUNCTION("""COMPUTED_VALUE"""),159.91)</f>
        <v>159.91</v>
      </c>
      <c r="F818" s="2">
        <f>IFERROR(__xludf.DUMMYFUNCTION("""COMPUTED_VALUE"""),4808345.0)</f>
        <v>4808345</v>
      </c>
    </row>
    <row r="819">
      <c r="A819" s="3">
        <f>IFERROR(__xludf.DUMMYFUNCTION("""COMPUTED_VALUE"""),38629.645833333336)</f>
        <v>38629.64583</v>
      </c>
      <c r="B819" s="2">
        <f>IFERROR(__xludf.DUMMYFUNCTION("""COMPUTED_VALUE"""),160.26)</f>
        <v>160.26</v>
      </c>
      <c r="C819" s="2">
        <f>IFERROR(__xludf.DUMMYFUNCTION("""COMPUTED_VALUE"""),162.86)</f>
        <v>162.86</v>
      </c>
      <c r="D819" s="2">
        <f>IFERROR(__xludf.DUMMYFUNCTION("""COMPUTED_VALUE"""),159.92)</f>
        <v>159.92</v>
      </c>
      <c r="E819" s="2">
        <f>IFERROR(__xludf.DUMMYFUNCTION("""COMPUTED_VALUE"""),162.41)</f>
        <v>162.41</v>
      </c>
      <c r="F819" s="2">
        <f>IFERROR(__xludf.DUMMYFUNCTION("""COMPUTED_VALUE"""),4333679.0)</f>
        <v>4333679</v>
      </c>
    </row>
    <row r="820">
      <c r="A820" s="3">
        <f>IFERROR(__xludf.DUMMYFUNCTION("""COMPUTED_VALUE"""),38630.645833333336)</f>
        <v>38630.64583</v>
      </c>
      <c r="B820" s="2">
        <f>IFERROR(__xludf.DUMMYFUNCTION("""COMPUTED_VALUE"""),162.68)</f>
        <v>162.68</v>
      </c>
      <c r="C820" s="2">
        <f>IFERROR(__xludf.DUMMYFUNCTION("""COMPUTED_VALUE"""),163.06)</f>
        <v>163.06</v>
      </c>
      <c r="D820" s="2">
        <f>IFERROR(__xludf.DUMMYFUNCTION("""COMPUTED_VALUE"""),160.68)</f>
        <v>160.68</v>
      </c>
      <c r="E820" s="2">
        <f>IFERROR(__xludf.DUMMYFUNCTION("""COMPUTED_VALUE"""),161.48)</f>
        <v>161.48</v>
      </c>
      <c r="F820" s="2">
        <f>IFERROR(__xludf.DUMMYFUNCTION("""COMPUTED_VALUE"""),3850439.0)</f>
        <v>3850439</v>
      </c>
    </row>
    <row r="821">
      <c r="A821" s="3">
        <f>IFERROR(__xludf.DUMMYFUNCTION("""COMPUTED_VALUE"""),38631.645833333336)</f>
        <v>38631.64583</v>
      </c>
      <c r="B821" s="2">
        <f>IFERROR(__xludf.DUMMYFUNCTION("""COMPUTED_VALUE"""),161.07)</f>
        <v>161.07</v>
      </c>
      <c r="C821" s="2">
        <f>IFERROR(__xludf.DUMMYFUNCTION("""COMPUTED_VALUE"""),161.07)</f>
        <v>161.07</v>
      </c>
      <c r="D821" s="2">
        <f>IFERROR(__xludf.DUMMYFUNCTION("""COMPUTED_VALUE"""),158.43)</f>
        <v>158.43</v>
      </c>
      <c r="E821" s="2">
        <f>IFERROR(__xludf.DUMMYFUNCTION("""COMPUTED_VALUE"""),159.23)</f>
        <v>159.23</v>
      </c>
      <c r="F821" s="2">
        <f>IFERROR(__xludf.DUMMYFUNCTION("""COMPUTED_VALUE"""),5972187.0)</f>
        <v>5972187</v>
      </c>
    </row>
    <row r="822">
      <c r="A822" s="3">
        <f>IFERROR(__xludf.DUMMYFUNCTION("""COMPUTED_VALUE"""),38632.645833333336)</f>
        <v>38632.64583</v>
      </c>
      <c r="B822" s="2">
        <f>IFERROR(__xludf.DUMMYFUNCTION("""COMPUTED_VALUE"""),160.05)</f>
        <v>160.05</v>
      </c>
      <c r="C822" s="2">
        <f>IFERROR(__xludf.DUMMYFUNCTION("""COMPUTED_VALUE"""),160.05)</f>
        <v>160.05</v>
      </c>
      <c r="D822" s="2">
        <f>IFERROR(__xludf.DUMMYFUNCTION("""COMPUTED_VALUE"""),156.18)</f>
        <v>156.18</v>
      </c>
      <c r="E822" s="2">
        <f>IFERROR(__xludf.DUMMYFUNCTION("""COMPUTED_VALUE"""),158.73)</f>
        <v>158.73</v>
      </c>
      <c r="F822" s="2">
        <f>IFERROR(__xludf.DUMMYFUNCTION("""COMPUTED_VALUE"""),7983593.0)</f>
        <v>7983593</v>
      </c>
    </row>
    <row r="823">
      <c r="A823" s="3">
        <f>IFERROR(__xludf.DUMMYFUNCTION("""COMPUTED_VALUE"""),38635.645833333336)</f>
        <v>38635.64583</v>
      </c>
      <c r="B823" s="2">
        <f>IFERROR(__xludf.DUMMYFUNCTION("""COMPUTED_VALUE"""),158.85)</f>
        <v>158.85</v>
      </c>
      <c r="C823" s="2">
        <f>IFERROR(__xludf.DUMMYFUNCTION("""COMPUTED_VALUE"""),159.64)</f>
        <v>159.64</v>
      </c>
      <c r="D823" s="2">
        <f>IFERROR(__xludf.DUMMYFUNCTION("""COMPUTED_VALUE"""),157.1)</f>
        <v>157.1</v>
      </c>
      <c r="E823" s="2">
        <f>IFERROR(__xludf.DUMMYFUNCTION("""COMPUTED_VALUE"""),157.64)</f>
        <v>157.64</v>
      </c>
      <c r="F823" s="2">
        <f>IFERROR(__xludf.DUMMYFUNCTION("""COMPUTED_VALUE"""),3714985.0)</f>
        <v>3714985</v>
      </c>
    </row>
    <row r="824">
      <c r="A824" s="3">
        <f>IFERROR(__xludf.DUMMYFUNCTION("""COMPUTED_VALUE"""),38636.645833333336)</f>
        <v>38636.64583</v>
      </c>
      <c r="B824" s="2">
        <f>IFERROR(__xludf.DUMMYFUNCTION("""COMPUTED_VALUE"""),158.45)</f>
        <v>158.45</v>
      </c>
      <c r="C824" s="2">
        <f>IFERROR(__xludf.DUMMYFUNCTION("""COMPUTED_VALUE"""),159.22)</f>
        <v>159.22</v>
      </c>
      <c r="D824" s="2">
        <f>IFERROR(__xludf.DUMMYFUNCTION("""COMPUTED_VALUE"""),155.43)</f>
        <v>155.43</v>
      </c>
      <c r="E824" s="2">
        <f>IFERROR(__xludf.DUMMYFUNCTION("""COMPUTED_VALUE"""),158.81)</f>
        <v>158.81</v>
      </c>
      <c r="F824" s="2">
        <f>IFERROR(__xludf.DUMMYFUNCTION("""COMPUTED_VALUE"""),3792221.0)</f>
        <v>3792221</v>
      </c>
    </row>
    <row r="825">
      <c r="A825" s="3">
        <f>IFERROR(__xludf.DUMMYFUNCTION("""COMPUTED_VALUE"""),38638.645833333336)</f>
        <v>38638.64583</v>
      </c>
      <c r="B825" s="2">
        <f>IFERROR(__xludf.DUMMYFUNCTION("""COMPUTED_VALUE"""),158.19)</f>
        <v>158.19</v>
      </c>
      <c r="C825" s="2">
        <f>IFERROR(__xludf.DUMMYFUNCTION("""COMPUTED_VALUE"""),159.64)</f>
        <v>159.64</v>
      </c>
      <c r="D825" s="2">
        <f>IFERROR(__xludf.DUMMYFUNCTION("""COMPUTED_VALUE"""),155.65)</f>
        <v>155.65</v>
      </c>
      <c r="E825" s="2">
        <f>IFERROR(__xludf.DUMMYFUNCTION("""COMPUTED_VALUE"""),156.09)</f>
        <v>156.09</v>
      </c>
      <c r="F825" s="2">
        <f>IFERROR(__xludf.DUMMYFUNCTION("""COMPUTED_VALUE"""),6041247.0)</f>
        <v>6041247</v>
      </c>
    </row>
    <row r="826">
      <c r="A826" s="3">
        <f>IFERROR(__xludf.DUMMYFUNCTION("""COMPUTED_VALUE"""),38639.645833333336)</f>
        <v>38639.64583</v>
      </c>
      <c r="B826" s="2">
        <f>IFERROR(__xludf.DUMMYFUNCTION("""COMPUTED_VALUE"""),156.04)</f>
        <v>156.04</v>
      </c>
      <c r="C826" s="2">
        <f>IFERROR(__xludf.DUMMYFUNCTION("""COMPUTED_VALUE"""),156.52)</f>
        <v>156.52</v>
      </c>
      <c r="D826" s="2">
        <f>IFERROR(__xludf.DUMMYFUNCTION("""COMPUTED_VALUE"""),153.32)</f>
        <v>153.32</v>
      </c>
      <c r="E826" s="2">
        <f>IFERROR(__xludf.DUMMYFUNCTION("""COMPUTED_VALUE"""),153.79)</f>
        <v>153.79</v>
      </c>
      <c r="F826" s="2">
        <f>IFERROR(__xludf.DUMMYFUNCTION("""COMPUTED_VALUE"""),7304047.0)</f>
        <v>7304047</v>
      </c>
    </row>
    <row r="827">
      <c r="A827" s="3">
        <f>IFERROR(__xludf.DUMMYFUNCTION("""COMPUTED_VALUE"""),38642.645833333336)</f>
        <v>38642.64583</v>
      </c>
      <c r="B827" s="2">
        <f>IFERROR(__xludf.DUMMYFUNCTION("""COMPUTED_VALUE"""),156.52)</f>
        <v>156.52</v>
      </c>
      <c r="C827" s="2">
        <f>IFERROR(__xludf.DUMMYFUNCTION("""COMPUTED_VALUE"""),157.0)</f>
        <v>157</v>
      </c>
      <c r="D827" s="2">
        <f>IFERROR(__xludf.DUMMYFUNCTION("""COMPUTED_VALUE"""),152.83)</f>
        <v>152.83</v>
      </c>
      <c r="E827" s="2">
        <f>IFERROR(__xludf.DUMMYFUNCTION("""COMPUTED_VALUE"""),155.23)</f>
        <v>155.23</v>
      </c>
      <c r="F827" s="2">
        <f>IFERROR(__xludf.DUMMYFUNCTION("""COMPUTED_VALUE"""),6224636.0)</f>
        <v>6224636</v>
      </c>
    </row>
    <row r="828">
      <c r="A828" s="3">
        <f>IFERROR(__xludf.DUMMYFUNCTION("""COMPUTED_VALUE"""),38643.645833333336)</f>
        <v>38643.64583</v>
      </c>
      <c r="B828" s="2">
        <f>IFERROR(__xludf.DUMMYFUNCTION("""COMPUTED_VALUE"""),156.51)</f>
        <v>156.51</v>
      </c>
      <c r="C828" s="2">
        <f>IFERROR(__xludf.DUMMYFUNCTION("""COMPUTED_VALUE"""),157.33)</f>
        <v>157.33</v>
      </c>
      <c r="D828" s="2">
        <f>IFERROR(__xludf.DUMMYFUNCTION("""COMPUTED_VALUE"""),150.7)</f>
        <v>150.7</v>
      </c>
      <c r="E828" s="2">
        <f>IFERROR(__xludf.DUMMYFUNCTION("""COMPUTED_VALUE"""),152.3)</f>
        <v>152.3</v>
      </c>
      <c r="F828" s="2">
        <f>IFERROR(__xludf.DUMMYFUNCTION("""COMPUTED_VALUE"""),6281160.0)</f>
        <v>6281160</v>
      </c>
    </row>
    <row r="829">
      <c r="A829" s="3">
        <f>IFERROR(__xludf.DUMMYFUNCTION("""COMPUTED_VALUE"""),38644.645833333336)</f>
        <v>38644.64583</v>
      </c>
      <c r="B829" s="2">
        <f>IFERROR(__xludf.DUMMYFUNCTION("""COMPUTED_VALUE"""),151.03)</f>
        <v>151.03</v>
      </c>
      <c r="C829" s="2">
        <f>IFERROR(__xludf.DUMMYFUNCTION("""COMPUTED_VALUE"""),152.57)</f>
        <v>152.57</v>
      </c>
      <c r="D829" s="2">
        <f>IFERROR(__xludf.DUMMYFUNCTION("""COMPUTED_VALUE"""),147.98)</f>
        <v>147.98</v>
      </c>
      <c r="E829" s="2">
        <f>IFERROR(__xludf.DUMMYFUNCTION("""COMPUTED_VALUE"""),150.46)</f>
        <v>150.46</v>
      </c>
      <c r="F829" s="2">
        <f>IFERROR(__xludf.DUMMYFUNCTION("""COMPUTED_VALUE"""),8752227.0)</f>
        <v>8752227</v>
      </c>
    </row>
    <row r="830">
      <c r="A830" s="3">
        <f>IFERROR(__xludf.DUMMYFUNCTION("""COMPUTED_VALUE"""),38645.645833333336)</f>
        <v>38645.64583</v>
      </c>
      <c r="B830" s="2">
        <f>IFERROR(__xludf.DUMMYFUNCTION("""COMPUTED_VALUE"""),152.01)</f>
        <v>152.01</v>
      </c>
      <c r="C830" s="2">
        <f>IFERROR(__xludf.DUMMYFUNCTION("""COMPUTED_VALUE"""),154.2)</f>
        <v>154.2</v>
      </c>
      <c r="D830" s="2">
        <f>IFERROR(__xludf.DUMMYFUNCTION("""COMPUTED_VALUE"""),148.4)</f>
        <v>148.4</v>
      </c>
      <c r="E830" s="2">
        <f>IFERROR(__xludf.DUMMYFUNCTION("""COMPUTED_VALUE"""),150.63)</f>
        <v>150.63</v>
      </c>
      <c r="F830" s="2">
        <f>IFERROR(__xludf.DUMMYFUNCTION("""COMPUTED_VALUE"""),7606407.0)</f>
        <v>7606407</v>
      </c>
    </row>
    <row r="831">
      <c r="A831" s="3">
        <f>IFERROR(__xludf.DUMMYFUNCTION("""COMPUTED_VALUE"""),38646.645833333336)</f>
        <v>38646.64583</v>
      </c>
      <c r="B831" s="2">
        <f>IFERROR(__xludf.DUMMYFUNCTION("""COMPUTED_VALUE"""),151.81)</f>
        <v>151.81</v>
      </c>
      <c r="C831" s="2">
        <f>IFERROR(__xludf.DUMMYFUNCTION("""COMPUTED_VALUE"""),155.63)</f>
        <v>155.63</v>
      </c>
      <c r="D831" s="2">
        <f>IFERROR(__xludf.DUMMYFUNCTION("""COMPUTED_VALUE"""),149.64)</f>
        <v>149.64</v>
      </c>
      <c r="E831" s="2">
        <f>IFERROR(__xludf.DUMMYFUNCTION("""COMPUTED_VALUE"""),155.27)</f>
        <v>155.27</v>
      </c>
      <c r="F831" s="2">
        <f>IFERROR(__xludf.DUMMYFUNCTION("""COMPUTED_VALUE"""),9503506.0)</f>
        <v>9503506</v>
      </c>
    </row>
    <row r="832">
      <c r="A832" s="3">
        <f>IFERROR(__xludf.DUMMYFUNCTION("""COMPUTED_VALUE"""),38649.645833333336)</f>
        <v>38649.64583</v>
      </c>
      <c r="B832" s="2">
        <f>IFERROR(__xludf.DUMMYFUNCTION("""COMPUTED_VALUE"""),155.07)</f>
        <v>155.07</v>
      </c>
      <c r="C832" s="2">
        <f>IFERROR(__xludf.DUMMYFUNCTION("""COMPUTED_VALUE"""),156.13)</f>
        <v>156.13</v>
      </c>
      <c r="D832" s="2">
        <f>IFERROR(__xludf.DUMMYFUNCTION("""COMPUTED_VALUE"""),151.81)</f>
        <v>151.81</v>
      </c>
      <c r="E832" s="2">
        <f>IFERROR(__xludf.DUMMYFUNCTION("""COMPUTED_VALUE"""),152.43)</f>
        <v>152.43</v>
      </c>
      <c r="F832" s="2">
        <f>IFERROR(__xludf.DUMMYFUNCTION("""COMPUTED_VALUE"""),4880214.0)</f>
        <v>4880214</v>
      </c>
    </row>
    <row r="833">
      <c r="A833" s="3">
        <f>IFERROR(__xludf.DUMMYFUNCTION("""COMPUTED_VALUE"""),38650.645833333336)</f>
        <v>38650.64583</v>
      </c>
      <c r="B833" s="2">
        <f>IFERROR(__xludf.DUMMYFUNCTION("""COMPUTED_VALUE"""),153.23)</f>
        <v>153.23</v>
      </c>
      <c r="C833" s="2">
        <f>IFERROR(__xludf.DUMMYFUNCTION("""COMPUTED_VALUE"""),156.92)</f>
        <v>156.92</v>
      </c>
      <c r="D833" s="2">
        <f>IFERROR(__xludf.DUMMYFUNCTION("""COMPUTED_VALUE"""),153.03)</f>
        <v>153.03</v>
      </c>
      <c r="E833" s="2">
        <f>IFERROR(__xludf.DUMMYFUNCTION("""COMPUTED_VALUE"""),154.55)</f>
        <v>154.55</v>
      </c>
      <c r="F833" s="2">
        <f>IFERROR(__xludf.DUMMYFUNCTION("""COMPUTED_VALUE"""),5018390.0)</f>
        <v>5018390</v>
      </c>
    </row>
    <row r="834">
      <c r="A834" s="3">
        <f>IFERROR(__xludf.DUMMYFUNCTION("""COMPUTED_VALUE"""),38651.645833333336)</f>
        <v>38651.64583</v>
      </c>
      <c r="B834" s="2">
        <f>IFERROR(__xludf.DUMMYFUNCTION("""COMPUTED_VALUE"""),155.01)</f>
        <v>155.01</v>
      </c>
      <c r="C834" s="2">
        <f>IFERROR(__xludf.DUMMYFUNCTION("""COMPUTED_VALUE"""),156.02)</f>
        <v>156.02</v>
      </c>
      <c r="D834" s="2">
        <f>IFERROR(__xludf.DUMMYFUNCTION("""COMPUTED_VALUE"""),153.29)</f>
        <v>153.29</v>
      </c>
      <c r="E834" s="2">
        <f>IFERROR(__xludf.DUMMYFUNCTION("""COMPUTED_VALUE"""),153.73)</f>
        <v>153.73</v>
      </c>
      <c r="F834" s="2">
        <f>IFERROR(__xludf.DUMMYFUNCTION("""COMPUTED_VALUE"""),4221317.0)</f>
        <v>4221317</v>
      </c>
    </row>
    <row r="835">
      <c r="A835" s="3">
        <f>IFERROR(__xludf.DUMMYFUNCTION("""COMPUTED_VALUE"""),38652.645833333336)</f>
        <v>38652.64583</v>
      </c>
      <c r="B835" s="2">
        <f>IFERROR(__xludf.DUMMYFUNCTION("""COMPUTED_VALUE"""),154.22)</f>
        <v>154.22</v>
      </c>
      <c r="C835" s="2">
        <f>IFERROR(__xludf.DUMMYFUNCTION("""COMPUTED_VALUE"""),154.99)</f>
        <v>154.99</v>
      </c>
      <c r="D835" s="2">
        <f>IFERROR(__xludf.DUMMYFUNCTION("""COMPUTED_VALUE"""),150.02)</f>
        <v>150.02</v>
      </c>
      <c r="E835" s="2">
        <f>IFERROR(__xludf.DUMMYFUNCTION("""COMPUTED_VALUE"""),151.06)</f>
        <v>151.06</v>
      </c>
      <c r="F835" s="2">
        <f>IFERROR(__xludf.DUMMYFUNCTION("""COMPUTED_VALUE"""),1.0620859E7)</f>
        <v>10620859</v>
      </c>
    </row>
    <row r="836">
      <c r="A836" s="3">
        <f>IFERROR(__xludf.DUMMYFUNCTION("""COMPUTED_VALUE"""),38653.645833333336)</f>
        <v>38653.64583</v>
      </c>
      <c r="B836" s="2">
        <f>IFERROR(__xludf.DUMMYFUNCTION("""COMPUTED_VALUE"""),152.01)</f>
        <v>152.01</v>
      </c>
      <c r="C836" s="2">
        <f>IFERROR(__xludf.DUMMYFUNCTION("""COMPUTED_VALUE"""),152.74)</f>
        <v>152.74</v>
      </c>
      <c r="D836" s="2">
        <f>IFERROR(__xludf.DUMMYFUNCTION("""COMPUTED_VALUE"""),148.48)</f>
        <v>148.48</v>
      </c>
      <c r="E836" s="2">
        <f>IFERROR(__xludf.DUMMYFUNCTION("""COMPUTED_VALUE"""),149.31)</f>
        <v>149.31</v>
      </c>
      <c r="F836" s="2">
        <f>IFERROR(__xludf.DUMMYFUNCTION("""COMPUTED_VALUE"""),6151358.0)</f>
        <v>6151358</v>
      </c>
    </row>
    <row r="837">
      <c r="A837" s="3">
        <f>IFERROR(__xludf.DUMMYFUNCTION("""COMPUTED_VALUE"""),38656.645833333336)</f>
        <v>38656.64583</v>
      </c>
      <c r="B837" s="2">
        <f>IFERROR(__xludf.DUMMYFUNCTION("""COMPUTED_VALUE"""),148.48)</f>
        <v>148.48</v>
      </c>
      <c r="C837" s="2">
        <f>IFERROR(__xludf.DUMMYFUNCTION("""COMPUTED_VALUE"""),154.0)</f>
        <v>154</v>
      </c>
      <c r="D837" s="2">
        <f>IFERROR(__xludf.DUMMYFUNCTION("""COMPUTED_VALUE"""),148.48)</f>
        <v>148.48</v>
      </c>
      <c r="E837" s="2">
        <f>IFERROR(__xludf.DUMMYFUNCTION("""COMPUTED_VALUE"""),153.52)</f>
        <v>153.52</v>
      </c>
      <c r="F837" s="2">
        <f>IFERROR(__xludf.DUMMYFUNCTION("""COMPUTED_VALUE"""),4756595.0)</f>
        <v>4756595</v>
      </c>
    </row>
    <row r="838">
      <c r="A838" s="3">
        <f>IFERROR(__xludf.DUMMYFUNCTION("""COMPUTED_VALUE"""),38657.645833333336)</f>
        <v>38657.64583</v>
      </c>
      <c r="B838" s="2">
        <f>IFERROR(__xludf.DUMMYFUNCTION("""COMPUTED_VALUE"""),156.44)</f>
        <v>156.44</v>
      </c>
      <c r="C838" s="2">
        <f>IFERROR(__xludf.DUMMYFUNCTION("""COMPUTED_VALUE"""),157.02)</f>
        <v>157.02</v>
      </c>
      <c r="D838" s="2">
        <f>IFERROR(__xludf.DUMMYFUNCTION("""COMPUTED_VALUE"""),153.47)</f>
        <v>153.47</v>
      </c>
      <c r="E838" s="2">
        <f>IFERROR(__xludf.DUMMYFUNCTION("""COMPUTED_VALUE"""),154.26)</f>
        <v>154.26</v>
      </c>
      <c r="F838" s="2">
        <f>IFERROR(__xludf.DUMMYFUNCTION("""COMPUTED_VALUE"""),1681989.0)</f>
        <v>1681989</v>
      </c>
    </row>
    <row r="839">
      <c r="A839" s="3">
        <f>IFERROR(__xludf.DUMMYFUNCTION("""COMPUTED_VALUE"""),38658.645833333336)</f>
        <v>38658.64583</v>
      </c>
      <c r="B839" s="2">
        <f>IFERROR(__xludf.DUMMYFUNCTION("""COMPUTED_VALUE"""),153.77)</f>
        <v>153.77</v>
      </c>
      <c r="C839" s="2">
        <f>IFERROR(__xludf.DUMMYFUNCTION("""COMPUTED_VALUE"""),156.92)</f>
        <v>156.92</v>
      </c>
      <c r="D839" s="2">
        <f>IFERROR(__xludf.DUMMYFUNCTION("""COMPUTED_VALUE"""),152.36)</f>
        <v>152.36</v>
      </c>
      <c r="E839" s="2">
        <f>IFERROR(__xludf.DUMMYFUNCTION("""COMPUTED_VALUE"""),156.58)</f>
        <v>156.58</v>
      </c>
      <c r="F839" s="2">
        <f>IFERROR(__xludf.DUMMYFUNCTION("""COMPUTED_VALUE"""),5151546.0)</f>
        <v>5151546</v>
      </c>
    </row>
    <row r="840">
      <c r="A840" s="3">
        <f>IFERROR(__xludf.DUMMYFUNCTION("""COMPUTED_VALUE"""),38663.645833333336)</f>
        <v>38663.64583</v>
      </c>
      <c r="B840" s="2">
        <f>IFERROR(__xludf.DUMMYFUNCTION("""COMPUTED_VALUE"""),154.0)</f>
        <v>154</v>
      </c>
      <c r="C840" s="2">
        <f>IFERROR(__xludf.DUMMYFUNCTION("""COMPUTED_VALUE"""),159.2)</f>
        <v>159.2</v>
      </c>
      <c r="D840" s="2">
        <f>IFERROR(__xludf.DUMMYFUNCTION("""COMPUTED_VALUE"""),154.0)</f>
        <v>154</v>
      </c>
      <c r="E840" s="2">
        <f>IFERROR(__xludf.DUMMYFUNCTION("""COMPUTED_VALUE"""),158.65)</f>
        <v>158.65</v>
      </c>
      <c r="F840" s="2">
        <f>IFERROR(__xludf.DUMMYFUNCTION("""COMPUTED_VALUE"""),5107087.0)</f>
        <v>5107087</v>
      </c>
    </row>
    <row r="841">
      <c r="A841" s="3">
        <f>IFERROR(__xludf.DUMMYFUNCTION("""COMPUTED_VALUE"""),38664.645833333336)</f>
        <v>38664.64583</v>
      </c>
      <c r="B841" s="2">
        <f>IFERROR(__xludf.DUMMYFUNCTION("""COMPUTED_VALUE"""),160.06)</f>
        <v>160.06</v>
      </c>
      <c r="C841" s="2">
        <f>IFERROR(__xludf.DUMMYFUNCTION("""COMPUTED_VALUE"""),160.06)</f>
        <v>160.06</v>
      </c>
      <c r="D841" s="2">
        <f>IFERROR(__xludf.DUMMYFUNCTION("""COMPUTED_VALUE"""),157.55)</f>
        <v>157.55</v>
      </c>
      <c r="E841" s="2">
        <f>IFERROR(__xludf.DUMMYFUNCTION("""COMPUTED_VALUE"""),159.15)</f>
        <v>159.15</v>
      </c>
      <c r="F841" s="2">
        <f>IFERROR(__xludf.DUMMYFUNCTION("""COMPUTED_VALUE"""),4346779.0)</f>
        <v>4346779</v>
      </c>
    </row>
    <row r="842">
      <c r="A842" s="3">
        <f>IFERROR(__xludf.DUMMYFUNCTION("""COMPUTED_VALUE"""),38665.645833333336)</f>
        <v>38665.64583</v>
      </c>
      <c r="B842" s="2">
        <f>IFERROR(__xludf.DUMMYFUNCTION("""COMPUTED_VALUE"""),159.46)</f>
        <v>159.46</v>
      </c>
      <c r="C842" s="2">
        <f>IFERROR(__xludf.DUMMYFUNCTION("""COMPUTED_VALUE"""),161.25)</f>
        <v>161.25</v>
      </c>
      <c r="D842" s="2">
        <f>IFERROR(__xludf.DUMMYFUNCTION("""COMPUTED_VALUE"""),158.47)</f>
        <v>158.47</v>
      </c>
      <c r="E842" s="2">
        <f>IFERROR(__xludf.DUMMYFUNCTION("""COMPUTED_VALUE"""),159.29)</f>
        <v>159.29</v>
      </c>
      <c r="F842" s="2">
        <f>IFERROR(__xludf.DUMMYFUNCTION("""COMPUTED_VALUE"""),4251918.0)</f>
        <v>4251918</v>
      </c>
    </row>
    <row r="843">
      <c r="A843" s="3">
        <f>IFERROR(__xludf.DUMMYFUNCTION("""COMPUTED_VALUE"""),38666.645833333336)</f>
        <v>38666.64583</v>
      </c>
      <c r="B843" s="2">
        <f>IFERROR(__xludf.DUMMYFUNCTION("""COMPUTED_VALUE"""),159.74)</f>
        <v>159.74</v>
      </c>
      <c r="C843" s="2">
        <f>IFERROR(__xludf.DUMMYFUNCTION("""COMPUTED_VALUE"""),160.13)</f>
        <v>160.13</v>
      </c>
      <c r="D843" s="2">
        <f>IFERROR(__xludf.DUMMYFUNCTION("""COMPUTED_VALUE"""),157.67)</f>
        <v>157.67</v>
      </c>
      <c r="E843" s="2">
        <f>IFERROR(__xludf.DUMMYFUNCTION("""COMPUTED_VALUE"""),158.19)</f>
        <v>158.19</v>
      </c>
      <c r="F843" s="2">
        <f>IFERROR(__xludf.DUMMYFUNCTION("""COMPUTED_VALUE"""),3218286.0)</f>
        <v>3218286</v>
      </c>
    </row>
    <row r="844">
      <c r="A844" s="3">
        <f>IFERROR(__xludf.DUMMYFUNCTION("""COMPUTED_VALUE"""),38667.645833333336)</f>
        <v>38667.64583</v>
      </c>
      <c r="B844" s="2">
        <f>IFERROR(__xludf.DUMMYFUNCTION("""COMPUTED_VALUE"""),158.45)</f>
        <v>158.45</v>
      </c>
      <c r="C844" s="2">
        <f>IFERROR(__xludf.DUMMYFUNCTION("""COMPUTED_VALUE"""),161.92)</f>
        <v>161.92</v>
      </c>
      <c r="D844" s="2">
        <f>IFERROR(__xludf.DUMMYFUNCTION("""COMPUTED_VALUE"""),158.45)</f>
        <v>158.45</v>
      </c>
      <c r="E844" s="2">
        <f>IFERROR(__xludf.DUMMYFUNCTION("""COMPUTED_VALUE"""),160.14)</f>
        <v>160.14</v>
      </c>
      <c r="F844" s="2">
        <f>IFERROR(__xludf.DUMMYFUNCTION("""COMPUTED_VALUE"""),5028746.0)</f>
        <v>5028746</v>
      </c>
    </row>
    <row r="845">
      <c r="A845" s="3">
        <f>IFERROR(__xludf.DUMMYFUNCTION("""COMPUTED_VALUE"""),38670.645833333336)</f>
        <v>38670.64583</v>
      </c>
      <c r="B845" s="2">
        <f>IFERROR(__xludf.DUMMYFUNCTION("""COMPUTED_VALUE"""),160.06)</f>
        <v>160.06</v>
      </c>
      <c r="C845" s="2">
        <f>IFERROR(__xludf.DUMMYFUNCTION("""COMPUTED_VALUE"""),161.67)</f>
        <v>161.67</v>
      </c>
      <c r="D845" s="2">
        <f>IFERROR(__xludf.DUMMYFUNCTION("""COMPUTED_VALUE"""),158.27)</f>
        <v>158.27</v>
      </c>
      <c r="E845" s="2">
        <f>IFERROR(__xludf.DUMMYFUNCTION("""COMPUTED_VALUE"""),160.76)</f>
        <v>160.76</v>
      </c>
      <c r="F845" s="2">
        <f>IFERROR(__xludf.DUMMYFUNCTION("""COMPUTED_VALUE"""),3211746.0)</f>
        <v>3211746</v>
      </c>
    </row>
    <row r="846">
      <c r="A846" s="3">
        <f>IFERROR(__xludf.DUMMYFUNCTION("""COMPUTED_VALUE"""),38672.645833333336)</f>
        <v>38672.64583</v>
      </c>
      <c r="B846" s="2">
        <f>IFERROR(__xludf.DUMMYFUNCTION("""COMPUTED_VALUE"""),161.27)</f>
        <v>161.27</v>
      </c>
      <c r="C846" s="2">
        <f>IFERROR(__xludf.DUMMYFUNCTION("""COMPUTED_VALUE"""),164.9)</f>
        <v>164.9</v>
      </c>
      <c r="D846" s="2">
        <f>IFERROR(__xludf.DUMMYFUNCTION("""COMPUTED_VALUE"""),161.27)</f>
        <v>161.27</v>
      </c>
      <c r="E846" s="2">
        <f>IFERROR(__xludf.DUMMYFUNCTION("""COMPUTED_VALUE"""),164.58)</f>
        <v>164.58</v>
      </c>
      <c r="F846" s="2">
        <f>IFERROR(__xludf.DUMMYFUNCTION("""COMPUTED_VALUE"""),5774378.0)</f>
        <v>5774378</v>
      </c>
    </row>
    <row r="847">
      <c r="A847" s="3">
        <f>IFERROR(__xludf.DUMMYFUNCTION("""COMPUTED_VALUE"""),38673.645833333336)</f>
        <v>38673.64583</v>
      </c>
      <c r="B847" s="2">
        <f>IFERROR(__xludf.DUMMYFUNCTION("""COMPUTED_VALUE"""),147.98)</f>
        <v>147.98</v>
      </c>
      <c r="C847" s="2">
        <f>IFERROR(__xludf.DUMMYFUNCTION("""COMPUTED_VALUE"""),167.5)</f>
        <v>167.5</v>
      </c>
      <c r="D847" s="2">
        <f>IFERROR(__xludf.DUMMYFUNCTION("""COMPUTED_VALUE"""),147.98)</f>
        <v>147.98</v>
      </c>
      <c r="E847" s="2">
        <f>IFERROR(__xludf.DUMMYFUNCTION("""COMPUTED_VALUE"""),166.97)</f>
        <v>166.97</v>
      </c>
      <c r="F847" s="2">
        <f>IFERROR(__xludf.DUMMYFUNCTION("""COMPUTED_VALUE"""),5972178.0)</f>
        <v>5972178</v>
      </c>
    </row>
    <row r="848">
      <c r="A848" s="3">
        <f>IFERROR(__xludf.DUMMYFUNCTION("""COMPUTED_VALUE"""),38674.645833333336)</f>
        <v>38674.64583</v>
      </c>
      <c r="B848" s="2">
        <f>IFERROR(__xludf.DUMMYFUNCTION("""COMPUTED_VALUE"""),167.5)</f>
        <v>167.5</v>
      </c>
      <c r="C848" s="2">
        <f>IFERROR(__xludf.DUMMYFUNCTION("""COMPUTED_VALUE"""),168.12)</f>
        <v>168.12</v>
      </c>
      <c r="D848" s="2">
        <f>IFERROR(__xludf.DUMMYFUNCTION("""COMPUTED_VALUE"""),165.82)</f>
        <v>165.82</v>
      </c>
      <c r="E848" s="2">
        <f>IFERROR(__xludf.DUMMYFUNCTION("""COMPUTED_VALUE"""),166.33)</f>
        <v>166.33</v>
      </c>
      <c r="F848" s="2">
        <f>IFERROR(__xludf.DUMMYFUNCTION("""COMPUTED_VALUE"""),3716134.0)</f>
        <v>3716134</v>
      </c>
    </row>
    <row r="849">
      <c r="A849" s="3">
        <f>IFERROR(__xludf.DUMMYFUNCTION("""COMPUTED_VALUE"""),38677.645833333336)</f>
        <v>38677.64583</v>
      </c>
      <c r="B849" s="2">
        <f>IFERROR(__xludf.DUMMYFUNCTION("""COMPUTED_VALUE"""),166.3)</f>
        <v>166.3</v>
      </c>
      <c r="C849" s="2">
        <f>IFERROR(__xludf.DUMMYFUNCTION("""COMPUTED_VALUE"""),167.88)</f>
        <v>167.88</v>
      </c>
      <c r="D849" s="2">
        <f>IFERROR(__xludf.DUMMYFUNCTION("""COMPUTED_VALUE"""),165.26)</f>
        <v>165.26</v>
      </c>
      <c r="E849" s="2">
        <f>IFERROR(__xludf.DUMMYFUNCTION("""COMPUTED_VALUE"""),166.92)</f>
        <v>166.92</v>
      </c>
      <c r="F849" s="2">
        <f>IFERROR(__xludf.DUMMYFUNCTION("""COMPUTED_VALUE"""),5147798.0)</f>
        <v>5147798</v>
      </c>
    </row>
    <row r="850">
      <c r="A850" s="3">
        <f>IFERROR(__xludf.DUMMYFUNCTION("""COMPUTED_VALUE"""),38678.645833333336)</f>
        <v>38678.64583</v>
      </c>
      <c r="B850" s="2">
        <f>IFERROR(__xludf.DUMMYFUNCTION("""COMPUTED_VALUE"""),167.03)</f>
        <v>167.03</v>
      </c>
      <c r="C850" s="2">
        <f>IFERROR(__xludf.DUMMYFUNCTION("""COMPUTED_VALUE"""),168.91)</f>
        <v>168.91</v>
      </c>
      <c r="D850" s="2">
        <f>IFERROR(__xludf.DUMMYFUNCTION("""COMPUTED_VALUE"""),164.09)</f>
        <v>164.09</v>
      </c>
      <c r="E850" s="2">
        <f>IFERROR(__xludf.DUMMYFUNCTION("""COMPUTED_VALUE"""),164.96)</f>
        <v>164.96</v>
      </c>
      <c r="F850" s="2">
        <f>IFERROR(__xludf.DUMMYFUNCTION("""COMPUTED_VALUE"""),6855478.0)</f>
        <v>6855478</v>
      </c>
    </row>
    <row r="851">
      <c r="A851" s="3">
        <f>IFERROR(__xludf.DUMMYFUNCTION("""COMPUTED_VALUE"""),38679.645833333336)</f>
        <v>38679.64583</v>
      </c>
      <c r="B851" s="2">
        <f>IFERROR(__xludf.DUMMYFUNCTION("""COMPUTED_VALUE"""),165.3)</f>
        <v>165.3</v>
      </c>
      <c r="C851" s="2">
        <f>IFERROR(__xludf.DUMMYFUNCTION("""COMPUTED_VALUE"""),167.89)</f>
        <v>167.89</v>
      </c>
      <c r="D851" s="2">
        <f>IFERROR(__xludf.DUMMYFUNCTION("""COMPUTED_VALUE"""),164.82)</f>
        <v>164.82</v>
      </c>
      <c r="E851" s="2">
        <f>IFERROR(__xludf.DUMMYFUNCTION("""COMPUTED_VALUE"""),167.51)</f>
        <v>167.51</v>
      </c>
      <c r="F851" s="2">
        <f>IFERROR(__xludf.DUMMYFUNCTION("""COMPUTED_VALUE"""),5759902.0)</f>
        <v>5759902</v>
      </c>
    </row>
    <row r="852">
      <c r="A852" s="3">
        <f>IFERROR(__xludf.DUMMYFUNCTION("""COMPUTED_VALUE"""),38680.645833333336)</f>
        <v>38680.64583</v>
      </c>
      <c r="B852" s="2">
        <f>IFERROR(__xludf.DUMMYFUNCTION("""COMPUTED_VALUE"""),167.71)</f>
        <v>167.71</v>
      </c>
      <c r="C852" s="2">
        <f>IFERROR(__xludf.DUMMYFUNCTION("""COMPUTED_VALUE"""),170.81)</f>
        <v>170.81</v>
      </c>
      <c r="D852" s="2">
        <f>IFERROR(__xludf.DUMMYFUNCTION("""COMPUTED_VALUE"""),167.71)</f>
        <v>167.71</v>
      </c>
      <c r="E852" s="2">
        <f>IFERROR(__xludf.DUMMYFUNCTION("""COMPUTED_VALUE"""),169.95)</f>
        <v>169.95</v>
      </c>
      <c r="F852" s="2">
        <f>IFERROR(__xludf.DUMMYFUNCTION("""COMPUTED_VALUE"""),5858457.0)</f>
        <v>5858457</v>
      </c>
    </row>
    <row r="853">
      <c r="A853" s="3">
        <f>IFERROR(__xludf.DUMMYFUNCTION("""COMPUTED_VALUE"""),38681.645833333336)</f>
        <v>38681.64583</v>
      </c>
      <c r="B853" s="2">
        <f>IFERROR(__xludf.DUMMYFUNCTION("""COMPUTED_VALUE"""),170.33)</f>
        <v>170.33</v>
      </c>
      <c r="C853" s="2">
        <f>IFERROR(__xludf.DUMMYFUNCTION("""COMPUTED_VALUE"""),170.33)</f>
        <v>170.33</v>
      </c>
      <c r="D853" s="2">
        <f>IFERROR(__xludf.DUMMYFUNCTION("""COMPUTED_VALUE"""),168.39)</f>
        <v>168.39</v>
      </c>
      <c r="E853" s="2">
        <f>IFERROR(__xludf.DUMMYFUNCTION("""COMPUTED_VALUE"""),169.66)</f>
        <v>169.66</v>
      </c>
      <c r="F853" s="2">
        <f>IFERROR(__xludf.DUMMYFUNCTION("""COMPUTED_VALUE"""),4698762.0)</f>
        <v>4698762</v>
      </c>
    </row>
    <row r="854">
      <c r="A854" s="3">
        <f>IFERROR(__xludf.DUMMYFUNCTION("""COMPUTED_VALUE"""),38684.645833333336)</f>
        <v>38684.64583</v>
      </c>
      <c r="B854" s="2">
        <f>IFERROR(__xludf.DUMMYFUNCTION("""COMPUTED_VALUE"""),170.33)</f>
        <v>170.33</v>
      </c>
      <c r="C854" s="2">
        <f>IFERROR(__xludf.DUMMYFUNCTION("""COMPUTED_VALUE"""),171.14)</f>
        <v>171.14</v>
      </c>
      <c r="D854" s="2">
        <f>IFERROR(__xludf.DUMMYFUNCTION("""COMPUTED_VALUE"""),169.68)</f>
        <v>169.68</v>
      </c>
      <c r="E854" s="2">
        <f>IFERROR(__xludf.DUMMYFUNCTION("""COMPUTED_VALUE"""),170.71)</f>
        <v>170.71</v>
      </c>
      <c r="F854" s="2">
        <f>IFERROR(__xludf.DUMMYFUNCTION("""COMPUTED_VALUE"""),3755074.0)</f>
        <v>3755074</v>
      </c>
    </row>
    <row r="855">
      <c r="A855" s="3">
        <f>IFERROR(__xludf.DUMMYFUNCTION("""COMPUTED_VALUE"""),38685.645833333336)</f>
        <v>38685.64583</v>
      </c>
      <c r="B855" s="2">
        <f>IFERROR(__xludf.DUMMYFUNCTION("""COMPUTED_VALUE"""),170.98)</f>
        <v>170.98</v>
      </c>
      <c r="C855" s="2">
        <f>IFERROR(__xludf.DUMMYFUNCTION("""COMPUTED_VALUE"""),174.33)</f>
        <v>174.33</v>
      </c>
      <c r="D855" s="2">
        <f>IFERROR(__xludf.DUMMYFUNCTION("""COMPUTED_VALUE"""),169.24)</f>
        <v>169.24</v>
      </c>
      <c r="E855" s="2">
        <f>IFERROR(__xludf.DUMMYFUNCTION("""COMPUTED_VALUE"""),170.76)</f>
        <v>170.76</v>
      </c>
      <c r="F855" s="2">
        <f>IFERROR(__xludf.DUMMYFUNCTION("""COMPUTED_VALUE"""),8083545.0)</f>
        <v>8083545</v>
      </c>
    </row>
    <row r="856">
      <c r="A856" s="3">
        <f>IFERROR(__xludf.DUMMYFUNCTION("""COMPUTED_VALUE"""),38686.645833333336)</f>
        <v>38686.64583</v>
      </c>
      <c r="B856" s="2">
        <f>IFERROR(__xludf.DUMMYFUNCTION("""COMPUTED_VALUE"""),171.18)</f>
        <v>171.18</v>
      </c>
      <c r="C856" s="2">
        <f>IFERROR(__xludf.DUMMYFUNCTION("""COMPUTED_VALUE"""),172.23)</f>
        <v>172.23</v>
      </c>
      <c r="D856" s="2">
        <f>IFERROR(__xludf.DUMMYFUNCTION("""COMPUTED_VALUE"""),166.93)</f>
        <v>166.93</v>
      </c>
      <c r="E856" s="2">
        <f>IFERROR(__xludf.DUMMYFUNCTION("""COMPUTED_VALUE"""),167.65)</f>
        <v>167.65</v>
      </c>
      <c r="F856" s="2">
        <f>IFERROR(__xludf.DUMMYFUNCTION("""COMPUTED_VALUE"""),6347408.0)</f>
        <v>6347408</v>
      </c>
    </row>
    <row r="857">
      <c r="A857" s="3">
        <f>IFERROR(__xludf.DUMMYFUNCTION("""COMPUTED_VALUE"""),38687.645833333336)</f>
        <v>38687.64583</v>
      </c>
      <c r="B857" s="2">
        <f>IFERROR(__xludf.DUMMYFUNCTION("""COMPUTED_VALUE"""),167.71)</f>
        <v>167.71</v>
      </c>
      <c r="C857" s="2">
        <f>IFERROR(__xludf.DUMMYFUNCTION("""COMPUTED_VALUE"""),169.79)</f>
        <v>169.79</v>
      </c>
      <c r="D857" s="2">
        <f>IFERROR(__xludf.DUMMYFUNCTION("""COMPUTED_VALUE"""),167.16)</f>
        <v>167.16</v>
      </c>
      <c r="E857" s="2">
        <f>IFERROR(__xludf.DUMMYFUNCTION("""COMPUTED_VALUE"""),169.03)</f>
        <v>169.03</v>
      </c>
      <c r="F857" s="2">
        <f>IFERROR(__xludf.DUMMYFUNCTION("""COMPUTED_VALUE"""),6078658.0)</f>
        <v>6078658</v>
      </c>
    </row>
    <row r="858">
      <c r="A858" s="3">
        <f>IFERROR(__xludf.DUMMYFUNCTION("""COMPUTED_VALUE"""),38688.645833333336)</f>
        <v>38688.64583</v>
      </c>
      <c r="B858" s="2">
        <f>IFERROR(__xludf.DUMMYFUNCTION("""COMPUTED_VALUE"""),169.52)</f>
        <v>169.52</v>
      </c>
      <c r="C858" s="2">
        <f>IFERROR(__xludf.DUMMYFUNCTION("""COMPUTED_VALUE"""),170.98)</f>
        <v>170.98</v>
      </c>
      <c r="D858" s="2">
        <f>IFERROR(__xludf.DUMMYFUNCTION("""COMPUTED_VALUE"""),168.12)</f>
        <v>168.12</v>
      </c>
      <c r="E858" s="2">
        <f>IFERROR(__xludf.DUMMYFUNCTION("""COMPUTED_VALUE"""),169.0)</f>
        <v>169</v>
      </c>
      <c r="F858" s="2">
        <f>IFERROR(__xludf.DUMMYFUNCTION("""COMPUTED_VALUE"""),4049241.0)</f>
        <v>4049241</v>
      </c>
    </row>
    <row r="859">
      <c r="A859" s="3">
        <f>IFERROR(__xludf.DUMMYFUNCTION("""COMPUTED_VALUE"""),38691.645833333336)</f>
        <v>38691.64583</v>
      </c>
      <c r="B859" s="2">
        <f>IFERROR(__xludf.DUMMYFUNCTION("""COMPUTED_VALUE"""),170.53)</f>
        <v>170.53</v>
      </c>
      <c r="C859" s="2">
        <f>IFERROR(__xludf.DUMMYFUNCTION("""COMPUTED_VALUE"""),171.52)</f>
        <v>171.52</v>
      </c>
      <c r="D859" s="2">
        <f>IFERROR(__xludf.DUMMYFUNCTION("""COMPUTED_VALUE"""),168.32)</f>
        <v>168.32</v>
      </c>
      <c r="E859" s="2">
        <f>IFERROR(__xludf.DUMMYFUNCTION("""COMPUTED_VALUE"""),169.17)</f>
        <v>169.17</v>
      </c>
      <c r="F859" s="2">
        <f>IFERROR(__xludf.DUMMYFUNCTION("""COMPUTED_VALUE"""),3841846.0)</f>
        <v>3841846</v>
      </c>
    </row>
    <row r="860">
      <c r="A860" s="3">
        <f>IFERROR(__xludf.DUMMYFUNCTION("""COMPUTED_VALUE"""),38692.645833333336)</f>
        <v>38692.64583</v>
      </c>
      <c r="B860" s="2">
        <f>IFERROR(__xludf.DUMMYFUNCTION("""COMPUTED_VALUE"""),169.52)</f>
        <v>169.52</v>
      </c>
      <c r="C860" s="2">
        <f>IFERROR(__xludf.DUMMYFUNCTION("""COMPUTED_VALUE"""),170.49)</f>
        <v>170.49</v>
      </c>
      <c r="D860" s="2">
        <f>IFERROR(__xludf.DUMMYFUNCTION("""COMPUTED_VALUE"""),167.11)</f>
        <v>167.11</v>
      </c>
      <c r="E860" s="2">
        <f>IFERROR(__xludf.DUMMYFUNCTION("""COMPUTED_VALUE"""),168.47)</f>
        <v>168.47</v>
      </c>
      <c r="F860" s="2">
        <f>IFERROR(__xludf.DUMMYFUNCTION("""COMPUTED_VALUE"""),5034572.0)</f>
        <v>5034572</v>
      </c>
    </row>
    <row r="861">
      <c r="A861" s="3">
        <f>IFERROR(__xludf.DUMMYFUNCTION("""COMPUTED_VALUE"""),38693.645833333336)</f>
        <v>38693.64583</v>
      </c>
      <c r="B861" s="2">
        <f>IFERROR(__xludf.DUMMYFUNCTION("""COMPUTED_VALUE"""),169.12)</f>
        <v>169.12</v>
      </c>
      <c r="C861" s="2">
        <f>IFERROR(__xludf.DUMMYFUNCTION("""COMPUTED_VALUE"""),171.12)</f>
        <v>171.12</v>
      </c>
      <c r="D861" s="2">
        <f>IFERROR(__xludf.DUMMYFUNCTION("""COMPUTED_VALUE"""),166.91)</f>
        <v>166.91</v>
      </c>
      <c r="E861" s="2">
        <f>IFERROR(__xludf.DUMMYFUNCTION("""COMPUTED_VALUE"""),169.82)</f>
        <v>169.82</v>
      </c>
      <c r="F861" s="2">
        <f>IFERROR(__xludf.DUMMYFUNCTION("""COMPUTED_VALUE"""),5278514.0)</f>
        <v>5278514</v>
      </c>
    </row>
    <row r="862">
      <c r="A862" s="3">
        <f>IFERROR(__xludf.DUMMYFUNCTION("""COMPUTED_VALUE"""),38694.645833333336)</f>
        <v>38694.64583</v>
      </c>
      <c r="B862" s="2">
        <f>IFERROR(__xludf.DUMMYFUNCTION("""COMPUTED_VALUE"""),171.14)</f>
        <v>171.14</v>
      </c>
      <c r="C862" s="2">
        <f>IFERROR(__xludf.DUMMYFUNCTION("""COMPUTED_VALUE"""),171.58)</f>
        <v>171.58</v>
      </c>
      <c r="D862" s="2">
        <f>IFERROR(__xludf.DUMMYFUNCTION("""COMPUTED_VALUE"""),168.17)</f>
        <v>168.17</v>
      </c>
      <c r="E862" s="2">
        <f>IFERROR(__xludf.DUMMYFUNCTION("""COMPUTED_VALUE"""),170.36)</f>
        <v>170.36</v>
      </c>
      <c r="F862" s="2">
        <f>IFERROR(__xludf.DUMMYFUNCTION("""COMPUTED_VALUE"""),4734900.0)</f>
        <v>4734900</v>
      </c>
    </row>
    <row r="863">
      <c r="A863" s="3">
        <f>IFERROR(__xludf.DUMMYFUNCTION("""COMPUTED_VALUE"""),38695.645833333336)</f>
        <v>38695.64583</v>
      </c>
      <c r="B863" s="2">
        <f>IFERROR(__xludf.DUMMYFUNCTION("""COMPUTED_VALUE"""),169.12)</f>
        <v>169.12</v>
      </c>
      <c r="C863" s="2">
        <f>IFERROR(__xludf.DUMMYFUNCTION("""COMPUTED_VALUE"""),174.14)</f>
        <v>174.14</v>
      </c>
      <c r="D863" s="2">
        <f>IFERROR(__xludf.DUMMYFUNCTION("""COMPUTED_VALUE"""),169.12)</f>
        <v>169.12</v>
      </c>
      <c r="E863" s="2">
        <f>IFERROR(__xludf.DUMMYFUNCTION("""COMPUTED_VALUE"""),173.82)</f>
        <v>173.82</v>
      </c>
      <c r="F863" s="2">
        <f>IFERROR(__xludf.DUMMYFUNCTION("""COMPUTED_VALUE"""),6477762.0)</f>
        <v>6477762</v>
      </c>
    </row>
    <row r="864">
      <c r="A864" s="3">
        <f>IFERROR(__xludf.DUMMYFUNCTION("""COMPUTED_VALUE"""),38698.645833333336)</f>
        <v>38698.64583</v>
      </c>
      <c r="B864" s="2">
        <f>IFERROR(__xludf.DUMMYFUNCTION("""COMPUTED_VALUE"""),174.38)</f>
        <v>174.38</v>
      </c>
      <c r="C864" s="2">
        <f>IFERROR(__xludf.DUMMYFUNCTION("""COMPUTED_VALUE"""),175.85)</f>
        <v>175.85</v>
      </c>
      <c r="D864" s="2">
        <f>IFERROR(__xludf.DUMMYFUNCTION("""COMPUTED_VALUE"""),173.16)</f>
        <v>173.16</v>
      </c>
      <c r="E864" s="2">
        <f>IFERROR(__xludf.DUMMYFUNCTION("""COMPUTED_VALUE"""),173.79)</f>
        <v>173.79</v>
      </c>
      <c r="F864" s="2">
        <f>IFERROR(__xludf.DUMMYFUNCTION("""COMPUTED_VALUE"""),2668744.0)</f>
        <v>2668744</v>
      </c>
    </row>
    <row r="865">
      <c r="A865" s="3">
        <f>IFERROR(__xludf.DUMMYFUNCTION("""COMPUTED_VALUE"""),38699.645833333336)</f>
        <v>38699.64583</v>
      </c>
      <c r="B865" s="2">
        <f>IFERROR(__xludf.DUMMYFUNCTION("""COMPUTED_VALUE"""),174.34)</f>
        <v>174.34</v>
      </c>
      <c r="C865" s="2">
        <f>IFERROR(__xludf.DUMMYFUNCTION("""COMPUTED_VALUE"""),176.07)</f>
        <v>176.07</v>
      </c>
      <c r="D865" s="2">
        <f>IFERROR(__xludf.DUMMYFUNCTION("""COMPUTED_VALUE"""),173.01)</f>
        <v>173.01</v>
      </c>
      <c r="E865" s="2">
        <f>IFERROR(__xludf.DUMMYFUNCTION("""COMPUTED_VALUE"""),175.49)</f>
        <v>175.49</v>
      </c>
      <c r="F865" s="2">
        <f>IFERROR(__xludf.DUMMYFUNCTION("""COMPUTED_VALUE"""),4009892.0)</f>
        <v>4009892</v>
      </c>
    </row>
    <row r="866">
      <c r="A866" s="3">
        <f>IFERROR(__xludf.DUMMYFUNCTION("""COMPUTED_VALUE"""),38700.645833333336)</f>
        <v>38700.64583</v>
      </c>
      <c r="B866" s="2">
        <f>IFERROR(__xludf.DUMMYFUNCTION("""COMPUTED_VALUE"""),175.19)</f>
        <v>175.19</v>
      </c>
      <c r="C866" s="2">
        <f>IFERROR(__xludf.DUMMYFUNCTION("""COMPUTED_VALUE"""),175.85)</f>
        <v>175.85</v>
      </c>
      <c r="D866" s="2">
        <f>IFERROR(__xludf.DUMMYFUNCTION("""COMPUTED_VALUE"""),172.34)</f>
        <v>172.34</v>
      </c>
      <c r="E866" s="2">
        <f>IFERROR(__xludf.DUMMYFUNCTION("""COMPUTED_VALUE"""),173.54)</f>
        <v>173.54</v>
      </c>
      <c r="F866" s="2">
        <f>IFERROR(__xludf.DUMMYFUNCTION("""COMPUTED_VALUE"""),3952919.0)</f>
        <v>3952919</v>
      </c>
    </row>
    <row r="867">
      <c r="A867" s="3">
        <f>IFERROR(__xludf.DUMMYFUNCTION("""COMPUTED_VALUE"""),38701.645833333336)</f>
        <v>38701.64583</v>
      </c>
      <c r="B867" s="2">
        <f>IFERROR(__xludf.DUMMYFUNCTION("""COMPUTED_VALUE"""),173.95)</f>
        <v>173.95</v>
      </c>
      <c r="C867" s="2">
        <f>IFERROR(__xludf.DUMMYFUNCTION("""COMPUTED_VALUE"""),174.14)</f>
        <v>174.14</v>
      </c>
      <c r="D867" s="2">
        <f>IFERROR(__xludf.DUMMYFUNCTION("""COMPUTED_VALUE"""),168.94)</f>
        <v>168.94</v>
      </c>
      <c r="E867" s="2">
        <f>IFERROR(__xludf.DUMMYFUNCTION("""COMPUTED_VALUE"""),170.18)</f>
        <v>170.18</v>
      </c>
      <c r="F867" s="2">
        <f>IFERROR(__xludf.DUMMYFUNCTION("""COMPUTED_VALUE"""),5272788.0)</f>
        <v>5272788</v>
      </c>
    </row>
    <row r="868">
      <c r="A868" s="3">
        <f>IFERROR(__xludf.DUMMYFUNCTION("""COMPUTED_VALUE"""),38702.645833333336)</f>
        <v>38702.64583</v>
      </c>
      <c r="B868" s="2">
        <f>IFERROR(__xludf.DUMMYFUNCTION("""COMPUTED_VALUE"""),171.14)</f>
        <v>171.14</v>
      </c>
      <c r="C868" s="2">
        <f>IFERROR(__xludf.DUMMYFUNCTION("""COMPUTED_VALUE"""),171.94)</f>
        <v>171.94</v>
      </c>
      <c r="D868" s="2">
        <f>IFERROR(__xludf.DUMMYFUNCTION("""COMPUTED_VALUE"""),169.55)</f>
        <v>169.55</v>
      </c>
      <c r="E868" s="2">
        <f>IFERROR(__xludf.DUMMYFUNCTION("""COMPUTED_VALUE"""),171.01)</f>
        <v>171.01</v>
      </c>
      <c r="F868" s="2">
        <f>IFERROR(__xludf.DUMMYFUNCTION("""COMPUTED_VALUE"""),4827054.0)</f>
        <v>4827054</v>
      </c>
    </row>
    <row r="869">
      <c r="A869" s="3">
        <f>IFERROR(__xludf.DUMMYFUNCTION("""COMPUTED_VALUE"""),38705.645833333336)</f>
        <v>38705.64583</v>
      </c>
      <c r="B869" s="2">
        <f>IFERROR(__xludf.DUMMYFUNCTION("""COMPUTED_VALUE"""),171.94)</f>
        <v>171.94</v>
      </c>
      <c r="C869" s="2">
        <f>IFERROR(__xludf.DUMMYFUNCTION("""COMPUTED_VALUE"""),173.45)</f>
        <v>173.45</v>
      </c>
      <c r="D869" s="2">
        <f>IFERROR(__xludf.DUMMYFUNCTION("""COMPUTED_VALUE"""),171.94)</f>
        <v>171.94</v>
      </c>
      <c r="E869" s="2">
        <f>IFERROR(__xludf.DUMMYFUNCTION("""COMPUTED_VALUE"""),172.58)</f>
        <v>172.58</v>
      </c>
      <c r="F869" s="2">
        <f>IFERROR(__xludf.DUMMYFUNCTION("""COMPUTED_VALUE"""),2442801.0)</f>
        <v>2442801</v>
      </c>
    </row>
    <row r="870">
      <c r="A870" s="3">
        <f>IFERROR(__xludf.DUMMYFUNCTION("""COMPUTED_VALUE"""),38706.645833333336)</f>
        <v>38706.64583</v>
      </c>
      <c r="B870" s="2">
        <f>IFERROR(__xludf.DUMMYFUNCTION("""COMPUTED_VALUE"""),173.11)</f>
        <v>173.11</v>
      </c>
      <c r="C870" s="2">
        <f>IFERROR(__xludf.DUMMYFUNCTION("""COMPUTED_VALUE"""),174.5)</f>
        <v>174.5</v>
      </c>
      <c r="D870" s="2">
        <f>IFERROR(__xludf.DUMMYFUNCTION("""COMPUTED_VALUE"""),171.59)</f>
        <v>171.59</v>
      </c>
      <c r="E870" s="2">
        <f>IFERROR(__xludf.DUMMYFUNCTION("""COMPUTED_VALUE"""),172.05)</f>
        <v>172.05</v>
      </c>
      <c r="F870" s="2">
        <f>IFERROR(__xludf.DUMMYFUNCTION("""COMPUTED_VALUE"""),3623424.0)</f>
        <v>3623424</v>
      </c>
    </row>
    <row r="871">
      <c r="A871" s="3">
        <f>IFERROR(__xludf.DUMMYFUNCTION("""COMPUTED_VALUE"""),38707.645833333336)</f>
        <v>38707.64583</v>
      </c>
      <c r="B871" s="2">
        <f>IFERROR(__xludf.DUMMYFUNCTION("""COMPUTED_VALUE"""),172.36)</f>
        <v>172.36</v>
      </c>
      <c r="C871" s="2">
        <f>IFERROR(__xludf.DUMMYFUNCTION("""COMPUTED_VALUE"""),173.83)</f>
        <v>173.83</v>
      </c>
      <c r="D871" s="2">
        <f>IFERROR(__xludf.DUMMYFUNCTION("""COMPUTED_VALUE"""),170.95)</f>
        <v>170.95</v>
      </c>
      <c r="E871" s="2">
        <f>IFERROR(__xludf.DUMMYFUNCTION("""COMPUTED_VALUE"""),173.18)</f>
        <v>173.18</v>
      </c>
      <c r="F871" s="2">
        <f>IFERROR(__xludf.DUMMYFUNCTION("""COMPUTED_VALUE"""),3759130.0)</f>
        <v>3759130</v>
      </c>
    </row>
    <row r="872">
      <c r="A872" s="3">
        <f>IFERROR(__xludf.DUMMYFUNCTION("""COMPUTED_VALUE"""),38708.645833333336)</f>
        <v>38708.64583</v>
      </c>
      <c r="B872" s="2">
        <f>IFERROR(__xludf.DUMMYFUNCTION("""COMPUTED_VALUE"""),173.95)</f>
        <v>173.95</v>
      </c>
      <c r="C872" s="2">
        <f>IFERROR(__xludf.DUMMYFUNCTION("""COMPUTED_VALUE"""),175.11)</f>
        <v>175.11</v>
      </c>
      <c r="D872" s="2">
        <f>IFERROR(__xludf.DUMMYFUNCTION("""COMPUTED_VALUE"""),171.78)</f>
        <v>171.78</v>
      </c>
      <c r="E872" s="2">
        <f>IFERROR(__xludf.DUMMYFUNCTION("""COMPUTED_VALUE"""),172.34)</f>
        <v>172.34</v>
      </c>
      <c r="F872" s="2">
        <f>IFERROR(__xludf.DUMMYFUNCTION("""COMPUTED_VALUE"""),5728800.0)</f>
        <v>5728800</v>
      </c>
    </row>
    <row r="873">
      <c r="A873" s="3">
        <f>IFERROR(__xludf.DUMMYFUNCTION("""COMPUTED_VALUE"""),38709.645833333336)</f>
        <v>38709.64583</v>
      </c>
      <c r="B873" s="2">
        <f>IFERROR(__xludf.DUMMYFUNCTION("""COMPUTED_VALUE"""),172.14)</f>
        <v>172.14</v>
      </c>
      <c r="C873" s="2">
        <f>IFERROR(__xludf.DUMMYFUNCTION("""COMPUTED_VALUE"""),173.15)</f>
        <v>173.15</v>
      </c>
      <c r="D873" s="2">
        <f>IFERROR(__xludf.DUMMYFUNCTION("""COMPUTED_VALUE"""),169.16)</f>
        <v>169.16</v>
      </c>
      <c r="E873" s="2">
        <f>IFERROR(__xludf.DUMMYFUNCTION("""COMPUTED_VALUE"""),169.71)</f>
        <v>169.71</v>
      </c>
      <c r="F873" s="2">
        <f>IFERROR(__xludf.DUMMYFUNCTION("""COMPUTED_VALUE"""),5808569.0)</f>
        <v>5808569</v>
      </c>
    </row>
    <row r="874">
      <c r="A874" s="3">
        <f>IFERROR(__xludf.DUMMYFUNCTION("""COMPUTED_VALUE"""),38712.645833333336)</f>
        <v>38712.64583</v>
      </c>
      <c r="B874" s="2">
        <f>IFERROR(__xludf.DUMMYFUNCTION("""COMPUTED_VALUE"""),169.12)</f>
        <v>169.12</v>
      </c>
      <c r="C874" s="2">
        <f>IFERROR(__xludf.DUMMYFUNCTION("""COMPUTED_VALUE"""),169.5)</f>
        <v>169.5</v>
      </c>
      <c r="D874" s="2">
        <f>IFERROR(__xludf.DUMMYFUNCTION("""COMPUTED_VALUE"""),166.51)</f>
        <v>166.51</v>
      </c>
      <c r="E874" s="2">
        <f>IFERROR(__xludf.DUMMYFUNCTION("""COMPUTED_VALUE"""),167.65)</f>
        <v>167.65</v>
      </c>
      <c r="F874" s="2">
        <f>IFERROR(__xludf.DUMMYFUNCTION("""COMPUTED_VALUE"""),5323102.0)</f>
        <v>5323102</v>
      </c>
    </row>
    <row r="875">
      <c r="A875" s="3">
        <f>IFERROR(__xludf.DUMMYFUNCTION("""COMPUTED_VALUE"""),38713.645833333336)</f>
        <v>38713.64583</v>
      </c>
      <c r="B875" s="2">
        <f>IFERROR(__xludf.DUMMYFUNCTION("""COMPUTED_VALUE"""),168.12)</f>
        <v>168.12</v>
      </c>
      <c r="C875" s="2">
        <f>IFERROR(__xludf.DUMMYFUNCTION("""COMPUTED_VALUE"""),175.14)</f>
        <v>175.14</v>
      </c>
      <c r="D875" s="2">
        <f>IFERROR(__xludf.DUMMYFUNCTION("""COMPUTED_VALUE"""),166.74)</f>
        <v>166.74</v>
      </c>
      <c r="E875" s="2">
        <f>IFERROR(__xludf.DUMMYFUNCTION("""COMPUTED_VALUE"""),174.54)</f>
        <v>174.54</v>
      </c>
      <c r="F875" s="2">
        <f>IFERROR(__xludf.DUMMYFUNCTION("""COMPUTED_VALUE"""),5892643.0)</f>
        <v>5892643</v>
      </c>
    </row>
    <row r="876">
      <c r="A876" s="3">
        <f>IFERROR(__xludf.DUMMYFUNCTION("""COMPUTED_VALUE"""),38714.645833333336)</f>
        <v>38714.64583</v>
      </c>
      <c r="B876" s="2">
        <f>IFERROR(__xludf.DUMMYFUNCTION("""COMPUTED_VALUE"""),175.16)</f>
        <v>175.16</v>
      </c>
      <c r="C876" s="2">
        <f>IFERROR(__xludf.DUMMYFUNCTION("""COMPUTED_VALUE"""),179.17)</f>
        <v>179.17</v>
      </c>
      <c r="D876" s="2">
        <f>IFERROR(__xludf.DUMMYFUNCTION("""COMPUTED_VALUE"""),174.76)</f>
        <v>174.76</v>
      </c>
      <c r="E876" s="2">
        <f>IFERROR(__xludf.DUMMYFUNCTION("""COMPUTED_VALUE"""),175.67)</f>
        <v>175.67</v>
      </c>
      <c r="F876" s="2">
        <f>IFERROR(__xludf.DUMMYFUNCTION("""COMPUTED_VALUE"""),1.0837449E7)</f>
        <v>10837449</v>
      </c>
    </row>
    <row r="877">
      <c r="A877" s="3">
        <f>IFERROR(__xludf.DUMMYFUNCTION("""COMPUTED_VALUE"""),38715.645833333336)</f>
        <v>38715.64583</v>
      </c>
      <c r="B877" s="2">
        <f>IFERROR(__xludf.DUMMYFUNCTION("""COMPUTED_VALUE"""),174.76)</f>
        <v>174.76</v>
      </c>
      <c r="C877" s="2">
        <f>IFERROR(__xludf.DUMMYFUNCTION("""COMPUTED_VALUE"""),180.2)</f>
        <v>180.2</v>
      </c>
      <c r="D877" s="2">
        <f>IFERROR(__xludf.DUMMYFUNCTION("""COMPUTED_VALUE"""),174.76)</f>
        <v>174.76</v>
      </c>
      <c r="E877" s="2">
        <f>IFERROR(__xludf.DUMMYFUNCTION("""COMPUTED_VALUE"""),179.41)</f>
        <v>179.41</v>
      </c>
      <c r="F877" s="2">
        <f>IFERROR(__xludf.DUMMYFUNCTION("""COMPUTED_VALUE"""),9084303.0)</f>
        <v>9084303</v>
      </c>
    </row>
    <row r="878">
      <c r="A878" s="3">
        <f>IFERROR(__xludf.DUMMYFUNCTION("""COMPUTED_VALUE"""),38716.645833333336)</f>
        <v>38716.64583</v>
      </c>
      <c r="B878" s="2">
        <f>IFERROR(__xludf.DUMMYFUNCTION("""COMPUTED_VALUE"""),180.8)</f>
        <v>180.8</v>
      </c>
      <c r="C878" s="2">
        <f>IFERROR(__xludf.DUMMYFUNCTION("""COMPUTED_VALUE"""),181.37)</f>
        <v>181.37</v>
      </c>
      <c r="D878" s="2">
        <f>IFERROR(__xludf.DUMMYFUNCTION("""COMPUTED_VALUE"""),178.23)</f>
        <v>178.23</v>
      </c>
      <c r="E878" s="2">
        <f>IFERROR(__xludf.DUMMYFUNCTION("""COMPUTED_VALUE"""),179.05)</f>
        <v>179.05</v>
      </c>
      <c r="F878" s="2">
        <f>IFERROR(__xludf.DUMMYFUNCTION("""COMPUTED_VALUE"""),4947825.0)</f>
        <v>4947825</v>
      </c>
    </row>
    <row r="879">
      <c r="A879" s="3">
        <f>IFERROR(__xludf.DUMMYFUNCTION("""COMPUTED_VALUE"""),38719.645833333336)</f>
        <v>38719.64583</v>
      </c>
      <c r="B879" s="2">
        <f>IFERROR(__xludf.DUMMYFUNCTION("""COMPUTED_VALUE"""),179.79)</f>
        <v>179.79</v>
      </c>
      <c r="C879" s="2">
        <f>IFERROR(__xludf.DUMMYFUNCTION("""COMPUTED_VALUE"""),181.61)</f>
        <v>181.61</v>
      </c>
      <c r="D879" s="2">
        <f>IFERROR(__xludf.DUMMYFUNCTION("""COMPUTED_VALUE"""),179.22)</f>
        <v>179.22</v>
      </c>
      <c r="E879" s="2">
        <f>IFERROR(__xludf.DUMMYFUNCTION("""COMPUTED_VALUE"""),180.77)</f>
        <v>180.77</v>
      </c>
      <c r="F879" s="2">
        <f>IFERROR(__xludf.DUMMYFUNCTION("""COMPUTED_VALUE"""),3661821.0)</f>
        <v>3661821</v>
      </c>
    </row>
    <row r="880">
      <c r="A880" s="3">
        <f>IFERROR(__xludf.DUMMYFUNCTION("""COMPUTED_VALUE"""),38720.645833333336)</f>
        <v>38720.64583</v>
      </c>
      <c r="B880" s="2">
        <f>IFERROR(__xludf.DUMMYFUNCTION("""COMPUTED_VALUE"""),181.1)</f>
        <v>181.1</v>
      </c>
      <c r="C880" s="2">
        <f>IFERROR(__xludf.DUMMYFUNCTION("""COMPUTED_VALUE"""),186.01)</f>
        <v>186.01</v>
      </c>
      <c r="D880" s="2">
        <f>IFERROR(__xludf.DUMMYFUNCTION("""COMPUTED_VALUE"""),180.4)</f>
        <v>180.4</v>
      </c>
      <c r="E880" s="2">
        <f>IFERROR(__xludf.DUMMYFUNCTION("""COMPUTED_VALUE"""),185.23)</f>
        <v>185.23</v>
      </c>
      <c r="F880" s="2">
        <f>IFERROR(__xludf.DUMMYFUNCTION("""COMPUTED_VALUE"""),4904724.0)</f>
        <v>4904724</v>
      </c>
    </row>
    <row r="881">
      <c r="A881" s="3">
        <f>IFERROR(__xludf.DUMMYFUNCTION("""COMPUTED_VALUE"""),38721.645833333336)</f>
        <v>38721.64583</v>
      </c>
      <c r="B881" s="2">
        <f>IFERROR(__xludf.DUMMYFUNCTION("""COMPUTED_VALUE"""),185.43)</f>
        <v>185.43</v>
      </c>
      <c r="C881" s="2">
        <f>IFERROR(__xludf.DUMMYFUNCTION("""COMPUTED_VALUE"""),188.45)</f>
        <v>188.45</v>
      </c>
      <c r="D881" s="2">
        <f>IFERROR(__xludf.DUMMYFUNCTION("""COMPUTED_VALUE"""),185.23)</f>
        <v>185.23</v>
      </c>
      <c r="E881" s="2">
        <f>IFERROR(__xludf.DUMMYFUNCTION("""COMPUTED_VALUE"""),187.21)</f>
        <v>187.21</v>
      </c>
      <c r="F881" s="2">
        <f>IFERROR(__xludf.DUMMYFUNCTION("""COMPUTED_VALUE"""),4320968.0)</f>
        <v>4320968</v>
      </c>
    </row>
    <row r="882">
      <c r="A882" s="3">
        <f>IFERROR(__xludf.DUMMYFUNCTION("""COMPUTED_VALUE"""),38722.645833333336)</f>
        <v>38722.64583</v>
      </c>
      <c r="B882" s="2">
        <f>IFERROR(__xludf.DUMMYFUNCTION("""COMPUTED_VALUE"""),187.85)</f>
        <v>187.85</v>
      </c>
      <c r="C882" s="2">
        <f>IFERROR(__xludf.DUMMYFUNCTION("""COMPUTED_VALUE"""),188.45)</f>
        <v>188.45</v>
      </c>
      <c r="D882" s="2">
        <f>IFERROR(__xludf.DUMMYFUNCTION("""COMPUTED_VALUE"""),185.23)</f>
        <v>185.23</v>
      </c>
      <c r="E882" s="2">
        <f>IFERROR(__xludf.DUMMYFUNCTION("""COMPUTED_VALUE"""),185.57)</f>
        <v>185.57</v>
      </c>
      <c r="F882" s="2">
        <f>IFERROR(__xludf.DUMMYFUNCTION("""COMPUTED_VALUE"""),5308620.0)</f>
        <v>5308620</v>
      </c>
    </row>
    <row r="883">
      <c r="A883" s="3">
        <f>IFERROR(__xludf.DUMMYFUNCTION("""COMPUTED_VALUE"""),38723.645833333336)</f>
        <v>38723.64583</v>
      </c>
      <c r="B883" s="2">
        <f>IFERROR(__xludf.DUMMYFUNCTION("""COMPUTED_VALUE"""),185.57)</f>
        <v>185.57</v>
      </c>
      <c r="C883" s="2">
        <f>IFERROR(__xludf.DUMMYFUNCTION("""COMPUTED_VALUE"""),187.54)</f>
        <v>187.54</v>
      </c>
      <c r="D883" s="2">
        <f>IFERROR(__xludf.DUMMYFUNCTION("""COMPUTED_VALUE"""),183.84)</f>
        <v>183.84</v>
      </c>
      <c r="E883" s="2">
        <f>IFERROR(__xludf.DUMMYFUNCTION("""COMPUTED_VALUE"""),185.37)</f>
        <v>185.37</v>
      </c>
      <c r="F883" s="2">
        <f>IFERROR(__xludf.DUMMYFUNCTION("""COMPUTED_VALUE"""),6359000.0)</f>
        <v>6359000</v>
      </c>
    </row>
    <row r="884">
      <c r="A884" s="3">
        <f>IFERROR(__xludf.DUMMYFUNCTION("""COMPUTED_VALUE"""),38726.645833333336)</f>
        <v>38726.64583</v>
      </c>
      <c r="B884" s="2">
        <f>IFERROR(__xludf.DUMMYFUNCTION("""COMPUTED_VALUE"""),185.83)</f>
        <v>185.83</v>
      </c>
      <c r="C884" s="2">
        <f>IFERROR(__xludf.DUMMYFUNCTION("""COMPUTED_VALUE"""),186.34)</f>
        <v>186.34</v>
      </c>
      <c r="D884" s="2">
        <f>IFERROR(__xludf.DUMMYFUNCTION("""COMPUTED_VALUE"""),182.45)</f>
        <v>182.45</v>
      </c>
      <c r="E884" s="2">
        <f>IFERROR(__xludf.DUMMYFUNCTION("""COMPUTED_VALUE"""),183.25)</f>
        <v>183.25</v>
      </c>
      <c r="F884" s="2">
        <f>IFERROR(__xludf.DUMMYFUNCTION("""COMPUTED_VALUE"""),6239710.0)</f>
        <v>6239710</v>
      </c>
    </row>
    <row r="885">
      <c r="A885" s="3">
        <f>IFERROR(__xludf.DUMMYFUNCTION("""COMPUTED_VALUE"""),38727.645833333336)</f>
        <v>38727.64583</v>
      </c>
      <c r="B885" s="2">
        <f>IFERROR(__xludf.DUMMYFUNCTION("""COMPUTED_VALUE"""),183.02)</f>
        <v>183.02</v>
      </c>
      <c r="C885" s="2">
        <f>IFERROR(__xludf.DUMMYFUNCTION("""COMPUTED_VALUE"""),183.22)</f>
        <v>183.22</v>
      </c>
      <c r="D885" s="2">
        <f>IFERROR(__xludf.DUMMYFUNCTION("""COMPUTED_VALUE"""),178.84)</f>
        <v>178.84</v>
      </c>
      <c r="E885" s="2">
        <f>IFERROR(__xludf.DUMMYFUNCTION("""COMPUTED_VALUE"""),180.01)</f>
        <v>180.01</v>
      </c>
      <c r="F885" s="2">
        <f>IFERROR(__xludf.DUMMYFUNCTION("""COMPUTED_VALUE"""),9600147.0)</f>
        <v>9600147</v>
      </c>
    </row>
    <row r="886">
      <c r="A886" s="3">
        <f>IFERROR(__xludf.DUMMYFUNCTION("""COMPUTED_VALUE"""),38729.645833333336)</f>
        <v>38729.64583</v>
      </c>
      <c r="B886" s="2">
        <f>IFERROR(__xludf.DUMMYFUNCTION("""COMPUTED_VALUE"""),173.77)</f>
        <v>173.77</v>
      </c>
      <c r="C886" s="2">
        <f>IFERROR(__xludf.DUMMYFUNCTION("""COMPUTED_VALUE"""),180.6)</f>
        <v>180.6</v>
      </c>
      <c r="D886" s="2">
        <f>IFERROR(__xludf.DUMMYFUNCTION("""COMPUTED_VALUE"""),173.77)</f>
        <v>173.77</v>
      </c>
      <c r="E886" s="2">
        <f>IFERROR(__xludf.DUMMYFUNCTION("""COMPUTED_VALUE"""),178.56)</f>
        <v>178.56</v>
      </c>
      <c r="F886" s="2">
        <f>IFERROR(__xludf.DUMMYFUNCTION("""COMPUTED_VALUE"""),1.967768E7)</f>
        <v>19677680</v>
      </c>
    </row>
    <row r="887">
      <c r="A887" s="3">
        <f>IFERROR(__xludf.DUMMYFUNCTION("""COMPUTED_VALUE"""),38730.645833333336)</f>
        <v>38730.64583</v>
      </c>
      <c r="B887" s="2">
        <f>IFERROR(__xludf.DUMMYFUNCTION("""COMPUTED_VALUE"""),179.18)</f>
        <v>179.18</v>
      </c>
      <c r="C887" s="2">
        <f>IFERROR(__xludf.DUMMYFUNCTION("""COMPUTED_VALUE"""),180.6)</f>
        <v>180.6</v>
      </c>
      <c r="D887" s="2">
        <f>IFERROR(__xludf.DUMMYFUNCTION("""COMPUTED_VALUE"""),177.79)</f>
        <v>177.79</v>
      </c>
      <c r="E887" s="2">
        <f>IFERROR(__xludf.DUMMYFUNCTION("""COMPUTED_VALUE"""),178.21)</f>
        <v>178.21</v>
      </c>
      <c r="F887" s="2">
        <f>IFERROR(__xludf.DUMMYFUNCTION("""COMPUTED_VALUE"""),1.0131698E7)</f>
        <v>10131698</v>
      </c>
    </row>
    <row r="888">
      <c r="A888" s="3">
        <f>IFERROR(__xludf.DUMMYFUNCTION("""COMPUTED_VALUE"""),38733.645833333336)</f>
        <v>38733.64583</v>
      </c>
      <c r="B888" s="2">
        <f>IFERROR(__xludf.DUMMYFUNCTION("""COMPUTED_VALUE"""),178.79)</f>
        <v>178.79</v>
      </c>
      <c r="C888" s="2">
        <f>IFERROR(__xludf.DUMMYFUNCTION("""COMPUTED_VALUE"""),178.79)</f>
        <v>178.79</v>
      </c>
      <c r="D888" s="2">
        <f>IFERROR(__xludf.DUMMYFUNCTION("""COMPUTED_VALUE"""),173.99)</f>
        <v>173.99</v>
      </c>
      <c r="E888" s="2">
        <f>IFERROR(__xludf.DUMMYFUNCTION("""COMPUTED_VALUE"""),175.76)</f>
        <v>175.76</v>
      </c>
      <c r="F888" s="2">
        <f>IFERROR(__xludf.DUMMYFUNCTION("""COMPUTED_VALUE"""),1.5377084E7)</f>
        <v>15377084</v>
      </c>
    </row>
    <row r="889">
      <c r="A889" s="3">
        <f>IFERROR(__xludf.DUMMYFUNCTION("""COMPUTED_VALUE"""),38734.645833333336)</f>
        <v>38734.64583</v>
      </c>
      <c r="B889" s="2">
        <f>IFERROR(__xludf.DUMMYFUNCTION("""COMPUTED_VALUE"""),176.22)</f>
        <v>176.22</v>
      </c>
      <c r="C889" s="2">
        <f>IFERROR(__xludf.DUMMYFUNCTION("""COMPUTED_VALUE"""),188.65)</f>
        <v>188.65</v>
      </c>
      <c r="D889" s="2">
        <f>IFERROR(__xludf.DUMMYFUNCTION("""COMPUTED_VALUE"""),175.58)</f>
        <v>175.58</v>
      </c>
      <c r="E889" s="2">
        <f>IFERROR(__xludf.DUMMYFUNCTION("""COMPUTED_VALUE"""),186.94)</f>
        <v>186.94</v>
      </c>
      <c r="F889" s="2">
        <f>IFERROR(__xludf.DUMMYFUNCTION("""COMPUTED_VALUE"""),4.5149328E7)</f>
        <v>45149328</v>
      </c>
    </row>
    <row r="890">
      <c r="A890" s="3">
        <f>IFERROR(__xludf.DUMMYFUNCTION("""COMPUTED_VALUE"""),38735.645833333336)</f>
        <v>38735.64583</v>
      </c>
      <c r="B890" s="2">
        <f>IFERROR(__xludf.DUMMYFUNCTION("""COMPUTED_VALUE"""),143.66)</f>
        <v>143.66</v>
      </c>
      <c r="C890" s="2">
        <f>IFERROR(__xludf.DUMMYFUNCTION("""COMPUTED_VALUE"""),180.14)</f>
        <v>180.14</v>
      </c>
      <c r="D890" s="2">
        <f>IFERROR(__xludf.DUMMYFUNCTION("""COMPUTED_VALUE"""),143.66)</f>
        <v>143.66</v>
      </c>
      <c r="E890" s="2">
        <f>IFERROR(__xludf.DUMMYFUNCTION("""COMPUTED_VALUE"""),171.79)</f>
        <v>171.79</v>
      </c>
      <c r="F890" s="2">
        <f>IFERROR(__xludf.DUMMYFUNCTION("""COMPUTED_VALUE"""),6.1000244E7)</f>
        <v>61000244</v>
      </c>
    </row>
    <row r="891">
      <c r="A891" s="3">
        <f>IFERROR(__xludf.DUMMYFUNCTION("""COMPUTED_VALUE"""),38736.645833333336)</f>
        <v>38736.64583</v>
      </c>
      <c r="B891" s="2">
        <f>IFERROR(__xludf.DUMMYFUNCTION("""COMPUTED_VALUE"""),173.35)</f>
        <v>173.35</v>
      </c>
      <c r="C891" s="2">
        <f>IFERROR(__xludf.DUMMYFUNCTION("""COMPUTED_VALUE"""),180.69)</f>
        <v>180.69</v>
      </c>
      <c r="D891" s="2">
        <f>IFERROR(__xludf.DUMMYFUNCTION("""COMPUTED_VALUE"""),171.22)</f>
        <v>171.22</v>
      </c>
      <c r="E891" s="2">
        <f>IFERROR(__xludf.DUMMYFUNCTION("""COMPUTED_VALUE"""),174.46)</f>
        <v>174.46</v>
      </c>
      <c r="F891" s="2">
        <f>IFERROR(__xludf.DUMMYFUNCTION("""COMPUTED_VALUE"""),1.017196E7)</f>
        <v>10171960</v>
      </c>
    </row>
    <row r="892">
      <c r="A892" s="3">
        <f>IFERROR(__xludf.DUMMYFUNCTION("""COMPUTED_VALUE"""),38737.645833333336)</f>
        <v>38737.64583</v>
      </c>
      <c r="B892" s="2">
        <f>IFERROR(__xludf.DUMMYFUNCTION("""COMPUTED_VALUE"""),175.08)</f>
        <v>175.08</v>
      </c>
      <c r="C892" s="2">
        <f>IFERROR(__xludf.DUMMYFUNCTION("""COMPUTED_VALUE"""),175.68)</f>
        <v>175.68</v>
      </c>
      <c r="D892" s="2">
        <f>IFERROR(__xludf.DUMMYFUNCTION("""COMPUTED_VALUE"""),173.85)</f>
        <v>173.85</v>
      </c>
      <c r="E892" s="2">
        <f>IFERROR(__xludf.DUMMYFUNCTION("""COMPUTED_VALUE"""),174.39)</f>
        <v>174.39</v>
      </c>
      <c r="F892" s="2">
        <f>IFERROR(__xludf.DUMMYFUNCTION("""COMPUTED_VALUE"""),3859831.0)</f>
        <v>3859831</v>
      </c>
    </row>
    <row r="893">
      <c r="A893" s="3">
        <f>IFERROR(__xludf.DUMMYFUNCTION("""COMPUTED_VALUE"""),38740.645833333336)</f>
        <v>38740.64583</v>
      </c>
      <c r="B893" s="2">
        <f>IFERROR(__xludf.DUMMYFUNCTION("""COMPUTED_VALUE"""),173.85)</f>
        <v>173.85</v>
      </c>
      <c r="C893" s="2">
        <f>IFERROR(__xludf.DUMMYFUNCTION("""COMPUTED_VALUE"""),174.84)</f>
        <v>174.84</v>
      </c>
      <c r="D893" s="2">
        <f>IFERROR(__xludf.DUMMYFUNCTION("""COMPUTED_VALUE"""),171.86)</f>
        <v>171.86</v>
      </c>
      <c r="E893" s="2">
        <f>IFERROR(__xludf.DUMMYFUNCTION("""COMPUTED_VALUE"""),173.93)</f>
        <v>173.93</v>
      </c>
      <c r="F893" s="2">
        <f>IFERROR(__xludf.DUMMYFUNCTION("""COMPUTED_VALUE"""),4174933.0)</f>
        <v>4174933</v>
      </c>
    </row>
    <row r="894">
      <c r="A894" s="3">
        <f>IFERROR(__xludf.DUMMYFUNCTION("""COMPUTED_VALUE"""),38741.645833333336)</f>
        <v>38741.64583</v>
      </c>
      <c r="B894" s="2">
        <f>IFERROR(__xludf.DUMMYFUNCTION("""COMPUTED_VALUE"""),175.83)</f>
        <v>175.83</v>
      </c>
      <c r="C894" s="2">
        <f>IFERROR(__xludf.DUMMYFUNCTION("""COMPUTED_VALUE"""),176.82)</f>
        <v>176.82</v>
      </c>
      <c r="D894" s="2">
        <f>IFERROR(__xludf.DUMMYFUNCTION("""COMPUTED_VALUE"""),170.61)</f>
        <v>170.61</v>
      </c>
      <c r="E894" s="2">
        <f>IFERROR(__xludf.DUMMYFUNCTION("""COMPUTED_VALUE"""),171.73)</f>
        <v>171.73</v>
      </c>
      <c r="F894" s="2">
        <f>IFERROR(__xludf.DUMMYFUNCTION("""COMPUTED_VALUE"""),1.1312904E7)</f>
        <v>11312904</v>
      </c>
    </row>
    <row r="895">
      <c r="A895" s="3">
        <f>IFERROR(__xludf.DUMMYFUNCTION("""COMPUTED_VALUE"""),38742.645833333336)</f>
        <v>38742.64583</v>
      </c>
      <c r="B895" s="2">
        <f>IFERROR(__xludf.DUMMYFUNCTION("""COMPUTED_VALUE"""),172.36)</f>
        <v>172.36</v>
      </c>
      <c r="C895" s="2">
        <f>IFERROR(__xludf.DUMMYFUNCTION("""COMPUTED_VALUE"""),173.3)</f>
        <v>173.3</v>
      </c>
      <c r="D895" s="2">
        <f>IFERROR(__xludf.DUMMYFUNCTION("""COMPUTED_VALUE"""),169.64)</f>
        <v>169.64</v>
      </c>
      <c r="E895" s="2">
        <f>IFERROR(__xludf.DUMMYFUNCTION("""COMPUTED_VALUE"""),170.48)</f>
        <v>170.48</v>
      </c>
      <c r="F895" s="2">
        <f>IFERROR(__xludf.DUMMYFUNCTION("""COMPUTED_VALUE"""),1.3377596E7)</f>
        <v>13377596</v>
      </c>
    </row>
    <row r="896">
      <c r="A896" s="3">
        <f>IFERROR(__xludf.DUMMYFUNCTION("""COMPUTED_VALUE"""),38744.645833333336)</f>
        <v>38744.64583</v>
      </c>
      <c r="B896" s="2">
        <f>IFERROR(__xludf.DUMMYFUNCTION("""COMPUTED_VALUE"""),172.09)</f>
        <v>172.09</v>
      </c>
      <c r="C896" s="2">
        <f>IFERROR(__xludf.DUMMYFUNCTION("""COMPUTED_VALUE"""),174.14)</f>
        <v>174.14</v>
      </c>
      <c r="D896" s="2">
        <f>IFERROR(__xludf.DUMMYFUNCTION("""COMPUTED_VALUE"""),172.06)</f>
        <v>172.06</v>
      </c>
      <c r="E896" s="2">
        <f>IFERROR(__xludf.DUMMYFUNCTION("""COMPUTED_VALUE"""),173.02)</f>
        <v>173.02</v>
      </c>
      <c r="F896" s="2">
        <f>IFERROR(__xludf.DUMMYFUNCTION("""COMPUTED_VALUE"""),6279370.0)</f>
        <v>6279370</v>
      </c>
    </row>
    <row r="897">
      <c r="A897" s="3">
        <f>IFERROR(__xludf.DUMMYFUNCTION("""COMPUTED_VALUE"""),38747.645833333336)</f>
        <v>38747.64583</v>
      </c>
      <c r="B897" s="2">
        <f>IFERROR(__xludf.DUMMYFUNCTION("""COMPUTED_VALUE"""),173.35)</f>
        <v>173.35</v>
      </c>
      <c r="C897" s="2">
        <f>IFERROR(__xludf.DUMMYFUNCTION("""COMPUTED_VALUE"""),177.86)</f>
        <v>177.86</v>
      </c>
      <c r="D897" s="2">
        <f>IFERROR(__xludf.DUMMYFUNCTION("""COMPUTED_VALUE"""),173.35)</f>
        <v>173.35</v>
      </c>
      <c r="E897" s="2">
        <f>IFERROR(__xludf.DUMMYFUNCTION("""COMPUTED_VALUE"""),176.09)</f>
        <v>176.09</v>
      </c>
      <c r="F897" s="2">
        <f>IFERROR(__xludf.DUMMYFUNCTION("""COMPUTED_VALUE"""),7256981.0)</f>
        <v>7256981</v>
      </c>
    </row>
    <row r="898">
      <c r="A898" s="3">
        <f>IFERROR(__xludf.DUMMYFUNCTION("""COMPUTED_VALUE"""),38748.645833333336)</f>
        <v>38748.64583</v>
      </c>
      <c r="B898" s="2">
        <f>IFERROR(__xludf.DUMMYFUNCTION("""COMPUTED_VALUE"""),175.43)</f>
        <v>175.43</v>
      </c>
      <c r="C898" s="2">
        <f>IFERROR(__xludf.DUMMYFUNCTION("""COMPUTED_VALUE"""),178.25)</f>
        <v>178.25</v>
      </c>
      <c r="D898" s="2">
        <f>IFERROR(__xludf.DUMMYFUNCTION("""COMPUTED_VALUE"""),175.43)</f>
        <v>175.43</v>
      </c>
      <c r="E898" s="2">
        <f>IFERROR(__xludf.DUMMYFUNCTION("""COMPUTED_VALUE"""),176.79)</f>
        <v>176.79</v>
      </c>
      <c r="F898" s="2">
        <f>IFERROR(__xludf.DUMMYFUNCTION("""COMPUTED_VALUE"""),6209049.0)</f>
        <v>6209049</v>
      </c>
    </row>
    <row r="899">
      <c r="A899" s="3">
        <f>IFERROR(__xludf.DUMMYFUNCTION("""COMPUTED_VALUE"""),38749.645833333336)</f>
        <v>38749.64583</v>
      </c>
      <c r="B899" s="2">
        <f>IFERROR(__xludf.DUMMYFUNCTION("""COMPUTED_VALUE"""),176.97)</f>
        <v>176.97</v>
      </c>
      <c r="C899" s="2">
        <f>IFERROR(__xludf.DUMMYFUNCTION("""COMPUTED_VALUE"""),178.01)</f>
        <v>178.01</v>
      </c>
      <c r="D899" s="2">
        <f>IFERROR(__xludf.DUMMYFUNCTION("""COMPUTED_VALUE"""),173.6)</f>
        <v>173.6</v>
      </c>
      <c r="E899" s="2">
        <f>IFERROR(__xludf.DUMMYFUNCTION("""COMPUTED_VALUE"""),174.54)</f>
        <v>174.54</v>
      </c>
      <c r="F899" s="2">
        <f>IFERROR(__xludf.DUMMYFUNCTION("""COMPUTED_VALUE"""),4938137.0)</f>
        <v>4938137</v>
      </c>
    </row>
    <row r="900">
      <c r="A900" s="3">
        <f>IFERROR(__xludf.DUMMYFUNCTION("""COMPUTED_VALUE"""),38750.645833333336)</f>
        <v>38750.64583</v>
      </c>
      <c r="B900" s="2">
        <f>IFERROR(__xludf.DUMMYFUNCTION("""COMPUTED_VALUE"""),175.8)</f>
        <v>175.8</v>
      </c>
      <c r="C900" s="2">
        <f>IFERROR(__xludf.DUMMYFUNCTION("""COMPUTED_VALUE"""),177.29)</f>
        <v>177.29</v>
      </c>
      <c r="D900" s="2">
        <f>IFERROR(__xludf.DUMMYFUNCTION("""COMPUTED_VALUE"""),173.6)</f>
        <v>173.6</v>
      </c>
      <c r="E900" s="2">
        <f>IFERROR(__xludf.DUMMYFUNCTION("""COMPUTED_VALUE"""),175.49)</f>
        <v>175.49</v>
      </c>
      <c r="F900" s="2">
        <f>IFERROR(__xludf.DUMMYFUNCTION("""COMPUTED_VALUE"""),5022425.0)</f>
        <v>5022425</v>
      </c>
    </row>
    <row r="901">
      <c r="A901" s="3">
        <f>IFERROR(__xludf.DUMMYFUNCTION("""COMPUTED_VALUE"""),38751.645833333336)</f>
        <v>38751.64583</v>
      </c>
      <c r="B901" s="2">
        <f>IFERROR(__xludf.DUMMYFUNCTION("""COMPUTED_VALUE"""),175.08)</f>
        <v>175.08</v>
      </c>
      <c r="C901" s="2">
        <f>IFERROR(__xludf.DUMMYFUNCTION("""COMPUTED_VALUE"""),175.08)</f>
        <v>175.08</v>
      </c>
      <c r="D901" s="2">
        <f>IFERROR(__xludf.DUMMYFUNCTION("""COMPUTED_VALUE"""),172.11)</f>
        <v>172.11</v>
      </c>
      <c r="E901" s="2">
        <f>IFERROR(__xludf.DUMMYFUNCTION("""COMPUTED_VALUE"""),172.51)</f>
        <v>172.51</v>
      </c>
      <c r="F901" s="2">
        <f>IFERROR(__xludf.DUMMYFUNCTION("""COMPUTED_VALUE"""),3429300.0)</f>
        <v>3429300</v>
      </c>
    </row>
    <row r="902">
      <c r="A902" s="3">
        <f>IFERROR(__xludf.DUMMYFUNCTION("""COMPUTED_VALUE"""),38754.645833333336)</f>
        <v>38754.64583</v>
      </c>
      <c r="B902" s="2">
        <f>IFERROR(__xludf.DUMMYFUNCTION("""COMPUTED_VALUE"""),172.11)</f>
        <v>172.11</v>
      </c>
      <c r="C902" s="2">
        <f>IFERROR(__xludf.DUMMYFUNCTION("""COMPUTED_VALUE"""),178.98)</f>
        <v>178.98</v>
      </c>
      <c r="D902" s="2">
        <f>IFERROR(__xludf.DUMMYFUNCTION("""COMPUTED_VALUE"""),169.26)</f>
        <v>169.26</v>
      </c>
      <c r="E902" s="2">
        <f>IFERROR(__xludf.DUMMYFUNCTION("""COMPUTED_VALUE"""),178.39)</f>
        <v>178.39</v>
      </c>
      <c r="F902" s="2">
        <f>IFERROR(__xludf.DUMMYFUNCTION("""COMPUTED_VALUE"""),9525852.0)</f>
        <v>9525852</v>
      </c>
    </row>
    <row r="903">
      <c r="A903" s="3">
        <f>IFERROR(__xludf.DUMMYFUNCTION("""COMPUTED_VALUE"""),38755.645833333336)</f>
        <v>38755.64583</v>
      </c>
      <c r="B903" s="2">
        <f>IFERROR(__xludf.DUMMYFUNCTION("""COMPUTED_VALUE"""),178.44)</f>
        <v>178.44</v>
      </c>
      <c r="C903" s="2">
        <f>IFERROR(__xludf.DUMMYFUNCTION("""COMPUTED_VALUE"""),179.17)</f>
        <v>179.17</v>
      </c>
      <c r="D903" s="2">
        <f>IFERROR(__xludf.DUMMYFUNCTION("""COMPUTED_VALUE"""),174.96)</f>
        <v>174.96</v>
      </c>
      <c r="E903" s="2">
        <f>IFERROR(__xludf.DUMMYFUNCTION("""COMPUTED_VALUE"""),178.44)</f>
        <v>178.44</v>
      </c>
      <c r="F903" s="2">
        <f>IFERROR(__xludf.DUMMYFUNCTION("""COMPUTED_VALUE"""),6801747.0)</f>
        <v>6801747</v>
      </c>
    </row>
    <row r="904">
      <c r="A904" s="3">
        <f>IFERROR(__xludf.DUMMYFUNCTION("""COMPUTED_VALUE"""),38756.645833333336)</f>
        <v>38756.64583</v>
      </c>
      <c r="B904" s="2">
        <f>IFERROR(__xludf.DUMMYFUNCTION("""COMPUTED_VALUE"""),178.29)</f>
        <v>178.29</v>
      </c>
      <c r="C904" s="2">
        <f>IFERROR(__xludf.DUMMYFUNCTION("""COMPUTED_VALUE"""),178.8)</f>
        <v>178.8</v>
      </c>
      <c r="D904" s="2">
        <f>IFERROR(__xludf.DUMMYFUNCTION("""COMPUTED_VALUE"""),176.82)</f>
        <v>176.82</v>
      </c>
      <c r="E904" s="2">
        <f>IFERROR(__xludf.DUMMYFUNCTION("""COMPUTED_VALUE"""),177.44)</f>
        <v>177.44</v>
      </c>
      <c r="F904" s="2">
        <f>IFERROR(__xludf.DUMMYFUNCTION("""COMPUTED_VALUE"""),6750630.0)</f>
        <v>6750630</v>
      </c>
    </row>
    <row r="905">
      <c r="A905" s="3">
        <f>IFERROR(__xludf.DUMMYFUNCTION("""COMPUTED_VALUE"""),38758.645833333336)</f>
        <v>38758.64583</v>
      </c>
      <c r="B905" s="2">
        <f>IFERROR(__xludf.DUMMYFUNCTION("""COMPUTED_VALUE"""),177.07)</f>
        <v>177.07</v>
      </c>
      <c r="C905" s="2">
        <f>IFERROR(__xludf.DUMMYFUNCTION("""COMPUTED_VALUE"""),179.18)</f>
        <v>179.18</v>
      </c>
      <c r="D905" s="2">
        <f>IFERROR(__xludf.DUMMYFUNCTION("""COMPUTED_VALUE"""),177.07)</f>
        <v>177.07</v>
      </c>
      <c r="E905" s="2">
        <f>IFERROR(__xludf.DUMMYFUNCTION("""COMPUTED_VALUE"""),178.2)</f>
        <v>178.2</v>
      </c>
      <c r="F905" s="2">
        <f>IFERROR(__xludf.DUMMYFUNCTION("""COMPUTED_VALUE"""),5166270.0)</f>
        <v>5166270</v>
      </c>
    </row>
    <row r="906">
      <c r="A906" s="3">
        <f>IFERROR(__xludf.DUMMYFUNCTION("""COMPUTED_VALUE"""),38761.645833333336)</f>
        <v>38761.64583</v>
      </c>
      <c r="B906" s="2">
        <f>IFERROR(__xludf.DUMMYFUNCTION("""COMPUTED_VALUE"""),177.07)</f>
        <v>177.07</v>
      </c>
      <c r="C906" s="2">
        <f>IFERROR(__xludf.DUMMYFUNCTION("""COMPUTED_VALUE"""),178.55)</f>
        <v>178.55</v>
      </c>
      <c r="D906" s="2">
        <f>IFERROR(__xludf.DUMMYFUNCTION("""COMPUTED_VALUE"""),177.07)</f>
        <v>177.07</v>
      </c>
      <c r="E906" s="2">
        <f>IFERROR(__xludf.DUMMYFUNCTION("""COMPUTED_VALUE"""),177.51)</f>
        <v>177.51</v>
      </c>
      <c r="F906" s="2">
        <f>IFERROR(__xludf.DUMMYFUNCTION("""COMPUTED_VALUE"""),3170840.0)</f>
        <v>3170840</v>
      </c>
    </row>
    <row r="907">
      <c r="A907" s="3">
        <f>IFERROR(__xludf.DUMMYFUNCTION("""COMPUTED_VALUE"""),38762.645833333336)</f>
        <v>38762.64583</v>
      </c>
      <c r="B907" s="2">
        <f>IFERROR(__xludf.DUMMYFUNCTION("""COMPUTED_VALUE"""),177.07)</f>
        <v>177.07</v>
      </c>
      <c r="C907" s="2">
        <f>IFERROR(__xludf.DUMMYFUNCTION("""COMPUTED_VALUE"""),179.38)</f>
        <v>179.38</v>
      </c>
      <c r="D907" s="2">
        <f>IFERROR(__xludf.DUMMYFUNCTION("""COMPUTED_VALUE"""),176.35)</f>
        <v>176.35</v>
      </c>
      <c r="E907" s="2">
        <f>IFERROR(__xludf.DUMMYFUNCTION("""COMPUTED_VALUE"""),176.87)</f>
        <v>176.87</v>
      </c>
      <c r="F907" s="2">
        <f>IFERROR(__xludf.DUMMYFUNCTION("""COMPUTED_VALUE"""),6607308.0)</f>
        <v>6607308</v>
      </c>
    </row>
    <row r="908">
      <c r="A908" s="3">
        <f>IFERROR(__xludf.DUMMYFUNCTION("""COMPUTED_VALUE"""),38763.645833333336)</f>
        <v>38763.64583</v>
      </c>
      <c r="B908" s="2">
        <f>IFERROR(__xludf.DUMMYFUNCTION("""COMPUTED_VALUE"""),176.35)</f>
        <v>176.35</v>
      </c>
      <c r="C908" s="2">
        <f>IFERROR(__xludf.DUMMYFUNCTION("""COMPUTED_VALUE"""),178.03)</f>
        <v>178.03</v>
      </c>
      <c r="D908" s="2">
        <f>IFERROR(__xludf.DUMMYFUNCTION("""COMPUTED_VALUE"""),172.48)</f>
        <v>172.48</v>
      </c>
      <c r="E908" s="2">
        <f>IFERROR(__xludf.DUMMYFUNCTION("""COMPUTED_VALUE"""),173.8)</f>
        <v>173.8</v>
      </c>
      <c r="F908" s="2">
        <f>IFERROR(__xludf.DUMMYFUNCTION("""COMPUTED_VALUE"""),7659167.0)</f>
        <v>7659167</v>
      </c>
    </row>
    <row r="909">
      <c r="A909" s="3">
        <f>IFERROR(__xludf.DUMMYFUNCTION("""COMPUTED_VALUE"""),38764.645833333336)</f>
        <v>38764.64583</v>
      </c>
      <c r="B909" s="2">
        <f>IFERROR(__xludf.DUMMYFUNCTION("""COMPUTED_VALUE"""),173.8)</f>
        <v>173.8</v>
      </c>
      <c r="C909" s="2">
        <f>IFERROR(__xludf.DUMMYFUNCTION("""COMPUTED_VALUE"""),175.68)</f>
        <v>175.68</v>
      </c>
      <c r="D909" s="2">
        <f>IFERROR(__xludf.DUMMYFUNCTION("""COMPUTED_VALUE"""),171.88)</f>
        <v>171.88</v>
      </c>
      <c r="E909" s="2">
        <f>IFERROR(__xludf.DUMMYFUNCTION("""COMPUTED_VALUE"""),172.62)</f>
        <v>172.62</v>
      </c>
      <c r="F909" s="2">
        <f>IFERROR(__xludf.DUMMYFUNCTION("""COMPUTED_VALUE"""),4058936.0)</f>
        <v>4058936</v>
      </c>
    </row>
    <row r="910">
      <c r="A910" s="3">
        <f>IFERROR(__xludf.DUMMYFUNCTION("""COMPUTED_VALUE"""),38765.645833333336)</f>
        <v>38765.64583</v>
      </c>
      <c r="B910" s="2">
        <f>IFERROR(__xludf.DUMMYFUNCTION("""COMPUTED_VALUE"""),174.09)</f>
        <v>174.09</v>
      </c>
      <c r="C910" s="2">
        <f>IFERROR(__xludf.DUMMYFUNCTION("""COMPUTED_VALUE"""),175.21)</f>
        <v>175.21</v>
      </c>
      <c r="D910" s="2">
        <f>IFERROR(__xludf.DUMMYFUNCTION("""COMPUTED_VALUE"""),170.87)</f>
        <v>170.87</v>
      </c>
      <c r="E910" s="2">
        <f>IFERROR(__xludf.DUMMYFUNCTION("""COMPUTED_VALUE"""),171.65)</f>
        <v>171.65</v>
      </c>
      <c r="F910" s="2">
        <f>IFERROR(__xludf.DUMMYFUNCTION("""COMPUTED_VALUE"""),4632076.0)</f>
        <v>4632076</v>
      </c>
    </row>
    <row r="911">
      <c r="A911" s="3">
        <f>IFERROR(__xludf.DUMMYFUNCTION("""COMPUTED_VALUE"""),38768.645833333336)</f>
        <v>38768.64583</v>
      </c>
      <c r="B911" s="2">
        <f>IFERROR(__xludf.DUMMYFUNCTION("""COMPUTED_VALUE"""),171.86)</f>
        <v>171.86</v>
      </c>
      <c r="C911" s="2">
        <f>IFERROR(__xludf.DUMMYFUNCTION("""COMPUTED_VALUE"""),174.2)</f>
        <v>174.2</v>
      </c>
      <c r="D911" s="2">
        <f>IFERROR(__xludf.DUMMYFUNCTION("""COMPUTED_VALUE"""),170.63)</f>
        <v>170.63</v>
      </c>
      <c r="E911" s="2">
        <f>IFERROR(__xludf.DUMMYFUNCTION("""COMPUTED_VALUE"""),173.86)</f>
        <v>173.86</v>
      </c>
      <c r="F911" s="2">
        <f>IFERROR(__xludf.DUMMYFUNCTION("""COMPUTED_VALUE"""),3226110.0)</f>
        <v>3226110</v>
      </c>
    </row>
    <row r="912">
      <c r="A912" s="3">
        <f>IFERROR(__xludf.DUMMYFUNCTION("""COMPUTED_VALUE"""),38769.645833333336)</f>
        <v>38769.64583</v>
      </c>
      <c r="B912" s="2">
        <f>IFERROR(__xludf.DUMMYFUNCTION("""COMPUTED_VALUE"""),173.86)</f>
        <v>173.86</v>
      </c>
      <c r="C912" s="2">
        <f>IFERROR(__xludf.DUMMYFUNCTION("""COMPUTED_VALUE"""),174.84)</f>
        <v>174.84</v>
      </c>
      <c r="D912" s="2">
        <f>IFERROR(__xludf.DUMMYFUNCTION("""COMPUTED_VALUE"""),171.94)</f>
        <v>171.94</v>
      </c>
      <c r="E912" s="2">
        <f>IFERROR(__xludf.DUMMYFUNCTION("""COMPUTED_VALUE"""),172.79)</f>
        <v>172.79</v>
      </c>
      <c r="F912" s="2">
        <f>IFERROR(__xludf.DUMMYFUNCTION("""COMPUTED_VALUE"""),3360389.0)</f>
        <v>3360389</v>
      </c>
    </row>
    <row r="913">
      <c r="A913" s="3">
        <f>IFERROR(__xludf.DUMMYFUNCTION("""COMPUTED_VALUE"""),38770.645833333336)</f>
        <v>38770.64583</v>
      </c>
      <c r="B913" s="2">
        <f>IFERROR(__xludf.DUMMYFUNCTION("""COMPUTED_VALUE"""),173.16)</f>
        <v>173.16</v>
      </c>
      <c r="C913" s="2">
        <f>IFERROR(__xludf.DUMMYFUNCTION("""COMPUTED_VALUE"""),174.71)</f>
        <v>174.71</v>
      </c>
      <c r="D913" s="2">
        <f>IFERROR(__xludf.DUMMYFUNCTION("""COMPUTED_VALUE"""),172.86)</f>
        <v>172.86</v>
      </c>
      <c r="E913" s="2">
        <f>IFERROR(__xludf.DUMMYFUNCTION("""COMPUTED_VALUE"""),174.33)</f>
        <v>174.33</v>
      </c>
      <c r="F913" s="2">
        <f>IFERROR(__xludf.DUMMYFUNCTION("""COMPUTED_VALUE"""),2935983.0)</f>
        <v>2935983</v>
      </c>
    </row>
    <row r="914">
      <c r="A914" s="3">
        <f>IFERROR(__xludf.DUMMYFUNCTION("""COMPUTED_VALUE"""),38771.645833333336)</f>
        <v>38771.64583</v>
      </c>
      <c r="B914" s="2">
        <f>IFERROR(__xludf.DUMMYFUNCTION("""COMPUTED_VALUE"""),174.59)</f>
        <v>174.59</v>
      </c>
      <c r="C914" s="2">
        <f>IFERROR(__xludf.DUMMYFUNCTION("""COMPUTED_VALUE"""),175.05)</f>
        <v>175.05</v>
      </c>
      <c r="D914" s="2">
        <f>IFERROR(__xludf.DUMMYFUNCTION("""COMPUTED_VALUE"""),172.12)</f>
        <v>172.12</v>
      </c>
      <c r="E914" s="2">
        <f>IFERROR(__xludf.DUMMYFUNCTION("""COMPUTED_VALUE"""),173.44)</f>
        <v>173.44</v>
      </c>
      <c r="F914" s="2">
        <f>IFERROR(__xludf.DUMMYFUNCTION("""COMPUTED_VALUE"""),6211541.0)</f>
        <v>6211541</v>
      </c>
    </row>
    <row r="915">
      <c r="A915" s="3">
        <f>IFERROR(__xludf.DUMMYFUNCTION("""COMPUTED_VALUE"""),38772.645833333336)</f>
        <v>38772.64583</v>
      </c>
      <c r="B915" s="2">
        <f>IFERROR(__xludf.DUMMYFUNCTION("""COMPUTED_VALUE"""),173.85)</f>
        <v>173.85</v>
      </c>
      <c r="C915" s="2">
        <f>IFERROR(__xludf.DUMMYFUNCTION("""COMPUTED_VALUE"""),175.18)</f>
        <v>175.18</v>
      </c>
      <c r="D915" s="2">
        <f>IFERROR(__xludf.DUMMYFUNCTION("""COMPUTED_VALUE"""),173.1)</f>
        <v>173.1</v>
      </c>
      <c r="E915" s="2">
        <f>IFERROR(__xludf.DUMMYFUNCTION("""COMPUTED_VALUE"""),174.06)</f>
        <v>174.06</v>
      </c>
      <c r="F915" s="2">
        <f>IFERROR(__xludf.DUMMYFUNCTION("""COMPUTED_VALUE"""),2401313.0)</f>
        <v>2401313</v>
      </c>
    </row>
    <row r="916">
      <c r="A916" s="3">
        <f>IFERROR(__xludf.DUMMYFUNCTION("""COMPUTED_VALUE"""),38775.645833333336)</f>
        <v>38775.64583</v>
      </c>
      <c r="B916" s="2">
        <f>IFERROR(__xludf.DUMMYFUNCTION("""COMPUTED_VALUE"""),174.09)</f>
        <v>174.09</v>
      </c>
      <c r="C916" s="2">
        <f>IFERROR(__xludf.DUMMYFUNCTION("""COMPUTED_VALUE"""),174.8)</f>
        <v>174.8</v>
      </c>
      <c r="D916" s="2">
        <f>IFERROR(__xludf.DUMMYFUNCTION("""COMPUTED_VALUE"""),172.61)</f>
        <v>172.61</v>
      </c>
      <c r="E916" s="2">
        <f>IFERROR(__xludf.DUMMYFUNCTION("""COMPUTED_VALUE"""),173.38)</f>
        <v>173.38</v>
      </c>
      <c r="F916" s="2">
        <f>IFERROR(__xludf.DUMMYFUNCTION("""COMPUTED_VALUE"""),5398936.0)</f>
        <v>5398936</v>
      </c>
    </row>
    <row r="917">
      <c r="A917" s="3">
        <f>IFERROR(__xludf.DUMMYFUNCTION("""COMPUTED_VALUE"""),38776.645833333336)</f>
        <v>38776.64583</v>
      </c>
      <c r="B917" s="2">
        <f>IFERROR(__xludf.DUMMYFUNCTION("""COMPUTED_VALUE"""),174.28)</f>
        <v>174.28</v>
      </c>
      <c r="C917" s="2">
        <f>IFERROR(__xludf.DUMMYFUNCTION("""COMPUTED_VALUE"""),177.04)</f>
        <v>177.04</v>
      </c>
      <c r="D917" s="2">
        <f>IFERROR(__xludf.DUMMYFUNCTION("""COMPUTED_VALUE"""),172.19)</f>
        <v>172.19</v>
      </c>
      <c r="E917" s="2">
        <f>IFERROR(__xludf.DUMMYFUNCTION("""COMPUTED_VALUE"""),175.54)</f>
        <v>175.54</v>
      </c>
      <c r="F917" s="2">
        <f>IFERROR(__xludf.DUMMYFUNCTION("""COMPUTED_VALUE"""),7720791.0)</f>
        <v>7720791</v>
      </c>
    </row>
    <row r="918">
      <c r="A918" s="3">
        <f>IFERROR(__xludf.DUMMYFUNCTION("""COMPUTED_VALUE"""),38777.645833333336)</f>
        <v>38777.64583</v>
      </c>
      <c r="B918" s="2">
        <f>IFERROR(__xludf.DUMMYFUNCTION("""COMPUTED_VALUE"""),175.33)</f>
        <v>175.33</v>
      </c>
      <c r="C918" s="2">
        <f>IFERROR(__xludf.DUMMYFUNCTION("""COMPUTED_VALUE"""),176.79)</f>
        <v>176.79</v>
      </c>
      <c r="D918" s="2">
        <f>IFERROR(__xludf.DUMMYFUNCTION("""COMPUTED_VALUE"""),173.87)</f>
        <v>173.87</v>
      </c>
      <c r="E918" s="2">
        <f>IFERROR(__xludf.DUMMYFUNCTION("""COMPUTED_VALUE"""),175.39)</f>
        <v>175.39</v>
      </c>
      <c r="F918" s="2">
        <f>IFERROR(__xludf.DUMMYFUNCTION("""COMPUTED_VALUE"""),4523549.0)</f>
        <v>4523549</v>
      </c>
    </row>
    <row r="919">
      <c r="A919" s="3">
        <f>IFERROR(__xludf.DUMMYFUNCTION("""COMPUTED_VALUE"""),38778.645833333336)</f>
        <v>38778.64583</v>
      </c>
      <c r="B919" s="2">
        <f>IFERROR(__xludf.DUMMYFUNCTION("""COMPUTED_VALUE"""),175.83)</f>
        <v>175.83</v>
      </c>
      <c r="C919" s="2">
        <f>IFERROR(__xludf.DUMMYFUNCTION("""COMPUTED_VALUE"""),178.06)</f>
        <v>178.06</v>
      </c>
      <c r="D919" s="2">
        <f>IFERROR(__xludf.DUMMYFUNCTION("""COMPUTED_VALUE"""),175.08)</f>
        <v>175.08</v>
      </c>
      <c r="E919" s="2">
        <f>IFERROR(__xludf.DUMMYFUNCTION("""COMPUTED_VALUE"""),176.61)</f>
        <v>176.61</v>
      </c>
      <c r="F919" s="2">
        <f>IFERROR(__xludf.DUMMYFUNCTION("""COMPUTED_VALUE"""),3821962.0)</f>
        <v>3821962</v>
      </c>
    </row>
    <row r="920">
      <c r="A920" s="3">
        <f>IFERROR(__xludf.DUMMYFUNCTION("""COMPUTED_VALUE"""),38779.645833333336)</f>
        <v>38779.64583</v>
      </c>
      <c r="B920" s="2">
        <f>IFERROR(__xludf.DUMMYFUNCTION("""COMPUTED_VALUE"""),177.07)</f>
        <v>177.07</v>
      </c>
      <c r="C920" s="2">
        <f>IFERROR(__xludf.DUMMYFUNCTION("""COMPUTED_VALUE"""),177.81)</f>
        <v>177.81</v>
      </c>
      <c r="D920" s="2">
        <f>IFERROR(__xludf.DUMMYFUNCTION("""COMPUTED_VALUE"""),175.39)</f>
        <v>175.39</v>
      </c>
      <c r="E920" s="2">
        <f>IFERROR(__xludf.DUMMYFUNCTION("""COMPUTED_VALUE"""),177.25)</f>
        <v>177.25</v>
      </c>
      <c r="F920" s="2">
        <f>IFERROR(__xludf.DUMMYFUNCTION("""COMPUTED_VALUE"""),4185425.0)</f>
        <v>4185425</v>
      </c>
    </row>
    <row r="921">
      <c r="A921" s="3">
        <f>IFERROR(__xludf.DUMMYFUNCTION("""COMPUTED_VALUE"""),38782.645833333336)</f>
        <v>38782.64583</v>
      </c>
      <c r="B921" s="2">
        <f>IFERROR(__xludf.DUMMYFUNCTION("""COMPUTED_VALUE"""),177.56)</f>
        <v>177.56</v>
      </c>
      <c r="C921" s="2">
        <f>IFERROR(__xludf.DUMMYFUNCTION("""COMPUTED_VALUE"""),181.75)</f>
        <v>181.75</v>
      </c>
      <c r="D921" s="2">
        <f>IFERROR(__xludf.DUMMYFUNCTION("""COMPUTED_VALUE"""),177.56)</f>
        <v>177.56</v>
      </c>
      <c r="E921" s="2">
        <f>IFERROR(__xludf.DUMMYFUNCTION("""COMPUTED_VALUE"""),181.32)</f>
        <v>181.32</v>
      </c>
      <c r="F921" s="2">
        <f>IFERROR(__xludf.DUMMYFUNCTION("""COMPUTED_VALUE"""),6130529.0)</f>
        <v>6130529</v>
      </c>
    </row>
    <row r="922">
      <c r="A922" s="3">
        <f>IFERROR(__xludf.DUMMYFUNCTION("""COMPUTED_VALUE"""),38783.645833333336)</f>
        <v>38783.64583</v>
      </c>
      <c r="B922" s="2">
        <f>IFERROR(__xludf.DUMMYFUNCTION("""COMPUTED_VALUE"""),181.6)</f>
        <v>181.6</v>
      </c>
      <c r="C922" s="2">
        <f>IFERROR(__xludf.DUMMYFUNCTION("""COMPUTED_VALUE"""),183.26)</f>
        <v>183.26</v>
      </c>
      <c r="D922" s="2">
        <f>IFERROR(__xludf.DUMMYFUNCTION("""COMPUTED_VALUE"""),180.53)</f>
        <v>180.53</v>
      </c>
      <c r="E922" s="2">
        <f>IFERROR(__xludf.DUMMYFUNCTION("""COMPUTED_VALUE"""),181.4)</f>
        <v>181.4</v>
      </c>
      <c r="F922" s="2">
        <f>IFERROR(__xludf.DUMMYFUNCTION("""COMPUTED_VALUE"""),5395169.0)</f>
        <v>5395169</v>
      </c>
    </row>
    <row r="923">
      <c r="A923" s="3">
        <f>IFERROR(__xludf.DUMMYFUNCTION("""COMPUTED_VALUE"""),38784.645833333336)</f>
        <v>38784.64583</v>
      </c>
      <c r="B923" s="2">
        <f>IFERROR(__xludf.DUMMYFUNCTION("""COMPUTED_VALUE"""),181.52)</f>
        <v>181.52</v>
      </c>
      <c r="C923" s="2">
        <f>IFERROR(__xludf.DUMMYFUNCTION("""COMPUTED_VALUE"""),181.52)</f>
        <v>181.52</v>
      </c>
      <c r="D923" s="2">
        <f>IFERROR(__xludf.DUMMYFUNCTION("""COMPUTED_VALUE"""),176.24)</f>
        <v>176.24</v>
      </c>
      <c r="E923" s="2">
        <f>IFERROR(__xludf.DUMMYFUNCTION("""COMPUTED_VALUE"""),178.28)</f>
        <v>178.28</v>
      </c>
      <c r="F923" s="2">
        <f>IFERROR(__xludf.DUMMYFUNCTION("""COMPUTED_VALUE"""),7028288.0)</f>
        <v>7028288</v>
      </c>
    </row>
    <row r="924">
      <c r="A924" s="3">
        <f>IFERROR(__xludf.DUMMYFUNCTION("""COMPUTED_VALUE"""),38785.645833333336)</f>
        <v>38785.64583</v>
      </c>
      <c r="B924" s="2">
        <f>IFERROR(__xludf.DUMMYFUNCTION("""COMPUTED_VALUE"""),179.29)</f>
        <v>179.29</v>
      </c>
      <c r="C924" s="2">
        <f>IFERROR(__xludf.DUMMYFUNCTION("""COMPUTED_VALUE"""),180.46)</f>
        <v>180.46</v>
      </c>
      <c r="D924" s="2">
        <f>IFERROR(__xludf.DUMMYFUNCTION("""COMPUTED_VALUE"""),176.2)</f>
        <v>176.2</v>
      </c>
      <c r="E924" s="2">
        <f>IFERROR(__xludf.DUMMYFUNCTION("""COMPUTED_VALUE"""),179.97)</f>
        <v>179.97</v>
      </c>
      <c r="F924" s="2">
        <f>IFERROR(__xludf.DUMMYFUNCTION("""COMPUTED_VALUE"""),4618646.0)</f>
        <v>4618646</v>
      </c>
    </row>
    <row r="925">
      <c r="A925" s="3">
        <f>IFERROR(__xludf.DUMMYFUNCTION("""COMPUTED_VALUE"""),38786.645833333336)</f>
        <v>38786.64583</v>
      </c>
      <c r="B925" s="2">
        <f>IFERROR(__xludf.DUMMYFUNCTION("""COMPUTED_VALUE"""),181.03)</f>
        <v>181.03</v>
      </c>
      <c r="C925" s="2">
        <f>IFERROR(__xludf.DUMMYFUNCTION("""COMPUTED_VALUE"""),182.74)</f>
        <v>182.74</v>
      </c>
      <c r="D925" s="2">
        <f>IFERROR(__xludf.DUMMYFUNCTION("""COMPUTED_VALUE"""),180.07)</f>
        <v>180.07</v>
      </c>
      <c r="E925" s="2">
        <f>IFERROR(__xludf.DUMMYFUNCTION("""COMPUTED_VALUE"""),181.14)</f>
        <v>181.14</v>
      </c>
      <c r="F925" s="2">
        <f>IFERROR(__xludf.DUMMYFUNCTION("""COMPUTED_VALUE"""),3455455.0)</f>
        <v>3455455</v>
      </c>
    </row>
    <row r="926">
      <c r="A926" s="3">
        <f>IFERROR(__xludf.DUMMYFUNCTION("""COMPUTED_VALUE"""),38789.645833333336)</f>
        <v>38789.64583</v>
      </c>
      <c r="B926" s="2">
        <f>IFERROR(__xludf.DUMMYFUNCTION("""COMPUTED_VALUE"""),181.15)</f>
        <v>181.15</v>
      </c>
      <c r="C926" s="2">
        <f>IFERROR(__xludf.DUMMYFUNCTION("""COMPUTED_VALUE"""),183.57)</f>
        <v>183.57</v>
      </c>
      <c r="D926" s="2">
        <f>IFERROR(__xludf.DUMMYFUNCTION("""COMPUTED_VALUE"""),181.03)</f>
        <v>181.03</v>
      </c>
      <c r="E926" s="2">
        <f>IFERROR(__xludf.DUMMYFUNCTION("""COMPUTED_VALUE"""),182.1)</f>
        <v>182.1</v>
      </c>
      <c r="F926" s="2">
        <f>IFERROR(__xludf.DUMMYFUNCTION("""COMPUTED_VALUE"""),3966001.0)</f>
        <v>3966001</v>
      </c>
    </row>
    <row r="927">
      <c r="A927" s="3">
        <f>IFERROR(__xludf.DUMMYFUNCTION("""COMPUTED_VALUE"""),38790.645833333336)</f>
        <v>38790.64583</v>
      </c>
      <c r="B927" s="2">
        <f>IFERROR(__xludf.DUMMYFUNCTION("""COMPUTED_VALUE"""),181.77)</f>
        <v>181.77</v>
      </c>
      <c r="C927" s="2">
        <f>IFERROR(__xludf.DUMMYFUNCTION("""COMPUTED_VALUE"""),184.87)</f>
        <v>184.87</v>
      </c>
      <c r="D927" s="2">
        <f>IFERROR(__xludf.DUMMYFUNCTION("""COMPUTED_VALUE"""),180.57)</f>
        <v>180.57</v>
      </c>
      <c r="E927" s="2">
        <f>IFERROR(__xludf.DUMMYFUNCTION("""COMPUTED_VALUE"""),183.88)</f>
        <v>183.88</v>
      </c>
      <c r="F927" s="2">
        <f>IFERROR(__xludf.DUMMYFUNCTION("""COMPUTED_VALUE"""),3737688.0)</f>
        <v>3737688</v>
      </c>
    </row>
    <row r="928">
      <c r="A928" s="3">
        <f>IFERROR(__xludf.DUMMYFUNCTION("""COMPUTED_VALUE"""),38792.645833333336)</f>
        <v>38792.64583</v>
      </c>
      <c r="B928" s="2">
        <f>IFERROR(__xludf.DUMMYFUNCTION("""COMPUTED_VALUE"""),184.49)</f>
        <v>184.49</v>
      </c>
      <c r="C928" s="2">
        <f>IFERROR(__xludf.DUMMYFUNCTION("""COMPUTED_VALUE"""),190.69)</f>
        <v>190.69</v>
      </c>
      <c r="D928" s="2">
        <f>IFERROR(__xludf.DUMMYFUNCTION("""COMPUTED_VALUE"""),183.88)</f>
        <v>183.88</v>
      </c>
      <c r="E928" s="2">
        <f>IFERROR(__xludf.DUMMYFUNCTION("""COMPUTED_VALUE"""),190.31)</f>
        <v>190.31</v>
      </c>
      <c r="F928" s="2">
        <f>IFERROR(__xludf.DUMMYFUNCTION("""COMPUTED_VALUE"""),8821809.0)</f>
        <v>8821809</v>
      </c>
    </row>
    <row r="929">
      <c r="A929" s="3">
        <f>IFERROR(__xludf.DUMMYFUNCTION("""COMPUTED_VALUE"""),38793.645833333336)</f>
        <v>38793.64583</v>
      </c>
      <c r="B929" s="2">
        <f>IFERROR(__xludf.DUMMYFUNCTION("""COMPUTED_VALUE"""),190.69)</f>
        <v>190.69</v>
      </c>
      <c r="C929" s="2">
        <f>IFERROR(__xludf.DUMMYFUNCTION("""COMPUTED_VALUE"""),193.64)</f>
        <v>193.64</v>
      </c>
      <c r="D929" s="2">
        <f>IFERROR(__xludf.DUMMYFUNCTION("""COMPUTED_VALUE"""),188.98)</f>
        <v>188.98</v>
      </c>
      <c r="E929" s="2">
        <f>IFERROR(__xludf.DUMMYFUNCTION("""COMPUTED_VALUE"""),191.94)</f>
        <v>191.94</v>
      </c>
      <c r="F929" s="2">
        <f>IFERROR(__xludf.DUMMYFUNCTION("""COMPUTED_VALUE"""),6390433.0)</f>
        <v>6390433</v>
      </c>
    </row>
    <row r="930">
      <c r="A930" s="3">
        <f>IFERROR(__xludf.DUMMYFUNCTION("""COMPUTED_VALUE"""),38796.645833333336)</f>
        <v>38796.64583</v>
      </c>
      <c r="B930" s="2">
        <f>IFERROR(__xludf.DUMMYFUNCTION("""COMPUTED_VALUE"""),192.34)</f>
        <v>192.34</v>
      </c>
      <c r="C930" s="2">
        <f>IFERROR(__xludf.DUMMYFUNCTION("""COMPUTED_VALUE"""),193.16)</f>
        <v>193.16</v>
      </c>
      <c r="D930" s="2">
        <f>IFERROR(__xludf.DUMMYFUNCTION("""COMPUTED_VALUE"""),190.81)</f>
        <v>190.81</v>
      </c>
      <c r="E930" s="2">
        <f>IFERROR(__xludf.DUMMYFUNCTION("""COMPUTED_VALUE"""),192.68)</f>
        <v>192.68</v>
      </c>
      <c r="F930" s="2">
        <f>IFERROR(__xludf.DUMMYFUNCTION("""COMPUTED_VALUE"""),2482378.0)</f>
        <v>2482378</v>
      </c>
    </row>
    <row r="931">
      <c r="A931" s="3">
        <f>IFERROR(__xludf.DUMMYFUNCTION("""COMPUTED_VALUE"""),38797.645833333336)</f>
        <v>38797.64583</v>
      </c>
      <c r="B931" s="2">
        <f>IFERROR(__xludf.DUMMYFUNCTION("""COMPUTED_VALUE"""),193.16)</f>
        <v>193.16</v>
      </c>
      <c r="C931" s="2">
        <f>IFERROR(__xludf.DUMMYFUNCTION("""COMPUTED_VALUE"""),196.88)</f>
        <v>196.88</v>
      </c>
      <c r="D931" s="2">
        <f>IFERROR(__xludf.DUMMYFUNCTION("""COMPUTED_VALUE"""),191.8)</f>
        <v>191.8</v>
      </c>
      <c r="E931" s="2">
        <f>IFERROR(__xludf.DUMMYFUNCTION("""COMPUTED_VALUE"""),193.27)</f>
        <v>193.27</v>
      </c>
      <c r="F931" s="2">
        <f>IFERROR(__xludf.DUMMYFUNCTION("""COMPUTED_VALUE"""),4370763.0)</f>
        <v>4370763</v>
      </c>
    </row>
    <row r="932">
      <c r="A932" s="3">
        <f>IFERROR(__xludf.DUMMYFUNCTION("""COMPUTED_VALUE"""),38798.645833333336)</f>
        <v>38798.64583</v>
      </c>
      <c r="B932" s="2">
        <f>IFERROR(__xludf.DUMMYFUNCTION("""COMPUTED_VALUE"""),193.89)</f>
        <v>193.89</v>
      </c>
      <c r="C932" s="2">
        <f>IFERROR(__xludf.DUMMYFUNCTION("""COMPUTED_VALUE"""),194.77)</f>
        <v>194.77</v>
      </c>
      <c r="D932" s="2">
        <f>IFERROR(__xludf.DUMMYFUNCTION("""COMPUTED_VALUE"""),187.86)</f>
        <v>187.86</v>
      </c>
      <c r="E932" s="2">
        <f>IFERROR(__xludf.DUMMYFUNCTION("""COMPUTED_VALUE"""),191.3)</f>
        <v>191.3</v>
      </c>
      <c r="F932" s="2">
        <f>IFERROR(__xludf.DUMMYFUNCTION("""COMPUTED_VALUE"""),5109676.0)</f>
        <v>5109676</v>
      </c>
    </row>
    <row r="933">
      <c r="A933" s="3">
        <f>IFERROR(__xludf.DUMMYFUNCTION("""COMPUTED_VALUE"""),38799.645833333336)</f>
        <v>38799.64583</v>
      </c>
      <c r="B933" s="2">
        <f>IFERROR(__xludf.DUMMYFUNCTION("""COMPUTED_VALUE"""),193.53)</f>
        <v>193.53</v>
      </c>
      <c r="C933" s="2">
        <f>IFERROR(__xludf.DUMMYFUNCTION("""COMPUTED_VALUE"""),194.26)</f>
        <v>194.26</v>
      </c>
      <c r="D933" s="2">
        <f>IFERROR(__xludf.DUMMYFUNCTION("""COMPUTED_VALUE"""),190.35)</f>
        <v>190.35</v>
      </c>
      <c r="E933" s="2">
        <f>IFERROR(__xludf.DUMMYFUNCTION("""COMPUTED_VALUE"""),192.51)</f>
        <v>192.51</v>
      </c>
      <c r="F933" s="2">
        <f>IFERROR(__xludf.DUMMYFUNCTION("""COMPUTED_VALUE"""),3868446.0)</f>
        <v>3868446</v>
      </c>
    </row>
    <row r="934">
      <c r="A934" s="3">
        <f>IFERROR(__xludf.DUMMYFUNCTION("""COMPUTED_VALUE"""),38800.645833333336)</f>
        <v>38800.64583</v>
      </c>
      <c r="B934" s="2">
        <f>IFERROR(__xludf.DUMMYFUNCTION("""COMPUTED_VALUE"""),192.17)</f>
        <v>192.17</v>
      </c>
      <c r="C934" s="2">
        <f>IFERROR(__xludf.DUMMYFUNCTION("""COMPUTED_VALUE"""),194.4)</f>
        <v>194.4</v>
      </c>
      <c r="D934" s="2">
        <f>IFERROR(__xludf.DUMMYFUNCTION("""COMPUTED_VALUE"""),192.17)</f>
        <v>192.17</v>
      </c>
      <c r="E934" s="2">
        <f>IFERROR(__xludf.DUMMYFUNCTION("""COMPUTED_VALUE"""),193.71)</f>
        <v>193.71</v>
      </c>
      <c r="F934" s="2">
        <f>IFERROR(__xludf.DUMMYFUNCTION("""COMPUTED_VALUE"""),2825935.0)</f>
        <v>2825935</v>
      </c>
    </row>
    <row r="935">
      <c r="A935" s="3">
        <f>IFERROR(__xludf.DUMMYFUNCTION("""COMPUTED_VALUE"""),38803.645833333336)</f>
        <v>38803.64583</v>
      </c>
      <c r="B935" s="2">
        <f>IFERROR(__xludf.DUMMYFUNCTION("""COMPUTED_VALUE"""),194.65)</f>
        <v>194.65</v>
      </c>
      <c r="C935" s="2">
        <f>IFERROR(__xludf.DUMMYFUNCTION("""COMPUTED_VALUE"""),197.55)</f>
        <v>197.55</v>
      </c>
      <c r="D935" s="2">
        <f>IFERROR(__xludf.DUMMYFUNCTION("""COMPUTED_VALUE"""),194.65)</f>
        <v>194.65</v>
      </c>
      <c r="E935" s="2">
        <f>IFERROR(__xludf.DUMMYFUNCTION("""COMPUTED_VALUE"""),196.72)</f>
        <v>196.72</v>
      </c>
      <c r="F935" s="2">
        <f>IFERROR(__xludf.DUMMYFUNCTION("""COMPUTED_VALUE"""),3052370.0)</f>
        <v>3052370</v>
      </c>
    </row>
    <row r="936">
      <c r="A936" s="3">
        <f>IFERROR(__xludf.DUMMYFUNCTION("""COMPUTED_VALUE"""),38804.645833333336)</f>
        <v>38804.64583</v>
      </c>
      <c r="B936" s="2">
        <f>IFERROR(__xludf.DUMMYFUNCTION("""COMPUTED_VALUE"""),196.88)</f>
        <v>196.88</v>
      </c>
      <c r="C936" s="2">
        <f>IFERROR(__xludf.DUMMYFUNCTION("""COMPUTED_VALUE"""),197.37)</f>
        <v>197.37</v>
      </c>
      <c r="D936" s="2">
        <f>IFERROR(__xludf.DUMMYFUNCTION("""COMPUTED_VALUE"""),195.04)</f>
        <v>195.04</v>
      </c>
      <c r="E936" s="2">
        <f>IFERROR(__xludf.DUMMYFUNCTION("""COMPUTED_VALUE"""),195.85)</f>
        <v>195.85</v>
      </c>
      <c r="F936" s="2">
        <f>IFERROR(__xludf.DUMMYFUNCTION("""COMPUTED_VALUE"""),1832302.0)</f>
        <v>1832302</v>
      </c>
    </row>
    <row r="937">
      <c r="A937" s="3">
        <f>IFERROR(__xludf.DUMMYFUNCTION("""COMPUTED_VALUE"""),38805.645833333336)</f>
        <v>38805.64583</v>
      </c>
      <c r="B937" s="2">
        <f>IFERROR(__xludf.DUMMYFUNCTION("""COMPUTED_VALUE"""),197.12)</f>
        <v>197.12</v>
      </c>
      <c r="C937" s="2">
        <f>IFERROR(__xludf.DUMMYFUNCTION("""COMPUTED_VALUE"""),197.57)</f>
        <v>197.57</v>
      </c>
      <c r="D937" s="2">
        <f>IFERROR(__xludf.DUMMYFUNCTION("""COMPUTED_VALUE"""),194.96)</f>
        <v>194.96</v>
      </c>
      <c r="E937" s="2">
        <f>IFERROR(__xludf.DUMMYFUNCTION("""COMPUTED_VALUE"""),196.57)</f>
        <v>196.57</v>
      </c>
      <c r="F937" s="2">
        <f>IFERROR(__xludf.DUMMYFUNCTION("""COMPUTED_VALUE"""),1847797.0)</f>
        <v>1847797</v>
      </c>
    </row>
    <row r="938">
      <c r="A938" s="3">
        <f>IFERROR(__xludf.DUMMYFUNCTION("""COMPUTED_VALUE"""),38806.645833333336)</f>
        <v>38806.64583</v>
      </c>
      <c r="B938" s="2">
        <f>IFERROR(__xludf.DUMMYFUNCTION("""COMPUTED_VALUE"""),197.12)</f>
        <v>197.12</v>
      </c>
      <c r="C938" s="2">
        <f>IFERROR(__xludf.DUMMYFUNCTION("""COMPUTED_VALUE"""),199.82)</f>
        <v>199.82</v>
      </c>
      <c r="D938" s="2">
        <f>IFERROR(__xludf.DUMMYFUNCTION("""COMPUTED_VALUE"""),195.14)</f>
        <v>195.14</v>
      </c>
      <c r="E938" s="2">
        <f>IFERROR(__xludf.DUMMYFUNCTION("""COMPUTED_VALUE"""),197.05)</f>
        <v>197.05</v>
      </c>
      <c r="F938" s="2">
        <f>IFERROR(__xludf.DUMMYFUNCTION("""COMPUTED_VALUE"""),3259099.0)</f>
        <v>3259099</v>
      </c>
    </row>
    <row r="939">
      <c r="A939" s="3">
        <f>IFERROR(__xludf.DUMMYFUNCTION("""COMPUTED_VALUE"""),38807.645833333336)</f>
        <v>38807.64583</v>
      </c>
      <c r="B939" s="2">
        <f>IFERROR(__xludf.DUMMYFUNCTION("""COMPUTED_VALUE"""),198.1)</f>
        <v>198.1</v>
      </c>
      <c r="C939" s="2">
        <f>IFERROR(__xludf.DUMMYFUNCTION("""COMPUTED_VALUE"""),200.1)</f>
        <v>200.1</v>
      </c>
      <c r="D939" s="2">
        <f>IFERROR(__xludf.DUMMYFUNCTION("""COMPUTED_VALUE"""),195.14)</f>
        <v>195.14</v>
      </c>
      <c r="E939" s="2">
        <f>IFERROR(__xludf.DUMMYFUNCTION("""COMPUTED_VALUE"""),196.96)</f>
        <v>196.96</v>
      </c>
      <c r="F939" s="2">
        <f>IFERROR(__xludf.DUMMYFUNCTION("""COMPUTED_VALUE"""),8352073.0)</f>
        <v>8352073</v>
      </c>
    </row>
    <row r="940">
      <c r="A940" s="3">
        <f>IFERROR(__xludf.DUMMYFUNCTION("""COMPUTED_VALUE"""),38810.645833333336)</f>
        <v>38810.64583</v>
      </c>
      <c r="B940" s="2">
        <f>IFERROR(__xludf.DUMMYFUNCTION("""COMPUTED_VALUE"""),198.36)</f>
        <v>198.36</v>
      </c>
      <c r="C940" s="2">
        <f>IFERROR(__xludf.DUMMYFUNCTION("""COMPUTED_VALUE"""),206.29)</f>
        <v>206.29</v>
      </c>
      <c r="D940" s="2">
        <f>IFERROR(__xludf.DUMMYFUNCTION("""COMPUTED_VALUE"""),198.36)</f>
        <v>198.36</v>
      </c>
      <c r="E940" s="2">
        <f>IFERROR(__xludf.DUMMYFUNCTION("""COMPUTED_VALUE"""),205.25)</f>
        <v>205.25</v>
      </c>
      <c r="F940" s="2">
        <f>IFERROR(__xludf.DUMMYFUNCTION("""COMPUTED_VALUE"""),5031936.0)</f>
        <v>5031936</v>
      </c>
    </row>
    <row r="941">
      <c r="A941" s="3">
        <f>IFERROR(__xludf.DUMMYFUNCTION("""COMPUTED_VALUE"""),38811.645833333336)</f>
        <v>38811.64583</v>
      </c>
      <c r="B941" s="2">
        <f>IFERROR(__xludf.DUMMYFUNCTION("""COMPUTED_VALUE"""),205.79)</f>
        <v>205.79</v>
      </c>
      <c r="C941" s="2">
        <f>IFERROR(__xludf.DUMMYFUNCTION("""COMPUTED_VALUE"""),208.76)</f>
        <v>208.76</v>
      </c>
      <c r="D941" s="2">
        <f>IFERROR(__xludf.DUMMYFUNCTION("""COMPUTED_VALUE"""),205.56)</f>
        <v>205.56</v>
      </c>
      <c r="E941" s="2">
        <f>IFERROR(__xludf.DUMMYFUNCTION("""COMPUTED_VALUE"""),207.22)</f>
        <v>207.22</v>
      </c>
      <c r="F941" s="2">
        <f>IFERROR(__xludf.DUMMYFUNCTION("""COMPUTED_VALUE"""),3929854.0)</f>
        <v>3929854</v>
      </c>
    </row>
    <row r="942">
      <c r="A942" s="3">
        <f>IFERROR(__xludf.DUMMYFUNCTION("""COMPUTED_VALUE"""),38812.645833333336)</f>
        <v>38812.64583</v>
      </c>
      <c r="B942" s="2">
        <f>IFERROR(__xludf.DUMMYFUNCTION("""COMPUTED_VALUE"""),208.76)</f>
        <v>208.76</v>
      </c>
      <c r="C942" s="2">
        <f>IFERROR(__xludf.DUMMYFUNCTION("""COMPUTED_VALUE"""),209.26)</f>
        <v>209.26</v>
      </c>
      <c r="D942" s="2">
        <f>IFERROR(__xludf.DUMMYFUNCTION("""COMPUTED_VALUE"""),206.78)</f>
        <v>206.78</v>
      </c>
      <c r="E942" s="2">
        <f>IFERROR(__xludf.DUMMYFUNCTION("""COMPUTED_VALUE"""),208.14)</f>
        <v>208.14</v>
      </c>
      <c r="F942" s="2">
        <f>IFERROR(__xludf.DUMMYFUNCTION("""COMPUTED_VALUE"""),4564004.0)</f>
        <v>4564004</v>
      </c>
    </row>
    <row r="943">
      <c r="A943" s="3">
        <f>IFERROR(__xludf.DUMMYFUNCTION("""COMPUTED_VALUE"""),38814.645833333336)</f>
        <v>38814.64583</v>
      </c>
      <c r="B943" s="2">
        <f>IFERROR(__xludf.DUMMYFUNCTION("""COMPUTED_VALUE"""),209.13)</f>
        <v>209.13</v>
      </c>
      <c r="C943" s="2">
        <f>IFERROR(__xludf.DUMMYFUNCTION("""COMPUTED_VALUE"""),209.58)</f>
        <v>209.58</v>
      </c>
      <c r="D943" s="2">
        <f>IFERROR(__xludf.DUMMYFUNCTION("""COMPUTED_VALUE"""),205.46)</f>
        <v>205.46</v>
      </c>
      <c r="E943" s="2">
        <f>IFERROR(__xludf.DUMMYFUNCTION("""COMPUTED_VALUE"""),206.4)</f>
        <v>206.4</v>
      </c>
      <c r="F943" s="2">
        <f>IFERROR(__xludf.DUMMYFUNCTION("""COMPUTED_VALUE"""),4241119.0)</f>
        <v>4241119</v>
      </c>
    </row>
    <row r="944">
      <c r="A944" s="3">
        <f>IFERROR(__xludf.DUMMYFUNCTION("""COMPUTED_VALUE"""),38817.645833333336)</f>
        <v>38817.64583</v>
      </c>
      <c r="B944" s="2">
        <f>IFERROR(__xludf.DUMMYFUNCTION("""COMPUTED_VALUE"""),206.29)</f>
        <v>206.29</v>
      </c>
      <c r="C944" s="2">
        <f>IFERROR(__xludf.DUMMYFUNCTION("""COMPUTED_VALUE"""),208.44)</f>
        <v>208.44</v>
      </c>
      <c r="D944" s="2">
        <f>IFERROR(__xludf.DUMMYFUNCTION("""COMPUTED_VALUE"""),204.1)</f>
        <v>204.1</v>
      </c>
      <c r="E944" s="2">
        <f>IFERROR(__xludf.DUMMYFUNCTION("""COMPUTED_VALUE"""),207.09)</f>
        <v>207.09</v>
      </c>
      <c r="F944" s="2">
        <f>IFERROR(__xludf.DUMMYFUNCTION("""COMPUTED_VALUE"""),4603751.0)</f>
        <v>4603751</v>
      </c>
    </row>
    <row r="945">
      <c r="A945" s="3">
        <f>IFERROR(__xludf.DUMMYFUNCTION("""COMPUTED_VALUE"""),38819.645833333336)</f>
        <v>38819.64583</v>
      </c>
      <c r="B945" s="2">
        <f>IFERROR(__xludf.DUMMYFUNCTION("""COMPUTED_VALUE"""),206.81)</f>
        <v>206.81</v>
      </c>
      <c r="C945" s="2">
        <f>IFERROR(__xludf.DUMMYFUNCTION("""COMPUTED_VALUE"""),212.65)</f>
        <v>212.65</v>
      </c>
      <c r="D945" s="2">
        <f>IFERROR(__xludf.DUMMYFUNCTION("""COMPUTED_VALUE"""),203.34)</f>
        <v>203.34</v>
      </c>
      <c r="E945" s="2">
        <f>IFERROR(__xludf.DUMMYFUNCTION("""COMPUTED_VALUE"""),205.23)</f>
        <v>205.23</v>
      </c>
      <c r="F945" s="2">
        <f>IFERROR(__xludf.DUMMYFUNCTION("""COMPUTED_VALUE"""),9379270.0)</f>
        <v>9379270</v>
      </c>
    </row>
    <row r="946">
      <c r="A946" s="3">
        <f>IFERROR(__xludf.DUMMYFUNCTION("""COMPUTED_VALUE"""),38820.645833333336)</f>
        <v>38820.64583</v>
      </c>
      <c r="B946" s="2">
        <f>IFERROR(__xludf.DUMMYFUNCTION("""COMPUTED_VALUE"""),205.54)</f>
        <v>205.54</v>
      </c>
      <c r="C946" s="2">
        <f>IFERROR(__xludf.DUMMYFUNCTION("""COMPUTED_VALUE"""),211.22)</f>
        <v>211.22</v>
      </c>
      <c r="D946" s="2">
        <f>IFERROR(__xludf.DUMMYFUNCTION("""COMPUTED_VALUE"""),204.85)</f>
        <v>204.85</v>
      </c>
      <c r="E946" s="2">
        <f>IFERROR(__xludf.DUMMYFUNCTION("""COMPUTED_VALUE"""),209.63)</f>
        <v>209.63</v>
      </c>
      <c r="F946" s="2">
        <f>IFERROR(__xludf.DUMMYFUNCTION("""COMPUTED_VALUE"""),8754381.0)</f>
        <v>8754381</v>
      </c>
    </row>
    <row r="947">
      <c r="A947" s="3">
        <f>IFERROR(__xludf.DUMMYFUNCTION("""COMPUTED_VALUE"""),38824.645833333336)</f>
        <v>38824.64583</v>
      </c>
      <c r="B947" s="2">
        <f>IFERROR(__xludf.DUMMYFUNCTION("""COMPUTED_VALUE"""),210.5)</f>
        <v>210.5</v>
      </c>
      <c r="C947" s="2">
        <f>IFERROR(__xludf.DUMMYFUNCTION("""COMPUTED_VALUE"""),212.23)</f>
        <v>212.23</v>
      </c>
      <c r="D947" s="2">
        <f>IFERROR(__xludf.DUMMYFUNCTION("""COMPUTED_VALUE"""),209.53)</f>
        <v>209.53</v>
      </c>
      <c r="E947" s="2">
        <f>IFERROR(__xludf.DUMMYFUNCTION("""COMPUTED_VALUE"""),210.86)</f>
        <v>210.86</v>
      </c>
      <c r="F947" s="2">
        <f>IFERROR(__xludf.DUMMYFUNCTION("""COMPUTED_VALUE"""),2983707.0)</f>
        <v>2983707</v>
      </c>
    </row>
    <row r="948">
      <c r="A948" s="3">
        <f>IFERROR(__xludf.DUMMYFUNCTION("""COMPUTED_VALUE"""),38825.645833333336)</f>
        <v>38825.64583</v>
      </c>
      <c r="B948" s="2">
        <f>IFERROR(__xludf.DUMMYFUNCTION("""COMPUTED_VALUE"""),211.44)</f>
        <v>211.44</v>
      </c>
      <c r="C948" s="2">
        <f>IFERROR(__xludf.DUMMYFUNCTION("""COMPUTED_VALUE"""),221.83)</f>
        <v>221.83</v>
      </c>
      <c r="D948" s="2">
        <f>IFERROR(__xludf.DUMMYFUNCTION("""COMPUTED_VALUE"""),211.44)</f>
        <v>211.44</v>
      </c>
      <c r="E948" s="2">
        <f>IFERROR(__xludf.DUMMYFUNCTION("""COMPUTED_VALUE"""),220.72)</f>
        <v>220.72</v>
      </c>
      <c r="F948" s="2">
        <f>IFERROR(__xludf.DUMMYFUNCTION("""COMPUTED_VALUE"""),8211163.0)</f>
        <v>8211163</v>
      </c>
    </row>
    <row r="949">
      <c r="A949" s="3">
        <f>IFERROR(__xludf.DUMMYFUNCTION("""COMPUTED_VALUE"""),38826.645833333336)</f>
        <v>38826.64583</v>
      </c>
      <c r="B949" s="2">
        <f>IFERROR(__xludf.DUMMYFUNCTION("""COMPUTED_VALUE"""),222.61)</f>
        <v>222.61</v>
      </c>
      <c r="C949" s="2">
        <f>IFERROR(__xludf.DUMMYFUNCTION("""COMPUTED_VALUE"""),230.8)</f>
        <v>230.8</v>
      </c>
      <c r="D949" s="2">
        <f>IFERROR(__xludf.DUMMYFUNCTION("""COMPUTED_VALUE"""),221.39)</f>
        <v>221.39</v>
      </c>
      <c r="E949" s="2">
        <f>IFERROR(__xludf.DUMMYFUNCTION("""COMPUTED_VALUE"""),228.28)</f>
        <v>228.28</v>
      </c>
      <c r="F949" s="2">
        <f>IFERROR(__xludf.DUMMYFUNCTION("""COMPUTED_VALUE"""),1.0659773E7)</f>
        <v>10659773</v>
      </c>
    </row>
    <row r="950">
      <c r="A950" s="3">
        <f>IFERROR(__xludf.DUMMYFUNCTION("""COMPUTED_VALUE"""),38827.645833333336)</f>
        <v>38827.64583</v>
      </c>
      <c r="B950" s="2">
        <f>IFERROR(__xludf.DUMMYFUNCTION("""COMPUTED_VALUE"""),231.55)</f>
        <v>231.55</v>
      </c>
      <c r="C950" s="2">
        <f>IFERROR(__xludf.DUMMYFUNCTION("""COMPUTED_VALUE"""),247.57)</f>
        <v>247.57</v>
      </c>
      <c r="D950" s="2">
        <f>IFERROR(__xludf.DUMMYFUNCTION("""COMPUTED_VALUE"""),231.55)</f>
        <v>231.55</v>
      </c>
      <c r="E950" s="2">
        <f>IFERROR(__xludf.DUMMYFUNCTION("""COMPUTED_VALUE"""),245.8)</f>
        <v>245.8</v>
      </c>
      <c r="F950" s="2">
        <f>IFERROR(__xludf.DUMMYFUNCTION("""COMPUTED_VALUE"""),1.4912419E7)</f>
        <v>14912419</v>
      </c>
    </row>
    <row r="951">
      <c r="A951" s="3">
        <f>IFERROR(__xludf.DUMMYFUNCTION("""COMPUTED_VALUE"""),38828.645833333336)</f>
        <v>38828.64583</v>
      </c>
      <c r="B951" s="2">
        <f>IFERROR(__xludf.DUMMYFUNCTION("""COMPUTED_VALUE"""),247.64)</f>
        <v>247.64</v>
      </c>
      <c r="C951" s="2">
        <f>IFERROR(__xludf.DUMMYFUNCTION("""COMPUTED_VALUE"""),249.62)</f>
        <v>249.62</v>
      </c>
      <c r="D951" s="2">
        <f>IFERROR(__xludf.DUMMYFUNCTION("""COMPUTED_VALUE"""),236.13)</f>
        <v>236.13</v>
      </c>
      <c r="E951" s="2">
        <f>IFERROR(__xludf.DUMMYFUNCTION("""COMPUTED_VALUE"""),241.44)</f>
        <v>241.44</v>
      </c>
      <c r="F951" s="2">
        <f>IFERROR(__xludf.DUMMYFUNCTION("""COMPUTED_VALUE"""),8650976.0)</f>
        <v>8650976</v>
      </c>
    </row>
    <row r="952">
      <c r="A952" s="3">
        <f>IFERROR(__xludf.DUMMYFUNCTION("""COMPUTED_VALUE"""),38831.645833333336)</f>
        <v>38831.64583</v>
      </c>
      <c r="B952" s="2">
        <f>IFERROR(__xludf.DUMMYFUNCTION("""COMPUTED_VALUE"""),241.45)</f>
        <v>241.45</v>
      </c>
      <c r="C952" s="2">
        <f>IFERROR(__xludf.DUMMYFUNCTION("""COMPUTED_VALUE"""),247.52)</f>
        <v>247.52</v>
      </c>
      <c r="D952" s="2">
        <f>IFERROR(__xludf.DUMMYFUNCTION("""COMPUTED_VALUE"""),239.22)</f>
        <v>239.22</v>
      </c>
      <c r="E952" s="2">
        <f>IFERROR(__xludf.DUMMYFUNCTION("""COMPUTED_VALUE"""),242.0)</f>
        <v>242</v>
      </c>
      <c r="F952" s="2">
        <f>IFERROR(__xludf.DUMMYFUNCTION("""COMPUTED_VALUE"""),6676696.0)</f>
        <v>6676696</v>
      </c>
    </row>
    <row r="953">
      <c r="A953" s="3">
        <f>IFERROR(__xludf.DUMMYFUNCTION("""COMPUTED_VALUE"""),38832.645833333336)</f>
        <v>38832.64583</v>
      </c>
      <c r="B953" s="2">
        <f>IFERROR(__xludf.DUMMYFUNCTION("""COMPUTED_VALUE"""),242.07)</f>
        <v>242.07</v>
      </c>
      <c r="C953" s="2">
        <f>IFERROR(__xludf.DUMMYFUNCTION("""COMPUTED_VALUE"""),243.93)</f>
        <v>243.93</v>
      </c>
      <c r="D953" s="2">
        <f>IFERROR(__xludf.DUMMYFUNCTION("""COMPUTED_VALUE"""),235.51)</f>
        <v>235.51</v>
      </c>
      <c r="E953" s="2">
        <f>IFERROR(__xludf.DUMMYFUNCTION("""COMPUTED_VALUE"""),236.52)</f>
        <v>236.52</v>
      </c>
      <c r="F953" s="2">
        <f>IFERROR(__xludf.DUMMYFUNCTION("""COMPUTED_VALUE"""),3524708.0)</f>
        <v>3524708</v>
      </c>
    </row>
    <row r="954">
      <c r="A954" s="3">
        <f>IFERROR(__xludf.DUMMYFUNCTION("""COMPUTED_VALUE"""),38833.645833333336)</f>
        <v>38833.64583</v>
      </c>
      <c r="B954" s="2">
        <f>IFERROR(__xludf.DUMMYFUNCTION("""COMPUTED_VALUE"""),237.74)</f>
        <v>237.74</v>
      </c>
      <c r="C954" s="2">
        <f>IFERROR(__xludf.DUMMYFUNCTION("""COMPUTED_VALUE"""),243.19)</f>
        <v>243.19</v>
      </c>
      <c r="D954" s="2">
        <f>IFERROR(__xludf.DUMMYFUNCTION("""COMPUTED_VALUE"""),235.79)</f>
        <v>235.79</v>
      </c>
      <c r="E954" s="2">
        <f>IFERROR(__xludf.DUMMYFUNCTION("""COMPUTED_VALUE"""),242.36)</f>
        <v>242.36</v>
      </c>
      <c r="F954" s="2">
        <f>IFERROR(__xludf.DUMMYFUNCTION("""COMPUTED_VALUE"""),4795378.0)</f>
        <v>4795378</v>
      </c>
    </row>
    <row r="955">
      <c r="A955" s="3">
        <f>IFERROR(__xludf.DUMMYFUNCTION("""COMPUTED_VALUE"""),38834.645833333336)</f>
        <v>38834.64583</v>
      </c>
      <c r="B955" s="2">
        <f>IFERROR(__xludf.DUMMYFUNCTION("""COMPUTED_VALUE"""),243.19)</f>
        <v>243.19</v>
      </c>
      <c r="C955" s="2">
        <f>IFERROR(__xludf.DUMMYFUNCTION("""COMPUTED_VALUE"""),260.03)</f>
        <v>260.03</v>
      </c>
      <c r="D955" s="2">
        <f>IFERROR(__xludf.DUMMYFUNCTION("""COMPUTED_VALUE"""),243.19)</f>
        <v>243.19</v>
      </c>
      <c r="E955" s="2">
        <f>IFERROR(__xludf.DUMMYFUNCTION("""COMPUTED_VALUE"""),247.14)</f>
        <v>247.14</v>
      </c>
      <c r="F955" s="2">
        <f>IFERROR(__xludf.DUMMYFUNCTION("""COMPUTED_VALUE"""),9853311.0)</f>
        <v>9853311</v>
      </c>
    </row>
    <row r="956">
      <c r="A956" s="3">
        <f>IFERROR(__xludf.DUMMYFUNCTION("""COMPUTED_VALUE"""),38835.645833333336)</f>
        <v>38835.64583</v>
      </c>
      <c r="B956" s="2">
        <f>IFERROR(__xludf.DUMMYFUNCTION("""COMPUTED_VALUE"""),243.93)</f>
        <v>243.93</v>
      </c>
      <c r="C956" s="2">
        <f>IFERROR(__xludf.DUMMYFUNCTION("""COMPUTED_VALUE"""),250.37)</f>
        <v>250.37</v>
      </c>
      <c r="D956" s="2">
        <f>IFERROR(__xludf.DUMMYFUNCTION("""COMPUTED_VALUE"""),240.46)</f>
        <v>240.46</v>
      </c>
      <c r="E956" s="2">
        <f>IFERROR(__xludf.DUMMYFUNCTION("""COMPUTED_VALUE"""),249.85)</f>
        <v>249.85</v>
      </c>
      <c r="F956" s="2">
        <f>IFERROR(__xludf.DUMMYFUNCTION("""COMPUTED_VALUE"""),6259209.0)</f>
        <v>6259209</v>
      </c>
    </row>
    <row r="957">
      <c r="A957" s="3">
        <f>IFERROR(__xludf.DUMMYFUNCTION("""COMPUTED_VALUE"""),38839.645833333336)</f>
        <v>38839.64583</v>
      </c>
      <c r="B957" s="2">
        <f>IFERROR(__xludf.DUMMYFUNCTION("""COMPUTED_VALUE"""),253.83)</f>
        <v>253.83</v>
      </c>
      <c r="C957" s="2">
        <f>IFERROR(__xludf.DUMMYFUNCTION("""COMPUTED_VALUE"""),258.27)</f>
        <v>258.27</v>
      </c>
      <c r="D957" s="2">
        <f>IFERROR(__xludf.DUMMYFUNCTION("""COMPUTED_VALUE"""),253.59)</f>
        <v>253.59</v>
      </c>
      <c r="E957" s="2">
        <f>IFERROR(__xludf.DUMMYFUNCTION("""COMPUTED_VALUE"""),255.36)</f>
        <v>255.36</v>
      </c>
      <c r="F957" s="2">
        <f>IFERROR(__xludf.DUMMYFUNCTION("""COMPUTED_VALUE"""),3045647.0)</f>
        <v>3045647</v>
      </c>
    </row>
    <row r="958">
      <c r="A958" s="3">
        <f>IFERROR(__xludf.DUMMYFUNCTION("""COMPUTED_VALUE"""),38840.645833333336)</f>
        <v>38840.64583</v>
      </c>
      <c r="B958" s="2">
        <f>IFERROR(__xludf.DUMMYFUNCTION("""COMPUTED_VALUE"""),255.37)</f>
        <v>255.37</v>
      </c>
      <c r="C958" s="2">
        <f>IFERROR(__xludf.DUMMYFUNCTION("""COMPUTED_VALUE"""),258.04)</f>
        <v>258.04</v>
      </c>
      <c r="D958" s="2">
        <f>IFERROR(__xludf.DUMMYFUNCTION("""COMPUTED_VALUE"""),252.87)</f>
        <v>252.87</v>
      </c>
      <c r="E958" s="2">
        <f>IFERROR(__xludf.DUMMYFUNCTION("""COMPUTED_VALUE"""),256.45)</f>
        <v>256.45</v>
      </c>
      <c r="F958" s="2">
        <f>IFERROR(__xludf.DUMMYFUNCTION("""COMPUTED_VALUE"""),2673389.0)</f>
        <v>2673389</v>
      </c>
    </row>
    <row r="959">
      <c r="A959" s="3">
        <f>IFERROR(__xludf.DUMMYFUNCTION("""COMPUTED_VALUE"""),38841.645833333336)</f>
        <v>38841.64583</v>
      </c>
      <c r="B959" s="2">
        <f>IFERROR(__xludf.DUMMYFUNCTION("""COMPUTED_VALUE"""),258.04)</f>
        <v>258.04</v>
      </c>
      <c r="C959" s="2">
        <f>IFERROR(__xludf.DUMMYFUNCTION("""COMPUTED_VALUE"""),277.56)</f>
        <v>277.56</v>
      </c>
      <c r="D959" s="2">
        <f>IFERROR(__xludf.DUMMYFUNCTION("""COMPUTED_VALUE"""),257.55)</f>
        <v>257.55</v>
      </c>
      <c r="E959" s="2">
        <f>IFERROR(__xludf.DUMMYFUNCTION("""COMPUTED_VALUE"""),267.5)</f>
        <v>267.5</v>
      </c>
      <c r="F959" s="2">
        <f>IFERROR(__xludf.DUMMYFUNCTION("""COMPUTED_VALUE"""),1.4186838E7)</f>
        <v>14186838</v>
      </c>
    </row>
    <row r="960">
      <c r="A960" s="3">
        <f>IFERROR(__xludf.DUMMYFUNCTION("""COMPUTED_VALUE"""),38842.645833333336)</f>
        <v>38842.64583</v>
      </c>
      <c r="B960" s="2">
        <f>IFERROR(__xludf.DUMMYFUNCTION("""COMPUTED_VALUE"""),268.37)</f>
        <v>268.37</v>
      </c>
      <c r="C960" s="2">
        <f>IFERROR(__xludf.DUMMYFUNCTION("""COMPUTED_VALUE"""),274.64)</f>
        <v>274.64</v>
      </c>
      <c r="D960" s="2">
        <f>IFERROR(__xludf.DUMMYFUNCTION("""COMPUTED_VALUE"""),267.95)</f>
        <v>267.95</v>
      </c>
      <c r="E960" s="2">
        <f>IFERROR(__xludf.DUMMYFUNCTION("""COMPUTED_VALUE"""),272.22)</f>
        <v>272.22</v>
      </c>
      <c r="F960" s="2">
        <f>IFERROR(__xludf.DUMMYFUNCTION("""COMPUTED_VALUE"""),5974599.0)</f>
        <v>5974599</v>
      </c>
    </row>
    <row r="961">
      <c r="A961" s="3">
        <f>IFERROR(__xludf.DUMMYFUNCTION("""COMPUTED_VALUE"""),38845.645833333336)</f>
        <v>38845.64583</v>
      </c>
      <c r="B961" s="2">
        <f>IFERROR(__xludf.DUMMYFUNCTION("""COMPUTED_VALUE"""),276.12)</f>
        <v>276.12</v>
      </c>
      <c r="C961" s="2">
        <f>IFERROR(__xludf.DUMMYFUNCTION("""COMPUTED_VALUE"""),289.5)</f>
        <v>289.5</v>
      </c>
      <c r="D961" s="2">
        <f>IFERROR(__xludf.DUMMYFUNCTION("""COMPUTED_VALUE"""),275.38)</f>
        <v>275.38</v>
      </c>
      <c r="E961" s="2">
        <f>IFERROR(__xludf.DUMMYFUNCTION("""COMPUTED_VALUE"""),286.03)</f>
        <v>286.03</v>
      </c>
      <c r="F961" s="2">
        <f>IFERROR(__xludf.DUMMYFUNCTION("""COMPUTED_VALUE"""),7762822.0)</f>
        <v>7762822</v>
      </c>
    </row>
    <row r="962">
      <c r="A962" s="3">
        <f>IFERROR(__xludf.DUMMYFUNCTION("""COMPUTED_VALUE"""),38846.645833333336)</f>
        <v>38846.64583</v>
      </c>
      <c r="B962" s="2">
        <f>IFERROR(__xludf.DUMMYFUNCTION("""COMPUTED_VALUE"""),287.27)</f>
        <v>287.27</v>
      </c>
      <c r="C962" s="2">
        <f>IFERROR(__xludf.DUMMYFUNCTION("""COMPUTED_VALUE"""),289.67)</f>
        <v>289.67</v>
      </c>
      <c r="D962" s="2">
        <f>IFERROR(__xludf.DUMMYFUNCTION("""COMPUTED_VALUE"""),281.32)</f>
        <v>281.32</v>
      </c>
      <c r="E962" s="2">
        <f>IFERROR(__xludf.DUMMYFUNCTION("""COMPUTED_VALUE"""),285.81)</f>
        <v>285.81</v>
      </c>
      <c r="F962" s="2">
        <f>IFERROR(__xludf.DUMMYFUNCTION("""COMPUTED_VALUE"""),7244226.0)</f>
        <v>7244226</v>
      </c>
    </row>
    <row r="963">
      <c r="A963" s="3">
        <f>IFERROR(__xludf.DUMMYFUNCTION("""COMPUTED_VALUE"""),38847.645833333336)</f>
        <v>38847.64583</v>
      </c>
      <c r="B963" s="2">
        <f>IFERROR(__xludf.DUMMYFUNCTION("""COMPUTED_VALUE"""),287.27)</f>
        <v>287.27</v>
      </c>
      <c r="C963" s="2">
        <f>IFERROR(__xludf.DUMMYFUNCTION("""COMPUTED_VALUE"""),290.98)</f>
        <v>290.98</v>
      </c>
      <c r="D963" s="2">
        <f>IFERROR(__xludf.DUMMYFUNCTION("""COMPUTED_VALUE"""),281.63)</f>
        <v>281.63</v>
      </c>
      <c r="E963" s="2">
        <f>IFERROR(__xludf.DUMMYFUNCTION("""COMPUTED_VALUE"""),289.69)</f>
        <v>289.69</v>
      </c>
      <c r="F963" s="2">
        <f>IFERROR(__xludf.DUMMYFUNCTION("""COMPUTED_VALUE"""),1.0202815E7)</f>
        <v>10202815</v>
      </c>
    </row>
    <row r="964">
      <c r="A964" s="3">
        <f>IFERROR(__xludf.DUMMYFUNCTION("""COMPUTED_VALUE"""),38848.645833333336)</f>
        <v>38848.64583</v>
      </c>
      <c r="B964" s="2">
        <f>IFERROR(__xludf.DUMMYFUNCTION("""COMPUTED_VALUE"""),290.98)</f>
        <v>290.98</v>
      </c>
      <c r="C964" s="2">
        <f>IFERROR(__xludf.DUMMYFUNCTION("""COMPUTED_VALUE"""),293.31)</f>
        <v>293.31</v>
      </c>
      <c r="D964" s="2">
        <f>IFERROR(__xludf.DUMMYFUNCTION("""COMPUTED_VALUE"""),272.66)</f>
        <v>272.66</v>
      </c>
      <c r="E964" s="2">
        <f>IFERROR(__xludf.DUMMYFUNCTION("""COMPUTED_VALUE"""),274.95)</f>
        <v>274.95</v>
      </c>
      <c r="F964" s="2">
        <f>IFERROR(__xludf.DUMMYFUNCTION("""COMPUTED_VALUE"""),1.2118649E7)</f>
        <v>12118649</v>
      </c>
    </row>
    <row r="965">
      <c r="A965" s="3">
        <f>IFERROR(__xludf.DUMMYFUNCTION("""COMPUTED_VALUE"""),38849.645833333336)</f>
        <v>38849.64583</v>
      </c>
      <c r="B965" s="2">
        <f>IFERROR(__xludf.DUMMYFUNCTION("""COMPUTED_VALUE"""),277.5)</f>
        <v>277.5</v>
      </c>
      <c r="C965" s="2">
        <f>IFERROR(__xludf.DUMMYFUNCTION("""COMPUTED_VALUE"""),277.5)</f>
        <v>277.5</v>
      </c>
      <c r="D965" s="2">
        <f>IFERROR(__xludf.DUMMYFUNCTION("""COMPUTED_VALUE"""),261.76)</f>
        <v>261.76</v>
      </c>
      <c r="E965" s="2">
        <f>IFERROR(__xludf.DUMMYFUNCTION("""COMPUTED_VALUE"""),264.2)</f>
        <v>264.2</v>
      </c>
      <c r="F965" s="2">
        <f>IFERROR(__xludf.DUMMYFUNCTION("""COMPUTED_VALUE"""),8558303.0)</f>
        <v>8558303</v>
      </c>
    </row>
    <row r="966">
      <c r="A966" s="3">
        <f>IFERROR(__xludf.DUMMYFUNCTION("""COMPUTED_VALUE"""),38852.645833333336)</f>
        <v>38852.64583</v>
      </c>
      <c r="B966" s="2">
        <f>IFERROR(__xludf.DUMMYFUNCTION("""COMPUTED_VALUE"""),264.98)</f>
        <v>264.98</v>
      </c>
      <c r="C966" s="2">
        <f>IFERROR(__xludf.DUMMYFUNCTION("""COMPUTED_VALUE"""),264.98)</f>
        <v>264.98</v>
      </c>
      <c r="D966" s="2">
        <f>IFERROR(__xludf.DUMMYFUNCTION("""COMPUTED_VALUE"""),250.5)</f>
        <v>250.5</v>
      </c>
      <c r="E966" s="2">
        <f>IFERROR(__xludf.DUMMYFUNCTION("""COMPUTED_VALUE"""),253.0)</f>
        <v>253</v>
      </c>
      <c r="F966" s="2">
        <f>IFERROR(__xludf.DUMMYFUNCTION("""COMPUTED_VALUE"""),9724804.0)</f>
        <v>9724804</v>
      </c>
    </row>
    <row r="967">
      <c r="A967" s="3">
        <f>IFERROR(__xludf.DUMMYFUNCTION("""COMPUTED_VALUE"""),38853.645833333336)</f>
        <v>38853.64583</v>
      </c>
      <c r="B967" s="2">
        <f>IFERROR(__xludf.DUMMYFUNCTION("""COMPUTED_VALUE"""),253.82)</f>
        <v>253.82</v>
      </c>
      <c r="C967" s="2">
        <f>IFERROR(__xludf.DUMMYFUNCTION("""COMPUTED_VALUE"""),261.24)</f>
        <v>261.24</v>
      </c>
      <c r="D967" s="2">
        <f>IFERROR(__xludf.DUMMYFUNCTION("""COMPUTED_VALUE"""),241.7)</f>
        <v>241.7</v>
      </c>
      <c r="E967" s="2">
        <f>IFERROR(__xludf.DUMMYFUNCTION("""COMPUTED_VALUE"""),258.47)</f>
        <v>258.47</v>
      </c>
      <c r="F967" s="2">
        <f>IFERROR(__xludf.DUMMYFUNCTION("""COMPUTED_VALUE"""),1.2525373E7)</f>
        <v>12525373</v>
      </c>
    </row>
    <row r="968">
      <c r="A968" s="3">
        <f>IFERROR(__xludf.DUMMYFUNCTION("""COMPUTED_VALUE"""),38854.645833333336)</f>
        <v>38854.64583</v>
      </c>
      <c r="B968" s="2">
        <f>IFERROR(__xludf.DUMMYFUNCTION("""COMPUTED_VALUE"""),264.78)</f>
        <v>264.78</v>
      </c>
      <c r="C968" s="2">
        <f>IFERROR(__xludf.DUMMYFUNCTION("""COMPUTED_VALUE"""),270.41)</f>
        <v>270.41</v>
      </c>
      <c r="D968" s="2">
        <f>IFERROR(__xludf.DUMMYFUNCTION("""COMPUTED_VALUE"""),261.26)</f>
        <v>261.26</v>
      </c>
      <c r="E968" s="2">
        <f>IFERROR(__xludf.DUMMYFUNCTION("""COMPUTED_VALUE"""),268.99)</f>
        <v>268.99</v>
      </c>
      <c r="F968" s="2">
        <f>IFERROR(__xludf.DUMMYFUNCTION("""COMPUTED_VALUE"""),5845869.0)</f>
        <v>5845869</v>
      </c>
    </row>
    <row r="969">
      <c r="A969" s="3">
        <f>IFERROR(__xludf.DUMMYFUNCTION("""COMPUTED_VALUE"""),38855.645833333336)</f>
        <v>38855.64583</v>
      </c>
      <c r="B969" s="2">
        <f>IFERROR(__xludf.DUMMYFUNCTION("""COMPUTED_VALUE"""),263.74)</f>
        <v>263.74</v>
      </c>
      <c r="C969" s="2">
        <f>IFERROR(__xludf.DUMMYFUNCTION("""COMPUTED_VALUE"""),264.93)</f>
        <v>264.93</v>
      </c>
      <c r="D969" s="2">
        <f>IFERROR(__xludf.DUMMYFUNCTION("""COMPUTED_VALUE"""),245.79)</f>
        <v>245.79</v>
      </c>
      <c r="E969" s="2">
        <f>IFERROR(__xludf.DUMMYFUNCTION("""COMPUTED_VALUE"""),248.83)</f>
        <v>248.83</v>
      </c>
      <c r="F969" s="2">
        <f>IFERROR(__xludf.DUMMYFUNCTION("""COMPUTED_VALUE"""),9549377.0)</f>
        <v>9549377</v>
      </c>
    </row>
    <row r="970">
      <c r="A970" s="3">
        <f>IFERROR(__xludf.DUMMYFUNCTION("""COMPUTED_VALUE"""),38856.645833333336)</f>
        <v>38856.64583</v>
      </c>
      <c r="B970" s="2">
        <f>IFERROR(__xludf.DUMMYFUNCTION("""COMPUTED_VALUE"""),250.12)</f>
        <v>250.12</v>
      </c>
      <c r="C970" s="2">
        <f>IFERROR(__xludf.DUMMYFUNCTION("""COMPUTED_VALUE"""),262.5)</f>
        <v>262.5</v>
      </c>
      <c r="D970" s="2">
        <f>IFERROR(__xludf.DUMMYFUNCTION("""COMPUTED_VALUE"""),238.11)</f>
        <v>238.11</v>
      </c>
      <c r="E970" s="2">
        <f>IFERROR(__xludf.DUMMYFUNCTION("""COMPUTED_VALUE"""),242.22)</f>
        <v>242.22</v>
      </c>
      <c r="F970" s="2">
        <f>IFERROR(__xludf.DUMMYFUNCTION("""COMPUTED_VALUE"""),1.3997755E7)</f>
        <v>13997755</v>
      </c>
    </row>
    <row r="971">
      <c r="A971" s="3">
        <f>IFERROR(__xludf.DUMMYFUNCTION("""COMPUTED_VALUE"""),38859.645833333336)</f>
        <v>38859.64583</v>
      </c>
      <c r="B971" s="2">
        <f>IFERROR(__xludf.DUMMYFUNCTION("""COMPUTED_VALUE"""),246.41)</f>
        <v>246.41</v>
      </c>
      <c r="C971" s="2">
        <f>IFERROR(__xludf.DUMMYFUNCTION("""COMPUTED_VALUE"""),247.4)</f>
        <v>247.4</v>
      </c>
      <c r="D971" s="2">
        <f>IFERROR(__xludf.DUMMYFUNCTION("""COMPUTED_VALUE"""),208.02)</f>
        <v>208.02</v>
      </c>
      <c r="E971" s="2">
        <f>IFERROR(__xludf.DUMMYFUNCTION("""COMPUTED_VALUE"""),230.16)</f>
        <v>230.16</v>
      </c>
      <c r="F971" s="2">
        <f>IFERROR(__xludf.DUMMYFUNCTION("""COMPUTED_VALUE"""),1.2911483E7)</f>
        <v>12911483</v>
      </c>
    </row>
    <row r="972">
      <c r="A972" s="3">
        <f>IFERROR(__xludf.DUMMYFUNCTION("""COMPUTED_VALUE"""),38860.645833333336)</f>
        <v>38860.64583</v>
      </c>
      <c r="B972" s="2">
        <f>IFERROR(__xludf.DUMMYFUNCTION("""COMPUTED_VALUE"""),232.54)</f>
        <v>232.54</v>
      </c>
      <c r="C972" s="2">
        <f>IFERROR(__xludf.DUMMYFUNCTION("""COMPUTED_VALUE"""),242.69)</f>
        <v>242.69</v>
      </c>
      <c r="D972" s="2">
        <f>IFERROR(__xludf.DUMMYFUNCTION("""COMPUTED_VALUE"""),228.13)</f>
        <v>228.13</v>
      </c>
      <c r="E972" s="2">
        <f>IFERROR(__xludf.DUMMYFUNCTION("""COMPUTED_VALUE"""),239.5)</f>
        <v>239.5</v>
      </c>
      <c r="F972" s="2">
        <f>IFERROR(__xludf.DUMMYFUNCTION("""COMPUTED_VALUE"""),8397857.0)</f>
        <v>8397857</v>
      </c>
    </row>
    <row r="973">
      <c r="A973" s="3">
        <f>IFERROR(__xludf.DUMMYFUNCTION("""COMPUTED_VALUE"""),38861.645833333336)</f>
        <v>38861.64583</v>
      </c>
      <c r="B973" s="2">
        <f>IFERROR(__xludf.DUMMYFUNCTION("""COMPUTED_VALUE"""),240.71)</f>
        <v>240.71</v>
      </c>
      <c r="C973" s="2">
        <f>IFERROR(__xludf.DUMMYFUNCTION("""COMPUTED_VALUE"""),240.71)</f>
        <v>240.71</v>
      </c>
      <c r="D973" s="2">
        <f>IFERROR(__xludf.DUMMYFUNCTION("""COMPUTED_VALUE"""),214.21)</f>
        <v>214.21</v>
      </c>
      <c r="E973" s="2">
        <f>IFERROR(__xludf.DUMMYFUNCTION("""COMPUTED_VALUE"""),232.43)</f>
        <v>232.43</v>
      </c>
      <c r="F973" s="2">
        <f>IFERROR(__xludf.DUMMYFUNCTION("""COMPUTED_VALUE"""),1.1456992E7)</f>
        <v>11456992</v>
      </c>
    </row>
    <row r="974">
      <c r="A974" s="3">
        <f>IFERROR(__xludf.DUMMYFUNCTION("""COMPUTED_VALUE"""),38862.645833333336)</f>
        <v>38862.64583</v>
      </c>
      <c r="B974" s="2">
        <f>IFERROR(__xludf.DUMMYFUNCTION("""COMPUTED_VALUE"""),233.87)</f>
        <v>233.87</v>
      </c>
      <c r="C974" s="2">
        <f>IFERROR(__xludf.DUMMYFUNCTION("""COMPUTED_VALUE"""),238.23)</f>
        <v>238.23</v>
      </c>
      <c r="D974" s="2">
        <f>IFERROR(__xludf.DUMMYFUNCTION("""COMPUTED_VALUE"""),228.45)</f>
        <v>228.45</v>
      </c>
      <c r="E974" s="2">
        <f>IFERROR(__xludf.DUMMYFUNCTION("""COMPUTED_VALUE"""),235.26)</f>
        <v>235.26</v>
      </c>
      <c r="F974" s="2">
        <f>IFERROR(__xludf.DUMMYFUNCTION("""COMPUTED_VALUE"""),9098194.0)</f>
        <v>9098194</v>
      </c>
    </row>
    <row r="975">
      <c r="A975" s="3">
        <f>IFERROR(__xludf.DUMMYFUNCTION("""COMPUTED_VALUE"""),38863.645833333336)</f>
        <v>38863.64583</v>
      </c>
      <c r="B975" s="2">
        <f>IFERROR(__xludf.DUMMYFUNCTION("""COMPUTED_VALUE"""),237.74)</f>
        <v>237.74</v>
      </c>
      <c r="C975" s="2">
        <f>IFERROR(__xludf.DUMMYFUNCTION("""COMPUTED_VALUE"""),245.61)</f>
        <v>245.61</v>
      </c>
      <c r="D975" s="2">
        <f>IFERROR(__xludf.DUMMYFUNCTION("""COMPUTED_VALUE"""),235.89)</f>
        <v>235.89</v>
      </c>
      <c r="E975" s="2">
        <f>IFERROR(__xludf.DUMMYFUNCTION("""COMPUTED_VALUE"""),237.37)</f>
        <v>237.37</v>
      </c>
      <c r="F975" s="2">
        <f>IFERROR(__xludf.DUMMYFUNCTION("""COMPUTED_VALUE"""),6631388.0)</f>
        <v>6631388</v>
      </c>
    </row>
    <row r="976">
      <c r="A976" s="3">
        <f>IFERROR(__xludf.DUMMYFUNCTION("""COMPUTED_VALUE"""),38866.645833333336)</f>
        <v>38866.64583</v>
      </c>
      <c r="B976" s="2">
        <f>IFERROR(__xludf.DUMMYFUNCTION("""COMPUTED_VALUE"""),238.23)</f>
        <v>238.23</v>
      </c>
      <c r="C976" s="2">
        <f>IFERROR(__xludf.DUMMYFUNCTION("""COMPUTED_VALUE"""),242.2)</f>
        <v>242.2</v>
      </c>
      <c r="D976" s="2">
        <f>IFERROR(__xludf.DUMMYFUNCTION("""COMPUTED_VALUE"""),235.51)</f>
        <v>235.51</v>
      </c>
      <c r="E976" s="2">
        <f>IFERROR(__xludf.DUMMYFUNCTION("""COMPUTED_VALUE"""),236.73)</f>
        <v>236.73</v>
      </c>
      <c r="F976" s="2">
        <f>IFERROR(__xludf.DUMMYFUNCTION("""COMPUTED_VALUE"""),3726526.0)</f>
        <v>3726526</v>
      </c>
    </row>
    <row r="977">
      <c r="A977" s="3">
        <f>IFERROR(__xludf.DUMMYFUNCTION("""COMPUTED_VALUE"""),38867.645833333336)</f>
        <v>38867.64583</v>
      </c>
      <c r="B977" s="2">
        <f>IFERROR(__xludf.DUMMYFUNCTION("""COMPUTED_VALUE"""),237.66)</f>
        <v>237.66</v>
      </c>
      <c r="C977" s="2">
        <f>IFERROR(__xludf.DUMMYFUNCTION("""COMPUTED_VALUE"""),242.07)</f>
        <v>242.07</v>
      </c>
      <c r="D977" s="2">
        <f>IFERROR(__xludf.DUMMYFUNCTION("""COMPUTED_VALUE"""),234.02)</f>
        <v>234.02</v>
      </c>
      <c r="E977" s="2">
        <f>IFERROR(__xludf.DUMMYFUNCTION("""COMPUTED_VALUE"""),236.49)</f>
        <v>236.49</v>
      </c>
      <c r="F977" s="2">
        <f>IFERROR(__xludf.DUMMYFUNCTION("""COMPUTED_VALUE"""),3546189.0)</f>
        <v>3546189</v>
      </c>
    </row>
    <row r="978">
      <c r="A978" s="3">
        <f>IFERROR(__xludf.DUMMYFUNCTION("""COMPUTED_VALUE"""),38868.645833333336)</f>
        <v>38868.64583</v>
      </c>
      <c r="B978" s="2">
        <f>IFERROR(__xludf.DUMMYFUNCTION("""COMPUTED_VALUE"""),232.29)</f>
        <v>232.29</v>
      </c>
      <c r="C978" s="2">
        <f>IFERROR(__xludf.DUMMYFUNCTION("""COMPUTED_VALUE"""),238.46)</f>
        <v>238.46</v>
      </c>
      <c r="D978" s="2">
        <f>IFERROR(__xludf.DUMMYFUNCTION("""COMPUTED_VALUE"""),225.85)</f>
        <v>225.85</v>
      </c>
      <c r="E978" s="2">
        <f>IFERROR(__xludf.DUMMYFUNCTION("""COMPUTED_VALUE"""),236.29)</f>
        <v>236.29</v>
      </c>
      <c r="F978" s="2">
        <f>IFERROR(__xludf.DUMMYFUNCTION("""COMPUTED_VALUE"""),9106430.0)</f>
        <v>9106430</v>
      </c>
    </row>
    <row r="979">
      <c r="A979" s="3">
        <f>IFERROR(__xludf.DUMMYFUNCTION("""COMPUTED_VALUE"""),38869.645833333336)</f>
        <v>38869.64583</v>
      </c>
      <c r="B979" s="2">
        <f>IFERROR(__xludf.DUMMYFUNCTION("""COMPUTED_VALUE"""),238.98)</f>
        <v>238.98</v>
      </c>
      <c r="C979" s="2">
        <f>IFERROR(__xludf.DUMMYFUNCTION("""COMPUTED_VALUE"""),238.98)</f>
        <v>238.98</v>
      </c>
      <c r="D979" s="2">
        <f>IFERROR(__xludf.DUMMYFUNCTION("""COMPUTED_VALUE"""),229.07)</f>
        <v>229.07</v>
      </c>
      <c r="E979" s="2">
        <f>IFERROR(__xludf.DUMMYFUNCTION("""COMPUTED_VALUE"""),229.16)</f>
        <v>229.16</v>
      </c>
      <c r="F979" s="2">
        <f>IFERROR(__xludf.DUMMYFUNCTION("""COMPUTED_VALUE"""),8935806.0)</f>
        <v>8935806</v>
      </c>
    </row>
    <row r="980">
      <c r="A980" s="3">
        <f>IFERROR(__xludf.DUMMYFUNCTION("""COMPUTED_VALUE"""),38870.645833333336)</f>
        <v>38870.64583</v>
      </c>
      <c r="B980" s="2">
        <f>IFERROR(__xludf.DUMMYFUNCTION("""COMPUTED_VALUE"""),230.31)</f>
        <v>230.31</v>
      </c>
      <c r="C980" s="2">
        <f>IFERROR(__xludf.DUMMYFUNCTION("""COMPUTED_VALUE"""),238.23)</f>
        <v>238.23</v>
      </c>
      <c r="D980" s="2">
        <f>IFERROR(__xludf.DUMMYFUNCTION("""COMPUTED_VALUE"""),229.08)</f>
        <v>229.08</v>
      </c>
      <c r="E980" s="2">
        <f>IFERROR(__xludf.DUMMYFUNCTION("""COMPUTED_VALUE"""),237.27)</f>
        <v>237.27</v>
      </c>
      <c r="F980" s="2">
        <f>IFERROR(__xludf.DUMMYFUNCTION("""COMPUTED_VALUE"""),5698370.0)</f>
        <v>5698370</v>
      </c>
    </row>
    <row r="981">
      <c r="A981" s="3">
        <f>IFERROR(__xludf.DUMMYFUNCTION("""COMPUTED_VALUE"""),38873.645833333336)</f>
        <v>38873.64583</v>
      </c>
      <c r="B981" s="2">
        <f>IFERROR(__xludf.DUMMYFUNCTION("""COMPUTED_VALUE"""),238.23)</f>
        <v>238.23</v>
      </c>
      <c r="C981" s="2">
        <f>IFERROR(__xludf.DUMMYFUNCTION("""COMPUTED_VALUE"""),240.39)</f>
        <v>240.39</v>
      </c>
      <c r="D981" s="2">
        <f>IFERROR(__xludf.DUMMYFUNCTION("""COMPUTED_VALUE"""),229.08)</f>
        <v>229.08</v>
      </c>
      <c r="E981" s="2">
        <f>IFERROR(__xludf.DUMMYFUNCTION("""COMPUTED_VALUE"""),229.16)</f>
        <v>229.16</v>
      </c>
      <c r="F981" s="2">
        <f>IFERROR(__xludf.DUMMYFUNCTION("""COMPUTED_VALUE"""),5848259.0)</f>
        <v>5848259</v>
      </c>
    </row>
    <row r="982">
      <c r="A982" s="3">
        <f>IFERROR(__xludf.DUMMYFUNCTION("""COMPUTED_VALUE"""),38874.645833333336)</f>
        <v>38874.64583</v>
      </c>
      <c r="B982" s="2">
        <f>IFERROR(__xludf.DUMMYFUNCTION("""COMPUTED_VALUE"""),227.83)</f>
        <v>227.83</v>
      </c>
      <c r="C982" s="2">
        <f>IFERROR(__xludf.DUMMYFUNCTION("""COMPUTED_VALUE"""),229.07)</f>
        <v>229.07</v>
      </c>
      <c r="D982" s="2">
        <f>IFERROR(__xludf.DUMMYFUNCTION("""COMPUTED_VALUE"""),222.88)</f>
        <v>222.88</v>
      </c>
      <c r="E982" s="2">
        <f>IFERROR(__xludf.DUMMYFUNCTION("""COMPUTED_VALUE"""),224.49)</f>
        <v>224.49</v>
      </c>
      <c r="F982" s="2">
        <f>IFERROR(__xludf.DUMMYFUNCTION("""COMPUTED_VALUE"""),8414949.0)</f>
        <v>8414949</v>
      </c>
    </row>
    <row r="983">
      <c r="A983" s="3">
        <f>IFERROR(__xludf.DUMMYFUNCTION("""COMPUTED_VALUE"""),38875.645833333336)</f>
        <v>38875.64583</v>
      </c>
      <c r="B983" s="2">
        <f>IFERROR(__xludf.DUMMYFUNCTION("""COMPUTED_VALUE"""),224.12)</f>
        <v>224.12</v>
      </c>
      <c r="C983" s="2">
        <f>IFERROR(__xludf.DUMMYFUNCTION("""COMPUTED_VALUE"""),227.83)</f>
        <v>227.83</v>
      </c>
      <c r="D983" s="2">
        <f>IFERROR(__xludf.DUMMYFUNCTION("""COMPUTED_VALUE"""),217.64)</f>
        <v>217.64</v>
      </c>
      <c r="E983" s="2">
        <f>IFERROR(__xludf.DUMMYFUNCTION("""COMPUTED_VALUE"""),221.15)</f>
        <v>221.15</v>
      </c>
      <c r="F983" s="2">
        <f>IFERROR(__xludf.DUMMYFUNCTION("""COMPUTED_VALUE"""),1.1521168E7)</f>
        <v>11521168</v>
      </c>
    </row>
    <row r="984">
      <c r="A984" s="3">
        <f>IFERROR(__xludf.DUMMYFUNCTION("""COMPUTED_VALUE"""),38876.645833333336)</f>
        <v>38876.64583</v>
      </c>
      <c r="B984" s="2">
        <f>IFERROR(__xludf.DUMMYFUNCTION("""COMPUTED_VALUE"""),218.2)</f>
        <v>218.2</v>
      </c>
      <c r="C984" s="2">
        <f>IFERROR(__xludf.DUMMYFUNCTION("""COMPUTED_VALUE"""),219.16)</f>
        <v>219.16</v>
      </c>
      <c r="D984" s="2">
        <f>IFERROR(__xludf.DUMMYFUNCTION("""COMPUTED_VALUE"""),199.85)</f>
        <v>199.85</v>
      </c>
      <c r="E984" s="2">
        <f>IFERROR(__xludf.DUMMYFUNCTION("""COMPUTED_VALUE"""),204.48)</f>
        <v>204.48</v>
      </c>
      <c r="F984" s="2">
        <f>IFERROR(__xludf.DUMMYFUNCTION("""COMPUTED_VALUE"""),1.1944784E7)</f>
        <v>11944784</v>
      </c>
    </row>
    <row r="985">
      <c r="A985" s="3">
        <f>IFERROR(__xludf.DUMMYFUNCTION("""COMPUTED_VALUE"""),38877.645833333336)</f>
        <v>38877.64583</v>
      </c>
      <c r="B985" s="2">
        <f>IFERROR(__xludf.DUMMYFUNCTION("""COMPUTED_VALUE"""),201.83)</f>
        <v>201.83</v>
      </c>
      <c r="C985" s="2">
        <f>IFERROR(__xludf.DUMMYFUNCTION("""COMPUTED_VALUE"""),230.11)</f>
        <v>230.11</v>
      </c>
      <c r="D985" s="2">
        <f>IFERROR(__xludf.DUMMYFUNCTION("""COMPUTED_VALUE"""),201.83)</f>
        <v>201.83</v>
      </c>
      <c r="E985" s="2">
        <f>IFERROR(__xludf.DUMMYFUNCTION("""COMPUTED_VALUE"""),228.51)</f>
        <v>228.51</v>
      </c>
      <c r="F985" s="2">
        <f>IFERROR(__xludf.DUMMYFUNCTION("""COMPUTED_VALUE"""),1.1297369E7)</f>
        <v>11297369</v>
      </c>
    </row>
    <row r="986">
      <c r="A986" s="3">
        <f>IFERROR(__xludf.DUMMYFUNCTION("""COMPUTED_VALUE"""),38880.645833333336)</f>
        <v>38880.64583</v>
      </c>
      <c r="B986" s="2">
        <f>IFERROR(__xludf.DUMMYFUNCTION("""COMPUTED_VALUE"""),227.34)</f>
        <v>227.34</v>
      </c>
      <c r="C986" s="2">
        <f>IFERROR(__xludf.DUMMYFUNCTION("""COMPUTED_VALUE"""),234.77)</f>
        <v>234.77</v>
      </c>
      <c r="D986" s="2">
        <f>IFERROR(__xludf.DUMMYFUNCTION("""COMPUTED_VALUE"""),221.22)</f>
        <v>221.22</v>
      </c>
      <c r="E986" s="2">
        <f>IFERROR(__xludf.DUMMYFUNCTION("""COMPUTED_VALUE"""),223.14)</f>
        <v>223.14</v>
      </c>
      <c r="F986" s="2">
        <f>IFERROR(__xludf.DUMMYFUNCTION("""COMPUTED_VALUE"""),7039646.0)</f>
        <v>7039646</v>
      </c>
    </row>
    <row r="987">
      <c r="A987" s="3">
        <f>IFERROR(__xludf.DUMMYFUNCTION("""COMPUTED_VALUE"""),38881.645833333336)</f>
        <v>38881.64583</v>
      </c>
      <c r="B987" s="2">
        <f>IFERROR(__xludf.DUMMYFUNCTION("""COMPUTED_VALUE"""),220.4)</f>
        <v>220.4</v>
      </c>
      <c r="C987" s="2">
        <f>IFERROR(__xludf.DUMMYFUNCTION("""COMPUTED_VALUE"""),220.4)</f>
        <v>220.4</v>
      </c>
      <c r="D987" s="2">
        <f>IFERROR(__xludf.DUMMYFUNCTION("""COMPUTED_VALUE"""),210.74)</f>
        <v>210.74</v>
      </c>
      <c r="E987" s="2">
        <f>IFERROR(__xludf.DUMMYFUNCTION("""COMPUTED_VALUE"""),212.64)</f>
        <v>212.64</v>
      </c>
      <c r="F987" s="2">
        <f>IFERROR(__xludf.DUMMYFUNCTION("""COMPUTED_VALUE"""),7244040.0)</f>
        <v>7244040</v>
      </c>
    </row>
    <row r="988">
      <c r="A988" s="3">
        <f>IFERROR(__xludf.DUMMYFUNCTION("""COMPUTED_VALUE"""),38882.645833333336)</f>
        <v>38882.64583</v>
      </c>
      <c r="B988" s="2">
        <f>IFERROR(__xludf.DUMMYFUNCTION("""COMPUTED_VALUE"""),214.21)</f>
        <v>214.21</v>
      </c>
      <c r="C988" s="2">
        <f>IFERROR(__xludf.DUMMYFUNCTION("""COMPUTED_VALUE"""),221.15)</f>
        <v>221.15</v>
      </c>
      <c r="D988" s="2">
        <f>IFERROR(__xludf.DUMMYFUNCTION("""COMPUTED_VALUE"""),208.81)</f>
        <v>208.81</v>
      </c>
      <c r="E988" s="2">
        <f>IFERROR(__xludf.DUMMYFUNCTION("""COMPUTED_VALUE"""),212.59)</f>
        <v>212.59</v>
      </c>
      <c r="F988" s="2">
        <f>IFERROR(__xludf.DUMMYFUNCTION("""COMPUTED_VALUE"""),8583434.0)</f>
        <v>8583434</v>
      </c>
    </row>
    <row r="989">
      <c r="A989" s="3">
        <f>IFERROR(__xludf.DUMMYFUNCTION("""COMPUTED_VALUE"""),38883.645833333336)</f>
        <v>38883.64583</v>
      </c>
      <c r="B989" s="2">
        <f>IFERROR(__xludf.DUMMYFUNCTION("""COMPUTED_VALUE"""),217.18)</f>
        <v>217.18</v>
      </c>
      <c r="C989" s="2">
        <f>IFERROR(__xludf.DUMMYFUNCTION("""COMPUTED_VALUE"""),222.88)</f>
        <v>222.88</v>
      </c>
      <c r="D989" s="2">
        <f>IFERROR(__xludf.DUMMYFUNCTION("""COMPUTED_VALUE"""),216.07)</f>
        <v>216.07</v>
      </c>
      <c r="E989" s="2">
        <f>IFERROR(__xludf.DUMMYFUNCTION("""COMPUTED_VALUE"""),221.73)</f>
        <v>221.73</v>
      </c>
      <c r="F989" s="2">
        <f>IFERROR(__xludf.DUMMYFUNCTION("""COMPUTED_VALUE"""),6000097.0)</f>
        <v>6000097</v>
      </c>
    </row>
    <row r="990">
      <c r="A990" s="3">
        <f>IFERROR(__xludf.DUMMYFUNCTION("""COMPUTED_VALUE"""),38884.645833333336)</f>
        <v>38884.64583</v>
      </c>
      <c r="B990" s="2">
        <f>IFERROR(__xludf.DUMMYFUNCTION("""COMPUTED_VALUE"""),224.86)</f>
        <v>224.86</v>
      </c>
      <c r="C990" s="2">
        <f>IFERROR(__xludf.DUMMYFUNCTION("""COMPUTED_VALUE"""),234.02)</f>
        <v>234.02</v>
      </c>
      <c r="D990" s="2">
        <f>IFERROR(__xludf.DUMMYFUNCTION("""COMPUTED_VALUE"""),224.86)</f>
        <v>224.86</v>
      </c>
      <c r="E990" s="2">
        <f>IFERROR(__xludf.DUMMYFUNCTION("""COMPUTED_VALUE"""),228.23)</f>
        <v>228.23</v>
      </c>
      <c r="F990" s="2">
        <f>IFERROR(__xludf.DUMMYFUNCTION("""COMPUTED_VALUE"""),6956151.0)</f>
        <v>6956151</v>
      </c>
    </row>
    <row r="991">
      <c r="A991" s="3">
        <f>IFERROR(__xludf.DUMMYFUNCTION("""COMPUTED_VALUE"""),38887.645833333336)</f>
        <v>38887.64583</v>
      </c>
      <c r="B991" s="2">
        <f>IFERROR(__xludf.DUMMYFUNCTION("""COMPUTED_VALUE"""),227.34)</f>
        <v>227.34</v>
      </c>
      <c r="C991" s="2">
        <f>IFERROR(__xludf.DUMMYFUNCTION("""COMPUTED_VALUE"""),232.78)</f>
        <v>232.78</v>
      </c>
      <c r="D991" s="2">
        <f>IFERROR(__xludf.DUMMYFUNCTION("""COMPUTED_VALUE"""),223.62)</f>
        <v>223.62</v>
      </c>
      <c r="E991" s="2">
        <f>IFERROR(__xludf.DUMMYFUNCTION("""COMPUTED_VALUE"""),231.22)</f>
        <v>231.22</v>
      </c>
      <c r="F991" s="2">
        <f>IFERROR(__xludf.DUMMYFUNCTION("""COMPUTED_VALUE"""),4003171.0)</f>
        <v>4003171</v>
      </c>
    </row>
    <row r="992">
      <c r="A992" s="3">
        <f>IFERROR(__xludf.DUMMYFUNCTION("""COMPUTED_VALUE"""),38888.645833333336)</f>
        <v>38888.64583</v>
      </c>
      <c r="B992" s="2">
        <f>IFERROR(__xludf.DUMMYFUNCTION("""COMPUTED_VALUE"""),230.31)</f>
        <v>230.31</v>
      </c>
      <c r="C992" s="2">
        <f>IFERROR(__xludf.DUMMYFUNCTION("""COMPUTED_VALUE"""),231.79)</f>
        <v>231.79</v>
      </c>
      <c r="D992" s="2">
        <f>IFERROR(__xludf.DUMMYFUNCTION("""COMPUTED_VALUE"""),226.84)</f>
        <v>226.84</v>
      </c>
      <c r="E992" s="2">
        <f>IFERROR(__xludf.DUMMYFUNCTION("""COMPUTED_VALUE"""),229.07)</f>
        <v>229.07</v>
      </c>
      <c r="F992" s="2">
        <f>IFERROR(__xludf.DUMMYFUNCTION("""COMPUTED_VALUE"""),4529902.0)</f>
        <v>4529902</v>
      </c>
    </row>
    <row r="993">
      <c r="A993" s="3">
        <f>IFERROR(__xludf.DUMMYFUNCTION("""COMPUTED_VALUE"""),38889.645833333336)</f>
        <v>38889.64583</v>
      </c>
      <c r="B993" s="2">
        <f>IFERROR(__xludf.DUMMYFUNCTION("""COMPUTED_VALUE"""),230.31)</f>
        <v>230.31</v>
      </c>
      <c r="C993" s="2">
        <f>IFERROR(__xludf.DUMMYFUNCTION("""COMPUTED_VALUE"""),239.84)</f>
        <v>239.84</v>
      </c>
      <c r="D993" s="2">
        <f>IFERROR(__xludf.DUMMYFUNCTION("""COMPUTED_VALUE"""),227.34)</f>
        <v>227.34</v>
      </c>
      <c r="E993" s="2">
        <f>IFERROR(__xludf.DUMMYFUNCTION("""COMPUTED_VALUE"""),238.77)</f>
        <v>238.77</v>
      </c>
      <c r="F993" s="2">
        <f>IFERROR(__xludf.DUMMYFUNCTION("""COMPUTED_VALUE"""),6496928.0)</f>
        <v>6496928</v>
      </c>
    </row>
    <row r="994">
      <c r="A994" s="3">
        <f>IFERROR(__xludf.DUMMYFUNCTION("""COMPUTED_VALUE"""),38890.645833333336)</f>
        <v>38890.64583</v>
      </c>
      <c r="B994" s="2">
        <f>IFERROR(__xludf.DUMMYFUNCTION("""COMPUTED_VALUE"""),240.21)</f>
        <v>240.21</v>
      </c>
      <c r="C994" s="2">
        <f>IFERROR(__xludf.DUMMYFUNCTION("""COMPUTED_VALUE"""),246.01)</f>
        <v>246.01</v>
      </c>
      <c r="D994" s="2">
        <f>IFERROR(__xludf.DUMMYFUNCTION("""COMPUTED_VALUE"""),239.52)</f>
        <v>239.52</v>
      </c>
      <c r="E994" s="2">
        <f>IFERROR(__xludf.DUMMYFUNCTION("""COMPUTED_VALUE"""),241.48)</f>
        <v>241.48</v>
      </c>
      <c r="F994" s="2">
        <f>IFERROR(__xludf.DUMMYFUNCTION("""COMPUTED_VALUE"""),4852544.0)</f>
        <v>4852544</v>
      </c>
    </row>
    <row r="995">
      <c r="A995" s="3">
        <f>IFERROR(__xludf.DUMMYFUNCTION("""COMPUTED_VALUE"""),38891.645833333336)</f>
        <v>38891.64583</v>
      </c>
      <c r="B995" s="2">
        <f>IFERROR(__xludf.DUMMYFUNCTION("""COMPUTED_VALUE"""),239.72)</f>
        <v>239.72</v>
      </c>
      <c r="C995" s="2">
        <f>IFERROR(__xludf.DUMMYFUNCTION("""COMPUTED_VALUE"""),251.73)</f>
        <v>251.73</v>
      </c>
      <c r="D995" s="2">
        <f>IFERROR(__xludf.DUMMYFUNCTION("""COMPUTED_VALUE"""),235.78)</f>
        <v>235.78</v>
      </c>
      <c r="E995" s="2">
        <f>IFERROR(__xludf.DUMMYFUNCTION("""COMPUTED_VALUE"""),250.59)</f>
        <v>250.59</v>
      </c>
      <c r="F995" s="2">
        <f>IFERROR(__xludf.DUMMYFUNCTION("""COMPUTED_VALUE"""),6031015.0)</f>
        <v>6031015</v>
      </c>
    </row>
    <row r="996">
      <c r="A996" s="3">
        <f>IFERROR(__xludf.DUMMYFUNCTION("""COMPUTED_VALUE"""),38894.645833333336)</f>
        <v>38894.64583</v>
      </c>
      <c r="B996" s="2">
        <f>IFERROR(__xludf.DUMMYFUNCTION("""COMPUTED_VALUE"""),251.36)</f>
        <v>251.36</v>
      </c>
      <c r="C996" s="2">
        <f>IFERROR(__xludf.DUMMYFUNCTION("""COMPUTED_VALUE"""),253.54)</f>
        <v>253.54</v>
      </c>
      <c r="D996" s="2">
        <f>IFERROR(__xludf.DUMMYFUNCTION("""COMPUTED_VALUE"""),242.07)</f>
        <v>242.07</v>
      </c>
      <c r="E996" s="2">
        <f>IFERROR(__xludf.DUMMYFUNCTION("""COMPUTED_VALUE"""),242.99)</f>
        <v>242.99</v>
      </c>
      <c r="F996" s="2">
        <f>IFERROR(__xludf.DUMMYFUNCTION("""COMPUTED_VALUE"""),7047164.0)</f>
        <v>7047164</v>
      </c>
    </row>
    <row r="997">
      <c r="A997" s="3">
        <f>IFERROR(__xludf.DUMMYFUNCTION("""COMPUTED_VALUE"""),38895.645833333336)</f>
        <v>38895.64583</v>
      </c>
      <c r="B997" s="2">
        <f>IFERROR(__xludf.DUMMYFUNCTION("""COMPUTED_VALUE"""),245.91)</f>
        <v>245.91</v>
      </c>
      <c r="C997" s="2">
        <f>IFERROR(__xludf.DUMMYFUNCTION("""COMPUTED_VALUE"""),250.34)</f>
        <v>250.34</v>
      </c>
      <c r="D997" s="2">
        <f>IFERROR(__xludf.DUMMYFUNCTION("""COMPUTED_VALUE"""),242.58)</f>
        <v>242.58</v>
      </c>
      <c r="E997" s="2">
        <f>IFERROR(__xludf.DUMMYFUNCTION("""COMPUTED_VALUE"""),244.11)</f>
        <v>244.11</v>
      </c>
      <c r="F997" s="2">
        <f>IFERROR(__xludf.DUMMYFUNCTION("""COMPUTED_VALUE"""),1.2507571E7)</f>
        <v>12507571</v>
      </c>
    </row>
    <row r="998">
      <c r="A998" s="3">
        <f>IFERROR(__xludf.DUMMYFUNCTION("""COMPUTED_VALUE"""),38896.645833333336)</f>
        <v>38896.64583</v>
      </c>
      <c r="B998" s="2">
        <f>IFERROR(__xludf.DUMMYFUNCTION("""COMPUTED_VALUE"""),238.27)</f>
        <v>238.27</v>
      </c>
      <c r="C998" s="2">
        <f>IFERROR(__xludf.DUMMYFUNCTION("""COMPUTED_VALUE"""),249.13)</f>
        <v>249.13</v>
      </c>
      <c r="D998" s="2">
        <f>IFERROR(__xludf.DUMMYFUNCTION("""COMPUTED_VALUE"""),238.27)</f>
        <v>238.27</v>
      </c>
      <c r="E998" s="2">
        <f>IFERROR(__xludf.DUMMYFUNCTION("""COMPUTED_VALUE"""),247.88)</f>
        <v>247.88</v>
      </c>
      <c r="F998" s="2">
        <f>IFERROR(__xludf.DUMMYFUNCTION("""COMPUTED_VALUE"""),6403778.0)</f>
        <v>6403778</v>
      </c>
    </row>
    <row r="999">
      <c r="A999" s="3">
        <f>IFERROR(__xludf.DUMMYFUNCTION("""COMPUTED_VALUE"""),38897.645833333336)</f>
        <v>38897.64583</v>
      </c>
      <c r="B999" s="2">
        <f>IFERROR(__xludf.DUMMYFUNCTION("""COMPUTED_VALUE"""),253.56)</f>
        <v>253.56</v>
      </c>
      <c r="C999" s="2">
        <f>IFERROR(__xludf.DUMMYFUNCTION("""COMPUTED_VALUE"""),255.07)</f>
        <v>255.07</v>
      </c>
      <c r="D999" s="2">
        <f>IFERROR(__xludf.DUMMYFUNCTION("""COMPUTED_VALUE"""),248.01)</f>
        <v>248.01</v>
      </c>
      <c r="E999" s="2">
        <f>IFERROR(__xludf.DUMMYFUNCTION("""COMPUTED_VALUE"""),249.71)</f>
        <v>249.71</v>
      </c>
      <c r="F999" s="2">
        <f>IFERROR(__xludf.DUMMYFUNCTION("""COMPUTED_VALUE"""),6026607.0)</f>
        <v>6026607</v>
      </c>
    </row>
    <row r="1000">
      <c r="A1000" s="3">
        <f>IFERROR(__xludf.DUMMYFUNCTION("""COMPUTED_VALUE"""),38898.645833333336)</f>
        <v>38898.64583</v>
      </c>
      <c r="B1000" s="2">
        <f>IFERROR(__xludf.DUMMYFUNCTION("""COMPUTED_VALUE"""),253.81)</f>
        <v>253.81</v>
      </c>
      <c r="C1000" s="2">
        <f>IFERROR(__xludf.DUMMYFUNCTION("""COMPUTED_VALUE"""),263.49)</f>
        <v>263.49</v>
      </c>
      <c r="D1000" s="2">
        <f>IFERROR(__xludf.DUMMYFUNCTION("""COMPUTED_VALUE"""),253.81)</f>
        <v>253.81</v>
      </c>
      <c r="E1000" s="2">
        <f>IFERROR(__xludf.DUMMYFUNCTION("""COMPUTED_VALUE"""),262.46)</f>
        <v>262.46</v>
      </c>
      <c r="F1000" s="2">
        <f>IFERROR(__xludf.DUMMYFUNCTION("""COMPUTED_VALUE"""),5951444.0)</f>
        <v>5951444</v>
      </c>
    </row>
    <row r="1001">
      <c r="A1001" s="3">
        <f>IFERROR(__xludf.DUMMYFUNCTION("""COMPUTED_VALUE"""),38901.645833333336)</f>
        <v>38901.64583</v>
      </c>
      <c r="B1001" s="2">
        <f>IFERROR(__xludf.DUMMYFUNCTION("""COMPUTED_VALUE"""),262.91)</f>
        <v>262.91</v>
      </c>
      <c r="C1001" s="2">
        <f>IFERROR(__xludf.DUMMYFUNCTION("""COMPUTED_VALUE"""),267.38)</f>
        <v>267.38</v>
      </c>
      <c r="D1001" s="2">
        <f>IFERROR(__xludf.DUMMYFUNCTION("""COMPUTED_VALUE"""),261.09)</f>
        <v>261.09</v>
      </c>
      <c r="E1001" s="2">
        <f>IFERROR(__xludf.DUMMYFUNCTION("""COMPUTED_VALUE"""),265.25)</f>
        <v>265.25</v>
      </c>
      <c r="F1001" s="2">
        <f>IFERROR(__xludf.DUMMYFUNCTION("""COMPUTED_VALUE"""),4381854.0)</f>
        <v>4381854</v>
      </c>
    </row>
    <row r="1002">
      <c r="A1002" s="3">
        <f>IFERROR(__xludf.DUMMYFUNCTION("""COMPUTED_VALUE"""),38902.645833333336)</f>
        <v>38902.64583</v>
      </c>
      <c r="B1002" s="2">
        <f>IFERROR(__xludf.DUMMYFUNCTION("""COMPUTED_VALUE"""),264.98)</f>
        <v>264.98</v>
      </c>
      <c r="C1002" s="2">
        <f>IFERROR(__xludf.DUMMYFUNCTION("""COMPUTED_VALUE"""),268.37)</f>
        <v>268.37</v>
      </c>
      <c r="D1002" s="2">
        <f>IFERROR(__xludf.DUMMYFUNCTION("""COMPUTED_VALUE"""),264.48)</f>
        <v>264.48</v>
      </c>
      <c r="E1002" s="2">
        <f>IFERROR(__xludf.DUMMYFUNCTION("""COMPUTED_VALUE"""),266.14)</f>
        <v>266.14</v>
      </c>
      <c r="F1002" s="2">
        <f>IFERROR(__xludf.DUMMYFUNCTION("""COMPUTED_VALUE"""),3618844.0)</f>
        <v>3618844</v>
      </c>
    </row>
    <row r="1003">
      <c r="A1003" s="3">
        <f>IFERROR(__xludf.DUMMYFUNCTION("""COMPUTED_VALUE"""),38903.645833333336)</f>
        <v>38903.64583</v>
      </c>
      <c r="B1003" s="2">
        <f>IFERROR(__xludf.DUMMYFUNCTION("""COMPUTED_VALUE"""),265.97)</f>
        <v>265.97</v>
      </c>
      <c r="C1003" s="2">
        <f>IFERROR(__xludf.DUMMYFUNCTION("""COMPUTED_VALUE"""),272.16)</f>
        <v>272.16</v>
      </c>
      <c r="D1003" s="2">
        <f>IFERROR(__xludf.DUMMYFUNCTION("""COMPUTED_VALUE"""),263.78)</f>
        <v>263.78</v>
      </c>
      <c r="E1003" s="2">
        <f>IFERROR(__xludf.DUMMYFUNCTION("""COMPUTED_VALUE"""),270.96)</f>
        <v>270.96</v>
      </c>
      <c r="F1003" s="2">
        <f>IFERROR(__xludf.DUMMYFUNCTION("""COMPUTED_VALUE"""),4376904.0)</f>
        <v>4376904</v>
      </c>
    </row>
    <row r="1004">
      <c r="A1004" s="3">
        <f>IFERROR(__xludf.DUMMYFUNCTION("""COMPUTED_VALUE"""),38904.645833333336)</f>
        <v>38904.64583</v>
      </c>
      <c r="B1004" s="2">
        <f>IFERROR(__xludf.DUMMYFUNCTION("""COMPUTED_VALUE"""),267.43)</f>
        <v>267.43</v>
      </c>
      <c r="C1004" s="2">
        <f>IFERROR(__xludf.DUMMYFUNCTION("""COMPUTED_VALUE"""),270.18)</f>
        <v>270.18</v>
      </c>
      <c r="D1004" s="2">
        <f>IFERROR(__xludf.DUMMYFUNCTION("""COMPUTED_VALUE"""),265.26)</f>
        <v>265.26</v>
      </c>
      <c r="E1004" s="2">
        <f>IFERROR(__xludf.DUMMYFUNCTION("""COMPUTED_VALUE"""),268.26)</f>
        <v>268.26</v>
      </c>
      <c r="F1004" s="2">
        <f>IFERROR(__xludf.DUMMYFUNCTION("""COMPUTED_VALUE"""),4269451.0)</f>
        <v>4269451</v>
      </c>
    </row>
    <row r="1005">
      <c r="A1005" s="3">
        <f>IFERROR(__xludf.DUMMYFUNCTION("""COMPUTED_VALUE"""),38905.645833333336)</f>
        <v>38905.64583</v>
      </c>
      <c r="B1005" s="2">
        <f>IFERROR(__xludf.DUMMYFUNCTION("""COMPUTED_VALUE"""),270.92)</f>
        <v>270.92</v>
      </c>
      <c r="C1005" s="2">
        <f>IFERROR(__xludf.DUMMYFUNCTION("""COMPUTED_VALUE"""),270.92)</f>
        <v>270.92</v>
      </c>
      <c r="D1005" s="2">
        <f>IFERROR(__xludf.DUMMYFUNCTION("""COMPUTED_VALUE"""),254.14)</f>
        <v>254.14</v>
      </c>
      <c r="E1005" s="2">
        <f>IFERROR(__xludf.DUMMYFUNCTION("""COMPUTED_VALUE"""),255.47)</f>
        <v>255.47</v>
      </c>
      <c r="F1005" s="2">
        <f>IFERROR(__xludf.DUMMYFUNCTION("""COMPUTED_VALUE"""),6609409.0)</f>
        <v>6609409</v>
      </c>
    </row>
    <row r="1006">
      <c r="A1006" s="3">
        <f>IFERROR(__xludf.DUMMYFUNCTION("""COMPUTED_VALUE"""),38908.645833333336)</f>
        <v>38908.64583</v>
      </c>
      <c r="B1006" s="2">
        <f>IFERROR(__xludf.DUMMYFUNCTION("""COMPUTED_VALUE"""),256.56)</f>
        <v>256.56</v>
      </c>
      <c r="C1006" s="2">
        <f>IFERROR(__xludf.DUMMYFUNCTION("""COMPUTED_VALUE"""),259.99)</f>
        <v>259.99</v>
      </c>
      <c r="D1006" s="2">
        <f>IFERROR(__xludf.DUMMYFUNCTION("""COMPUTED_VALUE"""),253.39)</f>
        <v>253.39</v>
      </c>
      <c r="E1006" s="2">
        <f>IFERROR(__xludf.DUMMYFUNCTION("""COMPUTED_VALUE"""),258.37)</f>
        <v>258.37</v>
      </c>
      <c r="F1006" s="2">
        <f>IFERROR(__xludf.DUMMYFUNCTION("""COMPUTED_VALUE"""),4474993.0)</f>
        <v>4474993</v>
      </c>
    </row>
    <row r="1007">
      <c r="A1007" s="3">
        <f>IFERROR(__xludf.DUMMYFUNCTION("""COMPUTED_VALUE"""),38909.645833333336)</f>
        <v>38909.64583</v>
      </c>
      <c r="B1007" s="2">
        <f>IFERROR(__xludf.DUMMYFUNCTION("""COMPUTED_VALUE"""),258.79)</f>
        <v>258.79</v>
      </c>
      <c r="C1007" s="2">
        <f>IFERROR(__xludf.DUMMYFUNCTION("""COMPUTED_VALUE"""),260.71)</f>
        <v>260.71</v>
      </c>
      <c r="D1007" s="2">
        <f>IFERROR(__xludf.DUMMYFUNCTION("""COMPUTED_VALUE"""),256.61)</f>
        <v>256.61</v>
      </c>
      <c r="E1007" s="2">
        <f>IFERROR(__xludf.DUMMYFUNCTION("""COMPUTED_VALUE"""),259.83)</f>
        <v>259.83</v>
      </c>
      <c r="F1007" s="2">
        <f>IFERROR(__xludf.DUMMYFUNCTION("""COMPUTED_VALUE"""),3469398.0)</f>
        <v>3469398</v>
      </c>
    </row>
    <row r="1008">
      <c r="A1008" s="3">
        <f>IFERROR(__xludf.DUMMYFUNCTION("""COMPUTED_VALUE"""),38910.645833333336)</f>
        <v>38910.64583</v>
      </c>
      <c r="B1008" s="2">
        <f>IFERROR(__xludf.DUMMYFUNCTION("""COMPUTED_VALUE"""),256.61)</f>
        <v>256.61</v>
      </c>
      <c r="C1008" s="2">
        <f>IFERROR(__xludf.DUMMYFUNCTION("""COMPUTED_VALUE"""),272.41)</f>
        <v>272.41</v>
      </c>
      <c r="D1008" s="2">
        <f>IFERROR(__xludf.DUMMYFUNCTION("""COMPUTED_VALUE"""),250.39)</f>
        <v>250.39</v>
      </c>
      <c r="E1008" s="2">
        <f>IFERROR(__xludf.DUMMYFUNCTION("""COMPUTED_VALUE"""),271.92)</f>
        <v>271.92</v>
      </c>
      <c r="F1008" s="2">
        <f>IFERROR(__xludf.DUMMYFUNCTION("""COMPUTED_VALUE"""),7344439.0)</f>
        <v>7344439</v>
      </c>
    </row>
    <row r="1009">
      <c r="A1009" s="3">
        <f>IFERROR(__xludf.DUMMYFUNCTION("""COMPUTED_VALUE"""),38911.645833333336)</f>
        <v>38911.64583</v>
      </c>
      <c r="B1009" s="2">
        <f>IFERROR(__xludf.DUMMYFUNCTION("""COMPUTED_VALUE"""),269.0)</f>
        <v>269</v>
      </c>
      <c r="C1009" s="2">
        <f>IFERROR(__xludf.DUMMYFUNCTION("""COMPUTED_VALUE"""),271.17)</f>
        <v>271.17</v>
      </c>
      <c r="D1009" s="2">
        <f>IFERROR(__xludf.DUMMYFUNCTION("""COMPUTED_VALUE"""),265.07)</f>
        <v>265.07</v>
      </c>
      <c r="E1009" s="2">
        <f>IFERROR(__xludf.DUMMYFUNCTION("""COMPUTED_VALUE"""),266.33)</f>
        <v>266.33</v>
      </c>
      <c r="F1009" s="2">
        <f>IFERROR(__xludf.DUMMYFUNCTION("""COMPUTED_VALUE"""),3334343.0)</f>
        <v>3334343</v>
      </c>
    </row>
    <row r="1010">
      <c r="A1010" s="3">
        <f>IFERROR(__xludf.DUMMYFUNCTION("""COMPUTED_VALUE"""),38912.645833333336)</f>
        <v>38912.64583</v>
      </c>
      <c r="B1010" s="2">
        <f>IFERROR(__xludf.DUMMYFUNCTION("""COMPUTED_VALUE"""),263.74)</f>
        <v>263.74</v>
      </c>
      <c r="C1010" s="2">
        <f>IFERROR(__xludf.DUMMYFUNCTION("""COMPUTED_VALUE"""),268.2)</f>
        <v>268.2</v>
      </c>
      <c r="D1010" s="2">
        <f>IFERROR(__xludf.DUMMYFUNCTION("""COMPUTED_VALUE"""),260.21)</f>
        <v>260.21</v>
      </c>
      <c r="E1010" s="2">
        <f>IFERROR(__xludf.DUMMYFUNCTION("""COMPUTED_VALUE"""),264.76)</f>
        <v>264.76</v>
      </c>
      <c r="F1010" s="2">
        <f>IFERROR(__xludf.DUMMYFUNCTION("""COMPUTED_VALUE"""),3247287.0)</f>
        <v>3247287</v>
      </c>
    </row>
    <row r="1011">
      <c r="A1011" s="3">
        <f>IFERROR(__xludf.DUMMYFUNCTION("""COMPUTED_VALUE"""),38915.645833333336)</f>
        <v>38915.64583</v>
      </c>
      <c r="B1011" s="2">
        <f>IFERROR(__xludf.DUMMYFUNCTION("""COMPUTED_VALUE"""),262.01)</f>
        <v>262.01</v>
      </c>
      <c r="C1011" s="2">
        <f>IFERROR(__xludf.DUMMYFUNCTION("""COMPUTED_VALUE"""),264.58)</f>
        <v>264.58</v>
      </c>
      <c r="D1011" s="2">
        <f>IFERROR(__xludf.DUMMYFUNCTION("""COMPUTED_VALUE"""),254.52)</f>
        <v>254.52</v>
      </c>
      <c r="E1011" s="2">
        <f>IFERROR(__xludf.DUMMYFUNCTION("""COMPUTED_VALUE"""),255.42)</f>
        <v>255.42</v>
      </c>
      <c r="F1011" s="2">
        <f>IFERROR(__xludf.DUMMYFUNCTION("""COMPUTED_VALUE"""),2941065.0)</f>
        <v>2941065</v>
      </c>
    </row>
    <row r="1012">
      <c r="A1012" s="3">
        <f>IFERROR(__xludf.DUMMYFUNCTION("""COMPUTED_VALUE"""),38916.645833333336)</f>
        <v>38916.64583</v>
      </c>
      <c r="B1012" s="2">
        <f>IFERROR(__xludf.DUMMYFUNCTION("""COMPUTED_VALUE"""),255.82)</f>
        <v>255.82</v>
      </c>
      <c r="C1012" s="2">
        <f>IFERROR(__xludf.DUMMYFUNCTION("""COMPUTED_VALUE"""),257.55)</f>
        <v>257.55</v>
      </c>
      <c r="D1012" s="2">
        <f>IFERROR(__xludf.DUMMYFUNCTION("""COMPUTED_VALUE"""),244.94)</f>
        <v>244.94</v>
      </c>
      <c r="E1012" s="2">
        <f>IFERROR(__xludf.DUMMYFUNCTION("""COMPUTED_VALUE"""),248.73)</f>
        <v>248.73</v>
      </c>
      <c r="F1012" s="2">
        <f>IFERROR(__xludf.DUMMYFUNCTION("""COMPUTED_VALUE"""),6374130.0)</f>
        <v>6374130</v>
      </c>
    </row>
    <row r="1013">
      <c r="A1013" s="3">
        <f>IFERROR(__xludf.DUMMYFUNCTION("""COMPUTED_VALUE"""),38917.645833333336)</f>
        <v>38917.64583</v>
      </c>
      <c r="B1013" s="2">
        <f>IFERROR(__xludf.DUMMYFUNCTION("""COMPUTED_VALUE"""),250.12)</f>
        <v>250.12</v>
      </c>
      <c r="C1013" s="2">
        <f>IFERROR(__xludf.DUMMYFUNCTION("""COMPUTED_VALUE"""),255.05)</f>
        <v>255.05</v>
      </c>
      <c r="D1013" s="2">
        <f>IFERROR(__xludf.DUMMYFUNCTION("""COMPUTED_VALUE"""),241.98)</f>
        <v>241.98</v>
      </c>
      <c r="E1013" s="2">
        <f>IFERROR(__xludf.DUMMYFUNCTION("""COMPUTED_VALUE"""),243.45)</f>
        <v>243.45</v>
      </c>
      <c r="F1013" s="2">
        <f>IFERROR(__xludf.DUMMYFUNCTION("""COMPUTED_VALUE"""),6736611.0)</f>
        <v>6736611</v>
      </c>
    </row>
    <row r="1014">
      <c r="A1014" s="3">
        <f>IFERROR(__xludf.DUMMYFUNCTION("""COMPUTED_VALUE"""),38918.645833333336)</f>
        <v>38918.64583</v>
      </c>
      <c r="B1014" s="2">
        <f>IFERROR(__xludf.DUMMYFUNCTION("""COMPUTED_VALUE"""),246.9)</f>
        <v>246.9</v>
      </c>
      <c r="C1014" s="2">
        <f>IFERROR(__xludf.DUMMYFUNCTION("""COMPUTED_VALUE"""),250.12)</f>
        <v>250.12</v>
      </c>
      <c r="D1014" s="2">
        <f>IFERROR(__xludf.DUMMYFUNCTION("""COMPUTED_VALUE"""),243.99)</f>
        <v>243.99</v>
      </c>
      <c r="E1014" s="2">
        <f>IFERROR(__xludf.DUMMYFUNCTION("""COMPUTED_VALUE"""),246.5)</f>
        <v>246.5</v>
      </c>
      <c r="F1014" s="2">
        <f>IFERROR(__xludf.DUMMYFUNCTION("""COMPUTED_VALUE"""),7203202.0)</f>
        <v>7203202</v>
      </c>
    </row>
    <row r="1015">
      <c r="A1015" s="3">
        <f>IFERROR(__xludf.DUMMYFUNCTION("""COMPUTED_VALUE"""),38919.645833333336)</f>
        <v>38919.64583</v>
      </c>
      <c r="B1015" s="2">
        <f>IFERROR(__xludf.DUMMYFUNCTION("""COMPUTED_VALUE"""),245.17)</f>
        <v>245.17</v>
      </c>
      <c r="C1015" s="2">
        <f>IFERROR(__xludf.DUMMYFUNCTION("""COMPUTED_VALUE"""),246.41)</f>
        <v>246.41</v>
      </c>
      <c r="D1015" s="2">
        <f>IFERROR(__xludf.DUMMYFUNCTION("""COMPUTED_VALUE"""),236.65)</f>
        <v>236.65</v>
      </c>
      <c r="E1015" s="2">
        <f>IFERROR(__xludf.DUMMYFUNCTION("""COMPUTED_VALUE"""),239.61)</f>
        <v>239.61</v>
      </c>
      <c r="F1015" s="2">
        <f>IFERROR(__xludf.DUMMYFUNCTION("""COMPUTED_VALUE"""),6653511.0)</f>
        <v>6653511</v>
      </c>
    </row>
    <row r="1016">
      <c r="A1016" s="3">
        <f>IFERROR(__xludf.DUMMYFUNCTION("""COMPUTED_VALUE"""),38922.645833333336)</f>
        <v>38922.64583</v>
      </c>
      <c r="B1016" s="2">
        <f>IFERROR(__xludf.DUMMYFUNCTION("""COMPUTED_VALUE"""),238.23)</f>
        <v>238.23</v>
      </c>
      <c r="C1016" s="2">
        <f>IFERROR(__xludf.DUMMYFUNCTION("""COMPUTED_VALUE"""),241.45)</f>
        <v>241.45</v>
      </c>
      <c r="D1016" s="2">
        <f>IFERROR(__xludf.DUMMYFUNCTION("""COMPUTED_VALUE"""),233.16)</f>
        <v>233.16</v>
      </c>
      <c r="E1016" s="2">
        <f>IFERROR(__xludf.DUMMYFUNCTION("""COMPUTED_VALUE"""),240.59)</f>
        <v>240.59</v>
      </c>
      <c r="F1016" s="2">
        <f>IFERROR(__xludf.DUMMYFUNCTION("""COMPUTED_VALUE"""),5322776.0)</f>
        <v>5322776</v>
      </c>
    </row>
    <row r="1017">
      <c r="A1017" s="3">
        <f>IFERROR(__xludf.DUMMYFUNCTION("""COMPUTED_VALUE"""),38923.645833333336)</f>
        <v>38923.64583</v>
      </c>
      <c r="B1017" s="2">
        <f>IFERROR(__xludf.DUMMYFUNCTION("""COMPUTED_VALUE"""),243.88)</f>
        <v>243.88</v>
      </c>
      <c r="C1017" s="2">
        <f>IFERROR(__xludf.DUMMYFUNCTION("""COMPUTED_VALUE"""),245.41)</f>
        <v>245.41</v>
      </c>
      <c r="D1017" s="2">
        <f>IFERROR(__xludf.DUMMYFUNCTION("""COMPUTED_VALUE"""),241.95)</f>
        <v>241.95</v>
      </c>
      <c r="E1017" s="2">
        <f>IFERROR(__xludf.DUMMYFUNCTION("""COMPUTED_VALUE"""),244.62)</f>
        <v>244.62</v>
      </c>
      <c r="F1017" s="2">
        <f>IFERROR(__xludf.DUMMYFUNCTION("""COMPUTED_VALUE"""),3152067.0)</f>
        <v>3152067</v>
      </c>
    </row>
    <row r="1018">
      <c r="A1018" s="3">
        <f>IFERROR(__xludf.DUMMYFUNCTION("""COMPUTED_VALUE"""),38924.645833333336)</f>
        <v>38924.64583</v>
      </c>
      <c r="B1018" s="2">
        <f>IFERROR(__xludf.DUMMYFUNCTION("""COMPUTED_VALUE"""),245.17)</f>
        <v>245.17</v>
      </c>
      <c r="C1018" s="2">
        <f>IFERROR(__xludf.DUMMYFUNCTION("""COMPUTED_VALUE"""),248.86)</f>
        <v>248.86</v>
      </c>
      <c r="D1018" s="2">
        <f>IFERROR(__xludf.DUMMYFUNCTION("""COMPUTED_VALUE"""),242.96)</f>
        <v>242.96</v>
      </c>
      <c r="E1018" s="2">
        <f>IFERROR(__xludf.DUMMYFUNCTION("""COMPUTED_VALUE"""),247.62)</f>
        <v>247.62</v>
      </c>
      <c r="F1018" s="2">
        <f>IFERROR(__xludf.DUMMYFUNCTION("""COMPUTED_VALUE"""),2948918.0)</f>
        <v>2948918</v>
      </c>
    </row>
    <row r="1019">
      <c r="A1019" s="3">
        <f>IFERROR(__xludf.DUMMYFUNCTION("""COMPUTED_VALUE"""),38925.645833333336)</f>
        <v>38925.64583</v>
      </c>
      <c r="B1019" s="2">
        <f>IFERROR(__xludf.DUMMYFUNCTION("""COMPUTED_VALUE"""),248.86)</f>
        <v>248.86</v>
      </c>
      <c r="C1019" s="2">
        <f>IFERROR(__xludf.DUMMYFUNCTION("""COMPUTED_VALUE"""),251.56)</f>
        <v>251.56</v>
      </c>
      <c r="D1019" s="2">
        <f>IFERROR(__xludf.DUMMYFUNCTION("""COMPUTED_VALUE"""),244.73)</f>
        <v>244.73</v>
      </c>
      <c r="E1019" s="2">
        <f>IFERROR(__xludf.DUMMYFUNCTION("""COMPUTED_VALUE"""),247.67)</f>
        <v>247.67</v>
      </c>
      <c r="F1019" s="2">
        <f>IFERROR(__xludf.DUMMYFUNCTION("""COMPUTED_VALUE"""),4682950.0)</f>
        <v>4682950</v>
      </c>
    </row>
    <row r="1020">
      <c r="A1020" s="3">
        <f>IFERROR(__xludf.DUMMYFUNCTION("""COMPUTED_VALUE"""),38926.645833333336)</f>
        <v>38926.64583</v>
      </c>
      <c r="B1020" s="2">
        <f>IFERROR(__xludf.DUMMYFUNCTION("""COMPUTED_VALUE"""),249.8)</f>
        <v>249.8</v>
      </c>
      <c r="C1020" s="2">
        <f>IFERROR(__xludf.DUMMYFUNCTION("""COMPUTED_VALUE"""),249.8)</f>
        <v>249.8</v>
      </c>
      <c r="D1020" s="2">
        <f>IFERROR(__xludf.DUMMYFUNCTION("""COMPUTED_VALUE"""),241.2)</f>
        <v>241.2</v>
      </c>
      <c r="E1020" s="2">
        <f>IFERROR(__xludf.DUMMYFUNCTION("""COMPUTED_VALUE"""),242.46)</f>
        <v>242.46</v>
      </c>
      <c r="F1020" s="2">
        <f>IFERROR(__xludf.DUMMYFUNCTION("""COMPUTED_VALUE"""),3609008.0)</f>
        <v>3609008</v>
      </c>
    </row>
    <row r="1021">
      <c r="A1021" s="3">
        <f>IFERROR(__xludf.DUMMYFUNCTION("""COMPUTED_VALUE"""),38929.645833333336)</f>
        <v>38929.64583</v>
      </c>
      <c r="B1021" s="2">
        <f>IFERROR(__xludf.DUMMYFUNCTION("""COMPUTED_VALUE"""),244.67)</f>
        <v>244.67</v>
      </c>
      <c r="C1021" s="2">
        <f>IFERROR(__xludf.DUMMYFUNCTION("""COMPUTED_VALUE"""),247.15)</f>
        <v>247.15</v>
      </c>
      <c r="D1021" s="2">
        <f>IFERROR(__xludf.DUMMYFUNCTION("""COMPUTED_VALUE"""),241.72)</f>
        <v>241.72</v>
      </c>
      <c r="E1021" s="2">
        <f>IFERROR(__xludf.DUMMYFUNCTION("""COMPUTED_VALUE"""),242.39)</f>
        <v>242.39</v>
      </c>
      <c r="F1021" s="2">
        <f>IFERROR(__xludf.DUMMYFUNCTION("""COMPUTED_VALUE"""),3319820.0)</f>
        <v>3319820</v>
      </c>
    </row>
    <row r="1022">
      <c r="A1022" s="3">
        <f>IFERROR(__xludf.DUMMYFUNCTION("""COMPUTED_VALUE"""),38930.645833333336)</f>
        <v>38930.64583</v>
      </c>
      <c r="B1022" s="2">
        <f>IFERROR(__xludf.DUMMYFUNCTION("""COMPUTED_VALUE"""),241.2)</f>
        <v>241.2</v>
      </c>
      <c r="C1022" s="2">
        <f>IFERROR(__xludf.DUMMYFUNCTION("""COMPUTED_VALUE"""),245.4)</f>
        <v>245.4</v>
      </c>
      <c r="D1022" s="2">
        <f>IFERROR(__xludf.DUMMYFUNCTION("""COMPUTED_VALUE"""),241.2)</f>
        <v>241.2</v>
      </c>
      <c r="E1022" s="2">
        <f>IFERROR(__xludf.DUMMYFUNCTION("""COMPUTED_VALUE"""),243.09)</f>
        <v>243.09</v>
      </c>
      <c r="F1022" s="2">
        <f>IFERROR(__xludf.DUMMYFUNCTION("""COMPUTED_VALUE"""),3479516.0)</f>
        <v>3479516</v>
      </c>
    </row>
    <row r="1023">
      <c r="A1023" s="3">
        <f>IFERROR(__xludf.DUMMYFUNCTION("""COMPUTED_VALUE"""),38931.645833333336)</f>
        <v>38931.64583</v>
      </c>
      <c r="B1023" s="2">
        <f>IFERROR(__xludf.DUMMYFUNCTION("""COMPUTED_VALUE"""),242.44)</f>
        <v>242.44</v>
      </c>
      <c r="C1023" s="2">
        <f>IFERROR(__xludf.DUMMYFUNCTION("""COMPUTED_VALUE"""),246.27)</f>
        <v>246.27</v>
      </c>
      <c r="D1023" s="2">
        <f>IFERROR(__xludf.DUMMYFUNCTION("""COMPUTED_VALUE"""),242.44)</f>
        <v>242.44</v>
      </c>
      <c r="E1023" s="2">
        <f>IFERROR(__xludf.DUMMYFUNCTION("""COMPUTED_VALUE"""),245.39)</f>
        <v>245.39</v>
      </c>
      <c r="F1023" s="2">
        <f>IFERROR(__xludf.DUMMYFUNCTION("""COMPUTED_VALUE"""),2060549.0)</f>
        <v>2060549</v>
      </c>
    </row>
    <row r="1024">
      <c r="A1024" s="3">
        <f>IFERROR(__xludf.DUMMYFUNCTION("""COMPUTED_VALUE"""),38932.645833333336)</f>
        <v>38932.64583</v>
      </c>
      <c r="B1024" s="2">
        <f>IFERROR(__xludf.DUMMYFUNCTION("""COMPUTED_VALUE"""),246.41)</f>
        <v>246.41</v>
      </c>
      <c r="C1024" s="2">
        <f>IFERROR(__xludf.DUMMYFUNCTION("""COMPUTED_VALUE"""),249.62)</f>
        <v>249.62</v>
      </c>
      <c r="D1024" s="2">
        <f>IFERROR(__xludf.DUMMYFUNCTION("""COMPUTED_VALUE"""),243.02)</f>
        <v>243.02</v>
      </c>
      <c r="E1024" s="2">
        <f>IFERROR(__xludf.DUMMYFUNCTION("""COMPUTED_VALUE"""),244.67)</f>
        <v>244.67</v>
      </c>
      <c r="F1024" s="2">
        <f>IFERROR(__xludf.DUMMYFUNCTION("""COMPUTED_VALUE"""),3973655.0)</f>
        <v>3973655</v>
      </c>
    </row>
    <row r="1025">
      <c r="A1025" s="3">
        <f>IFERROR(__xludf.DUMMYFUNCTION("""COMPUTED_VALUE"""),38933.645833333336)</f>
        <v>38933.64583</v>
      </c>
      <c r="B1025" s="2">
        <f>IFERROR(__xludf.DUMMYFUNCTION("""COMPUTED_VALUE"""),244.67)</f>
        <v>244.67</v>
      </c>
      <c r="C1025" s="2">
        <f>IFERROR(__xludf.DUMMYFUNCTION("""COMPUTED_VALUE"""),247.52)</f>
        <v>247.52</v>
      </c>
      <c r="D1025" s="2">
        <f>IFERROR(__xludf.DUMMYFUNCTION("""COMPUTED_VALUE"""),238.29)</f>
        <v>238.29</v>
      </c>
      <c r="E1025" s="2">
        <f>IFERROR(__xludf.DUMMYFUNCTION("""COMPUTED_VALUE"""),239.67)</f>
        <v>239.67</v>
      </c>
      <c r="F1025" s="2">
        <f>IFERROR(__xludf.DUMMYFUNCTION("""COMPUTED_VALUE"""),4994599.0)</f>
        <v>4994599</v>
      </c>
    </row>
    <row r="1026">
      <c r="A1026" s="3">
        <f>IFERROR(__xludf.DUMMYFUNCTION("""COMPUTED_VALUE"""),38936.645833333336)</f>
        <v>38936.64583</v>
      </c>
      <c r="B1026" s="2">
        <f>IFERROR(__xludf.DUMMYFUNCTION("""COMPUTED_VALUE"""),239.72)</f>
        <v>239.72</v>
      </c>
      <c r="C1026" s="2">
        <f>IFERROR(__xludf.DUMMYFUNCTION("""COMPUTED_VALUE"""),239.89)</f>
        <v>239.89</v>
      </c>
      <c r="D1026" s="2">
        <f>IFERROR(__xludf.DUMMYFUNCTION("""COMPUTED_VALUE"""),235.76)</f>
        <v>235.76</v>
      </c>
      <c r="E1026" s="2">
        <f>IFERROR(__xludf.DUMMYFUNCTION("""COMPUTED_VALUE"""),236.49)</f>
        <v>236.49</v>
      </c>
      <c r="F1026" s="2">
        <f>IFERROR(__xludf.DUMMYFUNCTION("""COMPUTED_VALUE"""),2432744.0)</f>
        <v>2432744</v>
      </c>
    </row>
    <row r="1027">
      <c r="A1027" s="3">
        <f>IFERROR(__xludf.DUMMYFUNCTION("""COMPUTED_VALUE"""),38937.645833333336)</f>
        <v>38937.64583</v>
      </c>
      <c r="B1027" s="2">
        <f>IFERROR(__xludf.DUMMYFUNCTION("""COMPUTED_VALUE"""),236.62)</f>
        <v>236.62</v>
      </c>
      <c r="C1027" s="2">
        <f>IFERROR(__xludf.DUMMYFUNCTION("""COMPUTED_VALUE"""),242.62)</f>
        <v>242.62</v>
      </c>
      <c r="D1027" s="2">
        <f>IFERROR(__xludf.DUMMYFUNCTION("""COMPUTED_VALUE"""),236.5)</f>
        <v>236.5</v>
      </c>
      <c r="E1027" s="2">
        <f>IFERROR(__xludf.DUMMYFUNCTION("""COMPUTED_VALUE"""),241.98)</f>
        <v>241.98</v>
      </c>
      <c r="F1027" s="2">
        <f>IFERROR(__xludf.DUMMYFUNCTION("""COMPUTED_VALUE"""),2209516.0)</f>
        <v>2209516</v>
      </c>
    </row>
    <row r="1028">
      <c r="A1028" s="3">
        <f>IFERROR(__xludf.DUMMYFUNCTION("""COMPUTED_VALUE"""),38938.645833333336)</f>
        <v>38938.64583</v>
      </c>
      <c r="B1028" s="2">
        <f>IFERROR(__xludf.DUMMYFUNCTION("""COMPUTED_VALUE"""),241.98)</f>
        <v>241.98</v>
      </c>
      <c r="C1028" s="2">
        <f>IFERROR(__xludf.DUMMYFUNCTION("""COMPUTED_VALUE"""),246.75)</f>
        <v>246.75</v>
      </c>
      <c r="D1028" s="2">
        <f>IFERROR(__xludf.DUMMYFUNCTION("""COMPUTED_VALUE"""),240.21)</f>
        <v>240.21</v>
      </c>
      <c r="E1028" s="2">
        <f>IFERROR(__xludf.DUMMYFUNCTION("""COMPUTED_VALUE"""),244.67)</f>
        <v>244.67</v>
      </c>
      <c r="F1028" s="2">
        <f>IFERROR(__xludf.DUMMYFUNCTION("""COMPUTED_VALUE"""),3368611.0)</f>
        <v>3368611</v>
      </c>
    </row>
    <row r="1029">
      <c r="A1029" s="3">
        <f>IFERROR(__xludf.DUMMYFUNCTION("""COMPUTED_VALUE"""),38939.645833333336)</f>
        <v>38939.64583</v>
      </c>
      <c r="B1029" s="2">
        <f>IFERROR(__xludf.DUMMYFUNCTION("""COMPUTED_VALUE"""),244.67)</f>
        <v>244.67</v>
      </c>
      <c r="C1029" s="2">
        <f>IFERROR(__xludf.DUMMYFUNCTION("""COMPUTED_VALUE"""),245.17)</f>
        <v>245.17</v>
      </c>
      <c r="D1029" s="2">
        <f>IFERROR(__xludf.DUMMYFUNCTION("""COMPUTED_VALUE"""),239.52)</f>
        <v>239.52</v>
      </c>
      <c r="E1029" s="2">
        <f>IFERROR(__xludf.DUMMYFUNCTION("""COMPUTED_VALUE"""),242.43)</f>
        <v>242.43</v>
      </c>
      <c r="F1029" s="2">
        <f>IFERROR(__xludf.DUMMYFUNCTION("""COMPUTED_VALUE"""),2701869.0)</f>
        <v>2701869</v>
      </c>
    </row>
    <row r="1030">
      <c r="A1030" s="3">
        <f>IFERROR(__xludf.DUMMYFUNCTION("""COMPUTED_VALUE"""),38940.645833333336)</f>
        <v>38940.64583</v>
      </c>
      <c r="B1030" s="2">
        <f>IFERROR(__xludf.DUMMYFUNCTION("""COMPUTED_VALUE"""),244.15)</f>
        <v>244.15</v>
      </c>
      <c r="C1030" s="2">
        <f>IFERROR(__xludf.DUMMYFUNCTION("""COMPUTED_VALUE"""),251.36)</f>
        <v>251.36</v>
      </c>
      <c r="D1030" s="2">
        <f>IFERROR(__xludf.DUMMYFUNCTION("""COMPUTED_VALUE"""),241.45)</f>
        <v>241.45</v>
      </c>
      <c r="E1030" s="2">
        <f>IFERROR(__xludf.DUMMYFUNCTION("""COMPUTED_VALUE"""),250.37)</f>
        <v>250.37</v>
      </c>
      <c r="F1030" s="2">
        <f>IFERROR(__xludf.DUMMYFUNCTION("""COMPUTED_VALUE"""),5525255.0)</f>
        <v>5525255</v>
      </c>
    </row>
    <row r="1031">
      <c r="A1031" s="3">
        <f>IFERROR(__xludf.DUMMYFUNCTION("""COMPUTED_VALUE"""),38943.645833333336)</f>
        <v>38943.64583</v>
      </c>
      <c r="B1031" s="2">
        <f>IFERROR(__xludf.DUMMYFUNCTION("""COMPUTED_VALUE"""),251.36)</f>
        <v>251.36</v>
      </c>
      <c r="C1031" s="2">
        <f>IFERROR(__xludf.DUMMYFUNCTION("""COMPUTED_VALUE"""),255.57)</f>
        <v>255.57</v>
      </c>
      <c r="D1031" s="2">
        <f>IFERROR(__xludf.DUMMYFUNCTION("""COMPUTED_VALUE"""),248.19)</f>
        <v>248.19</v>
      </c>
      <c r="E1031" s="2">
        <f>IFERROR(__xludf.DUMMYFUNCTION("""COMPUTED_VALUE"""),254.89)</f>
        <v>254.89</v>
      </c>
      <c r="F1031" s="2">
        <f>IFERROR(__xludf.DUMMYFUNCTION("""COMPUTED_VALUE"""),2643615.0)</f>
        <v>2643615</v>
      </c>
    </row>
    <row r="1032">
      <c r="A1032" s="3">
        <f>IFERROR(__xludf.DUMMYFUNCTION("""COMPUTED_VALUE"""),38945.645833333336)</f>
        <v>38945.64583</v>
      </c>
      <c r="B1032" s="2">
        <f>IFERROR(__xludf.DUMMYFUNCTION("""COMPUTED_VALUE"""),256.31)</f>
        <v>256.31</v>
      </c>
      <c r="C1032" s="2">
        <f>IFERROR(__xludf.DUMMYFUNCTION("""COMPUTED_VALUE"""),261.26)</f>
        <v>261.26</v>
      </c>
      <c r="D1032" s="2">
        <f>IFERROR(__xludf.DUMMYFUNCTION("""COMPUTED_VALUE"""),256.09)</f>
        <v>256.09</v>
      </c>
      <c r="E1032" s="2">
        <f>IFERROR(__xludf.DUMMYFUNCTION("""COMPUTED_VALUE"""),259.16)</f>
        <v>259.16</v>
      </c>
      <c r="F1032" s="2">
        <f>IFERROR(__xludf.DUMMYFUNCTION("""COMPUTED_VALUE"""),4117495.0)</f>
        <v>4117495</v>
      </c>
    </row>
    <row r="1033">
      <c r="A1033" s="3">
        <f>IFERROR(__xludf.DUMMYFUNCTION("""COMPUTED_VALUE"""),38946.645833333336)</f>
        <v>38946.64583</v>
      </c>
      <c r="B1033" s="2">
        <f>IFERROR(__xludf.DUMMYFUNCTION("""COMPUTED_VALUE"""),262.25)</f>
        <v>262.25</v>
      </c>
      <c r="C1033" s="2">
        <f>IFERROR(__xludf.DUMMYFUNCTION("""COMPUTED_VALUE"""),265.97)</f>
        <v>265.97</v>
      </c>
      <c r="D1033" s="2">
        <f>IFERROR(__xludf.DUMMYFUNCTION("""COMPUTED_VALUE"""),257.07)</f>
        <v>257.07</v>
      </c>
      <c r="E1033" s="2">
        <f>IFERROR(__xludf.DUMMYFUNCTION("""COMPUTED_VALUE"""),264.01)</f>
        <v>264.01</v>
      </c>
      <c r="F1033" s="2">
        <f>IFERROR(__xludf.DUMMYFUNCTION("""COMPUTED_VALUE"""),5353897.0)</f>
        <v>5353897</v>
      </c>
    </row>
    <row r="1034">
      <c r="A1034" s="3">
        <f>IFERROR(__xludf.DUMMYFUNCTION("""COMPUTED_VALUE"""),38947.645833333336)</f>
        <v>38947.64583</v>
      </c>
      <c r="B1034" s="2">
        <f>IFERROR(__xludf.DUMMYFUNCTION("""COMPUTED_VALUE"""),264.48)</f>
        <v>264.48</v>
      </c>
      <c r="C1034" s="2">
        <f>IFERROR(__xludf.DUMMYFUNCTION("""COMPUTED_VALUE"""),267.08)</f>
        <v>267.08</v>
      </c>
      <c r="D1034" s="2">
        <f>IFERROR(__xludf.DUMMYFUNCTION("""COMPUTED_VALUE"""),259.78)</f>
        <v>259.78</v>
      </c>
      <c r="E1034" s="2">
        <f>IFERROR(__xludf.DUMMYFUNCTION("""COMPUTED_VALUE"""),261.49)</f>
        <v>261.49</v>
      </c>
      <c r="F1034" s="2">
        <f>IFERROR(__xludf.DUMMYFUNCTION("""COMPUTED_VALUE"""),2157694.0)</f>
        <v>2157694</v>
      </c>
    </row>
    <row r="1035">
      <c r="A1035" s="3">
        <f>IFERROR(__xludf.DUMMYFUNCTION("""COMPUTED_VALUE"""),38950.645833333336)</f>
        <v>38950.64583</v>
      </c>
      <c r="B1035" s="2">
        <f>IFERROR(__xludf.DUMMYFUNCTION("""COMPUTED_VALUE"""),261.26)</f>
        <v>261.26</v>
      </c>
      <c r="C1035" s="2">
        <f>IFERROR(__xludf.DUMMYFUNCTION("""COMPUTED_VALUE"""),266.19)</f>
        <v>266.19</v>
      </c>
      <c r="D1035" s="2">
        <f>IFERROR(__xludf.DUMMYFUNCTION("""COMPUTED_VALUE"""),258.79)</f>
        <v>258.79</v>
      </c>
      <c r="E1035" s="2">
        <f>IFERROR(__xludf.DUMMYFUNCTION("""COMPUTED_VALUE"""),264.38)</f>
        <v>264.38</v>
      </c>
      <c r="F1035" s="2">
        <f>IFERROR(__xludf.DUMMYFUNCTION("""COMPUTED_VALUE"""),2365329.0)</f>
        <v>2365329</v>
      </c>
    </row>
    <row r="1036">
      <c r="A1036" s="3">
        <f>IFERROR(__xludf.DUMMYFUNCTION("""COMPUTED_VALUE"""),38951.645833333336)</f>
        <v>38951.64583</v>
      </c>
      <c r="B1036" s="2">
        <f>IFERROR(__xludf.DUMMYFUNCTION("""COMPUTED_VALUE"""),267.45)</f>
        <v>267.45</v>
      </c>
      <c r="C1036" s="2">
        <f>IFERROR(__xludf.DUMMYFUNCTION("""COMPUTED_VALUE"""),268.67)</f>
        <v>268.67</v>
      </c>
      <c r="D1036" s="2">
        <f>IFERROR(__xludf.DUMMYFUNCTION("""COMPUTED_VALUE"""),261.4)</f>
        <v>261.4</v>
      </c>
      <c r="E1036" s="2">
        <f>IFERROR(__xludf.DUMMYFUNCTION("""COMPUTED_VALUE"""),263.69)</f>
        <v>263.69</v>
      </c>
      <c r="F1036" s="2">
        <f>IFERROR(__xludf.DUMMYFUNCTION("""COMPUTED_VALUE"""),3095055.0)</f>
        <v>3095055</v>
      </c>
    </row>
    <row r="1037">
      <c r="A1037" s="3">
        <f>IFERROR(__xludf.DUMMYFUNCTION("""COMPUTED_VALUE"""),38952.645833333336)</f>
        <v>38952.64583</v>
      </c>
      <c r="B1037" s="2">
        <f>IFERROR(__xludf.DUMMYFUNCTION("""COMPUTED_VALUE"""),263.0)</f>
        <v>263</v>
      </c>
      <c r="C1037" s="2">
        <f>IFERROR(__xludf.DUMMYFUNCTION("""COMPUTED_VALUE"""),265.94)</f>
        <v>265.94</v>
      </c>
      <c r="D1037" s="2">
        <f>IFERROR(__xludf.DUMMYFUNCTION("""COMPUTED_VALUE"""),261.3)</f>
        <v>261.3</v>
      </c>
      <c r="E1037" s="2">
        <f>IFERROR(__xludf.DUMMYFUNCTION("""COMPUTED_VALUE"""),262.97)</f>
        <v>262.97</v>
      </c>
      <c r="F1037" s="2">
        <f>IFERROR(__xludf.DUMMYFUNCTION("""COMPUTED_VALUE"""),2384297.0)</f>
        <v>2384297</v>
      </c>
    </row>
    <row r="1038">
      <c r="A1038" s="3">
        <f>IFERROR(__xludf.DUMMYFUNCTION("""COMPUTED_VALUE"""),38953.645833333336)</f>
        <v>38953.64583</v>
      </c>
      <c r="B1038" s="2">
        <f>IFERROR(__xludf.DUMMYFUNCTION("""COMPUTED_VALUE"""),262.5)</f>
        <v>262.5</v>
      </c>
      <c r="C1038" s="2">
        <f>IFERROR(__xludf.DUMMYFUNCTION("""COMPUTED_VALUE"""),277.31)</f>
        <v>277.31</v>
      </c>
      <c r="D1038" s="2">
        <f>IFERROR(__xludf.DUMMYFUNCTION("""COMPUTED_VALUE"""),260.52)</f>
        <v>260.52</v>
      </c>
      <c r="E1038" s="2">
        <f>IFERROR(__xludf.DUMMYFUNCTION("""COMPUTED_VALUE"""),274.1)</f>
        <v>274.1</v>
      </c>
      <c r="F1038" s="2">
        <f>IFERROR(__xludf.DUMMYFUNCTION("""COMPUTED_VALUE"""),5654802.0)</f>
        <v>5654802</v>
      </c>
    </row>
    <row r="1039">
      <c r="A1039" s="3">
        <f>IFERROR(__xludf.DUMMYFUNCTION("""COMPUTED_VALUE"""),38954.645833333336)</f>
        <v>38954.64583</v>
      </c>
      <c r="B1039" s="2">
        <f>IFERROR(__xludf.DUMMYFUNCTION("""COMPUTED_VALUE"""),276.12)</f>
        <v>276.12</v>
      </c>
      <c r="C1039" s="2">
        <f>IFERROR(__xludf.DUMMYFUNCTION("""COMPUTED_VALUE"""),278.6)</f>
        <v>278.6</v>
      </c>
      <c r="D1039" s="2">
        <f>IFERROR(__xludf.DUMMYFUNCTION("""COMPUTED_VALUE"""),272.66)</f>
        <v>272.66</v>
      </c>
      <c r="E1039" s="2">
        <f>IFERROR(__xludf.DUMMYFUNCTION("""COMPUTED_VALUE"""),275.05)</f>
        <v>275.05</v>
      </c>
      <c r="F1039" s="2">
        <f>IFERROR(__xludf.DUMMYFUNCTION("""COMPUTED_VALUE"""),4796556.0)</f>
        <v>4796556</v>
      </c>
    </row>
    <row r="1040">
      <c r="A1040" s="3">
        <f>IFERROR(__xludf.DUMMYFUNCTION("""COMPUTED_VALUE"""),38957.645833333336)</f>
        <v>38957.64583</v>
      </c>
      <c r="B1040" s="2">
        <f>IFERROR(__xludf.DUMMYFUNCTION("""COMPUTED_VALUE"""),275.63)</f>
        <v>275.63</v>
      </c>
      <c r="C1040" s="2">
        <f>IFERROR(__xludf.DUMMYFUNCTION("""COMPUTED_VALUE"""),278.33)</f>
        <v>278.33</v>
      </c>
      <c r="D1040" s="2">
        <f>IFERROR(__xludf.DUMMYFUNCTION("""COMPUTED_VALUE"""),274.18)</f>
        <v>274.18</v>
      </c>
      <c r="E1040" s="2">
        <f>IFERROR(__xludf.DUMMYFUNCTION("""COMPUTED_VALUE"""),277.88)</f>
        <v>277.88</v>
      </c>
      <c r="F1040" s="2">
        <f>IFERROR(__xludf.DUMMYFUNCTION("""COMPUTED_VALUE"""),2073874.0)</f>
        <v>2073874</v>
      </c>
    </row>
    <row r="1041">
      <c r="A1041" s="3">
        <f>IFERROR(__xludf.DUMMYFUNCTION("""COMPUTED_VALUE"""),38958.645833333336)</f>
        <v>38958.64583</v>
      </c>
      <c r="B1041" s="2">
        <f>IFERROR(__xludf.DUMMYFUNCTION("""COMPUTED_VALUE"""),279.81)</f>
        <v>279.81</v>
      </c>
      <c r="C1041" s="2">
        <f>IFERROR(__xludf.DUMMYFUNCTION("""COMPUTED_VALUE"""),282.29)</f>
        <v>282.29</v>
      </c>
      <c r="D1041" s="2">
        <f>IFERROR(__xludf.DUMMYFUNCTION("""COMPUTED_VALUE"""),276.12)</f>
        <v>276.12</v>
      </c>
      <c r="E1041" s="2">
        <f>IFERROR(__xludf.DUMMYFUNCTION("""COMPUTED_VALUE"""),277.08)</f>
        <v>277.08</v>
      </c>
      <c r="F1041" s="2">
        <f>IFERROR(__xludf.DUMMYFUNCTION("""COMPUTED_VALUE"""),3949482.0)</f>
        <v>3949482</v>
      </c>
    </row>
    <row r="1042">
      <c r="A1042" s="3">
        <f>IFERROR(__xludf.DUMMYFUNCTION("""COMPUTED_VALUE"""),38959.645833333336)</f>
        <v>38959.64583</v>
      </c>
      <c r="B1042" s="2">
        <f>IFERROR(__xludf.DUMMYFUNCTION("""COMPUTED_VALUE"""),276.12)</f>
        <v>276.12</v>
      </c>
      <c r="C1042" s="2">
        <f>IFERROR(__xludf.DUMMYFUNCTION("""COMPUTED_VALUE"""),281.08)</f>
        <v>281.08</v>
      </c>
      <c r="D1042" s="2">
        <f>IFERROR(__xludf.DUMMYFUNCTION("""COMPUTED_VALUE"""),274.17)</f>
        <v>274.17</v>
      </c>
      <c r="E1042" s="2">
        <f>IFERROR(__xludf.DUMMYFUNCTION("""COMPUTED_VALUE"""),279.54)</f>
        <v>279.54</v>
      </c>
      <c r="F1042" s="2">
        <f>IFERROR(__xludf.DUMMYFUNCTION("""COMPUTED_VALUE"""),3288304.0)</f>
        <v>3288304</v>
      </c>
    </row>
    <row r="1043">
      <c r="A1043" s="3">
        <f>IFERROR(__xludf.DUMMYFUNCTION("""COMPUTED_VALUE"""),38960.645833333336)</f>
        <v>38960.64583</v>
      </c>
      <c r="B1043" s="2">
        <f>IFERROR(__xludf.DUMMYFUNCTION("""COMPUTED_VALUE"""),257.55)</f>
        <v>257.55</v>
      </c>
      <c r="C1043" s="2">
        <f>IFERROR(__xludf.DUMMYFUNCTION("""COMPUTED_VALUE"""),281.27)</f>
        <v>281.27</v>
      </c>
      <c r="D1043" s="2">
        <f>IFERROR(__xludf.DUMMYFUNCTION("""COMPUTED_VALUE"""),257.55)</f>
        <v>257.55</v>
      </c>
      <c r="E1043" s="2">
        <f>IFERROR(__xludf.DUMMYFUNCTION("""COMPUTED_VALUE"""),276.7)</f>
        <v>276.7</v>
      </c>
      <c r="F1043" s="2">
        <f>IFERROR(__xludf.DUMMYFUNCTION("""COMPUTED_VALUE"""),5138080.0)</f>
        <v>5138080</v>
      </c>
    </row>
    <row r="1044">
      <c r="A1044" s="3">
        <f>IFERROR(__xludf.DUMMYFUNCTION("""COMPUTED_VALUE"""),38961.645833333336)</f>
        <v>38961.64583</v>
      </c>
      <c r="B1044" s="2">
        <f>IFERROR(__xludf.DUMMYFUNCTION("""COMPUTED_VALUE"""),276.12)</f>
        <v>276.12</v>
      </c>
      <c r="C1044" s="2">
        <f>IFERROR(__xludf.DUMMYFUNCTION("""COMPUTED_VALUE"""),279.44)</f>
        <v>279.44</v>
      </c>
      <c r="D1044" s="2">
        <f>IFERROR(__xludf.DUMMYFUNCTION("""COMPUTED_VALUE"""),276.12)</f>
        <v>276.12</v>
      </c>
      <c r="E1044" s="2">
        <f>IFERROR(__xludf.DUMMYFUNCTION("""COMPUTED_VALUE"""),277.98)</f>
        <v>277.98</v>
      </c>
      <c r="F1044" s="2">
        <f>IFERROR(__xludf.DUMMYFUNCTION("""COMPUTED_VALUE"""),2145745.0)</f>
        <v>2145745</v>
      </c>
    </row>
    <row r="1045">
      <c r="A1045" s="3">
        <f>IFERROR(__xludf.DUMMYFUNCTION("""COMPUTED_VALUE"""),38964.645833333336)</f>
        <v>38964.64583</v>
      </c>
      <c r="B1045" s="2">
        <f>IFERROR(__xludf.DUMMYFUNCTION("""COMPUTED_VALUE"""),278.61)</f>
        <v>278.61</v>
      </c>
      <c r="C1045" s="2">
        <f>IFERROR(__xludf.DUMMYFUNCTION("""COMPUTED_VALUE"""),281.81)</f>
        <v>281.81</v>
      </c>
      <c r="D1045" s="2">
        <f>IFERROR(__xludf.DUMMYFUNCTION("""COMPUTED_VALUE"""),278.61)</f>
        <v>278.61</v>
      </c>
      <c r="E1045" s="2">
        <f>IFERROR(__xludf.DUMMYFUNCTION("""COMPUTED_VALUE"""),280.23)</f>
        <v>280.23</v>
      </c>
      <c r="F1045" s="2">
        <f>IFERROR(__xludf.DUMMYFUNCTION("""COMPUTED_VALUE"""),2482734.0)</f>
        <v>2482734</v>
      </c>
    </row>
    <row r="1046">
      <c r="A1046" s="3">
        <f>IFERROR(__xludf.DUMMYFUNCTION("""COMPUTED_VALUE"""),38965.645833333336)</f>
        <v>38965.64583</v>
      </c>
      <c r="B1046" s="2">
        <f>IFERROR(__xludf.DUMMYFUNCTION("""COMPUTED_VALUE"""),278.6)</f>
        <v>278.6</v>
      </c>
      <c r="C1046" s="2">
        <f>IFERROR(__xludf.DUMMYFUNCTION("""COMPUTED_VALUE"""),281.08)</f>
        <v>281.08</v>
      </c>
      <c r="D1046" s="2">
        <f>IFERROR(__xludf.DUMMYFUNCTION("""COMPUTED_VALUE"""),276.37)</f>
        <v>276.37</v>
      </c>
      <c r="E1046" s="2">
        <f>IFERROR(__xludf.DUMMYFUNCTION("""COMPUTED_VALUE"""),278.83)</f>
        <v>278.83</v>
      </c>
      <c r="F1046" s="2">
        <f>IFERROR(__xludf.DUMMYFUNCTION("""COMPUTED_VALUE"""),1488628.0)</f>
        <v>1488628</v>
      </c>
    </row>
    <row r="1047">
      <c r="A1047" s="3">
        <f>IFERROR(__xludf.DUMMYFUNCTION("""COMPUTED_VALUE"""),38966.645833333336)</f>
        <v>38966.64583</v>
      </c>
      <c r="B1047" s="2">
        <f>IFERROR(__xludf.DUMMYFUNCTION("""COMPUTED_VALUE"""),278.85)</f>
        <v>278.85</v>
      </c>
      <c r="C1047" s="2">
        <f>IFERROR(__xludf.DUMMYFUNCTION("""COMPUTED_VALUE"""),283.8)</f>
        <v>283.8</v>
      </c>
      <c r="D1047" s="2">
        <f>IFERROR(__xludf.DUMMYFUNCTION("""COMPUTED_VALUE"""),278.35)</f>
        <v>278.35</v>
      </c>
      <c r="E1047" s="2">
        <f>IFERROR(__xludf.DUMMYFUNCTION("""COMPUTED_VALUE"""),281.69)</f>
        <v>281.69</v>
      </c>
      <c r="F1047" s="2">
        <f>IFERROR(__xludf.DUMMYFUNCTION("""COMPUTED_VALUE"""),3579830.0)</f>
        <v>3579830</v>
      </c>
    </row>
    <row r="1048">
      <c r="A1048" s="3">
        <f>IFERROR(__xludf.DUMMYFUNCTION("""COMPUTED_VALUE"""),38967.645833333336)</f>
        <v>38967.64583</v>
      </c>
      <c r="B1048" s="2">
        <f>IFERROR(__xludf.DUMMYFUNCTION("""COMPUTED_VALUE"""),281.08)</f>
        <v>281.08</v>
      </c>
      <c r="C1048" s="2">
        <f>IFERROR(__xludf.DUMMYFUNCTION("""COMPUTED_VALUE"""),281.08)</f>
        <v>281.08</v>
      </c>
      <c r="D1048" s="2">
        <f>IFERROR(__xludf.DUMMYFUNCTION("""COMPUTED_VALUE"""),277.43)</f>
        <v>277.43</v>
      </c>
      <c r="E1048" s="2">
        <f>IFERROR(__xludf.DUMMYFUNCTION("""COMPUTED_VALUE"""),278.77)</f>
        <v>278.77</v>
      </c>
      <c r="F1048" s="2">
        <f>IFERROR(__xludf.DUMMYFUNCTION("""COMPUTED_VALUE"""),2806030.0)</f>
        <v>2806030</v>
      </c>
    </row>
    <row r="1049">
      <c r="A1049" s="3">
        <f>IFERROR(__xludf.DUMMYFUNCTION("""COMPUTED_VALUE"""),38968.645833333336)</f>
        <v>38968.64583</v>
      </c>
      <c r="B1049" s="2">
        <f>IFERROR(__xludf.DUMMYFUNCTION("""COMPUTED_VALUE"""),279.84)</f>
        <v>279.84</v>
      </c>
      <c r="C1049" s="2">
        <f>IFERROR(__xludf.DUMMYFUNCTION("""COMPUTED_VALUE"""),280.94)</f>
        <v>280.94</v>
      </c>
      <c r="D1049" s="2">
        <f>IFERROR(__xludf.DUMMYFUNCTION("""COMPUTED_VALUE"""),275.5)</f>
        <v>275.5</v>
      </c>
      <c r="E1049" s="2">
        <f>IFERROR(__xludf.DUMMYFUNCTION("""COMPUTED_VALUE"""),280.04)</f>
        <v>280.04</v>
      </c>
      <c r="F1049" s="2">
        <f>IFERROR(__xludf.DUMMYFUNCTION("""COMPUTED_VALUE"""),4495580.0)</f>
        <v>4495580</v>
      </c>
    </row>
    <row r="1050">
      <c r="A1050" s="3">
        <f>IFERROR(__xludf.DUMMYFUNCTION("""COMPUTED_VALUE"""),38971.645833333336)</f>
        <v>38971.64583</v>
      </c>
      <c r="B1050" s="2">
        <f>IFERROR(__xludf.DUMMYFUNCTION("""COMPUTED_VALUE"""),280.33)</f>
        <v>280.33</v>
      </c>
      <c r="C1050" s="2">
        <f>IFERROR(__xludf.DUMMYFUNCTION("""COMPUTED_VALUE"""),281.06)</f>
        <v>281.06</v>
      </c>
      <c r="D1050" s="2">
        <f>IFERROR(__xludf.DUMMYFUNCTION("""COMPUTED_VALUE"""),268.2)</f>
        <v>268.2</v>
      </c>
      <c r="E1050" s="2">
        <f>IFERROR(__xludf.DUMMYFUNCTION("""COMPUTED_VALUE"""),269.36)</f>
        <v>269.36</v>
      </c>
      <c r="F1050" s="2">
        <f>IFERROR(__xludf.DUMMYFUNCTION("""COMPUTED_VALUE"""),4762799.0)</f>
        <v>4762799</v>
      </c>
    </row>
    <row r="1051">
      <c r="A1051" s="3">
        <f>IFERROR(__xludf.DUMMYFUNCTION("""COMPUTED_VALUE"""),38972.645833333336)</f>
        <v>38972.64583</v>
      </c>
      <c r="B1051" s="2">
        <f>IFERROR(__xludf.DUMMYFUNCTION("""COMPUTED_VALUE"""),270.43)</f>
        <v>270.43</v>
      </c>
      <c r="C1051" s="2">
        <f>IFERROR(__xludf.DUMMYFUNCTION("""COMPUTED_VALUE"""),274.82)</f>
        <v>274.82</v>
      </c>
      <c r="D1051" s="2">
        <f>IFERROR(__xludf.DUMMYFUNCTION("""COMPUTED_VALUE"""),265.75)</f>
        <v>265.75</v>
      </c>
      <c r="E1051" s="2">
        <f>IFERROR(__xludf.DUMMYFUNCTION("""COMPUTED_VALUE"""),274.1)</f>
        <v>274.1</v>
      </c>
      <c r="F1051" s="2">
        <f>IFERROR(__xludf.DUMMYFUNCTION("""COMPUTED_VALUE"""),5799339.0)</f>
        <v>5799339</v>
      </c>
    </row>
    <row r="1052">
      <c r="A1052" s="3">
        <f>IFERROR(__xludf.DUMMYFUNCTION("""COMPUTED_VALUE"""),38973.645833333336)</f>
        <v>38973.64583</v>
      </c>
      <c r="B1052" s="2">
        <f>IFERROR(__xludf.DUMMYFUNCTION("""COMPUTED_VALUE"""),275.33)</f>
        <v>275.33</v>
      </c>
      <c r="C1052" s="2">
        <f>IFERROR(__xludf.DUMMYFUNCTION("""COMPUTED_VALUE"""),278.67)</f>
        <v>278.67</v>
      </c>
      <c r="D1052" s="2">
        <f>IFERROR(__xludf.DUMMYFUNCTION("""COMPUTED_VALUE"""),275.13)</f>
        <v>275.13</v>
      </c>
      <c r="E1052" s="2">
        <f>IFERROR(__xludf.DUMMYFUNCTION("""COMPUTED_VALUE"""),276.41)</f>
        <v>276.41</v>
      </c>
      <c r="F1052" s="2">
        <f>IFERROR(__xludf.DUMMYFUNCTION("""COMPUTED_VALUE"""),4004791.0)</f>
        <v>4004791</v>
      </c>
    </row>
    <row r="1053">
      <c r="A1053" s="3">
        <f>IFERROR(__xludf.DUMMYFUNCTION("""COMPUTED_VALUE"""),38974.645833333336)</f>
        <v>38974.64583</v>
      </c>
      <c r="B1053" s="2">
        <f>IFERROR(__xludf.DUMMYFUNCTION("""COMPUTED_VALUE"""),277.36)</f>
        <v>277.36</v>
      </c>
      <c r="C1053" s="2">
        <f>IFERROR(__xludf.DUMMYFUNCTION("""COMPUTED_VALUE"""),281.55)</f>
        <v>281.55</v>
      </c>
      <c r="D1053" s="2">
        <f>IFERROR(__xludf.DUMMYFUNCTION("""COMPUTED_VALUE"""),276.32)</f>
        <v>276.32</v>
      </c>
      <c r="E1053" s="2">
        <f>IFERROR(__xludf.DUMMYFUNCTION("""COMPUTED_VALUE"""),278.93)</f>
        <v>278.93</v>
      </c>
      <c r="F1053" s="2">
        <f>IFERROR(__xludf.DUMMYFUNCTION("""COMPUTED_VALUE"""),3167438.0)</f>
        <v>3167438</v>
      </c>
    </row>
    <row r="1054">
      <c r="A1054" s="3">
        <f>IFERROR(__xludf.DUMMYFUNCTION("""COMPUTED_VALUE"""),38975.645833333336)</f>
        <v>38975.64583</v>
      </c>
      <c r="B1054" s="2">
        <f>IFERROR(__xludf.DUMMYFUNCTION("""COMPUTED_VALUE"""),279.09)</f>
        <v>279.09</v>
      </c>
      <c r="C1054" s="2">
        <f>IFERROR(__xludf.DUMMYFUNCTION("""COMPUTED_VALUE"""),283.3)</f>
        <v>283.3</v>
      </c>
      <c r="D1054" s="2">
        <f>IFERROR(__xludf.DUMMYFUNCTION("""COMPUTED_VALUE"""),275.94)</f>
        <v>275.94</v>
      </c>
      <c r="E1054" s="2">
        <f>IFERROR(__xludf.DUMMYFUNCTION("""COMPUTED_VALUE"""),282.46)</f>
        <v>282.46</v>
      </c>
      <c r="F1054" s="2">
        <f>IFERROR(__xludf.DUMMYFUNCTION("""COMPUTED_VALUE"""),3008309.0)</f>
        <v>3008309</v>
      </c>
    </row>
    <row r="1055">
      <c r="A1055" s="3">
        <f>IFERROR(__xludf.DUMMYFUNCTION("""COMPUTED_VALUE"""),38978.645833333336)</f>
        <v>38978.64583</v>
      </c>
      <c r="B1055" s="2">
        <f>IFERROR(__xludf.DUMMYFUNCTION("""COMPUTED_VALUE"""),283.55)</f>
        <v>283.55</v>
      </c>
      <c r="C1055" s="2">
        <f>IFERROR(__xludf.DUMMYFUNCTION("""COMPUTED_VALUE"""),284.95)</f>
        <v>284.95</v>
      </c>
      <c r="D1055" s="2">
        <f>IFERROR(__xludf.DUMMYFUNCTION("""COMPUTED_VALUE"""),278.64)</f>
        <v>278.64</v>
      </c>
      <c r="E1055" s="2">
        <f>IFERROR(__xludf.DUMMYFUNCTION("""COMPUTED_VALUE"""),280.69)</f>
        <v>280.69</v>
      </c>
      <c r="F1055" s="2">
        <f>IFERROR(__xludf.DUMMYFUNCTION("""COMPUTED_VALUE"""),2757594.0)</f>
        <v>2757594</v>
      </c>
    </row>
    <row r="1056">
      <c r="A1056" s="3">
        <f>IFERROR(__xludf.DUMMYFUNCTION("""COMPUTED_VALUE"""),38979.645833333336)</f>
        <v>38979.64583</v>
      </c>
      <c r="B1056" s="2">
        <f>IFERROR(__xludf.DUMMYFUNCTION("""COMPUTED_VALUE"""),281.08)</f>
        <v>281.08</v>
      </c>
      <c r="C1056" s="2">
        <f>IFERROR(__xludf.DUMMYFUNCTION("""COMPUTED_VALUE"""),283.65)</f>
        <v>283.65</v>
      </c>
      <c r="D1056" s="2">
        <f>IFERROR(__xludf.DUMMYFUNCTION("""COMPUTED_VALUE"""),274.64)</f>
        <v>274.64</v>
      </c>
      <c r="E1056" s="2">
        <f>IFERROR(__xludf.DUMMYFUNCTION("""COMPUTED_VALUE"""),276.83)</f>
        <v>276.83</v>
      </c>
      <c r="F1056" s="2">
        <f>IFERROR(__xludf.DUMMYFUNCTION("""COMPUTED_VALUE"""),3060577.0)</f>
        <v>3060577</v>
      </c>
    </row>
    <row r="1057">
      <c r="A1057" s="3">
        <f>IFERROR(__xludf.DUMMYFUNCTION("""COMPUTED_VALUE"""),38980.645833333336)</f>
        <v>38980.64583</v>
      </c>
      <c r="B1057" s="2">
        <f>IFERROR(__xludf.DUMMYFUNCTION("""COMPUTED_VALUE"""),275.87)</f>
        <v>275.87</v>
      </c>
      <c r="C1057" s="2">
        <f>IFERROR(__xludf.DUMMYFUNCTION("""COMPUTED_VALUE"""),280.28)</f>
        <v>280.28</v>
      </c>
      <c r="D1057" s="2">
        <f>IFERROR(__xludf.DUMMYFUNCTION("""COMPUTED_VALUE"""),273.66)</f>
        <v>273.66</v>
      </c>
      <c r="E1057" s="2">
        <f>IFERROR(__xludf.DUMMYFUNCTION("""COMPUTED_VALUE"""),279.38)</f>
        <v>279.38</v>
      </c>
      <c r="F1057" s="2">
        <f>IFERROR(__xludf.DUMMYFUNCTION("""COMPUTED_VALUE"""),3127726.0)</f>
        <v>3127726</v>
      </c>
    </row>
    <row r="1058">
      <c r="A1058" s="3">
        <f>IFERROR(__xludf.DUMMYFUNCTION("""COMPUTED_VALUE"""),38981.645833333336)</f>
        <v>38981.64583</v>
      </c>
      <c r="B1058" s="2">
        <f>IFERROR(__xludf.DUMMYFUNCTION("""COMPUTED_VALUE"""),280.62)</f>
        <v>280.62</v>
      </c>
      <c r="C1058" s="2">
        <f>IFERROR(__xludf.DUMMYFUNCTION("""COMPUTED_VALUE"""),283.23)</f>
        <v>283.23</v>
      </c>
      <c r="D1058" s="2">
        <f>IFERROR(__xludf.DUMMYFUNCTION("""COMPUTED_VALUE"""),279.9)</f>
        <v>279.9</v>
      </c>
      <c r="E1058" s="2">
        <f>IFERROR(__xludf.DUMMYFUNCTION("""COMPUTED_VALUE"""),282.04)</f>
        <v>282.04</v>
      </c>
      <c r="F1058" s="2">
        <f>IFERROR(__xludf.DUMMYFUNCTION("""COMPUTED_VALUE"""),3702426.0)</f>
        <v>3702426</v>
      </c>
    </row>
    <row r="1059">
      <c r="A1059" s="3">
        <f>IFERROR(__xludf.DUMMYFUNCTION("""COMPUTED_VALUE"""),38982.645833333336)</f>
        <v>38982.64583</v>
      </c>
      <c r="B1059" s="2">
        <f>IFERROR(__xludf.DUMMYFUNCTION("""COMPUTED_VALUE"""),281.01)</f>
        <v>281.01</v>
      </c>
      <c r="C1059" s="2">
        <f>IFERROR(__xludf.DUMMYFUNCTION("""COMPUTED_VALUE"""),286.99)</f>
        <v>286.99</v>
      </c>
      <c r="D1059" s="2">
        <f>IFERROR(__xludf.DUMMYFUNCTION("""COMPUTED_VALUE"""),279.34)</f>
        <v>279.34</v>
      </c>
      <c r="E1059" s="2">
        <f>IFERROR(__xludf.DUMMYFUNCTION("""COMPUTED_VALUE"""),286.28)</f>
        <v>286.28</v>
      </c>
      <c r="F1059" s="2">
        <f>IFERROR(__xludf.DUMMYFUNCTION("""COMPUTED_VALUE"""),5310389.0)</f>
        <v>5310389</v>
      </c>
    </row>
    <row r="1060">
      <c r="A1060" s="3">
        <f>IFERROR(__xludf.DUMMYFUNCTION("""COMPUTED_VALUE"""),38985.645833333336)</f>
        <v>38985.64583</v>
      </c>
      <c r="B1060" s="2">
        <f>IFERROR(__xludf.DUMMYFUNCTION("""COMPUTED_VALUE"""),287.22)</f>
        <v>287.22</v>
      </c>
      <c r="C1060" s="2">
        <f>IFERROR(__xludf.DUMMYFUNCTION("""COMPUTED_VALUE"""),290.98)</f>
        <v>290.98</v>
      </c>
      <c r="D1060" s="2">
        <f>IFERROR(__xludf.DUMMYFUNCTION("""COMPUTED_VALUE"""),286.28)</f>
        <v>286.28</v>
      </c>
      <c r="E1060" s="2">
        <f>IFERROR(__xludf.DUMMYFUNCTION("""COMPUTED_VALUE"""),288.03)</f>
        <v>288.03</v>
      </c>
      <c r="F1060" s="2">
        <f>IFERROR(__xludf.DUMMYFUNCTION("""COMPUTED_VALUE"""),4309600.0)</f>
        <v>4309600</v>
      </c>
    </row>
    <row r="1061">
      <c r="A1061" s="3">
        <f>IFERROR(__xludf.DUMMYFUNCTION("""COMPUTED_VALUE"""),38986.645833333336)</f>
        <v>38986.64583</v>
      </c>
      <c r="B1061" s="2">
        <f>IFERROR(__xludf.DUMMYFUNCTION("""COMPUTED_VALUE"""),288.26)</f>
        <v>288.26</v>
      </c>
      <c r="C1061" s="2">
        <f>IFERROR(__xludf.DUMMYFUNCTION("""COMPUTED_VALUE"""),292.71)</f>
        <v>292.71</v>
      </c>
      <c r="D1061" s="2">
        <f>IFERROR(__xludf.DUMMYFUNCTION("""COMPUTED_VALUE"""),287.3)</f>
        <v>287.3</v>
      </c>
      <c r="E1061" s="2">
        <f>IFERROR(__xludf.DUMMYFUNCTION("""COMPUTED_VALUE"""),292.0)</f>
        <v>292</v>
      </c>
      <c r="F1061" s="2">
        <f>IFERROR(__xludf.DUMMYFUNCTION("""COMPUTED_VALUE"""),3786786.0)</f>
        <v>3786786</v>
      </c>
    </row>
    <row r="1062">
      <c r="A1062" s="3">
        <f>IFERROR(__xludf.DUMMYFUNCTION("""COMPUTED_VALUE"""),38987.645833333336)</f>
        <v>38987.64583</v>
      </c>
      <c r="B1062" s="2">
        <f>IFERROR(__xludf.DUMMYFUNCTION("""COMPUTED_VALUE"""),293.71)</f>
        <v>293.71</v>
      </c>
      <c r="C1062" s="2">
        <f>IFERROR(__xludf.DUMMYFUNCTION("""COMPUTED_VALUE"""),296.38)</f>
        <v>296.38</v>
      </c>
      <c r="D1062" s="2">
        <f>IFERROR(__xludf.DUMMYFUNCTION("""COMPUTED_VALUE"""),289.8)</f>
        <v>289.8</v>
      </c>
      <c r="E1062" s="2">
        <f>IFERROR(__xludf.DUMMYFUNCTION("""COMPUTED_VALUE"""),290.75)</f>
        <v>290.75</v>
      </c>
      <c r="F1062" s="2">
        <f>IFERROR(__xludf.DUMMYFUNCTION("""COMPUTED_VALUE"""),2420909.0)</f>
        <v>2420909</v>
      </c>
    </row>
    <row r="1063">
      <c r="A1063" s="3">
        <f>IFERROR(__xludf.DUMMYFUNCTION("""COMPUTED_VALUE"""),38988.645833333336)</f>
        <v>38988.64583</v>
      </c>
      <c r="B1063" s="2">
        <f>IFERROR(__xludf.DUMMYFUNCTION("""COMPUTED_VALUE"""),290.04)</f>
        <v>290.04</v>
      </c>
      <c r="C1063" s="2">
        <f>IFERROR(__xludf.DUMMYFUNCTION("""COMPUTED_VALUE"""),292.22)</f>
        <v>292.22</v>
      </c>
      <c r="D1063" s="2">
        <f>IFERROR(__xludf.DUMMYFUNCTION("""COMPUTED_VALUE"""),288.01)</f>
        <v>288.01</v>
      </c>
      <c r="E1063" s="2">
        <f>IFERROR(__xludf.DUMMYFUNCTION("""COMPUTED_VALUE"""),289.25)</f>
        <v>289.25</v>
      </c>
      <c r="F1063" s="2">
        <f>IFERROR(__xludf.DUMMYFUNCTION("""COMPUTED_VALUE"""),3831187.0)</f>
        <v>3831187</v>
      </c>
    </row>
    <row r="1064">
      <c r="A1064" s="3">
        <f>IFERROR(__xludf.DUMMYFUNCTION("""COMPUTED_VALUE"""),38989.645833333336)</f>
        <v>38989.64583</v>
      </c>
      <c r="B1064" s="2">
        <f>IFERROR(__xludf.DUMMYFUNCTION("""COMPUTED_VALUE"""),294.65)</f>
        <v>294.65</v>
      </c>
      <c r="C1064" s="2">
        <f>IFERROR(__xludf.DUMMYFUNCTION("""COMPUTED_VALUE"""),294.65)</f>
        <v>294.65</v>
      </c>
      <c r="D1064" s="2">
        <f>IFERROR(__xludf.DUMMYFUNCTION("""COMPUTED_VALUE"""),289.52)</f>
        <v>289.52</v>
      </c>
      <c r="E1064" s="2">
        <f>IFERROR(__xludf.DUMMYFUNCTION("""COMPUTED_VALUE"""),290.18)</f>
        <v>290.18</v>
      </c>
      <c r="F1064" s="2">
        <f>IFERROR(__xludf.DUMMYFUNCTION("""COMPUTED_VALUE"""),2026064.0)</f>
        <v>2026064</v>
      </c>
    </row>
    <row r="1065">
      <c r="A1065" s="3">
        <f>IFERROR(__xludf.DUMMYFUNCTION("""COMPUTED_VALUE"""),38993.645833333336)</f>
        <v>38993.64583</v>
      </c>
      <c r="B1065" s="2">
        <f>IFERROR(__xludf.DUMMYFUNCTION("""COMPUTED_VALUE"""),288.57)</f>
        <v>288.57</v>
      </c>
      <c r="C1065" s="2">
        <f>IFERROR(__xludf.DUMMYFUNCTION("""COMPUTED_VALUE"""),291.32)</f>
        <v>291.32</v>
      </c>
      <c r="D1065" s="2">
        <f>IFERROR(__xludf.DUMMYFUNCTION("""COMPUTED_VALUE"""),287.27)</f>
        <v>287.27</v>
      </c>
      <c r="E1065" s="2">
        <f>IFERROR(__xludf.DUMMYFUNCTION("""COMPUTED_VALUE"""),287.71)</f>
        <v>287.71</v>
      </c>
      <c r="F1065" s="2">
        <f>IFERROR(__xludf.DUMMYFUNCTION("""COMPUTED_VALUE"""),1039522.0)</f>
        <v>1039522</v>
      </c>
    </row>
    <row r="1066">
      <c r="A1066" s="3">
        <f>IFERROR(__xludf.DUMMYFUNCTION("""COMPUTED_VALUE"""),38994.645833333336)</f>
        <v>38994.64583</v>
      </c>
      <c r="B1066" s="2">
        <f>IFERROR(__xludf.DUMMYFUNCTION("""COMPUTED_VALUE"""),288.5)</f>
        <v>288.5</v>
      </c>
      <c r="C1066" s="2">
        <f>IFERROR(__xludf.DUMMYFUNCTION("""COMPUTED_VALUE"""),289.0)</f>
        <v>289</v>
      </c>
      <c r="D1066" s="2">
        <f>IFERROR(__xludf.DUMMYFUNCTION("""COMPUTED_VALUE"""),283.06)</f>
        <v>283.06</v>
      </c>
      <c r="E1066" s="2">
        <f>IFERROR(__xludf.DUMMYFUNCTION("""COMPUTED_VALUE"""),284.55)</f>
        <v>284.55</v>
      </c>
      <c r="F1066" s="2">
        <f>IFERROR(__xludf.DUMMYFUNCTION("""COMPUTED_VALUE"""),5087322.0)</f>
        <v>5087322</v>
      </c>
    </row>
    <row r="1067">
      <c r="A1067" s="3">
        <f>IFERROR(__xludf.DUMMYFUNCTION("""COMPUTED_VALUE"""),38995.645833333336)</f>
        <v>38995.64583</v>
      </c>
      <c r="B1067" s="2">
        <f>IFERROR(__xludf.DUMMYFUNCTION("""COMPUTED_VALUE"""),287.27)</f>
        <v>287.27</v>
      </c>
      <c r="C1067" s="2">
        <f>IFERROR(__xludf.DUMMYFUNCTION("""COMPUTED_VALUE"""),288.36)</f>
        <v>288.36</v>
      </c>
      <c r="D1067" s="2">
        <f>IFERROR(__xludf.DUMMYFUNCTION("""COMPUTED_VALUE"""),284.94)</f>
        <v>284.94</v>
      </c>
      <c r="E1067" s="2">
        <f>IFERROR(__xludf.DUMMYFUNCTION("""COMPUTED_VALUE"""),286.0)</f>
        <v>286</v>
      </c>
      <c r="F1067" s="2">
        <f>IFERROR(__xludf.DUMMYFUNCTION("""COMPUTED_VALUE"""),4079358.0)</f>
        <v>4079358</v>
      </c>
    </row>
    <row r="1068">
      <c r="A1068" s="3">
        <f>IFERROR(__xludf.DUMMYFUNCTION("""COMPUTED_VALUE"""),38996.645833333336)</f>
        <v>38996.64583</v>
      </c>
      <c r="B1068" s="2">
        <f>IFERROR(__xludf.DUMMYFUNCTION("""COMPUTED_VALUE"""),288.75)</f>
        <v>288.75</v>
      </c>
      <c r="C1068" s="2">
        <f>IFERROR(__xludf.DUMMYFUNCTION("""COMPUTED_VALUE"""),290.83)</f>
        <v>290.83</v>
      </c>
      <c r="D1068" s="2">
        <f>IFERROR(__xludf.DUMMYFUNCTION("""COMPUTED_VALUE"""),285.29)</f>
        <v>285.29</v>
      </c>
      <c r="E1068" s="2">
        <f>IFERROR(__xludf.DUMMYFUNCTION("""COMPUTED_VALUE"""),287.97)</f>
        <v>287.97</v>
      </c>
      <c r="F1068" s="2">
        <f>IFERROR(__xludf.DUMMYFUNCTION("""COMPUTED_VALUE"""),2702479.0)</f>
        <v>2702479</v>
      </c>
    </row>
    <row r="1069">
      <c r="A1069" s="3">
        <f>IFERROR(__xludf.DUMMYFUNCTION("""COMPUTED_VALUE"""),38999.645833333336)</f>
        <v>38999.64583</v>
      </c>
      <c r="B1069" s="2">
        <f>IFERROR(__xludf.DUMMYFUNCTION("""COMPUTED_VALUE"""),286.03)</f>
        <v>286.03</v>
      </c>
      <c r="C1069" s="2">
        <f>IFERROR(__xludf.DUMMYFUNCTION("""COMPUTED_VALUE"""),289.0)</f>
        <v>289</v>
      </c>
      <c r="D1069" s="2">
        <f>IFERROR(__xludf.DUMMYFUNCTION("""COMPUTED_VALUE"""),284.81)</f>
        <v>284.81</v>
      </c>
      <c r="E1069" s="2">
        <f>IFERROR(__xludf.DUMMYFUNCTION("""COMPUTED_VALUE"""),285.64)</f>
        <v>285.64</v>
      </c>
      <c r="F1069" s="2">
        <f>IFERROR(__xludf.DUMMYFUNCTION("""COMPUTED_VALUE"""),1653865.0)</f>
        <v>1653865</v>
      </c>
    </row>
    <row r="1070">
      <c r="A1070" s="3">
        <f>IFERROR(__xludf.DUMMYFUNCTION("""COMPUTED_VALUE"""),39000.645833333336)</f>
        <v>39000.64583</v>
      </c>
      <c r="B1070" s="2">
        <f>IFERROR(__xludf.DUMMYFUNCTION("""COMPUTED_VALUE"""),287.27)</f>
        <v>287.27</v>
      </c>
      <c r="C1070" s="2">
        <f>IFERROR(__xludf.DUMMYFUNCTION("""COMPUTED_VALUE"""),288.46)</f>
        <v>288.46</v>
      </c>
      <c r="D1070" s="2">
        <f>IFERROR(__xludf.DUMMYFUNCTION("""COMPUTED_VALUE"""),284.06)</f>
        <v>284.06</v>
      </c>
      <c r="E1070" s="2">
        <f>IFERROR(__xludf.DUMMYFUNCTION("""COMPUTED_VALUE"""),285.01)</f>
        <v>285.01</v>
      </c>
      <c r="F1070" s="2">
        <f>IFERROR(__xludf.DUMMYFUNCTION("""COMPUTED_VALUE"""),1316925.0)</f>
        <v>1316925</v>
      </c>
    </row>
    <row r="1071">
      <c r="A1071" s="3">
        <f>IFERROR(__xludf.DUMMYFUNCTION("""COMPUTED_VALUE"""),39001.645833333336)</f>
        <v>39001.64583</v>
      </c>
      <c r="B1071" s="2">
        <f>IFERROR(__xludf.DUMMYFUNCTION("""COMPUTED_VALUE"""),286.03)</f>
        <v>286.03</v>
      </c>
      <c r="C1071" s="2">
        <f>IFERROR(__xludf.DUMMYFUNCTION("""COMPUTED_VALUE"""),287.74)</f>
        <v>287.74</v>
      </c>
      <c r="D1071" s="2">
        <f>IFERROR(__xludf.DUMMYFUNCTION("""COMPUTED_VALUE"""),281.94)</f>
        <v>281.94</v>
      </c>
      <c r="E1071" s="2">
        <f>IFERROR(__xludf.DUMMYFUNCTION("""COMPUTED_VALUE"""),283.13)</f>
        <v>283.13</v>
      </c>
      <c r="F1071" s="2">
        <f>IFERROR(__xludf.DUMMYFUNCTION("""COMPUTED_VALUE"""),2707855.0)</f>
        <v>2707855</v>
      </c>
    </row>
    <row r="1072">
      <c r="A1072" s="3">
        <f>IFERROR(__xludf.DUMMYFUNCTION("""COMPUTED_VALUE"""),39002.645833333336)</f>
        <v>39002.64583</v>
      </c>
      <c r="B1072" s="2">
        <f>IFERROR(__xludf.DUMMYFUNCTION("""COMPUTED_VALUE"""),283.42)</f>
        <v>283.42</v>
      </c>
      <c r="C1072" s="2">
        <f>IFERROR(__xludf.DUMMYFUNCTION("""COMPUTED_VALUE"""),290.49)</f>
        <v>290.49</v>
      </c>
      <c r="D1072" s="2">
        <f>IFERROR(__xludf.DUMMYFUNCTION("""COMPUTED_VALUE"""),282.87)</f>
        <v>282.87</v>
      </c>
      <c r="E1072" s="2">
        <f>IFERROR(__xludf.DUMMYFUNCTION("""COMPUTED_VALUE"""),289.43)</f>
        <v>289.43</v>
      </c>
      <c r="F1072" s="2">
        <f>IFERROR(__xludf.DUMMYFUNCTION("""COMPUTED_VALUE"""),3890228.0)</f>
        <v>3890228</v>
      </c>
    </row>
    <row r="1073">
      <c r="A1073" s="3">
        <f>IFERROR(__xludf.DUMMYFUNCTION("""COMPUTED_VALUE"""),39003.645833333336)</f>
        <v>39003.64583</v>
      </c>
      <c r="B1073" s="2">
        <f>IFERROR(__xludf.DUMMYFUNCTION("""COMPUTED_VALUE"""),290.49)</f>
        <v>290.49</v>
      </c>
      <c r="C1073" s="2">
        <f>IFERROR(__xludf.DUMMYFUNCTION("""COMPUTED_VALUE"""),296.17)</f>
        <v>296.17</v>
      </c>
      <c r="D1073" s="2">
        <f>IFERROR(__xludf.DUMMYFUNCTION("""COMPUTED_VALUE"""),290.49)</f>
        <v>290.49</v>
      </c>
      <c r="E1073" s="2">
        <f>IFERROR(__xludf.DUMMYFUNCTION("""COMPUTED_VALUE"""),294.87)</f>
        <v>294.87</v>
      </c>
      <c r="F1073" s="2">
        <f>IFERROR(__xludf.DUMMYFUNCTION("""COMPUTED_VALUE"""),5415820.0)</f>
        <v>5415820</v>
      </c>
    </row>
    <row r="1074">
      <c r="A1074" s="3">
        <f>IFERROR(__xludf.DUMMYFUNCTION("""COMPUTED_VALUE"""),39006.645833333336)</f>
        <v>39006.64583</v>
      </c>
      <c r="B1074" s="2">
        <f>IFERROR(__xludf.DUMMYFUNCTION("""COMPUTED_VALUE"""),295.93)</f>
        <v>295.93</v>
      </c>
      <c r="C1074" s="2">
        <f>IFERROR(__xludf.DUMMYFUNCTION("""COMPUTED_VALUE"""),301.88)</f>
        <v>301.88</v>
      </c>
      <c r="D1074" s="2">
        <f>IFERROR(__xludf.DUMMYFUNCTION("""COMPUTED_VALUE"""),295.69)</f>
        <v>295.69</v>
      </c>
      <c r="E1074" s="2">
        <f>IFERROR(__xludf.DUMMYFUNCTION("""COMPUTED_VALUE"""),300.49)</f>
        <v>300.49</v>
      </c>
      <c r="F1074" s="2">
        <f>IFERROR(__xludf.DUMMYFUNCTION("""COMPUTED_VALUE"""),4348186.0)</f>
        <v>4348186</v>
      </c>
    </row>
    <row r="1075">
      <c r="A1075" s="3">
        <f>IFERROR(__xludf.DUMMYFUNCTION("""COMPUTED_VALUE"""),39007.645833333336)</f>
        <v>39007.64583</v>
      </c>
      <c r="B1075" s="2">
        <f>IFERROR(__xludf.DUMMYFUNCTION("""COMPUTED_VALUE"""),300.89)</f>
        <v>300.89</v>
      </c>
      <c r="C1075" s="2">
        <f>IFERROR(__xludf.DUMMYFUNCTION("""COMPUTED_VALUE"""),302.57)</f>
        <v>302.57</v>
      </c>
      <c r="D1075" s="2">
        <f>IFERROR(__xludf.DUMMYFUNCTION("""COMPUTED_VALUE"""),298.44)</f>
        <v>298.44</v>
      </c>
      <c r="E1075" s="2">
        <f>IFERROR(__xludf.DUMMYFUNCTION("""COMPUTED_VALUE"""),300.94)</f>
        <v>300.94</v>
      </c>
      <c r="F1075" s="2">
        <f>IFERROR(__xludf.DUMMYFUNCTION("""COMPUTED_VALUE"""),2535472.0)</f>
        <v>2535472</v>
      </c>
    </row>
    <row r="1076">
      <c r="A1076" s="3">
        <f>IFERROR(__xludf.DUMMYFUNCTION("""COMPUTED_VALUE"""),39008.645833333336)</f>
        <v>39008.64583</v>
      </c>
      <c r="B1076" s="2">
        <f>IFERROR(__xludf.DUMMYFUNCTION("""COMPUTED_VALUE"""),297.72)</f>
        <v>297.72</v>
      </c>
      <c r="C1076" s="2">
        <f>IFERROR(__xludf.DUMMYFUNCTION("""COMPUTED_VALUE"""),302.25)</f>
        <v>302.25</v>
      </c>
      <c r="D1076" s="2">
        <f>IFERROR(__xludf.DUMMYFUNCTION("""COMPUTED_VALUE"""),297.72)</f>
        <v>297.72</v>
      </c>
      <c r="E1076" s="2">
        <f>IFERROR(__xludf.DUMMYFUNCTION("""COMPUTED_VALUE"""),299.28)</f>
        <v>299.28</v>
      </c>
      <c r="F1076" s="2">
        <f>IFERROR(__xludf.DUMMYFUNCTION("""COMPUTED_VALUE"""),2466134.0)</f>
        <v>2466134</v>
      </c>
    </row>
    <row r="1077">
      <c r="A1077" s="3">
        <f>IFERROR(__xludf.DUMMYFUNCTION("""COMPUTED_VALUE"""),39009.645833333336)</f>
        <v>39009.64583</v>
      </c>
      <c r="B1077" s="2">
        <f>IFERROR(__xludf.DUMMYFUNCTION("""COMPUTED_VALUE"""),300.64)</f>
        <v>300.64</v>
      </c>
      <c r="C1077" s="2">
        <f>IFERROR(__xludf.DUMMYFUNCTION("""COMPUTED_VALUE"""),300.64)</f>
        <v>300.64</v>
      </c>
      <c r="D1077" s="2">
        <f>IFERROR(__xludf.DUMMYFUNCTION("""COMPUTED_VALUE"""),293.85)</f>
        <v>293.85</v>
      </c>
      <c r="E1077" s="2">
        <f>IFERROR(__xludf.DUMMYFUNCTION("""COMPUTED_VALUE"""),296.45)</f>
        <v>296.45</v>
      </c>
      <c r="F1077" s="2">
        <f>IFERROR(__xludf.DUMMYFUNCTION("""COMPUTED_VALUE"""),3684154.0)</f>
        <v>3684154</v>
      </c>
    </row>
    <row r="1078">
      <c r="A1078" s="3">
        <f>IFERROR(__xludf.DUMMYFUNCTION("""COMPUTED_VALUE"""),39010.645833333336)</f>
        <v>39010.64583</v>
      </c>
      <c r="B1078" s="2">
        <f>IFERROR(__xludf.DUMMYFUNCTION("""COMPUTED_VALUE"""),298.61)</f>
        <v>298.61</v>
      </c>
      <c r="C1078" s="2">
        <f>IFERROR(__xludf.DUMMYFUNCTION("""COMPUTED_VALUE"""),301.95)</f>
        <v>301.95</v>
      </c>
      <c r="D1078" s="2">
        <f>IFERROR(__xludf.DUMMYFUNCTION("""COMPUTED_VALUE"""),297.17)</f>
        <v>297.17</v>
      </c>
      <c r="E1078" s="2">
        <f>IFERROR(__xludf.DUMMYFUNCTION("""COMPUTED_VALUE"""),298.05)</f>
        <v>298.05</v>
      </c>
      <c r="F1078" s="2">
        <f>IFERROR(__xludf.DUMMYFUNCTION("""COMPUTED_VALUE"""),3792624.0)</f>
        <v>3792624</v>
      </c>
    </row>
    <row r="1079">
      <c r="A1079" s="3">
        <f>IFERROR(__xludf.DUMMYFUNCTION("""COMPUTED_VALUE"""),39013.645833333336)</f>
        <v>39013.64583</v>
      </c>
      <c r="B1079" s="2">
        <f>IFERROR(__xludf.DUMMYFUNCTION("""COMPUTED_VALUE"""),297.17)</f>
        <v>297.17</v>
      </c>
      <c r="C1079" s="2">
        <f>IFERROR(__xludf.DUMMYFUNCTION("""COMPUTED_VALUE"""),297.4)</f>
        <v>297.4</v>
      </c>
      <c r="D1079" s="2">
        <f>IFERROR(__xludf.DUMMYFUNCTION("""COMPUTED_VALUE"""),295.12)</f>
        <v>295.12</v>
      </c>
      <c r="E1079" s="2">
        <f>IFERROR(__xludf.DUMMYFUNCTION("""COMPUTED_VALUE"""),295.65)</f>
        <v>295.65</v>
      </c>
      <c r="F1079" s="2">
        <f>IFERROR(__xludf.DUMMYFUNCTION("""COMPUTED_VALUE"""),1779594.0)</f>
        <v>1779594</v>
      </c>
    </row>
    <row r="1080">
      <c r="A1080" s="3">
        <f>IFERROR(__xludf.DUMMYFUNCTION("""COMPUTED_VALUE"""),39016.645833333336)</f>
        <v>39016.64583</v>
      </c>
      <c r="B1080" s="2">
        <f>IFERROR(__xludf.DUMMYFUNCTION("""COMPUTED_VALUE"""),294.7)</f>
        <v>294.7</v>
      </c>
      <c r="C1080" s="2">
        <f>IFERROR(__xludf.DUMMYFUNCTION("""COMPUTED_VALUE"""),295.69)</f>
        <v>295.69</v>
      </c>
      <c r="D1080" s="2">
        <f>IFERROR(__xludf.DUMMYFUNCTION("""COMPUTED_VALUE"""),289.74)</f>
        <v>289.74</v>
      </c>
      <c r="E1080" s="2">
        <f>IFERROR(__xludf.DUMMYFUNCTION("""COMPUTED_VALUE"""),290.97)</f>
        <v>290.97</v>
      </c>
      <c r="F1080" s="2">
        <f>IFERROR(__xludf.DUMMYFUNCTION("""COMPUTED_VALUE"""),2425246.0)</f>
        <v>2425246</v>
      </c>
    </row>
    <row r="1081">
      <c r="A1081" s="3">
        <f>IFERROR(__xludf.DUMMYFUNCTION("""COMPUTED_VALUE"""),39017.645833333336)</f>
        <v>39017.64583</v>
      </c>
      <c r="B1081" s="2">
        <f>IFERROR(__xludf.DUMMYFUNCTION("""COMPUTED_VALUE"""),293.19)</f>
        <v>293.19</v>
      </c>
      <c r="C1081" s="2">
        <f>IFERROR(__xludf.DUMMYFUNCTION("""COMPUTED_VALUE"""),303.88)</f>
        <v>303.88</v>
      </c>
      <c r="D1081" s="2">
        <f>IFERROR(__xludf.DUMMYFUNCTION("""COMPUTED_VALUE"""),292.24)</f>
        <v>292.24</v>
      </c>
      <c r="E1081" s="2">
        <f>IFERROR(__xludf.DUMMYFUNCTION("""COMPUTED_VALUE"""),302.79)</f>
        <v>302.79</v>
      </c>
      <c r="F1081" s="2">
        <f>IFERROR(__xludf.DUMMYFUNCTION("""COMPUTED_VALUE"""),4776535.0)</f>
        <v>4776535</v>
      </c>
    </row>
    <row r="1082">
      <c r="A1082" s="3">
        <f>IFERROR(__xludf.DUMMYFUNCTION("""COMPUTED_VALUE"""),39020.645833333336)</f>
        <v>39020.64583</v>
      </c>
      <c r="B1082" s="2">
        <f>IFERROR(__xludf.DUMMYFUNCTION("""COMPUTED_VALUE"""),303.36)</f>
        <v>303.36</v>
      </c>
      <c r="C1082" s="2">
        <f>IFERROR(__xludf.DUMMYFUNCTION("""COMPUTED_VALUE"""),307.08)</f>
        <v>307.08</v>
      </c>
      <c r="D1082" s="2">
        <f>IFERROR(__xludf.DUMMYFUNCTION("""COMPUTED_VALUE"""),300.18)</f>
        <v>300.18</v>
      </c>
      <c r="E1082" s="2">
        <f>IFERROR(__xludf.DUMMYFUNCTION("""COMPUTED_VALUE"""),306.12)</f>
        <v>306.12</v>
      </c>
      <c r="F1082" s="2">
        <f>IFERROR(__xludf.DUMMYFUNCTION("""COMPUTED_VALUE"""),2043590.0)</f>
        <v>2043590</v>
      </c>
    </row>
    <row r="1083">
      <c r="A1083" s="3">
        <f>IFERROR(__xludf.DUMMYFUNCTION("""COMPUTED_VALUE"""),39021.645833333336)</f>
        <v>39021.64583</v>
      </c>
      <c r="B1083" s="2">
        <f>IFERROR(__xludf.DUMMYFUNCTION("""COMPUTED_VALUE"""),305.84)</f>
        <v>305.84</v>
      </c>
      <c r="C1083" s="2">
        <f>IFERROR(__xludf.DUMMYFUNCTION("""COMPUTED_VALUE"""),306.83)</f>
        <v>306.83</v>
      </c>
      <c r="D1083" s="2">
        <f>IFERROR(__xludf.DUMMYFUNCTION("""COMPUTED_VALUE"""),301.69)</f>
        <v>301.69</v>
      </c>
      <c r="E1083" s="2">
        <f>IFERROR(__xludf.DUMMYFUNCTION("""COMPUTED_VALUE"""),303.61)</f>
        <v>303.61</v>
      </c>
      <c r="F1083" s="2">
        <f>IFERROR(__xludf.DUMMYFUNCTION("""COMPUTED_VALUE"""),2048330.0)</f>
        <v>2048330</v>
      </c>
    </row>
    <row r="1084">
      <c r="A1084" s="3">
        <f>IFERROR(__xludf.DUMMYFUNCTION("""COMPUTED_VALUE"""),39022.645833333336)</f>
        <v>39022.64583</v>
      </c>
      <c r="B1084" s="2">
        <f>IFERROR(__xludf.DUMMYFUNCTION("""COMPUTED_VALUE"""),302.37)</f>
        <v>302.37</v>
      </c>
      <c r="C1084" s="2">
        <f>IFERROR(__xludf.DUMMYFUNCTION("""COMPUTED_VALUE"""),314.01)</f>
        <v>314.01</v>
      </c>
      <c r="D1084" s="2">
        <f>IFERROR(__xludf.DUMMYFUNCTION("""COMPUTED_VALUE"""),302.15)</f>
        <v>302.15</v>
      </c>
      <c r="E1084" s="2">
        <f>IFERROR(__xludf.DUMMYFUNCTION("""COMPUTED_VALUE"""),313.12)</f>
        <v>313.12</v>
      </c>
      <c r="F1084" s="2">
        <f>IFERROR(__xludf.DUMMYFUNCTION("""COMPUTED_VALUE"""),5496687.0)</f>
        <v>5496687</v>
      </c>
    </row>
    <row r="1085">
      <c r="A1085" s="3">
        <f>IFERROR(__xludf.DUMMYFUNCTION("""COMPUTED_VALUE"""),39023.645833333336)</f>
        <v>39023.64583</v>
      </c>
      <c r="B1085" s="2">
        <f>IFERROR(__xludf.DUMMYFUNCTION("""COMPUTED_VALUE"""),314.01)</f>
        <v>314.01</v>
      </c>
      <c r="C1085" s="2">
        <f>IFERROR(__xludf.DUMMYFUNCTION("""COMPUTED_VALUE"""),321.69)</f>
        <v>321.69</v>
      </c>
      <c r="D1085" s="2">
        <f>IFERROR(__xludf.DUMMYFUNCTION("""COMPUTED_VALUE"""),311.66)</f>
        <v>311.66</v>
      </c>
      <c r="E1085" s="2">
        <f>IFERROR(__xludf.DUMMYFUNCTION("""COMPUTED_VALUE"""),317.81)</f>
        <v>317.81</v>
      </c>
      <c r="F1085" s="2">
        <f>IFERROR(__xludf.DUMMYFUNCTION("""COMPUTED_VALUE"""),4150837.0)</f>
        <v>4150837</v>
      </c>
    </row>
    <row r="1086">
      <c r="A1086" s="3">
        <f>IFERROR(__xludf.DUMMYFUNCTION("""COMPUTED_VALUE"""),39024.645833333336)</f>
        <v>39024.64583</v>
      </c>
      <c r="B1086" s="2">
        <f>IFERROR(__xludf.DUMMYFUNCTION("""COMPUTED_VALUE"""),319.46)</f>
        <v>319.46</v>
      </c>
      <c r="C1086" s="2">
        <f>IFERROR(__xludf.DUMMYFUNCTION("""COMPUTED_VALUE"""),319.93)</f>
        <v>319.93</v>
      </c>
      <c r="D1086" s="2">
        <f>IFERROR(__xludf.DUMMYFUNCTION("""COMPUTED_VALUE"""),314.01)</f>
        <v>314.01</v>
      </c>
      <c r="E1086" s="2">
        <f>IFERROR(__xludf.DUMMYFUNCTION("""COMPUTED_VALUE"""),318.89)</f>
        <v>318.89</v>
      </c>
      <c r="F1086" s="2">
        <f>IFERROR(__xludf.DUMMYFUNCTION("""COMPUTED_VALUE"""),3253964.0)</f>
        <v>3253964</v>
      </c>
    </row>
    <row r="1087">
      <c r="A1087" s="3">
        <f>IFERROR(__xludf.DUMMYFUNCTION("""COMPUTED_VALUE"""),39027.645833333336)</f>
        <v>39027.64583</v>
      </c>
      <c r="B1087" s="2">
        <f>IFERROR(__xludf.DUMMYFUNCTION("""COMPUTED_VALUE"""),318.47)</f>
        <v>318.47</v>
      </c>
      <c r="C1087" s="2">
        <f>IFERROR(__xludf.DUMMYFUNCTION("""COMPUTED_VALUE"""),325.65)</f>
        <v>325.65</v>
      </c>
      <c r="D1087" s="2">
        <f>IFERROR(__xludf.DUMMYFUNCTION("""COMPUTED_VALUE"""),317.05)</f>
        <v>317.05</v>
      </c>
      <c r="E1087" s="2">
        <f>IFERROR(__xludf.DUMMYFUNCTION("""COMPUTED_VALUE"""),323.05)</f>
        <v>323.05</v>
      </c>
      <c r="F1087" s="2">
        <f>IFERROR(__xludf.DUMMYFUNCTION("""COMPUTED_VALUE"""),3496771.0)</f>
        <v>3496771</v>
      </c>
    </row>
    <row r="1088">
      <c r="A1088" s="3">
        <f>IFERROR(__xludf.DUMMYFUNCTION("""COMPUTED_VALUE"""),39028.645833333336)</f>
        <v>39028.64583</v>
      </c>
      <c r="B1088" s="2">
        <f>IFERROR(__xludf.DUMMYFUNCTION("""COMPUTED_VALUE"""),323.92)</f>
        <v>323.92</v>
      </c>
      <c r="C1088" s="2">
        <f>IFERROR(__xludf.DUMMYFUNCTION("""COMPUTED_VALUE"""),325.89)</f>
        <v>325.89</v>
      </c>
      <c r="D1088" s="2">
        <f>IFERROR(__xludf.DUMMYFUNCTION("""COMPUTED_VALUE"""),318.26)</f>
        <v>318.26</v>
      </c>
      <c r="E1088" s="2">
        <f>IFERROR(__xludf.DUMMYFUNCTION("""COMPUTED_VALUE"""),319.78)</f>
        <v>319.78</v>
      </c>
      <c r="F1088" s="2">
        <f>IFERROR(__xludf.DUMMYFUNCTION("""COMPUTED_VALUE"""),3643621.0)</f>
        <v>3643621</v>
      </c>
    </row>
    <row r="1089">
      <c r="A1089" s="3">
        <f>IFERROR(__xludf.DUMMYFUNCTION("""COMPUTED_VALUE"""),39029.645833333336)</f>
        <v>39029.64583</v>
      </c>
      <c r="B1089" s="2">
        <f>IFERROR(__xludf.DUMMYFUNCTION("""COMPUTED_VALUE"""),319.78)</f>
        <v>319.78</v>
      </c>
      <c r="C1089" s="2">
        <f>IFERROR(__xludf.DUMMYFUNCTION("""COMPUTED_VALUE"""),320.62)</f>
        <v>320.62</v>
      </c>
      <c r="D1089" s="2">
        <f>IFERROR(__xludf.DUMMYFUNCTION("""COMPUTED_VALUE"""),307.41)</f>
        <v>307.41</v>
      </c>
      <c r="E1089" s="2">
        <f>IFERROR(__xludf.DUMMYFUNCTION("""COMPUTED_VALUE"""),310.11)</f>
        <v>310.11</v>
      </c>
      <c r="F1089" s="2">
        <f>IFERROR(__xludf.DUMMYFUNCTION("""COMPUTED_VALUE"""),4882281.0)</f>
        <v>4882281</v>
      </c>
    </row>
    <row r="1090">
      <c r="A1090" s="3">
        <f>IFERROR(__xludf.DUMMYFUNCTION("""COMPUTED_VALUE"""),39030.645833333336)</f>
        <v>39030.64583</v>
      </c>
      <c r="B1090" s="2">
        <f>IFERROR(__xludf.DUMMYFUNCTION("""COMPUTED_VALUE"""),311.04)</f>
        <v>311.04</v>
      </c>
      <c r="C1090" s="2">
        <f>IFERROR(__xludf.DUMMYFUNCTION("""COMPUTED_VALUE"""),313.67)</f>
        <v>313.67</v>
      </c>
      <c r="D1090" s="2">
        <f>IFERROR(__xludf.DUMMYFUNCTION("""COMPUTED_VALUE"""),308.02)</f>
        <v>308.02</v>
      </c>
      <c r="E1090" s="2">
        <f>IFERROR(__xludf.DUMMYFUNCTION("""COMPUTED_VALUE"""),312.18)</f>
        <v>312.18</v>
      </c>
      <c r="F1090" s="2">
        <f>IFERROR(__xludf.DUMMYFUNCTION("""COMPUTED_VALUE"""),4096597.0)</f>
        <v>4096597</v>
      </c>
    </row>
    <row r="1091">
      <c r="A1091" s="3">
        <f>IFERROR(__xludf.DUMMYFUNCTION("""COMPUTED_VALUE"""),39031.645833333336)</f>
        <v>39031.64583</v>
      </c>
      <c r="B1091" s="2">
        <f>IFERROR(__xludf.DUMMYFUNCTION("""COMPUTED_VALUE"""),313.76)</f>
        <v>313.76</v>
      </c>
      <c r="C1091" s="2">
        <f>IFERROR(__xludf.DUMMYFUNCTION("""COMPUTED_VALUE"""),320.38)</f>
        <v>320.38</v>
      </c>
      <c r="D1091" s="2">
        <f>IFERROR(__xludf.DUMMYFUNCTION("""COMPUTED_VALUE"""),310.33)</f>
        <v>310.33</v>
      </c>
      <c r="E1091" s="2">
        <f>IFERROR(__xludf.DUMMYFUNCTION("""COMPUTED_VALUE"""),318.3)</f>
        <v>318.3</v>
      </c>
      <c r="F1091" s="2">
        <f>IFERROR(__xludf.DUMMYFUNCTION("""COMPUTED_VALUE"""),3433415.0)</f>
        <v>3433415</v>
      </c>
    </row>
    <row r="1092">
      <c r="A1092" s="3">
        <f>IFERROR(__xludf.DUMMYFUNCTION("""COMPUTED_VALUE"""),39034.645833333336)</f>
        <v>39034.64583</v>
      </c>
      <c r="B1092" s="2">
        <f>IFERROR(__xludf.DUMMYFUNCTION("""COMPUTED_VALUE"""),318.96)</f>
        <v>318.96</v>
      </c>
      <c r="C1092" s="2">
        <f>IFERROR(__xludf.DUMMYFUNCTION("""COMPUTED_VALUE"""),320.95)</f>
        <v>320.95</v>
      </c>
      <c r="D1092" s="2">
        <f>IFERROR(__xludf.DUMMYFUNCTION("""COMPUTED_VALUE"""),317.48)</f>
        <v>317.48</v>
      </c>
      <c r="E1092" s="2">
        <f>IFERROR(__xludf.DUMMYFUNCTION("""COMPUTED_VALUE"""),318.32)</f>
        <v>318.32</v>
      </c>
      <c r="F1092" s="2">
        <f>IFERROR(__xludf.DUMMYFUNCTION("""COMPUTED_VALUE"""),1127083.0)</f>
        <v>1127083</v>
      </c>
    </row>
    <row r="1093">
      <c r="A1093" s="3">
        <f>IFERROR(__xludf.DUMMYFUNCTION("""COMPUTED_VALUE"""),39035.645833333336)</f>
        <v>39035.64583</v>
      </c>
      <c r="B1093" s="2">
        <f>IFERROR(__xludf.DUMMYFUNCTION("""COMPUTED_VALUE"""),319.56)</f>
        <v>319.56</v>
      </c>
      <c r="C1093" s="2">
        <f>IFERROR(__xludf.DUMMYFUNCTION("""COMPUTED_VALUE"""),320.92)</f>
        <v>320.92</v>
      </c>
      <c r="D1093" s="2">
        <f>IFERROR(__xludf.DUMMYFUNCTION("""COMPUTED_VALUE"""),315.11)</f>
        <v>315.11</v>
      </c>
      <c r="E1093" s="2">
        <f>IFERROR(__xludf.DUMMYFUNCTION("""COMPUTED_VALUE"""),316.84)</f>
        <v>316.84</v>
      </c>
      <c r="F1093" s="2">
        <f>IFERROR(__xludf.DUMMYFUNCTION("""COMPUTED_VALUE"""),1624814.0)</f>
        <v>1624814</v>
      </c>
    </row>
    <row r="1094">
      <c r="A1094" s="3">
        <f>IFERROR(__xludf.DUMMYFUNCTION("""COMPUTED_VALUE"""),39036.645833333336)</f>
        <v>39036.64583</v>
      </c>
      <c r="B1094" s="2">
        <f>IFERROR(__xludf.DUMMYFUNCTION("""COMPUTED_VALUE"""),317.48)</f>
        <v>317.48</v>
      </c>
      <c r="C1094" s="2">
        <f>IFERROR(__xludf.DUMMYFUNCTION("""COMPUTED_VALUE"""),318.43)</f>
        <v>318.43</v>
      </c>
      <c r="D1094" s="2">
        <f>IFERROR(__xludf.DUMMYFUNCTION("""COMPUTED_VALUE"""),311.56)</f>
        <v>311.56</v>
      </c>
      <c r="E1094" s="2">
        <f>IFERROR(__xludf.DUMMYFUNCTION("""COMPUTED_VALUE"""),312.69)</f>
        <v>312.69</v>
      </c>
      <c r="F1094" s="2">
        <f>IFERROR(__xludf.DUMMYFUNCTION("""COMPUTED_VALUE"""),2094408.0)</f>
        <v>2094408</v>
      </c>
    </row>
    <row r="1095">
      <c r="A1095" s="3">
        <f>IFERROR(__xludf.DUMMYFUNCTION("""COMPUTED_VALUE"""),39037.645833333336)</f>
        <v>39037.64583</v>
      </c>
      <c r="B1095" s="2">
        <f>IFERROR(__xludf.DUMMYFUNCTION("""COMPUTED_VALUE"""),313.27)</f>
        <v>313.27</v>
      </c>
      <c r="C1095" s="2">
        <f>IFERROR(__xludf.DUMMYFUNCTION("""COMPUTED_VALUE"""),317.48)</f>
        <v>317.48</v>
      </c>
      <c r="D1095" s="2">
        <f>IFERROR(__xludf.DUMMYFUNCTION("""COMPUTED_VALUE"""),310.83)</f>
        <v>310.83</v>
      </c>
      <c r="E1095" s="2">
        <f>IFERROR(__xludf.DUMMYFUNCTION("""COMPUTED_VALUE"""),313.45)</f>
        <v>313.45</v>
      </c>
      <c r="F1095" s="2">
        <f>IFERROR(__xludf.DUMMYFUNCTION("""COMPUTED_VALUE"""),1616180.0)</f>
        <v>1616180</v>
      </c>
    </row>
    <row r="1096">
      <c r="A1096" s="3">
        <f>IFERROR(__xludf.DUMMYFUNCTION("""COMPUTED_VALUE"""),39038.645833333336)</f>
        <v>39038.64583</v>
      </c>
      <c r="B1096" s="2">
        <f>IFERROR(__xludf.DUMMYFUNCTION("""COMPUTED_VALUE"""),314.51)</f>
        <v>314.51</v>
      </c>
      <c r="C1096" s="2">
        <f>IFERROR(__xludf.DUMMYFUNCTION("""COMPUTED_VALUE"""),315.0)</f>
        <v>315</v>
      </c>
      <c r="D1096" s="2">
        <f>IFERROR(__xludf.DUMMYFUNCTION("""COMPUTED_VALUE"""),310.14)</f>
        <v>310.14</v>
      </c>
      <c r="E1096" s="2">
        <f>IFERROR(__xludf.DUMMYFUNCTION("""COMPUTED_VALUE"""),311.85)</f>
        <v>311.85</v>
      </c>
      <c r="F1096" s="2">
        <f>IFERROR(__xludf.DUMMYFUNCTION("""COMPUTED_VALUE"""),1255215.0)</f>
        <v>1255215</v>
      </c>
    </row>
    <row r="1097">
      <c r="A1097" s="3">
        <f>IFERROR(__xludf.DUMMYFUNCTION("""COMPUTED_VALUE"""),39041.645833333336)</f>
        <v>39041.64583</v>
      </c>
      <c r="B1097" s="2">
        <f>IFERROR(__xludf.DUMMYFUNCTION("""COMPUTED_VALUE"""),303.43)</f>
        <v>303.43</v>
      </c>
      <c r="C1097" s="2">
        <f>IFERROR(__xludf.DUMMYFUNCTION("""COMPUTED_VALUE"""),313.99)</f>
        <v>313.99</v>
      </c>
      <c r="D1097" s="2">
        <f>IFERROR(__xludf.DUMMYFUNCTION("""COMPUTED_VALUE"""),303.43)</f>
        <v>303.43</v>
      </c>
      <c r="E1097" s="2">
        <f>IFERROR(__xludf.DUMMYFUNCTION("""COMPUTED_VALUE"""),311.78)</f>
        <v>311.78</v>
      </c>
      <c r="F1097" s="2">
        <f>IFERROR(__xludf.DUMMYFUNCTION("""COMPUTED_VALUE"""),2787002.0)</f>
        <v>2787002</v>
      </c>
    </row>
    <row r="1098">
      <c r="A1098" s="3">
        <f>IFERROR(__xludf.DUMMYFUNCTION("""COMPUTED_VALUE"""),39042.645833333336)</f>
        <v>39042.64583</v>
      </c>
      <c r="B1098" s="2">
        <f>IFERROR(__xludf.DUMMYFUNCTION("""COMPUTED_VALUE"""),313.76)</f>
        <v>313.76</v>
      </c>
      <c r="C1098" s="2">
        <f>IFERROR(__xludf.DUMMYFUNCTION("""COMPUTED_VALUE"""),316.59)</f>
        <v>316.59</v>
      </c>
      <c r="D1098" s="2">
        <f>IFERROR(__xludf.DUMMYFUNCTION("""COMPUTED_VALUE"""),311.82)</f>
        <v>311.82</v>
      </c>
      <c r="E1098" s="2">
        <f>IFERROR(__xludf.DUMMYFUNCTION("""COMPUTED_VALUE"""),315.51)</f>
        <v>315.51</v>
      </c>
      <c r="F1098" s="2">
        <f>IFERROR(__xludf.DUMMYFUNCTION("""COMPUTED_VALUE"""),1829275.0)</f>
        <v>1829275</v>
      </c>
    </row>
    <row r="1099">
      <c r="A1099" s="3">
        <f>IFERROR(__xludf.DUMMYFUNCTION("""COMPUTED_VALUE"""),39043.645833333336)</f>
        <v>39043.64583</v>
      </c>
      <c r="B1099" s="2">
        <f>IFERROR(__xludf.DUMMYFUNCTION("""COMPUTED_VALUE"""),316.96)</f>
        <v>316.96</v>
      </c>
      <c r="C1099" s="2">
        <f>IFERROR(__xludf.DUMMYFUNCTION("""COMPUTED_VALUE"""),319.58)</f>
        <v>319.58</v>
      </c>
      <c r="D1099" s="2">
        <f>IFERROR(__xludf.DUMMYFUNCTION("""COMPUTED_VALUE"""),315.08)</f>
        <v>315.08</v>
      </c>
      <c r="E1099" s="2">
        <f>IFERROR(__xludf.DUMMYFUNCTION("""COMPUTED_VALUE"""),316.53)</f>
        <v>316.53</v>
      </c>
      <c r="F1099" s="2">
        <f>IFERROR(__xludf.DUMMYFUNCTION("""COMPUTED_VALUE"""),1802105.0)</f>
        <v>1802105</v>
      </c>
    </row>
    <row r="1100">
      <c r="A1100" s="3">
        <f>IFERROR(__xludf.DUMMYFUNCTION("""COMPUTED_VALUE"""),39044.645833333336)</f>
        <v>39044.64583</v>
      </c>
      <c r="B1100" s="2">
        <f>IFERROR(__xludf.DUMMYFUNCTION("""COMPUTED_VALUE"""),316.98)</f>
        <v>316.98</v>
      </c>
      <c r="C1100" s="2">
        <f>IFERROR(__xludf.DUMMYFUNCTION("""COMPUTED_VALUE"""),319.41)</f>
        <v>319.41</v>
      </c>
      <c r="D1100" s="2">
        <f>IFERROR(__xludf.DUMMYFUNCTION("""COMPUTED_VALUE"""),314.26)</f>
        <v>314.26</v>
      </c>
      <c r="E1100" s="2">
        <f>IFERROR(__xludf.DUMMYFUNCTION("""COMPUTED_VALUE"""),314.99)</f>
        <v>314.99</v>
      </c>
      <c r="F1100" s="2">
        <f>IFERROR(__xludf.DUMMYFUNCTION("""COMPUTED_VALUE"""),1840998.0)</f>
        <v>1840998</v>
      </c>
    </row>
    <row r="1101">
      <c r="A1101" s="3">
        <f>IFERROR(__xludf.DUMMYFUNCTION("""COMPUTED_VALUE"""),39045.645833333336)</f>
        <v>39045.64583</v>
      </c>
      <c r="B1101" s="2">
        <f>IFERROR(__xludf.DUMMYFUNCTION("""COMPUTED_VALUE"""),314.51)</f>
        <v>314.51</v>
      </c>
      <c r="C1101" s="2">
        <f>IFERROR(__xludf.DUMMYFUNCTION("""COMPUTED_VALUE"""),315.6)</f>
        <v>315.6</v>
      </c>
      <c r="D1101" s="2">
        <f>IFERROR(__xludf.DUMMYFUNCTION("""COMPUTED_VALUE"""),311.61)</f>
        <v>311.61</v>
      </c>
      <c r="E1101" s="2">
        <f>IFERROR(__xludf.DUMMYFUNCTION("""COMPUTED_VALUE"""),312.61)</f>
        <v>312.61</v>
      </c>
      <c r="F1101" s="2">
        <f>IFERROR(__xludf.DUMMYFUNCTION("""COMPUTED_VALUE"""),2104153.0)</f>
        <v>2104153</v>
      </c>
    </row>
    <row r="1102">
      <c r="A1102" s="3">
        <f>IFERROR(__xludf.DUMMYFUNCTION("""COMPUTED_VALUE"""),39048.645833333336)</f>
        <v>39048.64583</v>
      </c>
      <c r="B1102" s="2">
        <f>IFERROR(__xludf.DUMMYFUNCTION("""COMPUTED_VALUE"""),312.53)</f>
        <v>312.53</v>
      </c>
      <c r="C1102" s="2">
        <f>IFERROR(__xludf.DUMMYFUNCTION("""COMPUTED_VALUE"""),314.26)</f>
        <v>314.26</v>
      </c>
      <c r="D1102" s="2">
        <f>IFERROR(__xludf.DUMMYFUNCTION("""COMPUTED_VALUE"""),309.72)</f>
        <v>309.72</v>
      </c>
      <c r="E1102" s="2">
        <f>IFERROR(__xludf.DUMMYFUNCTION("""COMPUTED_VALUE"""),310.26)</f>
        <v>310.26</v>
      </c>
      <c r="F1102" s="2">
        <f>IFERROR(__xludf.DUMMYFUNCTION("""COMPUTED_VALUE"""),1812379.0)</f>
        <v>1812379</v>
      </c>
    </row>
    <row r="1103">
      <c r="A1103" s="3">
        <f>IFERROR(__xludf.DUMMYFUNCTION("""COMPUTED_VALUE"""),39049.645833333336)</f>
        <v>39049.64583</v>
      </c>
      <c r="B1103" s="2">
        <f>IFERROR(__xludf.DUMMYFUNCTION("""COMPUTED_VALUE"""),309.38)</f>
        <v>309.38</v>
      </c>
      <c r="C1103" s="2">
        <f>IFERROR(__xludf.DUMMYFUNCTION("""COMPUTED_VALUE"""),314.43)</f>
        <v>314.43</v>
      </c>
      <c r="D1103" s="2">
        <f>IFERROR(__xludf.DUMMYFUNCTION("""COMPUTED_VALUE"""),307.05)</f>
        <v>307.05</v>
      </c>
      <c r="E1103" s="2">
        <f>IFERROR(__xludf.DUMMYFUNCTION("""COMPUTED_VALUE"""),309.73)</f>
        <v>309.73</v>
      </c>
      <c r="F1103" s="2">
        <f>IFERROR(__xludf.DUMMYFUNCTION("""COMPUTED_VALUE"""),3116339.0)</f>
        <v>3116339</v>
      </c>
    </row>
    <row r="1104">
      <c r="A1104" s="3">
        <f>IFERROR(__xludf.DUMMYFUNCTION("""COMPUTED_VALUE"""),39050.645833333336)</f>
        <v>39050.64583</v>
      </c>
      <c r="B1104" s="2">
        <f>IFERROR(__xludf.DUMMYFUNCTION("""COMPUTED_VALUE"""),310.82)</f>
        <v>310.82</v>
      </c>
      <c r="C1104" s="2">
        <f>IFERROR(__xludf.DUMMYFUNCTION("""COMPUTED_VALUE"""),313.44)</f>
        <v>313.44</v>
      </c>
      <c r="D1104" s="2">
        <f>IFERROR(__xludf.DUMMYFUNCTION("""COMPUTED_VALUE"""),308.6)</f>
        <v>308.6</v>
      </c>
      <c r="E1104" s="2">
        <f>IFERROR(__xludf.DUMMYFUNCTION("""COMPUTED_VALUE"""),309.38)</f>
        <v>309.38</v>
      </c>
      <c r="F1104" s="2">
        <f>IFERROR(__xludf.DUMMYFUNCTION("""COMPUTED_VALUE"""),1766782.0)</f>
        <v>1766782</v>
      </c>
    </row>
    <row r="1105">
      <c r="A1105" s="3">
        <f>IFERROR(__xludf.DUMMYFUNCTION("""COMPUTED_VALUE"""),39051.645833333336)</f>
        <v>39051.64583</v>
      </c>
      <c r="B1105" s="2">
        <f>IFERROR(__xludf.DUMMYFUNCTION("""COMPUTED_VALUE"""),309.8)</f>
        <v>309.8</v>
      </c>
      <c r="C1105" s="2">
        <f>IFERROR(__xludf.DUMMYFUNCTION("""COMPUTED_VALUE"""),312.28)</f>
        <v>312.28</v>
      </c>
      <c r="D1105" s="2">
        <f>IFERROR(__xludf.DUMMYFUNCTION("""COMPUTED_VALUE"""),307.09)</f>
        <v>307.09</v>
      </c>
      <c r="E1105" s="2">
        <f>IFERROR(__xludf.DUMMYFUNCTION("""COMPUTED_VALUE"""),308.18)</f>
        <v>308.18</v>
      </c>
      <c r="F1105" s="2">
        <f>IFERROR(__xludf.DUMMYFUNCTION("""COMPUTED_VALUE"""),2691326.0)</f>
        <v>2691326</v>
      </c>
    </row>
    <row r="1106">
      <c r="A1106" s="3">
        <f>IFERROR(__xludf.DUMMYFUNCTION("""COMPUTED_VALUE"""),39052.645833333336)</f>
        <v>39052.64583</v>
      </c>
      <c r="B1106" s="2">
        <f>IFERROR(__xludf.DUMMYFUNCTION("""COMPUTED_VALUE"""),308.34)</f>
        <v>308.34</v>
      </c>
      <c r="C1106" s="2">
        <f>IFERROR(__xludf.DUMMYFUNCTION("""COMPUTED_VALUE"""),314.23)</f>
        <v>314.23</v>
      </c>
      <c r="D1106" s="2">
        <f>IFERROR(__xludf.DUMMYFUNCTION("""COMPUTED_VALUE"""),308.34)</f>
        <v>308.34</v>
      </c>
      <c r="E1106" s="2">
        <f>IFERROR(__xludf.DUMMYFUNCTION("""COMPUTED_VALUE"""),312.29)</f>
        <v>312.29</v>
      </c>
      <c r="F1106" s="2">
        <f>IFERROR(__xludf.DUMMYFUNCTION("""COMPUTED_VALUE"""),2280348.0)</f>
        <v>2280348</v>
      </c>
    </row>
    <row r="1107">
      <c r="A1107" s="3">
        <f>IFERROR(__xludf.DUMMYFUNCTION("""COMPUTED_VALUE"""),39055.645833333336)</f>
        <v>39055.64583</v>
      </c>
      <c r="B1107" s="2">
        <f>IFERROR(__xludf.DUMMYFUNCTION("""COMPUTED_VALUE"""),313.27)</f>
        <v>313.27</v>
      </c>
      <c r="C1107" s="2">
        <f>IFERROR(__xludf.DUMMYFUNCTION("""COMPUTED_VALUE"""),315.99)</f>
        <v>315.99</v>
      </c>
      <c r="D1107" s="2">
        <f>IFERROR(__xludf.DUMMYFUNCTION("""COMPUTED_VALUE"""),310.94)</f>
        <v>310.94</v>
      </c>
      <c r="E1107" s="2">
        <f>IFERROR(__xludf.DUMMYFUNCTION("""COMPUTED_VALUE"""),312.01)</f>
        <v>312.01</v>
      </c>
      <c r="F1107" s="2">
        <f>IFERROR(__xludf.DUMMYFUNCTION("""COMPUTED_VALUE"""),2498187.0)</f>
        <v>2498187</v>
      </c>
    </row>
    <row r="1108">
      <c r="A1108" s="3">
        <f>IFERROR(__xludf.DUMMYFUNCTION("""COMPUTED_VALUE"""),39056.645833333336)</f>
        <v>39056.64583</v>
      </c>
      <c r="B1108" s="2">
        <f>IFERROR(__xludf.DUMMYFUNCTION("""COMPUTED_VALUE"""),316.98)</f>
        <v>316.98</v>
      </c>
      <c r="C1108" s="2">
        <f>IFERROR(__xludf.DUMMYFUNCTION("""COMPUTED_VALUE"""),320.55)</f>
        <v>320.55</v>
      </c>
      <c r="D1108" s="2">
        <f>IFERROR(__xludf.DUMMYFUNCTION("""COMPUTED_VALUE"""),313.27)</f>
        <v>313.27</v>
      </c>
      <c r="E1108" s="2">
        <f>IFERROR(__xludf.DUMMYFUNCTION("""COMPUTED_VALUE"""),316.87)</f>
        <v>316.87</v>
      </c>
      <c r="F1108" s="2">
        <f>IFERROR(__xludf.DUMMYFUNCTION("""COMPUTED_VALUE"""),3765214.0)</f>
        <v>3765214</v>
      </c>
    </row>
    <row r="1109">
      <c r="A1109" s="3">
        <f>IFERROR(__xludf.DUMMYFUNCTION("""COMPUTED_VALUE"""),39057.645833333336)</f>
        <v>39057.64583</v>
      </c>
      <c r="B1109" s="2">
        <f>IFERROR(__xludf.DUMMYFUNCTION("""COMPUTED_VALUE"""),318.17)</f>
        <v>318.17</v>
      </c>
      <c r="C1109" s="2">
        <f>IFERROR(__xludf.DUMMYFUNCTION("""COMPUTED_VALUE"""),321.68)</f>
        <v>321.68</v>
      </c>
      <c r="D1109" s="2">
        <f>IFERROR(__xludf.DUMMYFUNCTION("""COMPUTED_VALUE"""),314.54)</f>
        <v>314.54</v>
      </c>
      <c r="E1109" s="2">
        <f>IFERROR(__xludf.DUMMYFUNCTION("""COMPUTED_VALUE"""),317.32)</f>
        <v>317.32</v>
      </c>
      <c r="F1109" s="2">
        <f>IFERROR(__xludf.DUMMYFUNCTION("""COMPUTED_VALUE"""),3199081.0)</f>
        <v>3199081</v>
      </c>
    </row>
    <row r="1110">
      <c r="A1110" s="3">
        <f>IFERROR(__xludf.DUMMYFUNCTION("""COMPUTED_VALUE"""),39058.645833333336)</f>
        <v>39058.64583</v>
      </c>
      <c r="B1110" s="2">
        <f>IFERROR(__xludf.DUMMYFUNCTION("""COMPUTED_VALUE"""),317.23)</f>
        <v>317.23</v>
      </c>
      <c r="C1110" s="2">
        <f>IFERROR(__xludf.DUMMYFUNCTION("""COMPUTED_VALUE"""),324.17)</f>
        <v>324.17</v>
      </c>
      <c r="D1110" s="2">
        <f>IFERROR(__xludf.DUMMYFUNCTION("""COMPUTED_VALUE"""),317.23)</f>
        <v>317.23</v>
      </c>
      <c r="E1110" s="2">
        <f>IFERROR(__xludf.DUMMYFUNCTION("""COMPUTED_VALUE"""),322.18)</f>
        <v>322.18</v>
      </c>
      <c r="F1110" s="2">
        <f>IFERROR(__xludf.DUMMYFUNCTION("""COMPUTED_VALUE"""),3823498.0)</f>
        <v>3823498</v>
      </c>
    </row>
    <row r="1111">
      <c r="A1111" s="3">
        <f>IFERROR(__xludf.DUMMYFUNCTION("""COMPUTED_VALUE"""),39059.645833333336)</f>
        <v>39059.64583</v>
      </c>
      <c r="B1111" s="2">
        <f>IFERROR(__xludf.DUMMYFUNCTION("""COMPUTED_VALUE"""),323.17)</f>
        <v>323.17</v>
      </c>
      <c r="C1111" s="2">
        <f>IFERROR(__xludf.DUMMYFUNCTION("""COMPUTED_VALUE"""),323.17)</f>
        <v>323.17</v>
      </c>
      <c r="D1111" s="2">
        <f>IFERROR(__xludf.DUMMYFUNCTION("""COMPUTED_VALUE"""),313.27)</f>
        <v>313.27</v>
      </c>
      <c r="E1111" s="2">
        <f>IFERROR(__xludf.DUMMYFUNCTION("""COMPUTED_VALUE"""),314.3)</f>
        <v>314.3</v>
      </c>
      <c r="F1111" s="2">
        <f>IFERROR(__xludf.DUMMYFUNCTION("""COMPUTED_VALUE"""),2917691.0)</f>
        <v>2917691</v>
      </c>
    </row>
    <row r="1112">
      <c r="A1112" s="3">
        <f>IFERROR(__xludf.DUMMYFUNCTION("""COMPUTED_VALUE"""),39062.645833333336)</f>
        <v>39062.64583</v>
      </c>
      <c r="B1112" s="2">
        <f>IFERROR(__xludf.DUMMYFUNCTION("""COMPUTED_VALUE"""),316.98)</f>
        <v>316.98</v>
      </c>
      <c r="C1112" s="2">
        <f>IFERROR(__xludf.DUMMYFUNCTION("""COMPUTED_VALUE"""),316.98)</f>
        <v>316.98</v>
      </c>
      <c r="D1112" s="2">
        <f>IFERROR(__xludf.DUMMYFUNCTION("""COMPUTED_VALUE"""),303.69)</f>
        <v>303.69</v>
      </c>
      <c r="E1112" s="2">
        <f>IFERROR(__xludf.DUMMYFUNCTION("""COMPUTED_VALUE"""),307.08)</f>
        <v>307.08</v>
      </c>
      <c r="F1112" s="2">
        <f>IFERROR(__xludf.DUMMYFUNCTION("""COMPUTED_VALUE"""),4535936.0)</f>
        <v>4535936</v>
      </c>
    </row>
    <row r="1113">
      <c r="A1113" s="3">
        <f>IFERROR(__xludf.DUMMYFUNCTION("""COMPUTED_VALUE"""),39063.645833333336)</f>
        <v>39063.64583</v>
      </c>
      <c r="B1113" s="2">
        <f>IFERROR(__xludf.DUMMYFUNCTION("""COMPUTED_VALUE"""),306.58)</f>
        <v>306.58</v>
      </c>
      <c r="C1113" s="2">
        <f>IFERROR(__xludf.DUMMYFUNCTION("""COMPUTED_VALUE"""),311.78)</f>
        <v>311.78</v>
      </c>
      <c r="D1113" s="2">
        <f>IFERROR(__xludf.DUMMYFUNCTION("""COMPUTED_VALUE"""),291.32)</f>
        <v>291.32</v>
      </c>
      <c r="E1113" s="2">
        <f>IFERROR(__xludf.DUMMYFUNCTION("""COMPUTED_VALUE"""),298.51)</f>
        <v>298.51</v>
      </c>
      <c r="F1113" s="2">
        <f>IFERROR(__xludf.DUMMYFUNCTION("""COMPUTED_VALUE"""),6878210.0)</f>
        <v>6878210</v>
      </c>
    </row>
    <row r="1114">
      <c r="A1114" s="3">
        <f>IFERROR(__xludf.DUMMYFUNCTION("""COMPUTED_VALUE"""),39064.645833333336)</f>
        <v>39064.64583</v>
      </c>
      <c r="B1114" s="2">
        <f>IFERROR(__xludf.DUMMYFUNCTION("""COMPUTED_VALUE"""),300.86)</f>
        <v>300.86</v>
      </c>
      <c r="C1114" s="2">
        <f>IFERROR(__xludf.DUMMYFUNCTION("""COMPUTED_VALUE"""),307.6)</f>
        <v>307.6</v>
      </c>
      <c r="D1114" s="2">
        <f>IFERROR(__xludf.DUMMYFUNCTION("""COMPUTED_VALUE"""),297.42)</f>
        <v>297.42</v>
      </c>
      <c r="E1114" s="2">
        <f>IFERROR(__xludf.DUMMYFUNCTION("""COMPUTED_VALUE"""),306.68)</f>
        <v>306.68</v>
      </c>
      <c r="F1114" s="2">
        <f>IFERROR(__xludf.DUMMYFUNCTION("""COMPUTED_VALUE"""),5255745.0)</f>
        <v>5255745</v>
      </c>
    </row>
    <row r="1115">
      <c r="A1115" s="3">
        <f>IFERROR(__xludf.DUMMYFUNCTION("""COMPUTED_VALUE"""),39065.645833333336)</f>
        <v>39065.64583</v>
      </c>
      <c r="B1115" s="2">
        <f>IFERROR(__xludf.DUMMYFUNCTION("""COMPUTED_VALUE"""),308.32)</f>
        <v>308.32</v>
      </c>
      <c r="C1115" s="2">
        <f>IFERROR(__xludf.DUMMYFUNCTION("""COMPUTED_VALUE"""),315.35)</f>
        <v>315.35</v>
      </c>
      <c r="D1115" s="2">
        <f>IFERROR(__xludf.DUMMYFUNCTION("""COMPUTED_VALUE"""),306.84)</f>
        <v>306.84</v>
      </c>
      <c r="E1115" s="2">
        <f>IFERROR(__xludf.DUMMYFUNCTION("""COMPUTED_VALUE"""),311.89)</f>
        <v>311.89</v>
      </c>
      <c r="F1115" s="2">
        <f>IFERROR(__xludf.DUMMYFUNCTION("""COMPUTED_VALUE"""),3005436.0)</f>
        <v>3005436</v>
      </c>
    </row>
    <row r="1116">
      <c r="A1116" s="3">
        <f>IFERROR(__xludf.DUMMYFUNCTION("""COMPUTED_VALUE"""),39066.645833333336)</f>
        <v>39066.64583</v>
      </c>
      <c r="B1116" s="2">
        <f>IFERROR(__xludf.DUMMYFUNCTION("""COMPUTED_VALUE"""),313.52)</f>
        <v>313.52</v>
      </c>
      <c r="C1116" s="2">
        <f>IFERROR(__xludf.DUMMYFUNCTION("""COMPUTED_VALUE"""),314.51)</f>
        <v>314.51</v>
      </c>
      <c r="D1116" s="2">
        <f>IFERROR(__xludf.DUMMYFUNCTION("""COMPUTED_VALUE"""),308.44)</f>
        <v>308.44</v>
      </c>
      <c r="E1116" s="2">
        <f>IFERROR(__xludf.DUMMYFUNCTION("""COMPUTED_VALUE"""),310.47)</f>
        <v>310.47</v>
      </c>
      <c r="F1116" s="2">
        <f>IFERROR(__xludf.DUMMYFUNCTION("""COMPUTED_VALUE"""),2415209.0)</f>
        <v>2415209</v>
      </c>
    </row>
    <row r="1117">
      <c r="A1117" s="3">
        <f>IFERROR(__xludf.DUMMYFUNCTION("""COMPUTED_VALUE"""),39069.645833333336)</f>
        <v>39069.64583</v>
      </c>
      <c r="B1117" s="2">
        <f>IFERROR(__xludf.DUMMYFUNCTION("""COMPUTED_VALUE"""),312.03)</f>
        <v>312.03</v>
      </c>
      <c r="C1117" s="2">
        <f>IFERROR(__xludf.DUMMYFUNCTION("""COMPUTED_VALUE"""),321.44)</f>
        <v>321.44</v>
      </c>
      <c r="D1117" s="2">
        <f>IFERROR(__xludf.DUMMYFUNCTION("""COMPUTED_VALUE"""),307.83)</f>
        <v>307.83</v>
      </c>
      <c r="E1117" s="2">
        <f>IFERROR(__xludf.DUMMYFUNCTION("""COMPUTED_VALUE"""),319.24)</f>
        <v>319.24</v>
      </c>
      <c r="F1117" s="2">
        <f>IFERROR(__xludf.DUMMYFUNCTION("""COMPUTED_VALUE"""),2522336.0)</f>
        <v>2522336</v>
      </c>
    </row>
    <row r="1118">
      <c r="A1118" s="3">
        <f>IFERROR(__xludf.DUMMYFUNCTION("""COMPUTED_VALUE"""),39070.645833333336)</f>
        <v>39070.64583</v>
      </c>
      <c r="B1118" s="2">
        <f>IFERROR(__xludf.DUMMYFUNCTION("""COMPUTED_VALUE"""),321.39)</f>
        <v>321.39</v>
      </c>
      <c r="C1118" s="2">
        <f>IFERROR(__xludf.DUMMYFUNCTION("""COMPUTED_VALUE"""),321.39)</f>
        <v>321.39</v>
      </c>
      <c r="D1118" s="2">
        <f>IFERROR(__xludf.DUMMYFUNCTION("""COMPUTED_VALUE"""),304.6)</f>
        <v>304.6</v>
      </c>
      <c r="E1118" s="2">
        <f>IFERROR(__xludf.DUMMYFUNCTION("""COMPUTED_VALUE"""),310.43)</f>
        <v>310.43</v>
      </c>
      <c r="F1118" s="2">
        <f>IFERROR(__xludf.DUMMYFUNCTION("""COMPUTED_VALUE"""),4225479.0)</f>
        <v>4225479</v>
      </c>
    </row>
    <row r="1119">
      <c r="A1119" s="3">
        <f>IFERROR(__xludf.DUMMYFUNCTION("""COMPUTED_VALUE"""),39071.645833333336)</f>
        <v>39071.64583</v>
      </c>
      <c r="B1119" s="2">
        <f>IFERROR(__xludf.DUMMYFUNCTION("""COMPUTED_VALUE"""),312.03)</f>
        <v>312.03</v>
      </c>
      <c r="C1119" s="2">
        <f>IFERROR(__xludf.DUMMYFUNCTION("""COMPUTED_VALUE"""),315.75)</f>
        <v>315.75</v>
      </c>
      <c r="D1119" s="2">
        <f>IFERROR(__xludf.DUMMYFUNCTION("""COMPUTED_VALUE"""),305.42)</f>
        <v>305.42</v>
      </c>
      <c r="E1119" s="2">
        <f>IFERROR(__xludf.DUMMYFUNCTION("""COMPUTED_VALUE"""),309.28)</f>
        <v>309.28</v>
      </c>
      <c r="F1119" s="2">
        <f>IFERROR(__xludf.DUMMYFUNCTION("""COMPUTED_VALUE"""),4201035.0)</f>
        <v>4201035</v>
      </c>
    </row>
    <row r="1120">
      <c r="A1120" s="3">
        <f>IFERROR(__xludf.DUMMYFUNCTION("""COMPUTED_VALUE"""),39072.645833333336)</f>
        <v>39072.64583</v>
      </c>
      <c r="B1120" s="2">
        <f>IFERROR(__xludf.DUMMYFUNCTION("""COMPUTED_VALUE"""),310.05)</f>
        <v>310.05</v>
      </c>
      <c r="C1120" s="2">
        <f>IFERROR(__xludf.DUMMYFUNCTION("""COMPUTED_VALUE"""),313.91)</f>
        <v>313.91</v>
      </c>
      <c r="D1120" s="2">
        <f>IFERROR(__xludf.DUMMYFUNCTION("""COMPUTED_VALUE"""),307.85)</f>
        <v>307.85</v>
      </c>
      <c r="E1120" s="2">
        <f>IFERROR(__xludf.DUMMYFUNCTION("""COMPUTED_VALUE"""),312.39)</f>
        <v>312.39</v>
      </c>
      <c r="F1120" s="2">
        <f>IFERROR(__xludf.DUMMYFUNCTION("""COMPUTED_VALUE"""),2314366.0)</f>
        <v>2314366</v>
      </c>
    </row>
    <row r="1121">
      <c r="A1121" s="3">
        <f>IFERROR(__xludf.DUMMYFUNCTION("""COMPUTED_VALUE"""),39073.645833333336)</f>
        <v>39073.64583</v>
      </c>
      <c r="B1121" s="2">
        <f>IFERROR(__xludf.DUMMYFUNCTION("""COMPUTED_VALUE"""),312.41)</f>
        <v>312.41</v>
      </c>
      <c r="C1121" s="2">
        <f>IFERROR(__xludf.DUMMYFUNCTION("""COMPUTED_VALUE"""),315.75)</f>
        <v>315.75</v>
      </c>
      <c r="D1121" s="2">
        <f>IFERROR(__xludf.DUMMYFUNCTION("""COMPUTED_VALUE"""),311.1)</f>
        <v>311.1</v>
      </c>
      <c r="E1121" s="2">
        <f>IFERROR(__xludf.DUMMYFUNCTION("""COMPUTED_VALUE"""),315.14)</f>
        <v>315.14</v>
      </c>
      <c r="F1121" s="2">
        <f>IFERROR(__xludf.DUMMYFUNCTION("""COMPUTED_VALUE"""),1402800.0)</f>
        <v>1402800</v>
      </c>
    </row>
    <row r="1122">
      <c r="A1122" s="3">
        <f>IFERROR(__xludf.DUMMYFUNCTION("""COMPUTED_VALUE"""),39077.645833333336)</f>
        <v>39077.64583</v>
      </c>
      <c r="B1122" s="2">
        <f>IFERROR(__xludf.DUMMYFUNCTION("""COMPUTED_VALUE"""),318.2)</f>
        <v>318.2</v>
      </c>
      <c r="C1122" s="2">
        <f>IFERROR(__xludf.DUMMYFUNCTION("""COMPUTED_VALUE"""),318.2)</f>
        <v>318.2</v>
      </c>
      <c r="D1122" s="2">
        <f>IFERROR(__xludf.DUMMYFUNCTION("""COMPUTED_VALUE"""),313.52)</f>
        <v>313.52</v>
      </c>
      <c r="E1122" s="2">
        <f>IFERROR(__xludf.DUMMYFUNCTION("""COMPUTED_VALUE"""),316.24)</f>
        <v>316.24</v>
      </c>
      <c r="F1122" s="2">
        <f>IFERROR(__xludf.DUMMYFUNCTION("""COMPUTED_VALUE"""),1647160.0)</f>
        <v>1647160</v>
      </c>
    </row>
    <row r="1123">
      <c r="A1123" s="3">
        <f>IFERROR(__xludf.DUMMYFUNCTION("""COMPUTED_VALUE"""),39078.645833333336)</f>
        <v>39078.64583</v>
      </c>
      <c r="B1123" s="2">
        <f>IFERROR(__xludf.DUMMYFUNCTION("""COMPUTED_VALUE"""),318.22)</f>
        <v>318.22</v>
      </c>
      <c r="C1123" s="2">
        <f>IFERROR(__xludf.DUMMYFUNCTION("""COMPUTED_VALUE"""),321.42)</f>
        <v>321.42</v>
      </c>
      <c r="D1123" s="2">
        <f>IFERROR(__xludf.DUMMYFUNCTION("""COMPUTED_VALUE"""),317.11)</f>
        <v>317.11</v>
      </c>
      <c r="E1123" s="2">
        <f>IFERROR(__xludf.DUMMYFUNCTION("""COMPUTED_VALUE"""),320.29)</f>
        <v>320.29</v>
      </c>
      <c r="F1123" s="2">
        <f>IFERROR(__xludf.DUMMYFUNCTION("""COMPUTED_VALUE"""),2336334.0)</f>
        <v>2336334</v>
      </c>
    </row>
    <row r="1124">
      <c r="A1124" s="3">
        <f>IFERROR(__xludf.DUMMYFUNCTION("""COMPUTED_VALUE"""),39079.645833333336)</f>
        <v>39079.64583</v>
      </c>
      <c r="B1124" s="2">
        <f>IFERROR(__xludf.DUMMYFUNCTION("""COMPUTED_VALUE"""),321.19)</f>
        <v>321.19</v>
      </c>
      <c r="C1124" s="2">
        <f>IFERROR(__xludf.DUMMYFUNCTION("""COMPUTED_VALUE"""),322.68)</f>
        <v>322.68</v>
      </c>
      <c r="D1124" s="2">
        <f>IFERROR(__xludf.DUMMYFUNCTION("""COMPUTED_VALUE"""),314.07)</f>
        <v>314.07</v>
      </c>
      <c r="E1124" s="2">
        <f>IFERROR(__xludf.DUMMYFUNCTION("""COMPUTED_VALUE"""),315.67)</f>
        <v>315.67</v>
      </c>
      <c r="F1124" s="2">
        <f>IFERROR(__xludf.DUMMYFUNCTION("""COMPUTED_VALUE"""),4093985.0)</f>
        <v>4093985</v>
      </c>
    </row>
    <row r="1125">
      <c r="A1125" s="3">
        <f>IFERROR(__xludf.DUMMYFUNCTION("""COMPUTED_VALUE"""),39080.645833333336)</f>
        <v>39080.64583</v>
      </c>
      <c r="B1125" s="2">
        <f>IFERROR(__xludf.DUMMYFUNCTION("""COMPUTED_VALUE"""),317.0)</f>
        <v>317</v>
      </c>
      <c r="C1125" s="2">
        <f>IFERROR(__xludf.DUMMYFUNCTION("""COMPUTED_VALUE"""),318.72)</f>
        <v>318.72</v>
      </c>
      <c r="D1125" s="2">
        <f>IFERROR(__xludf.DUMMYFUNCTION("""COMPUTED_VALUE"""),313.32)</f>
        <v>313.32</v>
      </c>
      <c r="E1125" s="2">
        <f>IFERROR(__xludf.DUMMYFUNCTION("""COMPUTED_VALUE"""),314.54)</f>
        <v>314.54</v>
      </c>
      <c r="F1125" s="2">
        <f>IFERROR(__xludf.DUMMYFUNCTION("""COMPUTED_VALUE"""),2244378.0)</f>
        <v>2244378</v>
      </c>
    </row>
    <row r="1126">
      <c r="A1126" s="3">
        <f>IFERROR(__xludf.DUMMYFUNCTION("""COMPUTED_VALUE"""),39084.645833333336)</f>
        <v>39084.64583</v>
      </c>
      <c r="B1126" s="2">
        <f>IFERROR(__xludf.DUMMYFUNCTION("""COMPUTED_VALUE"""),315.75)</f>
        <v>315.75</v>
      </c>
      <c r="C1126" s="2">
        <f>IFERROR(__xludf.DUMMYFUNCTION("""COMPUTED_VALUE"""),318.42)</f>
        <v>318.42</v>
      </c>
      <c r="D1126" s="2">
        <f>IFERROR(__xludf.DUMMYFUNCTION("""COMPUTED_VALUE"""),314.58)</f>
        <v>314.58</v>
      </c>
      <c r="E1126" s="2">
        <f>IFERROR(__xludf.DUMMYFUNCTION("""COMPUTED_VALUE"""),317.21)</f>
        <v>317.21</v>
      </c>
      <c r="F1126" s="2">
        <f>IFERROR(__xludf.DUMMYFUNCTION("""COMPUTED_VALUE"""),1149902.0)</f>
        <v>1149902</v>
      </c>
    </row>
    <row r="1127">
      <c r="A1127" s="3">
        <f>IFERROR(__xludf.DUMMYFUNCTION("""COMPUTED_VALUE"""),39085.645833333336)</f>
        <v>39085.64583</v>
      </c>
      <c r="B1127" s="2">
        <f>IFERROR(__xludf.DUMMYFUNCTION("""COMPUTED_VALUE"""),318.22)</f>
        <v>318.22</v>
      </c>
      <c r="C1127" s="2">
        <f>IFERROR(__xludf.DUMMYFUNCTION("""COMPUTED_VALUE"""),319.68)</f>
        <v>319.68</v>
      </c>
      <c r="D1127" s="2">
        <f>IFERROR(__xludf.DUMMYFUNCTION("""COMPUTED_VALUE"""),315.83)</f>
        <v>315.83</v>
      </c>
      <c r="E1127" s="2">
        <f>IFERROR(__xludf.DUMMYFUNCTION("""COMPUTED_VALUE"""),318.11)</f>
        <v>318.11</v>
      </c>
      <c r="F1127" s="2">
        <f>IFERROR(__xludf.DUMMYFUNCTION("""COMPUTED_VALUE"""),1489730.0)</f>
        <v>1489730</v>
      </c>
    </row>
    <row r="1128">
      <c r="A1128" s="3">
        <f>IFERROR(__xludf.DUMMYFUNCTION("""COMPUTED_VALUE"""),39086.645833333336)</f>
        <v>39086.64583</v>
      </c>
      <c r="B1128" s="2">
        <f>IFERROR(__xludf.DUMMYFUNCTION("""COMPUTED_VALUE"""),319.46)</f>
        <v>319.46</v>
      </c>
      <c r="C1128" s="2">
        <f>IFERROR(__xludf.DUMMYFUNCTION("""COMPUTED_VALUE"""),321.94)</f>
        <v>321.94</v>
      </c>
      <c r="D1128" s="2">
        <f>IFERROR(__xludf.DUMMYFUNCTION("""COMPUTED_VALUE"""),316.24)</f>
        <v>316.24</v>
      </c>
      <c r="E1128" s="2">
        <f>IFERROR(__xludf.DUMMYFUNCTION("""COMPUTED_VALUE"""),317.11)</f>
        <v>317.11</v>
      </c>
      <c r="F1128" s="2">
        <f>IFERROR(__xludf.DUMMYFUNCTION("""COMPUTED_VALUE"""),3022423.0)</f>
        <v>3022423</v>
      </c>
    </row>
    <row r="1129">
      <c r="A1129" s="3">
        <f>IFERROR(__xludf.DUMMYFUNCTION("""COMPUTED_VALUE"""),39087.645833333336)</f>
        <v>39087.64583</v>
      </c>
      <c r="B1129" s="2">
        <f>IFERROR(__xludf.DUMMYFUNCTION("""COMPUTED_VALUE"""),315.75)</f>
        <v>315.75</v>
      </c>
      <c r="C1129" s="2">
        <f>IFERROR(__xludf.DUMMYFUNCTION("""COMPUTED_VALUE"""),324.91)</f>
        <v>324.91</v>
      </c>
      <c r="D1129" s="2">
        <f>IFERROR(__xludf.DUMMYFUNCTION("""COMPUTED_VALUE"""),315.75)</f>
        <v>315.75</v>
      </c>
      <c r="E1129" s="2">
        <f>IFERROR(__xludf.DUMMYFUNCTION("""COMPUTED_VALUE"""),319.0)</f>
        <v>319</v>
      </c>
      <c r="F1129" s="2">
        <f>IFERROR(__xludf.DUMMYFUNCTION("""COMPUTED_VALUE"""),3047126.0)</f>
        <v>3047126</v>
      </c>
    </row>
    <row r="1130">
      <c r="A1130" s="3">
        <f>IFERROR(__xludf.DUMMYFUNCTION("""COMPUTED_VALUE"""),39090.645833333336)</f>
        <v>39090.64583</v>
      </c>
      <c r="B1130" s="2">
        <f>IFERROR(__xludf.DUMMYFUNCTION("""COMPUTED_VALUE"""),320.45)</f>
        <v>320.45</v>
      </c>
      <c r="C1130" s="2">
        <f>IFERROR(__xludf.DUMMYFUNCTION("""COMPUTED_VALUE"""),320.45)</f>
        <v>320.45</v>
      </c>
      <c r="D1130" s="2">
        <f>IFERROR(__xludf.DUMMYFUNCTION("""COMPUTED_VALUE"""),313.67)</f>
        <v>313.67</v>
      </c>
      <c r="E1130" s="2">
        <f>IFERROR(__xludf.DUMMYFUNCTION("""COMPUTED_VALUE"""),316.2)</f>
        <v>316.2</v>
      </c>
      <c r="F1130" s="2">
        <f>IFERROR(__xludf.DUMMYFUNCTION("""COMPUTED_VALUE"""),2191355.0)</f>
        <v>2191355</v>
      </c>
    </row>
    <row r="1131">
      <c r="A1131" s="3">
        <f>IFERROR(__xludf.DUMMYFUNCTION("""COMPUTED_VALUE"""),39091.645833333336)</f>
        <v>39091.64583</v>
      </c>
      <c r="B1131" s="2">
        <f>IFERROR(__xludf.DUMMYFUNCTION("""COMPUTED_VALUE"""),320.65)</f>
        <v>320.65</v>
      </c>
      <c r="C1131" s="2">
        <f>IFERROR(__xludf.DUMMYFUNCTION("""COMPUTED_VALUE"""),320.65)</f>
        <v>320.65</v>
      </c>
      <c r="D1131" s="2">
        <f>IFERROR(__xludf.DUMMYFUNCTION("""COMPUTED_VALUE"""),315.0)</f>
        <v>315</v>
      </c>
      <c r="E1131" s="2">
        <f>IFERROR(__xludf.DUMMYFUNCTION("""COMPUTED_VALUE"""),316.56)</f>
        <v>316.56</v>
      </c>
      <c r="F1131" s="2">
        <f>IFERROR(__xludf.DUMMYFUNCTION("""COMPUTED_VALUE"""),2561246.0)</f>
        <v>2561246</v>
      </c>
    </row>
    <row r="1132">
      <c r="A1132" s="3">
        <f>IFERROR(__xludf.DUMMYFUNCTION("""COMPUTED_VALUE"""),39092.645833333336)</f>
        <v>39092.64583</v>
      </c>
      <c r="B1132" s="2">
        <f>IFERROR(__xludf.DUMMYFUNCTION("""COMPUTED_VALUE"""),315.75)</f>
        <v>315.75</v>
      </c>
      <c r="C1132" s="2">
        <f>IFERROR(__xludf.DUMMYFUNCTION("""COMPUTED_VALUE"""),319.68)</f>
        <v>319.68</v>
      </c>
      <c r="D1132" s="2">
        <f>IFERROR(__xludf.DUMMYFUNCTION("""COMPUTED_VALUE"""),313.05)</f>
        <v>313.05</v>
      </c>
      <c r="E1132" s="2">
        <f>IFERROR(__xludf.DUMMYFUNCTION("""COMPUTED_VALUE"""),315.29)</f>
        <v>315.29</v>
      </c>
      <c r="F1132" s="2">
        <f>IFERROR(__xludf.DUMMYFUNCTION("""COMPUTED_VALUE"""),4813168.0)</f>
        <v>4813168</v>
      </c>
    </row>
    <row r="1133">
      <c r="A1133" s="3">
        <f>IFERROR(__xludf.DUMMYFUNCTION("""COMPUTED_VALUE"""),39093.645833333336)</f>
        <v>39093.64583</v>
      </c>
      <c r="B1133" s="2">
        <f>IFERROR(__xludf.DUMMYFUNCTION("""COMPUTED_VALUE"""),315.75)</f>
        <v>315.75</v>
      </c>
      <c r="C1133" s="2">
        <f>IFERROR(__xludf.DUMMYFUNCTION("""COMPUTED_VALUE"""),321.94)</f>
        <v>321.94</v>
      </c>
      <c r="D1133" s="2">
        <f>IFERROR(__xludf.DUMMYFUNCTION("""COMPUTED_VALUE"""),313.32)</f>
        <v>313.32</v>
      </c>
      <c r="E1133" s="2">
        <f>IFERROR(__xludf.DUMMYFUNCTION("""COMPUTED_VALUE"""),321.07)</f>
        <v>321.07</v>
      </c>
      <c r="F1133" s="2">
        <f>IFERROR(__xludf.DUMMYFUNCTION("""COMPUTED_VALUE"""),2228244.0)</f>
        <v>2228244</v>
      </c>
    </row>
    <row r="1134">
      <c r="A1134" s="3">
        <f>IFERROR(__xludf.DUMMYFUNCTION("""COMPUTED_VALUE"""),39094.645833333336)</f>
        <v>39094.64583</v>
      </c>
      <c r="B1134" s="2">
        <f>IFERROR(__xludf.DUMMYFUNCTION("""COMPUTED_VALUE"""),324.09)</f>
        <v>324.09</v>
      </c>
      <c r="C1134" s="2">
        <f>IFERROR(__xludf.DUMMYFUNCTION("""COMPUTED_VALUE"""),333.08)</f>
        <v>333.08</v>
      </c>
      <c r="D1134" s="2">
        <f>IFERROR(__xludf.DUMMYFUNCTION("""COMPUTED_VALUE"""),320.7)</f>
        <v>320.7</v>
      </c>
      <c r="E1134" s="2">
        <f>IFERROR(__xludf.DUMMYFUNCTION("""COMPUTED_VALUE"""),331.72)</f>
        <v>331.72</v>
      </c>
      <c r="F1134" s="2">
        <f>IFERROR(__xludf.DUMMYFUNCTION("""COMPUTED_VALUE"""),4479089.0)</f>
        <v>4479089</v>
      </c>
    </row>
    <row r="1135">
      <c r="A1135" s="3">
        <f>IFERROR(__xludf.DUMMYFUNCTION("""COMPUTED_VALUE"""),39097.645833333336)</f>
        <v>39097.64583</v>
      </c>
      <c r="B1135" s="2">
        <f>IFERROR(__xludf.DUMMYFUNCTION("""COMPUTED_VALUE"""),337.98)</f>
        <v>337.98</v>
      </c>
      <c r="C1135" s="2">
        <f>IFERROR(__xludf.DUMMYFUNCTION("""COMPUTED_VALUE"""),339.77)</f>
        <v>339.77</v>
      </c>
      <c r="D1135" s="2">
        <f>IFERROR(__xludf.DUMMYFUNCTION("""COMPUTED_VALUE"""),333.33)</f>
        <v>333.33</v>
      </c>
      <c r="E1135" s="2">
        <f>IFERROR(__xludf.DUMMYFUNCTION("""COMPUTED_VALUE"""),338.02)</f>
        <v>338.02</v>
      </c>
      <c r="F1135" s="2">
        <f>IFERROR(__xludf.DUMMYFUNCTION("""COMPUTED_VALUE"""),3217452.0)</f>
        <v>3217452</v>
      </c>
    </row>
    <row r="1136">
      <c r="A1136" s="3">
        <f>IFERROR(__xludf.DUMMYFUNCTION("""COMPUTED_VALUE"""),39098.645833333336)</f>
        <v>39098.64583</v>
      </c>
      <c r="B1136" s="2">
        <f>IFERROR(__xludf.DUMMYFUNCTION("""COMPUTED_VALUE"""),338.53)</f>
        <v>338.53</v>
      </c>
      <c r="C1136" s="2">
        <f>IFERROR(__xludf.DUMMYFUNCTION("""COMPUTED_VALUE"""),339.77)</f>
        <v>339.77</v>
      </c>
      <c r="D1136" s="2">
        <f>IFERROR(__xludf.DUMMYFUNCTION("""COMPUTED_VALUE"""),332.86)</f>
        <v>332.86</v>
      </c>
      <c r="E1136" s="2">
        <f>IFERROR(__xludf.DUMMYFUNCTION("""COMPUTED_VALUE"""),333.56)</f>
        <v>333.56</v>
      </c>
      <c r="F1136" s="2">
        <f>IFERROR(__xludf.DUMMYFUNCTION("""COMPUTED_VALUE"""),1793509.0)</f>
        <v>1793509</v>
      </c>
    </row>
    <row r="1137">
      <c r="A1137" s="3">
        <f>IFERROR(__xludf.DUMMYFUNCTION("""COMPUTED_VALUE"""),39099.645833333336)</f>
        <v>39099.64583</v>
      </c>
      <c r="B1137" s="2">
        <f>IFERROR(__xludf.DUMMYFUNCTION("""COMPUTED_VALUE"""),336.3)</f>
        <v>336.3</v>
      </c>
      <c r="C1137" s="2">
        <f>IFERROR(__xludf.DUMMYFUNCTION("""COMPUTED_VALUE"""),337.29)</f>
        <v>337.29</v>
      </c>
      <c r="D1137" s="2">
        <f>IFERROR(__xludf.DUMMYFUNCTION("""COMPUTED_VALUE"""),333.12)</f>
        <v>333.12</v>
      </c>
      <c r="E1137" s="2">
        <f>IFERROR(__xludf.DUMMYFUNCTION("""COMPUTED_VALUE"""),334.28)</f>
        <v>334.28</v>
      </c>
      <c r="F1137" s="2">
        <f>IFERROR(__xludf.DUMMYFUNCTION("""COMPUTED_VALUE"""),1564256.0)</f>
        <v>1564256</v>
      </c>
    </row>
    <row r="1138">
      <c r="A1138" s="3">
        <f>IFERROR(__xludf.DUMMYFUNCTION("""COMPUTED_VALUE"""),39100.645833333336)</f>
        <v>39100.64583</v>
      </c>
      <c r="B1138" s="2">
        <f>IFERROR(__xludf.DUMMYFUNCTION("""COMPUTED_VALUE"""),335.56)</f>
        <v>335.56</v>
      </c>
      <c r="C1138" s="2">
        <f>IFERROR(__xludf.DUMMYFUNCTION("""COMPUTED_VALUE"""),342.91)</f>
        <v>342.91</v>
      </c>
      <c r="D1138" s="2">
        <f>IFERROR(__xludf.DUMMYFUNCTION("""COMPUTED_VALUE"""),334.07)</f>
        <v>334.07</v>
      </c>
      <c r="E1138" s="2">
        <f>IFERROR(__xludf.DUMMYFUNCTION("""COMPUTED_VALUE"""),338.63)</f>
        <v>338.63</v>
      </c>
      <c r="F1138" s="2">
        <f>IFERROR(__xludf.DUMMYFUNCTION("""COMPUTED_VALUE"""),3531763.0)</f>
        <v>3531763</v>
      </c>
    </row>
    <row r="1139">
      <c r="A1139" s="3">
        <f>IFERROR(__xludf.DUMMYFUNCTION("""COMPUTED_VALUE"""),39101.645833333336)</f>
        <v>39101.64583</v>
      </c>
      <c r="B1139" s="2">
        <f>IFERROR(__xludf.DUMMYFUNCTION("""COMPUTED_VALUE"""),353.63)</f>
        <v>353.63</v>
      </c>
      <c r="C1139" s="2">
        <f>IFERROR(__xludf.DUMMYFUNCTION("""COMPUTED_VALUE"""),353.63)</f>
        <v>353.63</v>
      </c>
      <c r="D1139" s="2">
        <f>IFERROR(__xludf.DUMMYFUNCTION("""COMPUTED_VALUE"""),340.32)</f>
        <v>340.32</v>
      </c>
      <c r="E1139" s="2">
        <f>IFERROR(__xludf.DUMMYFUNCTION("""COMPUTED_VALUE"""),342.43)</f>
        <v>342.43</v>
      </c>
      <c r="F1139" s="2">
        <f>IFERROR(__xludf.DUMMYFUNCTION("""COMPUTED_VALUE"""),6458817.0)</f>
        <v>6458817</v>
      </c>
    </row>
    <row r="1140">
      <c r="A1140" s="3">
        <f>IFERROR(__xludf.DUMMYFUNCTION("""COMPUTED_VALUE"""),39104.645833333336)</f>
        <v>39104.64583</v>
      </c>
      <c r="B1140" s="2">
        <f>IFERROR(__xludf.DUMMYFUNCTION("""COMPUTED_VALUE"""),342.99)</f>
        <v>342.99</v>
      </c>
      <c r="C1140" s="2">
        <f>IFERROR(__xludf.DUMMYFUNCTION("""COMPUTED_VALUE"""),345.45)</f>
        <v>345.45</v>
      </c>
      <c r="D1140" s="2">
        <f>IFERROR(__xludf.DUMMYFUNCTION("""COMPUTED_VALUE"""),339.53)</f>
        <v>339.53</v>
      </c>
      <c r="E1140" s="2">
        <f>IFERROR(__xludf.DUMMYFUNCTION("""COMPUTED_VALUE"""),340.22)</f>
        <v>340.22</v>
      </c>
      <c r="F1140" s="2">
        <f>IFERROR(__xludf.DUMMYFUNCTION("""COMPUTED_VALUE"""),1567523.0)</f>
        <v>1567523</v>
      </c>
    </row>
    <row r="1141">
      <c r="A1141" s="3">
        <f>IFERROR(__xludf.DUMMYFUNCTION("""COMPUTED_VALUE"""),39105.645833333336)</f>
        <v>39105.64583</v>
      </c>
      <c r="B1141" s="2">
        <f>IFERROR(__xludf.DUMMYFUNCTION("""COMPUTED_VALUE"""),339.53)</f>
        <v>339.53</v>
      </c>
      <c r="C1141" s="2">
        <f>IFERROR(__xludf.DUMMYFUNCTION("""COMPUTED_VALUE"""),341.93)</f>
        <v>341.93</v>
      </c>
      <c r="D1141" s="2">
        <f>IFERROR(__xludf.DUMMYFUNCTION("""COMPUTED_VALUE"""),336.21)</f>
        <v>336.21</v>
      </c>
      <c r="E1141" s="2">
        <f>IFERROR(__xludf.DUMMYFUNCTION("""COMPUTED_VALUE"""),336.93)</f>
        <v>336.93</v>
      </c>
      <c r="F1141" s="2">
        <f>IFERROR(__xludf.DUMMYFUNCTION("""COMPUTED_VALUE"""),1213863.0)</f>
        <v>1213863</v>
      </c>
    </row>
    <row r="1142">
      <c r="A1142" s="3">
        <f>IFERROR(__xludf.DUMMYFUNCTION("""COMPUTED_VALUE"""),39106.645833333336)</f>
        <v>39106.64583</v>
      </c>
      <c r="B1142" s="2">
        <f>IFERROR(__xludf.DUMMYFUNCTION("""COMPUTED_VALUE"""),340.36)</f>
        <v>340.36</v>
      </c>
      <c r="C1142" s="2">
        <f>IFERROR(__xludf.DUMMYFUNCTION("""COMPUTED_VALUE"""),340.36)</f>
        <v>340.36</v>
      </c>
      <c r="D1142" s="2">
        <f>IFERROR(__xludf.DUMMYFUNCTION("""COMPUTED_VALUE"""),336.86)</f>
        <v>336.86</v>
      </c>
      <c r="E1142" s="2">
        <f>IFERROR(__xludf.DUMMYFUNCTION("""COMPUTED_VALUE"""),339.15)</f>
        <v>339.15</v>
      </c>
      <c r="F1142" s="2">
        <f>IFERROR(__xludf.DUMMYFUNCTION("""COMPUTED_VALUE"""),1682940.0)</f>
        <v>1682940</v>
      </c>
    </row>
    <row r="1143">
      <c r="A1143" s="3">
        <f>IFERROR(__xludf.DUMMYFUNCTION("""COMPUTED_VALUE"""),39107.645833333336)</f>
        <v>39107.64583</v>
      </c>
      <c r="B1143" s="2">
        <f>IFERROR(__xludf.DUMMYFUNCTION("""COMPUTED_VALUE"""),341.67)</f>
        <v>341.67</v>
      </c>
      <c r="C1143" s="2">
        <f>IFERROR(__xludf.DUMMYFUNCTION("""COMPUTED_VALUE"""),341.67)</f>
        <v>341.67</v>
      </c>
      <c r="D1143" s="2">
        <f>IFERROR(__xludf.DUMMYFUNCTION("""COMPUTED_VALUE"""),337.43)</f>
        <v>337.43</v>
      </c>
      <c r="E1143" s="2">
        <f>IFERROR(__xludf.DUMMYFUNCTION("""COMPUTED_VALUE"""),339.42)</f>
        <v>339.42</v>
      </c>
      <c r="F1143" s="2">
        <f>IFERROR(__xludf.DUMMYFUNCTION("""COMPUTED_VALUE"""),2529979.0)</f>
        <v>2529979</v>
      </c>
    </row>
    <row r="1144">
      <c r="A1144" s="3">
        <f>IFERROR(__xludf.DUMMYFUNCTION("""COMPUTED_VALUE"""),39111.645833333336)</f>
        <v>39111.64583</v>
      </c>
      <c r="B1144" s="2">
        <f>IFERROR(__xludf.DUMMYFUNCTION("""COMPUTED_VALUE"""),339.27)</f>
        <v>339.27</v>
      </c>
      <c r="C1144" s="2">
        <f>IFERROR(__xludf.DUMMYFUNCTION("""COMPUTED_VALUE"""),345.19)</f>
        <v>345.19</v>
      </c>
      <c r="D1144" s="2">
        <f>IFERROR(__xludf.DUMMYFUNCTION("""COMPUTED_VALUE"""),338.1)</f>
        <v>338.1</v>
      </c>
      <c r="E1144" s="2">
        <f>IFERROR(__xludf.DUMMYFUNCTION("""COMPUTED_VALUE"""),342.32)</f>
        <v>342.32</v>
      </c>
      <c r="F1144" s="2">
        <f>IFERROR(__xludf.DUMMYFUNCTION("""COMPUTED_VALUE"""),1691270.0)</f>
        <v>1691270</v>
      </c>
    </row>
    <row r="1145">
      <c r="A1145" s="3">
        <f>IFERROR(__xludf.DUMMYFUNCTION("""COMPUTED_VALUE"""),39113.645833333336)</f>
        <v>39113.64583</v>
      </c>
      <c r="B1145" s="2">
        <f>IFERROR(__xludf.DUMMYFUNCTION("""COMPUTED_VALUE"""),343.22)</f>
        <v>343.22</v>
      </c>
      <c r="C1145" s="2">
        <f>IFERROR(__xludf.DUMMYFUNCTION("""COMPUTED_VALUE"""),343.98)</f>
        <v>343.98</v>
      </c>
      <c r="D1145" s="2">
        <f>IFERROR(__xludf.DUMMYFUNCTION("""COMPUTED_VALUE"""),336.45)</f>
        <v>336.45</v>
      </c>
      <c r="E1145" s="2">
        <f>IFERROR(__xludf.DUMMYFUNCTION("""COMPUTED_VALUE"""),338.39)</f>
        <v>338.39</v>
      </c>
      <c r="F1145" s="2">
        <f>IFERROR(__xludf.DUMMYFUNCTION("""COMPUTED_VALUE"""),2700046.0)</f>
        <v>2700046</v>
      </c>
    </row>
    <row r="1146">
      <c r="A1146" s="3">
        <f>IFERROR(__xludf.DUMMYFUNCTION("""COMPUTED_VALUE"""),39114.645833333336)</f>
        <v>39114.64583</v>
      </c>
      <c r="B1146" s="2">
        <f>IFERROR(__xludf.DUMMYFUNCTION("""COMPUTED_VALUE"""),338.78)</f>
        <v>338.78</v>
      </c>
      <c r="C1146" s="2">
        <f>IFERROR(__xludf.DUMMYFUNCTION("""COMPUTED_VALUE"""),342.74)</f>
        <v>342.74</v>
      </c>
      <c r="D1146" s="2">
        <f>IFERROR(__xludf.DUMMYFUNCTION("""COMPUTED_VALUE"""),337.8)</f>
        <v>337.8</v>
      </c>
      <c r="E1146" s="2">
        <f>IFERROR(__xludf.DUMMYFUNCTION("""COMPUTED_VALUE"""),341.15)</f>
        <v>341.15</v>
      </c>
      <c r="F1146" s="2">
        <f>IFERROR(__xludf.DUMMYFUNCTION("""COMPUTED_VALUE"""),919579.0)</f>
        <v>919579</v>
      </c>
    </row>
    <row r="1147">
      <c r="A1147" s="3">
        <f>IFERROR(__xludf.DUMMYFUNCTION("""COMPUTED_VALUE"""),39115.645833333336)</f>
        <v>39115.64583</v>
      </c>
      <c r="B1147" s="2">
        <f>IFERROR(__xludf.DUMMYFUNCTION("""COMPUTED_VALUE"""),342.66)</f>
        <v>342.66</v>
      </c>
      <c r="C1147" s="2">
        <f>IFERROR(__xludf.DUMMYFUNCTION("""COMPUTED_VALUE"""),345.14)</f>
        <v>345.14</v>
      </c>
      <c r="D1147" s="2">
        <f>IFERROR(__xludf.DUMMYFUNCTION("""COMPUTED_VALUE"""),338.79)</f>
        <v>338.79</v>
      </c>
      <c r="E1147" s="2">
        <f>IFERROR(__xludf.DUMMYFUNCTION("""COMPUTED_VALUE"""),340.52)</f>
        <v>340.52</v>
      </c>
      <c r="F1147" s="2">
        <f>IFERROR(__xludf.DUMMYFUNCTION("""COMPUTED_VALUE"""),1631888.0)</f>
        <v>1631888</v>
      </c>
    </row>
    <row r="1148">
      <c r="A1148" s="3">
        <f>IFERROR(__xludf.DUMMYFUNCTION("""COMPUTED_VALUE"""),39118.645833333336)</f>
        <v>39118.64583</v>
      </c>
      <c r="B1148" s="2">
        <f>IFERROR(__xludf.DUMMYFUNCTION("""COMPUTED_VALUE"""),341.75)</f>
        <v>341.75</v>
      </c>
      <c r="C1148" s="2">
        <f>IFERROR(__xludf.DUMMYFUNCTION("""COMPUTED_VALUE"""),344.47)</f>
        <v>344.47</v>
      </c>
      <c r="D1148" s="2">
        <f>IFERROR(__xludf.DUMMYFUNCTION("""COMPUTED_VALUE"""),339.77)</f>
        <v>339.77</v>
      </c>
      <c r="E1148" s="2">
        <f>IFERROR(__xludf.DUMMYFUNCTION("""COMPUTED_VALUE"""),343.57)</f>
        <v>343.57</v>
      </c>
      <c r="F1148" s="2">
        <f>IFERROR(__xludf.DUMMYFUNCTION("""COMPUTED_VALUE"""),962858.0)</f>
        <v>962858</v>
      </c>
    </row>
    <row r="1149">
      <c r="A1149" s="3">
        <f>IFERROR(__xludf.DUMMYFUNCTION("""COMPUTED_VALUE"""),39119.645833333336)</f>
        <v>39119.64583</v>
      </c>
      <c r="B1149" s="2">
        <f>IFERROR(__xludf.DUMMYFUNCTION("""COMPUTED_VALUE"""),329.37)</f>
        <v>329.37</v>
      </c>
      <c r="C1149" s="2">
        <f>IFERROR(__xludf.DUMMYFUNCTION("""COMPUTED_VALUE"""),348.68)</f>
        <v>348.68</v>
      </c>
      <c r="D1149" s="2">
        <f>IFERROR(__xludf.DUMMYFUNCTION("""COMPUTED_VALUE"""),329.37)</f>
        <v>329.37</v>
      </c>
      <c r="E1149" s="2">
        <f>IFERROR(__xludf.DUMMYFUNCTION("""COMPUTED_VALUE"""),344.03)</f>
        <v>344.03</v>
      </c>
      <c r="F1149" s="2">
        <f>IFERROR(__xludf.DUMMYFUNCTION("""COMPUTED_VALUE"""),1756515.0)</f>
        <v>1756515</v>
      </c>
    </row>
    <row r="1150">
      <c r="A1150" s="3">
        <f>IFERROR(__xludf.DUMMYFUNCTION("""COMPUTED_VALUE"""),39120.645833333336)</f>
        <v>39120.64583</v>
      </c>
      <c r="B1150" s="2">
        <f>IFERROR(__xludf.DUMMYFUNCTION("""COMPUTED_VALUE"""),346.21)</f>
        <v>346.21</v>
      </c>
      <c r="C1150" s="2">
        <f>IFERROR(__xludf.DUMMYFUNCTION("""COMPUTED_VALUE"""),346.65)</f>
        <v>346.65</v>
      </c>
      <c r="D1150" s="2">
        <f>IFERROR(__xludf.DUMMYFUNCTION("""COMPUTED_VALUE"""),342.06)</f>
        <v>342.06</v>
      </c>
      <c r="E1150" s="2">
        <f>IFERROR(__xludf.DUMMYFUNCTION("""COMPUTED_VALUE"""),345.44)</f>
        <v>345.44</v>
      </c>
      <c r="F1150" s="2">
        <f>IFERROR(__xludf.DUMMYFUNCTION("""COMPUTED_VALUE"""),1527047.0)</f>
        <v>1527047</v>
      </c>
    </row>
    <row r="1151">
      <c r="A1151" s="3">
        <f>IFERROR(__xludf.DUMMYFUNCTION("""COMPUTED_VALUE"""),39121.645833333336)</f>
        <v>39121.64583</v>
      </c>
      <c r="B1151" s="2">
        <f>IFERROR(__xludf.DUMMYFUNCTION("""COMPUTED_VALUE"""),345.95)</f>
        <v>345.95</v>
      </c>
      <c r="C1151" s="2">
        <f>IFERROR(__xludf.DUMMYFUNCTION("""COMPUTED_VALUE"""),347.44)</f>
        <v>347.44</v>
      </c>
      <c r="D1151" s="2">
        <f>IFERROR(__xludf.DUMMYFUNCTION("""COMPUTED_VALUE"""),342.0)</f>
        <v>342</v>
      </c>
      <c r="E1151" s="2">
        <f>IFERROR(__xludf.DUMMYFUNCTION("""COMPUTED_VALUE"""),345.97)</f>
        <v>345.97</v>
      </c>
      <c r="F1151" s="2">
        <f>IFERROR(__xludf.DUMMYFUNCTION("""COMPUTED_VALUE"""),1002039.0)</f>
        <v>1002039</v>
      </c>
    </row>
    <row r="1152">
      <c r="A1152" s="3">
        <f>IFERROR(__xludf.DUMMYFUNCTION("""COMPUTED_VALUE"""),39122.645833333336)</f>
        <v>39122.64583</v>
      </c>
      <c r="B1152" s="2">
        <f>IFERROR(__xludf.DUMMYFUNCTION("""COMPUTED_VALUE"""),346.82)</f>
        <v>346.82</v>
      </c>
      <c r="C1152" s="2">
        <f>IFERROR(__xludf.DUMMYFUNCTION("""COMPUTED_VALUE"""),348.38)</f>
        <v>348.38</v>
      </c>
      <c r="D1152" s="2">
        <f>IFERROR(__xludf.DUMMYFUNCTION("""COMPUTED_VALUE"""),339.27)</f>
        <v>339.27</v>
      </c>
      <c r="E1152" s="2">
        <f>IFERROR(__xludf.DUMMYFUNCTION("""COMPUTED_VALUE"""),344.67)</f>
        <v>344.67</v>
      </c>
      <c r="F1152" s="2">
        <f>IFERROR(__xludf.DUMMYFUNCTION("""COMPUTED_VALUE"""),1538248.0)</f>
        <v>1538248</v>
      </c>
    </row>
    <row r="1153">
      <c r="A1153" s="3">
        <f>IFERROR(__xludf.DUMMYFUNCTION("""COMPUTED_VALUE"""),39125.645833333336)</f>
        <v>39125.64583</v>
      </c>
      <c r="B1153" s="2">
        <f>IFERROR(__xludf.DUMMYFUNCTION("""COMPUTED_VALUE"""),343.48)</f>
        <v>343.48</v>
      </c>
      <c r="C1153" s="2">
        <f>IFERROR(__xludf.DUMMYFUNCTION("""COMPUTED_VALUE"""),343.48)</f>
        <v>343.48</v>
      </c>
      <c r="D1153" s="2">
        <f>IFERROR(__xludf.DUMMYFUNCTION("""COMPUTED_VALUE"""),335.11)</f>
        <v>335.11</v>
      </c>
      <c r="E1153" s="2">
        <f>IFERROR(__xludf.DUMMYFUNCTION("""COMPUTED_VALUE"""),336.54)</f>
        <v>336.54</v>
      </c>
      <c r="F1153" s="2">
        <f>IFERROR(__xludf.DUMMYFUNCTION("""COMPUTED_VALUE"""),1268179.0)</f>
        <v>1268179</v>
      </c>
    </row>
    <row r="1154">
      <c r="A1154" s="3">
        <f>IFERROR(__xludf.DUMMYFUNCTION("""COMPUTED_VALUE"""),39126.645833333336)</f>
        <v>39126.64583</v>
      </c>
      <c r="B1154" s="2">
        <f>IFERROR(__xludf.DUMMYFUNCTION("""COMPUTED_VALUE"""),335.8)</f>
        <v>335.8</v>
      </c>
      <c r="C1154" s="2">
        <f>IFERROR(__xludf.DUMMYFUNCTION("""COMPUTED_VALUE"""),342.99)</f>
        <v>342.99</v>
      </c>
      <c r="D1154" s="2">
        <f>IFERROR(__xludf.DUMMYFUNCTION("""COMPUTED_VALUE"""),332.34)</f>
        <v>332.34</v>
      </c>
      <c r="E1154" s="2">
        <f>IFERROR(__xludf.DUMMYFUNCTION("""COMPUTED_VALUE"""),338.28)</f>
        <v>338.28</v>
      </c>
      <c r="F1154" s="2">
        <f>IFERROR(__xludf.DUMMYFUNCTION("""COMPUTED_VALUE"""),1443752.0)</f>
        <v>1443752</v>
      </c>
    </row>
    <row r="1155">
      <c r="A1155" s="3">
        <f>IFERROR(__xludf.DUMMYFUNCTION("""COMPUTED_VALUE"""),39127.645833333336)</f>
        <v>39127.64583</v>
      </c>
      <c r="B1155" s="2">
        <f>IFERROR(__xludf.DUMMYFUNCTION("""COMPUTED_VALUE"""),338.07)</f>
        <v>338.07</v>
      </c>
      <c r="C1155" s="2">
        <f>IFERROR(__xludf.DUMMYFUNCTION("""COMPUTED_VALUE"""),343.41)</f>
        <v>343.41</v>
      </c>
      <c r="D1155" s="2">
        <f>IFERROR(__xludf.DUMMYFUNCTION("""COMPUTED_VALUE"""),332.4)</f>
        <v>332.4</v>
      </c>
      <c r="E1155" s="2">
        <f>IFERROR(__xludf.DUMMYFUNCTION("""COMPUTED_VALUE"""),341.02)</f>
        <v>341.02</v>
      </c>
      <c r="F1155" s="2">
        <f>IFERROR(__xludf.DUMMYFUNCTION("""COMPUTED_VALUE"""),1421621.0)</f>
        <v>1421621</v>
      </c>
    </row>
    <row r="1156">
      <c r="A1156" s="3">
        <f>IFERROR(__xludf.DUMMYFUNCTION("""COMPUTED_VALUE"""),39128.645833333336)</f>
        <v>39128.64583</v>
      </c>
      <c r="B1156" s="2">
        <f>IFERROR(__xludf.DUMMYFUNCTION("""COMPUTED_VALUE"""),342.37)</f>
        <v>342.37</v>
      </c>
      <c r="C1156" s="2">
        <f>IFERROR(__xludf.DUMMYFUNCTION("""COMPUTED_VALUE"""),350.09)</f>
        <v>350.09</v>
      </c>
      <c r="D1156" s="2">
        <f>IFERROR(__xludf.DUMMYFUNCTION("""COMPUTED_VALUE"""),342.37)</f>
        <v>342.37</v>
      </c>
      <c r="E1156" s="2">
        <f>IFERROR(__xludf.DUMMYFUNCTION("""COMPUTED_VALUE"""),348.42)</f>
        <v>348.42</v>
      </c>
      <c r="F1156" s="2">
        <f>IFERROR(__xludf.DUMMYFUNCTION("""COMPUTED_VALUE"""),2044494.0)</f>
        <v>2044494</v>
      </c>
    </row>
    <row r="1157">
      <c r="A1157" s="3">
        <f>IFERROR(__xludf.DUMMYFUNCTION("""COMPUTED_VALUE"""),39132.645833333336)</f>
        <v>39132.64583</v>
      </c>
      <c r="B1157" s="2">
        <f>IFERROR(__xludf.DUMMYFUNCTION("""COMPUTED_VALUE"""),349.18)</f>
        <v>349.18</v>
      </c>
      <c r="C1157" s="2">
        <f>IFERROR(__xludf.DUMMYFUNCTION("""COMPUTED_VALUE"""),354.13)</f>
        <v>354.13</v>
      </c>
      <c r="D1157" s="2">
        <f>IFERROR(__xludf.DUMMYFUNCTION("""COMPUTED_VALUE"""),349.18)</f>
        <v>349.18</v>
      </c>
      <c r="E1157" s="2">
        <f>IFERROR(__xludf.DUMMYFUNCTION("""COMPUTED_VALUE"""),351.84)</f>
        <v>351.84</v>
      </c>
      <c r="F1157" s="2">
        <f>IFERROR(__xludf.DUMMYFUNCTION("""COMPUTED_VALUE"""),1562912.0)</f>
        <v>1562912</v>
      </c>
    </row>
    <row r="1158">
      <c r="A1158" s="3">
        <f>IFERROR(__xludf.DUMMYFUNCTION("""COMPUTED_VALUE"""),39133.645833333336)</f>
        <v>39133.64583</v>
      </c>
      <c r="B1158" s="2">
        <f>IFERROR(__xludf.DUMMYFUNCTION("""COMPUTED_VALUE"""),353.88)</f>
        <v>353.88</v>
      </c>
      <c r="C1158" s="2">
        <f>IFERROR(__xludf.DUMMYFUNCTION("""COMPUTED_VALUE"""),357.7)</f>
        <v>357.7</v>
      </c>
      <c r="D1158" s="2">
        <f>IFERROR(__xludf.DUMMYFUNCTION("""COMPUTED_VALUE"""),349.24)</f>
        <v>349.24</v>
      </c>
      <c r="E1158" s="2">
        <f>IFERROR(__xludf.DUMMYFUNCTION("""COMPUTED_VALUE"""),350.32)</f>
        <v>350.32</v>
      </c>
      <c r="F1158" s="2">
        <f>IFERROR(__xludf.DUMMYFUNCTION("""COMPUTED_VALUE"""),3280207.0)</f>
        <v>3280207</v>
      </c>
    </row>
    <row r="1159">
      <c r="A1159" s="3">
        <f>IFERROR(__xludf.DUMMYFUNCTION("""COMPUTED_VALUE"""),39134.645833333336)</f>
        <v>39134.64583</v>
      </c>
      <c r="B1159" s="2">
        <f>IFERROR(__xludf.DUMMYFUNCTION("""COMPUTED_VALUE"""),344.47)</f>
        <v>344.47</v>
      </c>
      <c r="C1159" s="2">
        <f>IFERROR(__xludf.DUMMYFUNCTION("""COMPUTED_VALUE"""),352.89)</f>
        <v>352.89</v>
      </c>
      <c r="D1159" s="2">
        <f>IFERROR(__xludf.DUMMYFUNCTION("""COMPUTED_VALUE"""),344.47)</f>
        <v>344.47</v>
      </c>
      <c r="E1159" s="2">
        <f>IFERROR(__xludf.DUMMYFUNCTION("""COMPUTED_VALUE"""),348.37)</f>
        <v>348.37</v>
      </c>
      <c r="F1159" s="2">
        <f>IFERROR(__xludf.DUMMYFUNCTION("""COMPUTED_VALUE"""),1527424.0)</f>
        <v>1527424</v>
      </c>
    </row>
    <row r="1160">
      <c r="A1160" s="3">
        <f>IFERROR(__xludf.DUMMYFUNCTION("""COMPUTED_VALUE"""),39135.645833333336)</f>
        <v>39135.64583</v>
      </c>
      <c r="B1160" s="2">
        <f>IFERROR(__xludf.DUMMYFUNCTION("""COMPUTED_VALUE"""),350.42)</f>
        <v>350.42</v>
      </c>
      <c r="C1160" s="2">
        <f>IFERROR(__xludf.DUMMYFUNCTION("""COMPUTED_VALUE"""),353.13)</f>
        <v>353.13</v>
      </c>
      <c r="D1160" s="2">
        <f>IFERROR(__xludf.DUMMYFUNCTION("""COMPUTED_VALUE"""),346.7)</f>
        <v>346.7</v>
      </c>
      <c r="E1160" s="2">
        <f>IFERROR(__xludf.DUMMYFUNCTION("""COMPUTED_VALUE"""),349.68)</f>
        <v>349.68</v>
      </c>
      <c r="F1160" s="2">
        <f>IFERROR(__xludf.DUMMYFUNCTION("""COMPUTED_VALUE"""),3719836.0)</f>
        <v>3719836</v>
      </c>
    </row>
    <row r="1161">
      <c r="A1161" s="3">
        <f>IFERROR(__xludf.DUMMYFUNCTION("""COMPUTED_VALUE"""),39136.645833333336)</f>
        <v>39136.64583</v>
      </c>
      <c r="B1161" s="2">
        <f>IFERROR(__xludf.DUMMYFUNCTION("""COMPUTED_VALUE"""),352.64)</f>
        <v>352.64</v>
      </c>
      <c r="C1161" s="2">
        <f>IFERROR(__xludf.DUMMYFUNCTION("""COMPUTED_VALUE"""),357.52)</f>
        <v>357.52</v>
      </c>
      <c r="D1161" s="2">
        <f>IFERROR(__xludf.DUMMYFUNCTION("""COMPUTED_VALUE"""),347.22)</f>
        <v>347.22</v>
      </c>
      <c r="E1161" s="2">
        <f>IFERROR(__xludf.DUMMYFUNCTION("""COMPUTED_VALUE"""),349.98)</f>
        <v>349.98</v>
      </c>
      <c r="F1161" s="2">
        <f>IFERROR(__xludf.DUMMYFUNCTION("""COMPUTED_VALUE"""),3751615.0)</f>
        <v>3751615</v>
      </c>
    </row>
    <row r="1162">
      <c r="A1162" s="3">
        <f>IFERROR(__xludf.DUMMYFUNCTION("""COMPUTED_VALUE"""),39139.645833333336)</f>
        <v>39139.64583</v>
      </c>
      <c r="B1162" s="2">
        <f>IFERROR(__xludf.DUMMYFUNCTION("""COMPUTED_VALUE"""),351.65)</f>
        <v>351.65</v>
      </c>
      <c r="C1162" s="2">
        <f>IFERROR(__xludf.DUMMYFUNCTION("""COMPUTED_VALUE"""),354.08)</f>
        <v>354.08</v>
      </c>
      <c r="D1162" s="2">
        <f>IFERROR(__xludf.DUMMYFUNCTION("""COMPUTED_VALUE"""),339.89)</f>
        <v>339.89</v>
      </c>
      <c r="E1162" s="2">
        <f>IFERROR(__xludf.DUMMYFUNCTION("""COMPUTED_VALUE"""),348.32)</f>
        <v>348.32</v>
      </c>
      <c r="F1162" s="2">
        <f>IFERROR(__xludf.DUMMYFUNCTION("""COMPUTED_VALUE"""),7248366.0)</f>
        <v>7248366</v>
      </c>
    </row>
    <row r="1163">
      <c r="A1163" s="3">
        <f>IFERROR(__xludf.DUMMYFUNCTION("""COMPUTED_VALUE"""),39140.645833333336)</f>
        <v>39140.64583</v>
      </c>
      <c r="B1163" s="2">
        <f>IFERROR(__xludf.DUMMYFUNCTION("""COMPUTED_VALUE"""),323.2)</f>
        <v>323.2</v>
      </c>
      <c r="C1163" s="2">
        <f>IFERROR(__xludf.DUMMYFUNCTION("""COMPUTED_VALUE"""),350.44)</f>
        <v>350.44</v>
      </c>
      <c r="D1163" s="2">
        <f>IFERROR(__xludf.DUMMYFUNCTION("""COMPUTED_VALUE"""),323.2)</f>
        <v>323.2</v>
      </c>
      <c r="E1163" s="2">
        <f>IFERROR(__xludf.DUMMYFUNCTION("""COMPUTED_VALUE"""),348.05)</f>
        <v>348.05</v>
      </c>
      <c r="F1163" s="2">
        <f>IFERROR(__xludf.DUMMYFUNCTION("""COMPUTED_VALUE"""),2988590.0)</f>
        <v>2988590</v>
      </c>
    </row>
    <row r="1164">
      <c r="A1164" s="3">
        <f>IFERROR(__xludf.DUMMYFUNCTION("""COMPUTED_VALUE"""),39141.645833333336)</f>
        <v>39141.64583</v>
      </c>
      <c r="B1164" s="2">
        <f>IFERROR(__xludf.DUMMYFUNCTION("""COMPUTED_VALUE"""),334.34)</f>
        <v>334.34</v>
      </c>
      <c r="C1164" s="2">
        <f>IFERROR(__xludf.DUMMYFUNCTION("""COMPUTED_VALUE"""),341.75)</f>
        <v>341.75</v>
      </c>
      <c r="D1164" s="2">
        <f>IFERROR(__xludf.DUMMYFUNCTION("""COMPUTED_VALUE"""),329.65)</f>
        <v>329.65</v>
      </c>
      <c r="E1164" s="2">
        <f>IFERROR(__xludf.DUMMYFUNCTION("""COMPUTED_VALUE"""),334.94)</f>
        <v>334.94</v>
      </c>
      <c r="F1164" s="2">
        <f>IFERROR(__xludf.DUMMYFUNCTION("""COMPUTED_VALUE"""),7056818.0)</f>
        <v>7056818</v>
      </c>
    </row>
    <row r="1165">
      <c r="A1165" s="3">
        <f>IFERROR(__xludf.DUMMYFUNCTION("""COMPUTED_VALUE"""),39142.645833333336)</f>
        <v>39142.64583</v>
      </c>
      <c r="B1165" s="2">
        <f>IFERROR(__xludf.DUMMYFUNCTION("""COMPUTED_VALUE"""),340.51)</f>
        <v>340.51</v>
      </c>
      <c r="C1165" s="2">
        <f>IFERROR(__xludf.DUMMYFUNCTION("""COMPUTED_VALUE"""),340.51)</f>
        <v>340.51</v>
      </c>
      <c r="D1165" s="2">
        <f>IFERROR(__xludf.DUMMYFUNCTION("""COMPUTED_VALUE"""),326.65)</f>
        <v>326.65</v>
      </c>
      <c r="E1165" s="2">
        <f>IFERROR(__xludf.DUMMYFUNCTION("""COMPUTED_VALUE"""),338.71)</f>
        <v>338.71</v>
      </c>
      <c r="F1165" s="2">
        <f>IFERROR(__xludf.DUMMYFUNCTION("""COMPUTED_VALUE"""),3952391.0)</f>
        <v>3952391</v>
      </c>
    </row>
    <row r="1166">
      <c r="A1166" s="3">
        <f>IFERROR(__xludf.DUMMYFUNCTION("""COMPUTED_VALUE"""),39143.645833333336)</f>
        <v>39143.64583</v>
      </c>
      <c r="B1166" s="2">
        <f>IFERROR(__xludf.DUMMYFUNCTION("""COMPUTED_VALUE"""),339.52)</f>
        <v>339.52</v>
      </c>
      <c r="C1166" s="2">
        <f>IFERROR(__xludf.DUMMYFUNCTION("""COMPUTED_VALUE"""),339.52)</f>
        <v>339.52</v>
      </c>
      <c r="D1166" s="2">
        <f>IFERROR(__xludf.DUMMYFUNCTION("""COMPUTED_VALUE"""),323.92)</f>
        <v>323.92</v>
      </c>
      <c r="E1166" s="2">
        <f>IFERROR(__xludf.DUMMYFUNCTION("""COMPUTED_VALUE"""),325.95)</f>
        <v>325.95</v>
      </c>
      <c r="F1166" s="2">
        <f>IFERROR(__xludf.DUMMYFUNCTION("""COMPUTED_VALUE"""),4747034.0)</f>
        <v>4747034</v>
      </c>
    </row>
    <row r="1167">
      <c r="A1167" s="3">
        <f>IFERROR(__xludf.DUMMYFUNCTION("""COMPUTED_VALUE"""),39146.645833333336)</f>
        <v>39146.64583</v>
      </c>
      <c r="B1167" s="2">
        <f>IFERROR(__xludf.DUMMYFUNCTION("""COMPUTED_VALUE"""),321.94)</f>
        <v>321.94</v>
      </c>
      <c r="C1167" s="2">
        <f>IFERROR(__xludf.DUMMYFUNCTION("""COMPUTED_VALUE"""),322.18)</f>
        <v>322.18</v>
      </c>
      <c r="D1167" s="2">
        <f>IFERROR(__xludf.DUMMYFUNCTION("""COMPUTED_VALUE"""),309.11)</f>
        <v>309.11</v>
      </c>
      <c r="E1167" s="2">
        <f>IFERROR(__xludf.DUMMYFUNCTION("""COMPUTED_VALUE"""),311.87)</f>
        <v>311.87</v>
      </c>
      <c r="F1167" s="2">
        <f>IFERROR(__xludf.DUMMYFUNCTION("""COMPUTED_VALUE"""),5389119.0)</f>
        <v>5389119</v>
      </c>
    </row>
    <row r="1168">
      <c r="A1168" s="3">
        <f>IFERROR(__xludf.DUMMYFUNCTION("""COMPUTED_VALUE"""),39147.645833333336)</f>
        <v>39147.64583</v>
      </c>
      <c r="B1168" s="2">
        <f>IFERROR(__xludf.DUMMYFUNCTION("""COMPUTED_VALUE"""),315.5)</f>
        <v>315.5</v>
      </c>
      <c r="C1168" s="2">
        <f>IFERROR(__xludf.DUMMYFUNCTION("""COMPUTED_VALUE"""),323.65)</f>
        <v>323.65</v>
      </c>
      <c r="D1168" s="2">
        <f>IFERROR(__xludf.DUMMYFUNCTION("""COMPUTED_VALUE"""),312.85)</f>
        <v>312.85</v>
      </c>
      <c r="E1168" s="2">
        <f>IFERROR(__xludf.DUMMYFUNCTION("""COMPUTED_VALUE"""),321.4)</f>
        <v>321.4</v>
      </c>
      <c r="F1168" s="2">
        <f>IFERROR(__xludf.DUMMYFUNCTION("""COMPUTED_VALUE"""),3553116.0)</f>
        <v>3553116</v>
      </c>
    </row>
    <row r="1169">
      <c r="A1169" s="3">
        <f>IFERROR(__xludf.DUMMYFUNCTION("""COMPUTED_VALUE"""),39148.645833333336)</f>
        <v>39148.64583</v>
      </c>
      <c r="B1169" s="2">
        <f>IFERROR(__xludf.DUMMYFUNCTION("""COMPUTED_VALUE"""),324.66)</f>
        <v>324.66</v>
      </c>
      <c r="C1169" s="2">
        <f>IFERROR(__xludf.DUMMYFUNCTION("""COMPUTED_VALUE"""),329.12)</f>
        <v>329.12</v>
      </c>
      <c r="D1169" s="2">
        <f>IFERROR(__xludf.DUMMYFUNCTION("""COMPUTED_VALUE"""),312.3)</f>
        <v>312.3</v>
      </c>
      <c r="E1169" s="2">
        <f>IFERROR(__xludf.DUMMYFUNCTION("""COMPUTED_VALUE"""),319.13)</f>
        <v>319.13</v>
      </c>
      <c r="F1169" s="2">
        <f>IFERROR(__xludf.DUMMYFUNCTION("""COMPUTED_VALUE"""),3450264.0)</f>
        <v>3450264</v>
      </c>
    </row>
    <row r="1170">
      <c r="A1170" s="3">
        <f>IFERROR(__xludf.DUMMYFUNCTION("""COMPUTED_VALUE"""),39149.645833333336)</f>
        <v>39149.64583</v>
      </c>
      <c r="B1170" s="2">
        <f>IFERROR(__xludf.DUMMYFUNCTION("""COMPUTED_VALUE"""),326.64)</f>
        <v>326.64</v>
      </c>
      <c r="C1170" s="2">
        <f>IFERROR(__xludf.DUMMYFUNCTION("""COMPUTED_VALUE"""),331.84)</f>
        <v>331.84</v>
      </c>
      <c r="D1170" s="2">
        <f>IFERROR(__xludf.DUMMYFUNCTION("""COMPUTED_VALUE"""),319.46)</f>
        <v>319.46</v>
      </c>
      <c r="E1170" s="2">
        <f>IFERROR(__xludf.DUMMYFUNCTION("""COMPUTED_VALUE"""),330.74)</f>
        <v>330.74</v>
      </c>
      <c r="F1170" s="2">
        <f>IFERROR(__xludf.DUMMYFUNCTION("""COMPUTED_VALUE"""),3345797.0)</f>
        <v>3345797</v>
      </c>
    </row>
    <row r="1171">
      <c r="A1171" s="3">
        <f>IFERROR(__xludf.DUMMYFUNCTION("""COMPUTED_VALUE"""),39150.645833333336)</f>
        <v>39150.64583</v>
      </c>
      <c r="B1171" s="2">
        <f>IFERROR(__xludf.DUMMYFUNCTION("""COMPUTED_VALUE"""),331.35)</f>
        <v>331.35</v>
      </c>
      <c r="C1171" s="2">
        <f>IFERROR(__xludf.DUMMYFUNCTION("""COMPUTED_VALUE"""),334.27)</f>
        <v>334.27</v>
      </c>
      <c r="D1171" s="2">
        <f>IFERROR(__xludf.DUMMYFUNCTION("""COMPUTED_VALUE"""),323.17)</f>
        <v>323.17</v>
      </c>
      <c r="E1171" s="2">
        <f>IFERROR(__xludf.DUMMYFUNCTION("""COMPUTED_VALUE"""),326.44)</f>
        <v>326.44</v>
      </c>
      <c r="F1171" s="2">
        <f>IFERROR(__xludf.DUMMYFUNCTION("""COMPUTED_VALUE"""),2411381.0)</f>
        <v>2411381</v>
      </c>
    </row>
    <row r="1172">
      <c r="A1172" s="3">
        <f>IFERROR(__xludf.DUMMYFUNCTION("""COMPUTED_VALUE"""),39153.645833333336)</f>
        <v>39153.64583</v>
      </c>
      <c r="B1172" s="2">
        <f>IFERROR(__xludf.DUMMYFUNCTION("""COMPUTED_VALUE"""),329.34)</f>
        <v>329.34</v>
      </c>
      <c r="C1172" s="2">
        <f>IFERROR(__xludf.DUMMYFUNCTION("""COMPUTED_VALUE"""),330.5)</f>
        <v>330.5</v>
      </c>
      <c r="D1172" s="2">
        <f>IFERROR(__xludf.DUMMYFUNCTION("""COMPUTED_VALUE"""),323.67)</f>
        <v>323.67</v>
      </c>
      <c r="E1172" s="2">
        <f>IFERROR(__xludf.DUMMYFUNCTION("""COMPUTED_VALUE"""),325.82)</f>
        <v>325.82</v>
      </c>
      <c r="F1172" s="2">
        <f>IFERROR(__xludf.DUMMYFUNCTION("""COMPUTED_VALUE"""),2156009.0)</f>
        <v>2156009</v>
      </c>
    </row>
    <row r="1173">
      <c r="A1173" s="3">
        <f>IFERROR(__xludf.DUMMYFUNCTION("""COMPUTED_VALUE"""),39154.645833333336)</f>
        <v>39154.64583</v>
      </c>
      <c r="B1173" s="2">
        <f>IFERROR(__xludf.DUMMYFUNCTION("""COMPUTED_VALUE"""),325.82)</f>
        <v>325.82</v>
      </c>
      <c r="C1173" s="2">
        <f>IFERROR(__xludf.DUMMYFUNCTION("""COMPUTED_VALUE"""),329.79)</f>
        <v>329.79</v>
      </c>
      <c r="D1173" s="2">
        <f>IFERROR(__xludf.DUMMYFUNCTION("""COMPUTED_VALUE"""),323.24)</f>
        <v>323.24</v>
      </c>
      <c r="E1173" s="2">
        <f>IFERROR(__xludf.DUMMYFUNCTION("""COMPUTED_VALUE"""),328.56)</f>
        <v>328.56</v>
      </c>
      <c r="F1173" s="2">
        <f>IFERROR(__xludf.DUMMYFUNCTION("""COMPUTED_VALUE"""),1581553.0)</f>
        <v>1581553</v>
      </c>
    </row>
    <row r="1174">
      <c r="A1174" s="3">
        <f>IFERROR(__xludf.DUMMYFUNCTION("""COMPUTED_VALUE"""),39155.645833333336)</f>
        <v>39155.64583</v>
      </c>
      <c r="B1174" s="2">
        <f>IFERROR(__xludf.DUMMYFUNCTION("""COMPUTED_VALUE"""),324.17)</f>
        <v>324.17</v>
      </c>
      <c r="C1174" s="2">
        <f>IFERROR(__xludf.DUMMYFUNCTION("""COMPUTED_VALUE"""),324.17)</f>
        <v>324.17</v>
      </c>
      <c r="D1174" s="2">
        <f>IFERROR(__xludf.DUMMYFUNCTION("""COMPUTED_VALUE"""),312.34)</f>
        <v>312.34</v>
      </c>
      <c r="E1174" s="2">
        <f>IFERROR(__xludf.DUMMYFUNCTION("""COMPUTED_VALUE"""),318.31)</f>
        <v>318.31</v>
      </c>
      <c r="F1174" s="2">
        <f>IFERROR(__xludf.DUMMYFUNCTION("""COMPUTED_VALUE"""),2687015.0)</f>
        <v>2687015</v>
      </c>
    </row>
    <row r="1175">
      <c r="A1175" s="3">
        <f>IFERROR(__xludf.DUMMYFUNCTION("""COMPUTED_VALUE"""),39156.645833333336)</f>
        <v>39156.64583</v>
      </c>
      <c r="B1175" s="2">
        <f>IFERROR(__xludf.DUMMYFUNCTION("""COMPUTED_VALUE"""),321.69)</f>
        <v>321.69</v>
      </c>
      <c r="C1175" s="2">
        <f>IFERROR(__xludf.DUMMYFUNCTION("""COMPUTED_VALUE"""),324.39)</f>
        <v>324.39</v>
      </c>
      <c r="D1175" s="2">
        <f>IFERROR(__xludf.DUMMYFUNCTION("""COMPUTED_VALUE"""),316.74)</f>
        <v>316.74</v>
      </c>
      <c r="E1175" s="2">
        <f>IFERROR(__xludf.DUMMYFUNCTION("""COMPUTED_VALUE"""),317.83)</f>
        <v>317.83</v>
      </c>
      <c r="F1175" s="2">
        <f>IFERROR(__xludf.DUMMYFUNCTION("""COMPUTED_VALUE"""),2859247.0)</f>
        <v>2859247</v>
      </c>
    </row>
    <row r="1176">
      <c r="A1176" s="3">
        <f>IFERROR(__xludf.DUMMYFUNCTION("""COMPUTED_VALUE"""),39157.645833333336)</f>
        <v>39157.64583</v>
      </c>
      <c r="B1176" s="2">
        <f>IFERROR(__xludf.DUMMYFUNCTION("""COMPUTED_VALUE"""),317.83)</f>
        <v>317.83</v>
      </c>
      <c r="C1176" s="2">
        <f>IFERROR(__xludf.DUMMYFUNCTION("""COMPUTED_VALUE"""),323.37)</f>
        <v>323.37</v>
      </c>
      <c r="D1176" s="2">
        <f>IFERROR(__xludf.DUMMYFUNCTION("""COMPUTED_VALUE"""),315.99)</f>
        <v>315.99</v>
      </c>
      <c r="E1176" s="2">
        <f>IFERROR(__xludf.DUMMYFUNCTION("""COMPUTED_VALUE"""),321.97)</f>
        <v>321.97</v>
      </c>
      <c r="F1176" s="2">
        <f>IFERROR(__xludf.DUMMYFUNCTION("""COMPUTED_VALUE"""),2567950.0)</f>
        <v>2567950</v>
      </c>
    </row>
    <row r="1177">
      <c r="A1177" s="3">
        <f>IFERROR(__xludf.DUMMYFUNCTION("""COMPUTED_VALUE"""),39160.645833333336)</f>
        <v>39160.64583</v>
      </c>
      <c r="B1177" s="2">
        <f>IFERROR(__xludf.DUMMYFUNCTION("""COMPUTED_VALUE"""),322.21)</f>
        <v>322.21</v>
      </c>
      <c r="C1177" s="2">
        <f>IFERROR(__xludf.DUMMYFUNCTION("""COMPUTED_VALUE"""),326.39)</f>
        <v>326.39</v>
      </c>
      <c r="D1177" s="2">
        <f>IFERROR(__xludf.DUMMYFUNCTION("""COMPUTED_VALUE"""),321.22)</f>
        <v>321.22</v>
      </c>
      <c r="E1177" s="2">
        <f>IFERROR(__xludf.DUMMYFUNCTION("""COMPUTED_VALUE"""),325.29)</f>
        <v>325.29</v>
      </c>
      <c r="F1177" s="2">
        <f>IFERROR(__xludf.DUMMYFUNCTION("""COMPUTED_VALUE"""),1180894.0)</f>
        <v>1180894</v>
      </c>
    </row>
    <row r="1178">
      <c r="A1178" s="3">
        <f>IFERROR(__xludf.DUMMYFUNCTION("""COMPUTED_VALUE"""),39161.645833333336)</f>
        <v>39161.64583</v>
      </c>
      <c r="B1178" s="2">
        <f>IFERROR(__xludf.DUMMYFUNCTION("""COMPUTED_VALUE"""),326.39)</f>
        <v>326.39</v>
      </c>
      <c r="C1178" s="2">
        <f>IFERROR(__xludf.DUMMYFUNCTION("""COMPUTED_VALUE"""),330.6)</f>
        <v>330.6</v>
      </c>
      <c r="D1178" s="2">
        <f>IFERROR(__xludf.DUMMYFUNCTION("""COMPUTED_VALUE"""),325.9)</f>
        <v>325.9</v>
      </c>
      <c r="E1178" s="2">
        <f>IFERROR(__xludf.DUMMYFUNCTION("""COMPUTED_VALUE"""),327.62)</f>
        <v>327.62</v>
      </c>
      <c r="F1178" s="2">
        <f>IFERROR(__xludf.DUMMYFUNCTION("""COMPUTED_VALUE"""),1172767.0)</f>
        <v>1172767</v>
      </c>
    </row>
    <row r="1179">
      <c r="A1179" s="3">
        <f>IFERROR(__xludf.DUMMYFUNCTION("""COMPUTED_VALUE"""),39162.645833333336)</f>
        <v>39162.64583</v>
      </c>
      <c r="B1179" s="2">
        <f>IFERROR(__xludf.DUMMYFUNCTION("""COMPUTED_VALUE"""),326.89)</f>
        <v>326.89</v>
      </c>
      <c r="C1179" s="2">
        <f>IFERROR(__xludf.DUMMYFUNCTION("""COMPUTED_VALUE"""),332.78)</f>
        <v>332.78</v>
      </c>
      <c r="D1179" s="2">
        <f>IFERROR(__xludf.DUMMYFUNCTION("""COMPUTED_VALUE"""),323.17)</f>
        <v>323.17</v>
      </c>
      <c r="E1179" s="2">
        <f>IFERROR(__xludf.DUMMYFUNCTION("""COMPUTED_VALUE"""),331.84)</f>
        <v>331.84</v>
      </c>
      <c r="F1179" s="2">
        <f>IFERROR(__xludf.DUMMYFUNCTION("""COMPUTED_VALUE"""),1198964.0)</f>
        <v>1198964</v>
      </c>
    </row>
    <row r="1180">
      <c r="A1180" s="3">
        <f>IFERROR(__xludf.DUMMYFUNCTION("""COMPUTED_VALUE"""),39163.645833333336)</f>
        <v>39163.64583</v>
      </c>
      <c r="B1180" s="2">
        <f>IFERROR(__xludf.DUMMYFUNCTION("""COMPUTED_VALUE"""),333.58)</f>
        <v>333.58</v>
      </c>
      <c r="C1180" s="2">
        <f>IFERROR(__xludf.DUMMYFUNCTION("""COMPUTED_VALUE"""),341.74)</f>
        <v>341.74</v>
      </c>
      <c r="D1180" s="2">
        <f>IFERROR(__xludf.DUMMYFUNCTION("""COMPUTED_VALUE"""),333.58)</f>
        <v>333.58</v>
      </c>
      <c r="E1180" s="2">
        <f>IFERROR(__xludf.DUMMYFUNCTION("""COMPUTED_VALUE"""),340.57)</f>
        <v>340.57</v>
      </c>
      <c r="F1180" s="2">
        <f>IFERROR(__xludf.DUMMYFUNCTION("""COMPUTED_VALUE"""),2414019.0)</f>
        <v>2414019</v>
      </c>
    </row>
    <row r="1181">
      <c r="A1181" s="3">
        <f>IFERROR(__xludf.DUMMYFUNCTION("""COMPUTED_VALUE"""),39164.645833333336)</f>
        <v>39164.64583</v>
      </c>
      <c r="B1181" s="2">
        <f>IFERROR(__xludf.DUMMYFUNCTION("""COMPUTED_VALUE"""),340.76)</f>
        <v>340.76</v>
      </c>
      <c r="C1181" s="2">
        <f>IFERROR(__xludf.DUMMYFUNCTION("""COMPUTED_VALUE"""),342.69)</f>
        <v>342.69</v>
      </c>
      <c r="D1181" s="2">
        <f>IFERROR(__xludf.DUMMYFUNCTION("""COMPUTED_VALUE"""),336.8)</f>
        <v>336.8</v>
      </c>
      <c r="E1181" s="2">
        <f>IFERROR(__xludf.DUMMYFUNCTION("""COMPUTED_VALUE"""),340.77)</f>
        <v>340.77</v>
      </c>
      <c r="F1181" s="2">
        <f>IFERROR(__xludf.DUMMYFUNCTION("""COMPUTED_VALUE"""),1906116.0)</f>
        <v>1906116</v>
      </c>
    </row>
    <row r="1182">
      <c r="A1182" s="3">
        <f>IFERROR(__xludf.DUMMYFUNCTION("""COMPUTED_VALUE"""),39167.645833333336)</f>
        <v>39167.64583</v>
      </c>
      <c r="B1182" s="2">
        <f>IFERROR(__xludf.DUMMYFUNCTION("""COMPUTED_VALUE"""),342.49)</f>
        <v>342.49</v>
      </c>
      <c r="C1182" s="2">
        <f>IFERROR(__xludf.DUMMYFUNCTION("""COMPUTED_VALUE"""),342.49)</f>
        <v>342.49</v>
      </c>
      <c r="D1182" s="2">
        <f>IFERROR(__xludf.DUMMYFUNCTION("""COMPUTED_VALUE"""),334.32)</f>
        <v>334.32</v>
      </c>
      <c r="E1182" s="2">
        <f>IFERROR(__xludf.DUMMYFUNCTION("""COMPUTED_VALUE"""),337.92)</f>
        <v>337.92</v>
      </c>
      <c r="F1182" s="2">
        <f>IFERROR(__xludf.DUMMYFUNCTION("""COMPUTED_VALUE"""),1473727.0)</f>
        <v>1473727</v>
      </c>
    </row>
    <row r="1183">
      <c r="A1183" s="3">
        <f>IFERROR(__xludf.DUMMYFUNCTION("""COMPUTED_VALUE"""),39169.645833333336)</f>
        <v>39169.64583</v>
      </c>
      <c r="B1183" s="2">
        <f>IFERROR(__xludf.DUMMYFUNCTION("""COMPUTED_VALUE"""),336.8)</f>
        <v>336.8</v>
      </c>
      <c r="C1183" s="2">
        <f>IFERROR(__xludf.DUMMYFUNCTION("""COMPUTED_VALUE"""),340.26)</f>
        <v>340.26</v>
      </c>
      <c r="D1183" s="2">
        <f>IFERROR(__xludf.DUMMYFUNCTION("""COMPUTED_VALUE"""),332.47)</f>
        <v>332.47</v>
      </c>
      <c r="E1183" s="2">
        <f>IFERROR(__xludf.DUMMYFUNCTION("""COMPUTED_VALUE"""),334.32)</f>
        <v>334.32</v>
      </c>
      <c r="F1183" s="2">
        <f>IFERROR(__xludf.DUMMYFUNCTION("""COMPUTED_VALUE"""),2133169.0)</f>
        <v>2133169</v>
      </c>
    </row>
    <row r="1184">
      <c r="A1184" s="3">
        <f>IFERROR(__xludf.DUMMYFUNCTION("""COMPUTED_VALUE"""),39170.645833333336)</f>
        <v>39170.64583</v>
      </c>
      <c r="B1184" s="2">
        <f>IFERROR(__xludf.DUMMYFUNCTION("""COMPUTED_VALUE"""),337.79)</f>
        <v>337.79</v>
      </c>
      <c r="C1184" s="2">
        <f>IFERROR(__xludf.DUMMYFUNCTION("""COMPUTED_VALUE"""),339.02)</f>
        <v>339.02</v>
      </c>
      <c r="D1184" s="2">
        <f>IFERROR(__xludf.DUMMYFUNCTION("""COMPUTED_VALUE"""),333.33)</f>
        <v>333.33</v>
      </c>
      <c r="E1184" s="2">
        <f>IFERROR(__xludf.DUMMYFUNCTION("""COMPUTED_VALUE"""),336.1)</f>
        <v>336.1</v>
      </c>
      <c r="F1184" s="2">
        <f>IFERROR(__xludf.DUMMYFUNCTION("""COMPUTED_VALUE"""),2648059.0)</f>
        <v>2648059</v>
      </c>
    </row>
    <row r="1185">
      <c r="A1185" s="3">
        <f>IFERROR(__xludf.DUMMYFUNCTION("""COMPUTED_VALUE"""),39171.645833333336)</f>
        <v>39171.64583</v>
      </c>
      <c r="B1185" s="2">
        <f>IFERROR(__xludf.DUMMYFUNCTION("""COMPUTED_VALUE"""),336.8)</f>
        <v>336.8</v>
      </c>
      <c r="C1185" s="2">
        <f>IFERROR(__xludf.DUMMYFUNCTION("""COMPUTED_VALUE"""),340.48)</f>
        <v>340.48</v>
      </c>
      <c r="D1185" s="2">
        <f>IFERROR(__xludf.DUMMYFUNCTION("""COMPUTED_VALUE"""),335.11)</f>
        <v>335.11</v>
      </c>
      <c r="E1185" s="2">
        <f>IFERROR(__xludf.DUMMYFUNCTION("""COMPUTED_VALUE"""),339.35)</f>
        <v>339.35</v>
      </c>
      <c r="F1185" s="2">
        <f>IFERROR(__xludf.DUMMYFUNCTION("""COMPUTED_VALUE"""),2645527.0)</f>
        <v>2645527</v>
      </c>
    </row>
    <row r="1186">
      <c r="A1186" s="3">
        <f>IFERROR(__xludf.DUMMYFUNCTION("""COMPUTED_VALUE"""),39174.645833333336)</f>
        <v>39174.64583</v>
      </c>
      <c r="B1186" s="2">
        <f>IFERROR(__xludf.DUMMYFUNCTION("""COMPUTED_VALUE"""),335.56)</f>
        <v>335.56</v>
      </c>
      <c r="C1186" s="2">
        <f>IFERROR(__xludf.DUMMYFUNCTION("""COMPUTED_VALUE"""),336.5)</f>
        <v>336.5</v>
      </c>
      <c r="D1186" s="2">
        <f>IFERROR(__xludf.DUMMYFUNCTION("""COMPUTED_VALUE"""),323.24)</f>
        <v>323.24</v>
      </c>
      <c r="E1186" s="2">
        <f>IFERROR(__xludf.DUMMYFUNCTION("""COMPUTED_VALUE"""),325.39)</f>
        <v>325.39</v>
      </c>
      <c r="F1186" s="2">
        <f>IFERROR(__xludf.DUMMYFUNCTION("""COMPUTED_VALUE"""),3290334.0)</f>
        <v>3290334</v>
      </c>
    </row>
    <row r="1187">
      <c r="A1187" s="3">
        <f>IFERROR(__xludf.DUMMYFUNCTION("""COMPUTED_VALUE"""),39175.645833333336)</f>
        <v>39175.64583</v>
      </c>
      <c r="B1187" s="2">
        <f>IFERROR(__xludf.DUMMYFUNCTION("""COMPUTED_VALUE"""),327.01)</f>
        <v>327.01</v>
      </c>
      <c r="C1187" s="2">
        <f>IFERROR(__xludf.DUMMYFUNCTION("""COMPUTED_VALUE"""),333.33)</f>
        <v>333.33</v>
      </c>
      <c r="D1187" s="2">
        <f>IFERROR(__xludf.DUMMYFUNCTION("""COMPUTED_VALUE"""),324.29)</f>
        <v>324.29</v>
      </c>
      <c r="E1187" s="2">
        <f>IFERROR(__xludf.DUMMYFUNCTION("""COMPUTED_VALUE"""),332.03)</f>
        <v>332.03</v>
      </c>
      <c r="F1187" s="2">
        <f>IFERROR(__xludf.DUMMYFUNCTION("""COMPUTED_VALUE"""),2661129.0)</f>
        <v>2661129</v>
      </c>
    </row>
    <row r="1188">
      <c r="A1188" s="3">
        <f>IFERROR(__xludf.DUMMYFUNCTION("""COMPUTED_VALUE"""),39176.645833333336)</f>
        <v>39176.64583</v>
      </c>
      <c r="B1188" s="2">
        <f>IFERROR(__xludf.DUMMYFUNCTION("""COMPUTED_VALUE"""),333.82)</f>
        <v>333.82</v>
      </c>
      <c r="C1188" s="2">
        <f>IFERROR(__xludf.DUMMYFUNCTION("""COMPUTED_VALUE"""),339.01)</f>
        <v>339.01</v>
      </c>
      <c r="D1188" s="2">
        <f>IFERROR(__xludf.DUMMYFUNCTION("""COMPUTED_VALUE"""),333.75)</f>
        <v>333.75</v>
      </c>
      <c r="E1188" s="2">
        <f>IFERROR(__xludf.DUMMYFUNCTION("""COMPUTED_VALUE"""),337.6)</f>
        <v>337.6</v>
      </c>
      <c r="F1188" s="2">
        <f>IFERROR(__xludf.DUMMYFUNCTION("""COMPUTED_VALUE"""),1990052.0)</f>
        <v>1990052</v>
      </c>
    </row>
    <row r="1189">
      <c r="A1189" s="3">
        <f>IFERROR(__xludf.DUMMYFUNCTION("""COMPUTED_VALUE"""),39177.645833333336)</f>
        <v>39177.64583</v>
      </c>
      <c r="B1189" s="2">
        <f>IFERROR(__xludf.DUMMYFUNCTION("""COMPUTED_VALUE"""),337.54)</f>
        <v>337.54</v>
      </c>
      <c r="C1189" s="2">
        <f>IFERROR(__xludf.DUMMYFUNCTION("""COMPUTED_VALUE"""),337.98)</f>
        <v>337.98</v>
      </c>
      <c r="D1189" s="2">
        <f>IFERROR(__xludf.DUMMYFUNCTION("""COMPUTED_VALUE"""),334.86)</f>
        <v>334.86</v>
      </c>
      <c r="E1189" s="2">
        <f>IFERROR(__xludf.DUMMYFUNCTION("""COMPUTED_VALUE"""),336.51)</f>
        <v>336.51</v>
      </c>
      <c r="F1189" s="2">
        <f>IFERROR(__xludf.DUMMYFUNCTION("""COMPUTED_VALUE"""),1213467.0)</f>
        <v>1213467</v>
      </c>
    </row>
    <row r="1190">
      <c r="A1190" s="3">
        <f>IFERROR(__xludf.DUMMYFUNCTION("""COMPUTED_VALUE"""),39181.645833333336)</f>
        <v>39181.64583</v>
      </c>
      <c r="B1190" s="2">
        <f>IFERROR(__xludf.DUMMYFUNCTION("""COMPUTED_VALUE"""),338.03)</f>
        <v>338.03</v>
      </c>
      <c r="C1190" s="2">
        <f>IFERROR(__xludf.DUMMYFUNCTION("""COMPUTED_VALUE"""),343.73)</f>
        <v>343.73</v>
      </c>
      <c r="D1190" s="2">
        <f>IFERROR(__xludf.DUMMYFUNCTION("""COMPUTED_VALUE"""),337.29)</f>
        <v>337.29</v>
      </c>
      <c r="E1190" s="2">
        <f>IFERROR(__xludf.DUMMYFUNCTION("""COMPUTED_VALUE"""),342.81)</f>
        <v>342.81</v>
      </c>
      <c r="F1190" s="2">
        <f>IFERROR(__xludf.DUMMYFUNCTION("""COMPUTED_VALUE"""),1111931.0)</f>
        <v>1111931</v>
      </c>
    </row>
    <row r="1191">
      <c r="A1191" s="3">
        <f>IFERROR(__xludf.DUMMYFUNCTION("""COMPUTED_VALUE"""),39182.645833333336)</f>
        <v>39182.64583</v>
      </c>
      <c r="B1191" s="2">
        <f>IFERROR(__xludf.DUMMYFUNCTION("""COMPUTED_VALUE"""),344.1)</f>
        <v>344.1</v>
      </c>
      <c r="C1191" s="2">
        <f>IFERROR(__xludf.DUMMYFUNCTION("""COMPUTED_VALUE"""),344.22)</f>
        <v>344.22</v>
      </c>
      <c r="D1191" s="2">
        <f>IFERROR(__xludf.DUMMYFUNCTION("""COMPUTED_VALUE"""),339.42)</f>
        <v>339.42</v>
      </c>
      <c r="E1191" s="2">
        <f>IFERROR(__xludf.DUMMYFUNCTION("""COMPUTED_VALUE"""),342.84)</f>
        <v>342.84</v>
      </c>
      <c r="F1191" s="2">
        <f>IFERROR(__xludf.DUMMYFUNCTION("""COMPUTED_VALUE"""),1325433.0)</f>
        <v>1325433</v>
      </c>
    </row>
    <row r="1192">
      <c r="A1192" s="3">
        <f>IFERROR(__xludf.DUMMYFUNCTION("""COMPUTED_VALUE"""),39183.645833333336)</f>
        <v>39183.64583</v>
      </c>
      <c r="B1192" s="2">
        <f>IFERROR(__xludf.DUMMYFUNCTION("""COMPUTED_VALUE"""),343.02)</f>
        <v>343.02</v>
      </c>
      <c r="C1192" s="2">
        <f>IFERROR(__xludf.DUMMYFUNCTION("""COMPUTED_VALUE"""),346.3)</f>
        <v>346.3</v>
      </c>
      <c r="D1192" s="2">
        <f>IFERROR(__xludf.DUMMYFUNCTION("""COMPUTED_VALUE"""),341.02)</f>
        <v>341.02</v>
      </c>
      <c r="E1192" s="2">
        <f>IFERROR(__xludf.DUMMYFUNCTION("""COMPUTED_VALUE"""),343.38)</f>
        <v>343.38</v>
      </c>
      <c r="F1192" s="2">
        <f>IFERROR(__xludf.DUMMYFUNCTION("""COMPUTED_VALUE"""),1677682.0)</f>
        <v>1677682</v>
      </c>
    </row>
    <row r="1193">
      <c r="A1193" s="3">
        <f>IFERROR(__xludf.DUMMYFUNCTION("""COMPUTED_VALUE"""),39184.645833333336)</f>
        <v>39184.64583</v>
      </c>
      <c r="B1193" s="2">
        <f>IFERROR(__xludf.DUMMYFUNCTION("""COMPUTED_VALUE"""),342.74)</f>
        <v>342.74</v>
      </c>
      <c r="C1193" s="2">
        <f>IFERROR(__xludf.DUMMYFUNCTION("""COMPUTED_VALUE"""),344.97)</f>
        <v>344.97</v>
      </c>
      <c r="D1193" s="2">
        <f>IFERROR(__xludf.DUMMYFUNCTION("""COMPUTED_VALUE"""),339.83)</f>
        <v>339.83</v>
      </c>
      <c r="E1193" s="2">
        <f>IFERROR(__xludf.DUMMYFUNCTION("""COMPUTED_VALUE"""),343.61)</f>
        <v>343.61</v>
      </c>
      <c r="F1193" s="2">
        <f>IFERROR(__xludf.DUMMYFUNCTION("""COMPUTED_VALUE"""),1099116.0)</f>
        <v>1099116</v>
      </c>
    </row>
    <row r="1194">
      <c r="A1194" s="3">
        <f>IFERROR(__xludf.DUMMYFUNCTION("""COMPUTED_VALUE"""),39185.645833333336)</f>
        <v>39185.64583</v>
      </c>
      <c r="B1194" s="2">
        <f>IFERROR(__xludf.DUMMYFUNCTION("""COMPUTED_VALUE"""),340.57)</f>
        <v>340.57</v>
      </c>
      <c r="C1194" s="2">
        <f>IFERROR(__xludf.DUMMYFUNCTION("""COMPUTED_VALUE"""),350.64)</f>
        <v>350.64</v>
      </c>
      <c r="D1194" s="2">
        <f>IFERROR(__xludf.DUMMYFUNCTION("""COMPUTED_VALUE"""),340.57)</f>
        <v>340.57</v>
      </c>
      <c r="E1194" s="2">
        <f>IFERROR(__xludf.DUMMYFUNCTION("""COMPUTED_VALUE"""),349.66)</f>
        <v>349.66</v>
      </c>
      <c r="F1194" s="2">
        <f>IFERROR(__xludf.DUMMYFUNCTION("""COMPUTED_VALUE"""),1520073.0)</f>
        <v>1520073</v>
      </c>
    </row>
    <row r="1195">
      <c r="A1195" s="3">
        <f>IFERROR(__xludf.DUMMYFUNCTION("""COMPUTED_VALUE"""),39188.645833333336)</f>
        <v>39188.64583</v>
      </c>
      <c r="B1195" s="2">
        <f>IFERROR(__xludf.DUMMYFUNCTION("""COMPUTED_VALUE"""),351.18)</f>
        <v>351.18</v>
      </c>
      <c r="C1195" s="2">
        <f>IFERROR(__xludf.DUMMYFUNCTION("""COMPUTED_VALUE"""),362.55)</f>
        <v>362.55</v>
      </c>
      <c r="D1195" s="2">
        <f>IFERROR(__xludf.DUMMYFUNCTION("""COMPUTED_VALUE"""),350.97)</f>
        <v>350.97</v>
      </c>
      <c r="E1195" s="2">
        <f>IFERROR(__xludf.DUMMYFUNCTION("""COMPUTED_VALUE"""),361.0)</f>
        <v>361</v>
      </c>
      <c r="F1195" s="2">
        <f>IFERROR(__xludf.DUMMYFUNCTION("""COMPUTED_VALUE"""),1697452.0)</f>
        <v>1697452</v>
      </c>
    </row>
    <row r="1196">
      <c r="A1196" s="3">
        <f>IFERROR(__xludf.DUMMYFUNCTION("""COMPUTED_VALUE"""),39189.645833333336)</f>
        <v>39189.64583</v>
      </c>
      <c r="B1196" s="2">
        <f>IFERROR(__xludf.DUMMYFUNCTION("""COMPUTED_VALUE"""),362.8)</f>
        <v>362.8</v>
      </c>
      <c r="C1196" s="2">
        <f>IFERROR(__xludf.DUMMYFUNCTION("""COMPUTED_VALUE"""),368.49)</f>
        <v>368.49</v>
      </c>
      <c r="D1196" s="2">
        <f>IFERROR(__xludf.DUMMYFUNCTION("""COMPUTED_VALUE"""),359.66)</f>
        <v>359.66</v>
      </c>
      <c r="E1196" s="2">
        <f>IFERROR(__xludf.DUMMYFUNCTION("""COMPUTED_VALUE"""),365.47)</f>
        <v>365.47</v>
      </c>
      <c r="F1196" s="2">
        <f>IFERROR(__xludf.DUMMYFUNCTION("""COMPUTED_VALUE"""),3820017.0)</f>
        <v>3820017</v>
      </c>
    </row>
    <row r="1197">
      <c r="A1197" s="3">
        <f>IFERROR(__xludf.DUMMYFUNCTION("""COMPUTED_VALUE"""),39190.645833333336)</f>
        <v>39190.64583</v>
      </c>
      <c r="B1197" s="2">
        <f>IFERROR(__xludf.DUMMYFUNCTION("""COMPUTED_VALUE"""),364.78)</f>
        <v>364.78</v>
      </c>
      <c r="C1197" s="2">
        <f>IFERROR(__xludf.DUMMYFUNCTION("""COMPUTED_VALUE"""),370.45)</f>
        <v>370.45</v>
      </c>
      <c r="D1197" s="2">
        <f>IFERROR(__xludf.DUMMYFUNCTION("""COMPUTED_VALUE"""),364.78)</f>
        <v>364.78</v>
      </c>
      <c r="E1197" s="2">
        <f>IFERROR(__xludf.DUMMYFUNCTION("""COMPUTED_VALUE"""),367.84)</f>
        <v>367.84</v>
      </c>
      <c r="F1197" s="2">
        <f>IFERROR(__xludf.DUMMYFUNCTION("""COMPUTED_VALUE"""),2291918.0)</f>
        <v>2291918</v>
      </c>
    </row>
    <row r="1198">
      <c r="A1198" s="3">
        <f>IFERROR(__xludf.DUMMYFUNCTION("""COMPUTED_VALUE"""),39191.645833333336)</f>
        <v>39191.64583</v>
      </c>
      <c r="B1198" s="2">
        <f>IFERROR(__xludf.DUMMYFUNCTION("""COMPUTED_VALUE"""),362.86)</f>
        <v>362.86</v>
      </c>
      <c r="C1198" s="2">
        <f>IFERROR(__xludf.DUMMYFUNCTION("""COMPUTED_VALUE"""),371.34)</f>
        <v>371.34</v>
      </c>
      <c r="D1198" s="2">
        <f>IFERROR(__xludf.DUMMYFUNCTION("""COMPUTED_VALUE"""),361.71)</f>
        <v>361.71</v>
      </c>
      <c r="E1198" s="2">
        <f>IFERROR(__xludf.DUMMYFUNCTION("""COMPUTED_VALUE"""),369.57)</f>
        <v>369.57</v>
      </c>
      <c r="F1198" s="2">
        <f>IFERROR(__xludf.DUMMYFUNCTION("""COMPUTED_VALUE"""),2200255.0)</f>
        <v>2200255</v>
      </c>
    </row>
    <row r="1199">
      <c r="A1199" s="3">
        <f>IFERROR(__xludf.DUMMYFUNCTION("""COMPUTED_VALUE"""),39192.645833333336)</f>
        <v>39192.64583</v>
      </c>
      <c r="B1199" s="2">
        <f>IFERROR(__xludf.DUMMYFUNCTION("""COMPUTED_VALUE"""),370.23)</f>
        <v>370.23</v>
      </c>
      <c r="C1199" s="2">
        <f>IFERROR(__xludf.DUMMYFUNCTION("""COMPUTED_VALUE"""),382.61)</f>
        <v>382.61</v>
      </c>
      <c r="D1199" s="2">
        <f>IFERROR(__xludf.DUMMYFUNCTION("""COMPUTED_VALUE"""),370.23)</f>
        <v>370.23</v>
      </c>
      <c r="E1199" s="2">
        <f>IFERROR(__xludf.DUMMYFUNCTION("""COMPUTED_VALUE"""),381.73)</f>
        <v>381.73</v>
      </c>
      <c r="F1199" s="2">
        <f>IFERROR(__xludf.DUMMYFUNCTION("""COMPUTED_VALUE"""),2386403.0)</f>
        <v>2386403</v>
      </c>
    </row>
    <row r="1200">
      <c r="A1200" s="3">
        <f>IFERROR(__xludf.DUMMYFUNCTION("""COMPUTED_VALUE"""),39195.645833333336)</f>
        <v>39195.64583</v>
      </c>
      <c r="B1200" s="2">
        <f>IFERROR(__xludf.DUMMYFUNCTION("""COMPUTED_VALUE"""),382.11)</f>
        <v>382.11</v>
      </c>
      <c r="C1200" s="2">
        <f>IFERROR(__xludf.DUMMYFUNCTION("""COMPUTED_VALUE"""),386.32)</f>
        <v>386.32</v>
      </c>
      <c r="D1200" s="2">
        <f>IFERROR(__xludf.DUMMYFUNCTION("""COMPUTED_VALUE"""),377.73)</f>
        <v>377.73</v>
      </c>
      <c r="E1200" s="2">
        <f>IFERROR(__xludf.DUMMYFUNCTION("""COMPUTED_VALUE"""),384.91)</f>
        <v>384.91</v>
      </c>
      <c r="F1200" s="2">
        <f>IFERROR(__xludf.DUMMYFUNCTION("""COMPUTED_VALUE"""),2501245.0)</f>
        <v>2501245</v>
      </c>
    </row>
    <row r="1201">
      <c r="A1201" s="3">
        <f>IFERROR(__xludf.DUMMYFUNCTION("""COMPUTED_VALUE"""),39196.645833333336)</f>
        <v>39196.64583</v>
      </c>
      <c r="B1201" s="2">
        <f>IFERROR(__xludf.DUMMYFUNCTION("""COMPUTED_VALUE"""),384.84)</f>
        <v>384.84</v>
      </c>
      <c r="C1201" s="2">
        <f>IFERROR(__xludf.DUMMYFUNCTION("""COMPUTED_VALUE"""),393.65)</f>
        <v>393.65</v>
      </c>
      <c r="D1201" s="2">
        <f>IFERROR(__xludf.DUMMYFUNCTION("""COMPUTED_VALUE"""),381.63)</f>
        <v>381.63</v>
      </c>
      <c r="E1201" s="2">
        <f>IFERROR(__xludf.DUMMYFUNCTION("""COMPUTED_VALUE"""),392.01)</f>
        <v>392.01</v>
      </c>
      <c r="F1201" s="2">
        <f>IFERROR(__xludf.DUMMYFUNCTION("""COMPUTED_VALUE"""),2380022.0)</f>
        <v>2380022</v>
      </c>
    </row>
    <row r="1202">
      <c r="A1202" s="3">
        <f>IFERROR(__xludf.DUMMYFUNCTION("""COMPUTED_VALUE"""),39197.645833333336)</f>
        <v>39197.64583</v>
      </c>
      <c r="B1202" s="2">
        <f>IFERROR(__xludf.DUMMYFUNCTION("""COMPUTED_VALUE"""),391.77)</f>
        <v>391.77</v>
      </c>
      <c r="C1202" s="2">
        <f>IFERROR(__xludf.DUMMYFUNCTION("""COMPUTED_VALUE"""),396.23)</f>
        <v>396.23</v>
      </c>
      <c r="D1202" s="2">
        <f>IFERROR(__xludf.DUMMYFUNCTION("""COMPUTED_VALUE"""),387.07)</f>
        <v>387.07</v>
      </c>
      <c r="E1202" s="2">
        <f>IFERROR(__xludf.DUMMYFUNCTION("""COMPUTED_VALUE"""),395.83)</f>
        <v>395.83</v>
      </c>
      <c r="F1202" s="2">
        <f>IFERROR(__xludf.DUMMYFUNCTION("""COMPUTED_VALUE"""),2062547.0)</f>
        <v>2062547</v>
      </c>
    </row>
    <row r="1203">
      <c r="A1203" s="3">
        <f>IFERROR(__xludf.DUMMYFUNCTION("""COMPUTED_VALUE"""),39198.645833333336)</f>
        <v>39198.64583</v>
      </c>
      <c r="B1203" s="2">
        <f>IFERROR(__xludf.DUMMYFUNCTION("""COMPUTED_VALUE"""),398.71)</f>
        <v>398.71</v>
      </c>
      <c r="C1203" s="2">
        <f>IFERROR(__xludf.DUMMYFUNCTION("""COMPUTED_VALUE"""),402.82)</f>
        <v>402.82</v>
      </c>
      <c r="D1203" s="2">
        <f>IFERROR(__xludf.DUMMYFUNCTION("""COMPUTED_VALUE"""),392.27)</f>
        <v>392.27</v>
      </c>
      <c r="E1203" s="2">
        <f>IFERROR(__xludf.DUMMYFUNCTION("""COMPUTED_VALUE"""),395.45)</f>
        <v>395.45</v>
      </c>
      <c r="F1203" s="2">
        <f>IFERROR(__xludf.DUMMYFUNCTION("""COMPUTED_VALUE"""),6204641.0)</f>
        <v>6204641</v>
      </c>
    </row>
    <row r="1204">
      <c r="A1204" s="3">
        <f>IFERROR(__xludf.DUMMYFUNCTION("""COMPUTED_VALUE"""),39199.645833333336)</f>
        <v>39199.64583</v>
      </c>
      <c r="B1204" s="2">
        <f>IFERROR(__xludf.DUMMYFUNCTION("""COMPUTED_VALUE"""),399.2)</f>
        <v>399.2</v>
      </c>
      <c r="C1204" s="2">
        <f>IFERROR(__xludf.DUMMYFUNCTION("""COMPUTED_VALUE"""),399.2)</f>
        <v>399.2</v>
      </c>
      <c r="D1204" s="2">
        <f>IFERROR(__xludf.DUMMYFUNCTION("""COMPUTED_VALUE"""),379.39)</f>
        <v>379.39</v>
      </c>
      <c r="E1204" s="2">
        <f>IFERROR(__xludf.DUMMYFUNCTION("""COMPUTED_VALUE"""),381.17)</f>
        <v>381.17</v>
      </c>
      <c r="F1204" s="2">
        <f>IFERROR(__xludf.DUMMYFUNCTION("""COMPUTED_VALUE"""),3137369.0)</f>
        <v>3137369</v>
      </c>
    </row>
    <row r="1205">
      <c r="A1205" s="3">
        <f>IFERROR(__xludf.DUMMYFUNCTION("""COMPUTED_VALUE"""),39202.645833333336)</f>
        <v>39202.64583</v>
      </c>
      <c r="B1205" s="2">
        <f>IFERROR(__xludf.DUMMYFUNCTION("""COMPUTED_VALUE"""),383.8)</f>
        <v>383.8</v>
      </c>
      <c r="C1205" s="2">
        <f>IFERROR(__xludf.DUMMYFUNCTION("""COMPUTED_VALUE"""),389.3)</f>
        <v>389.3</v>
      </c>
      <c r="D1205" s="2">
        <f>IFERROR(__xludf.DUMMYFUNCTION("""COMPUTED_VALUE"""),371.71)</f>
        <v>371.71</v>
      </c>
      <c r="E1205" s="2">
        <f>IFERROR(__xludf.DUMMYFUNCTION("""COMPUTED_VALUE"""),386.58)</f>
        <v>386.58</v>
      </c>
      <c r="F1205" s="2">
        <f>IFERROR(__xludf.DUMMYFUNCTION("""COMPUTED_VALUE"""),2385514.0)</f>
        <v>2385514</v>
      </c>
    </row>
    <row r="1206">
      <c r="A1206" s="3">
        <f>IFERROR(__xludf.DUMMYFUNCTION("""COMPUTED_VALUE"""),39205.645833333336)</f>
        <v>39205.64583</v>
      </c>
      <c r="B1206" s="2">
        <f>IFERROR(__xludf.DUMMYFUNCTION("""COMPUTED_VALUE"""),390.04)</f>
        <v>390.04</v>
      </c>
      <c r="C1206" s="2">
        <f>IFERROR(__xludf.DUMMYFUNCTION("""COMPUTED_VALUE"""),403.66)</f>
        <v>403.66</v>
      </c>
      <c r="D1206" s="2">
        <f>IFERROR(__xludf.DUMMYFUNCTION("""COMPUTED_VALUE"""),390.04)</f>
        <v>390.04</v>
      </c>
      <c r="E1206" s="2">
        <f>IFERROR(__xludf.DUMMYFUNCTION("""COMPUTED_VALUE"""),402.71)</f>
        <v>402.71</v>
      </c>
      <c r="F1206" s="2">
        <f>IFERROR(__xludf.DUMMYFUNCTION("""COMPUTED_VALUE"""),3685012.0)</f>
        <v>3685012</v>
      </c>
    </row>
    <row r="1207">
      <c r="A1207" s="3">
        <f>IFERROR(__xludf.DUMMYFUNCTION("""COMPUTED_VALUE"""),39206.645833333336)</f>
        <v>39206.64583</v>
      </c>
      <c r="B1207" s="2">
        <f>IFERROR(__xludf.DUMMYFUNCTION("""COMPUTED_VALUE"""),403.72)</f>
        <v>403.72</v>
      </c>
      <c r="C1207" s="2">
        <f>IFERROR(__xludf.DUMMYFUNCTION("""COMPUTED_VALUE"""),405.14)</f>
        <v>405.14</v>
      </c>
      <c r="D1207" s="2">
        <f>IFERROR(__xludf.DUMMYFUNCTION("""COMPUTED_VALUE"""),390.56)</f>
        <v>390.56</v>
      </c>
      <c r="E1207" s="2">
        <f>IFERROR(__xludf.DUMMYFUNCTION("""COMPUTED_VALUE"""),392.06)</f>
        <v>392.06</v>
      </c>
      <c r="F1207" s="2">
        <f>IFERROR(__xludf.DUMMYFUNCTION("""COMPUTED_VALUE"""),3685098.0)</f>
        <v>3685098</v>
      </c>
    </row>
    <row r="1208">
      <c r="A1208" s="3">
        <f>IFERROR(__xludf.DUMMYFUNCTION("""COMPUTED_VALUE"""),39209.645833333336)</f>
        <v>39209.64583</v>
      </c>
      <c r="B1208" s="2">
        <f>IFERROR(__xludf.DUMMYFUNCTION("""COMPUTED_VALUE"""),397.47)</f>
        <v>397.47</v>
      </c>
      <c r="C1208" s="2">
        <f>IFERROR(__xludf.DUMMYFUNCTION("""COMPUTED_VALUE"""),400.69)</f>
        <v>400.69</v>
      </c>
      <c r="D1208" s="2">
        <f>IFERROR(__xludf.DUMMYFUNCTION("""COMPUTED_VALUE"""),395.24)</f>
        <v>395.24</v>
      </c>
      <c r="E1208" s="2">
        <f>IFERROR(__xludf.DUMMYFUNCTION("""COMPUTED_VALUE"""),397.84)</f>
        <v>397.84</v>
      </c>
      <c r="F1208" s="2">
        <f>IFERROR(__xludf.DUMMYFUNCTION("""COMPUTED_VALUE"""),2832701.0)</f>
        <v>2832701</v>
      </c>
    </row>
    <row r="1209">
      <c r="A1209" s="3">
        <f>IFERROR(__xludf.DUMMYFUNCTION("""COMPUTED_VALUE"""),39210.645833333336)</f>
        <v>39210.64583</v>
      </c>
      <c r="B1209" s="2">
        <f>IFERROR(__xludf.DUMMYFUNCTION("""COMPUTED_VALUE"""),398.33)</f>
        <v>398.33</v>
      </c>
      <c r="C1209" s="2">
        <f>IFERROR(__xludf.DUMMYFUNCTION("""COMPUTED_VALUE"""),399.8)</f>
        <v>399.8</v>
      </c>
      <c r="D1209" s="2">
        <f>IFERROR(__xludf.DUMMYFUNCTION("""COMPUTED_VALUE"""),393.75)</f>
        <v>393.75</v>
      </c>
      <c r="E1209" s="2">
        <f>IFERROR(__xludf.DUMMYFUNCTION("""COMPUTED_VALUE"""),394.53)</f>
        <v>394.53</v>
      </c>
      <c r="F1209" s="2">
        <f>IFERROR(__xludf.DUMMYFUNCTION("""COMPUTED_VALUE"""),2145696.0)</f>
        <v>2145696</v>
      </c>
    </row>
    <row r="1210">
      <c r="A1210" s="3">
        <f>IFERROR(__xludf.DUMMYFUNCTION("""COMPUTED_VALUE"""),39211.645833333336)</f>
        <v>39211.64583</v>
      </c>
      <c r="B1210" s="2">
        <f>IFERROR(__xludf.DUMMYFUNCTION("""COMPUTED_VALUE"""),393.75)</f>
        <v>393.75</v>
      </c>
      <c r="C1210" s="2">
        <f>IFERROR(__xludf.DUMMYFUNCTION("""COMPUTED_VALUE"""),396.23)</f>
        <v>396.23</v>
      </c>
      <c r="D1210" s="2">
        <f>IFERROR(__xludf.DUMMYFUNCTION("""COMPUTED_VALUE"""),389.67)</f>
        <v>389.67</v>
      </c>
      <c r="E1210" s="2">
        <f>IFERROR(__xludf.DUMMYFUNCTION("""COMPUTED_VALUE"""),395.8)</f>
        <v>395.8</v>
      </c>
      <c r="F1210" s="2">
        <f>IFERROR(__xludf.DUMMYFUNCTION("""COMPUTED_VALUE"""),2307786.0)</f>
        <v>2307786</v>
      </c>
    </row>
    <row r="1211">
      <c r="A1211" s="3">
        <f>IFERROR(__xludf.DUMMYFUNCTION("""COMPUTED_VALUE"""),39212.645833333336)</f>
        <v>39212.64583</v>
      </c>
      <c r="B1211" s="2">
        <f>IFERROR(__xludf.DUMMYFUNCTION("""COMPUTED_VALUE"""),397.96)</f>
        <v>397.96</v>
      </c>
      <c r="C1211" s="2">
        <f>IFERROR(__xludf.DUMMYFUNCTION("""COMPUTED_VALUE"""),398.66)</f>
        <v>398.66</v>
      </c>
      <c r="D1211" s="2">
        <f>IFERROR(__xludf.DUMMYFUNCTION("""COMPUTED_VALUE"""),390.04)</f>
        <v>390.04</v>
      </c>
      <c r="E1211" s="2">
        <f>IFERROR(__xludf.DUMMYFUNCTION("""COMPUTED_VALUE"""),391.62)</f>
        <v>391.62</v>
      </c>
      <c r="F1211" s="2">
        <f>IFERROR(__xludf.DUMMYFUNCTION("""COMPUTED_VALUE"""),1810733.0)</f>
        <v>1810733</v>
      </c>
    </row>
    <row r="1212">
      <c r="A1212" s="3">
        <f>IFERROR(__xludf.DUMMYFUNCTION("""COMPUTED_VALUE"""),39213.645833333336)</f>
        <v>39213.64583</v>
      </c>
      <c r="B1212" s="2">
        <f>IFERROR(__xludf.DUMMYFUNCTION("""COMPUTED_VALUE"""),384.09)</f>
        <v>384.09</v>
      </c>
      <c r="C1212" s="2">
        <f>IFERROR(__xludf.DUMMYFUNCTION("""COMPUTED_VALUE"""),396.23)</f>
        <v>396.23</v>
      </c>
      <c r="D1212" s="2">
        <f>IFERROR(__xludf.DUMMYFUNCTION("""COMPUTED_VALUE"""),379.2)</f>
        <v>379.2</v>
      </c>
      <c r="E1212" s="2">
        <f>IFERROR(__xludf.DUMMYFUNCTION("""COMPUTED_VALUE"""),393.53)</f>
        <v>393.53</v>
      </c>
      <c r="F1212" s="2">
        <f>IFERROR(__xludf.DUMMYFUNCTION("""COMPUTED_VALUE"""),3365965.0)</f>
        <v>3365965</v>
      </c>
    </row>
    <row r="1213">
      <c r="A1213" s="3">
        <f>IFERROR(__xludf.DUMMYFUNCTION("""COMPUTED_VALUE"""),39216.645833333336)</f>
        <v>39216.64583</v>
      </c>
      <c r="B1213" s="2">
        <f>IFERROR(__xludf.DUMMYFUNCTION("""COMPUTED_VALUE"""),398.71)</f>
        <v>398.71</v>
      </c>
      <c r="C1213" s="2">
        <f>IFERROR(__xludf.DUMMYFUNCTION("""COMPUTED_VALUE"""),402.92)</f>
        <v>402.92</v>
      </c>
      <c r="D1213" s="2">
        <f>IFERROR(__xludf.DUMMYFUNCTION("""COMPUTED_VALUE"""),397.47)</f>
        <v>397.47</v>
      </c>
      <c r="E1213" s="2">
        <f>IFERROR(__xludf.DUMMYFUNCTION("""COMPUTED_VALUE"""),401.24)</f>
        <v>401.24</v>
      </c>
      <c r="F1213" s="2">
        <f>IFERROR(__xludf.DUMMYFUNCTION("""COMPUTED_VALUE"""),1910033.0)</f>
        <v>1910033</v>
      </c>
    </row>
    <row r="1214">
      <c r="A1214" s="3">
        <f>IFERROR(__xludf.DUMMYFUNCTION("""COMPUTED_VALUE"""),39217.645833333336)</f>
        <v>39217.64583</v>
      </c>
      <c r="B1214" s="2">
        <f>IFERROR(__xludf.DUMMYFUNCTION("""COMPUTED_VALUE"""),401.31)</f>
        <v>401.31</v>
      </c>
      <c r="C1214" s="2">
        <f>IFERROR(__xludf.DUMMYFUNCTION("""COMPUTED_VALUE"""),402.64)</f>
        <v>402.64</v>
      </c>
      <c r="D1214" s="2">
        <f>IFERROR(__xludf.DUMMYFUNCTION("""COMPUTED_VALUE"""),394.62)</f>
        <v>394.62</v>
      </c>
      <c r="E1214" s="2">
        <f>IFERROR(__xludf.DUMMYFUNCTION("""COMPUTED_VALUE"""),395.86)</f>
        <v>395.86</v>
      </c>
      <c r="F1214" s="2">
        <f>IFERROR(__xludf.DUMMYFUNCTION("""COMPUTED_VALUE"""),3468852.0)</f>
        <v>3468852</v>
      </c>
    </row>
    <row r="1215">
      <c r="A1215" s="3">
        <f>IFERROR(__xludf.DUMMYFUNCTION("""COMPUTED_VALUE"""),39218.645833333336)</f>
        <v>39218.64583</v>
      </c>
      <c r="B1215" s="2">
        <f>IFERROR(__xludf.DUMMYFUNCTION("""COMPUTED_VALUE"""),396.48)</f>
        <v>396.48</v>
      </c>
      <c r="C1215" s="2">
        <f>IFERROR(__xludf.DUMMYFUNCTION("""COMPUTED_VALUE"""),408.12)</f>
        <v>408.12</v>
      </c>
      <c r="D1215" s="2">
        <f>IFERROR(__xludf.DUMMYFUNCTION("""COMPUTED_VALUE"""),395.88)</f>
        <v>395.88</v>
      </c>
      <c r="E1215" s="2">
        <f>IFERROR(__xludf.DUMMYFUNCTION("""COMPUTED_VALUE"""),404.82)</f>
        <v>404.82</v>
      </c>
      <c r="F1215" s="2">
        <f>IFERROR(__xludf.DUMMYFUNCTION("""COMPUTED_VALUE"""),2843184.0)</f>
        <v>2843184</v>
      </c>
    </row>
    <row r="1216">
      <c r="A1216" s="3">
        <f>IFERROR(__xludf.DUMMYFUNCTION("""COMPUTED_VALUE"""),39219.645833333336)</f>
        <v>39219.64583</v>
      </c>
      <c r="B1216" s="2">
        <f>IFERROR(__xludf.DUMMYFUNCTION("""COMPUTED_VALUE"""),407.4)</f>
        <v>407.4</v>
      </c>
      <c r="C1216" s="2">
        <f>IFERROR(__xludf.DUMMYFUNCTION("""COMPUTED_VALUE"""),418.46)</f>
        <v>418.46</v>
      </c>
      <c r="D1216" s="2">
        <f>IFERROR(__xludf.DUMMYFUNCTION("""COMPUTED_VALUE"""),407.4)</f>
        <v>407.4</v>
      </c>
      <c r="E1216" s="2">
        <f>IFERROR(__xludf.DUMMYFUNCTION("""COMPUTED_VALUE"""),417.34)</f>
        <v>417.34</v>
      </c>
      <c r="F1216" s="2">
        <f>IFERROR(__xludf.DUMMYFUNCTION("""COMPUTED_VALUE"""),2854239.0)</f>
        <v>2854239</v>
      </c>
    </row>
    <row r="1217">
      <c r="A1217" s="3">
        <f>IFERROR(__xludf.DUMMYFUNCTION("""COMPUTED_VALUE"""),39220.645833333336)</f>
        <v>39220.64583</v>
      </c>
      <c r="B1217" s="2">
        <f>IFERROR(__xludf.DUMMYFUNCTION("""COMPUTED_VALUE"""),417.23)</f>
        <v>417.23</v>
      </c>
      <c r="C1217" s="2">
        <f>IFERROR(__xludf.DUMMYFUNCTION("""COMPUTED_VALUE"""),422.48)</f>
        <v>422.48</v>
      </c>
      <c r="D1217" s="2">
        <f>IFERROR(__xludf.DUMMYFUNCTION("""COMPUTED_VALUE"""),413.59)</f>
        <v>413.59</v>
      </c>
      <c r="E1217" s="2">
        <f>IFERROR(__xludf.DUMMYFUNCTION("""COMPUTED_VALUE"""),420.61)</f>
        <v>420.61</v>
      </c>
      <c r="F1217" s="2">
        <f>IFERROR(__xludf.DUMMYFUNCTION("""COMPUTED_VALUE"""),2318273.0)</f>
        <v>2318273</v>
      </c>
    </row>
    <row r="1218">
      <c r="A1218" s="3">
        <f>IFERROR(__xludf.DUMMYFUNCTION("""COMPUTED_VALUE"""),39223.645833333336)</f>
        <v>39223.64583</v>
      </c>
      <c r="B1218" s="2">
        <f>IFERROR(__xludf.DUMMYFUNCTION("""COMPUTED_VALUE"""),423.47)</f>
        <v>423.47</v>
      </c>
      <c r="C1218" s="2">
        <f>IFERROR(__xludf.DUMMYFUNCTION("""COMPUTED_VALUE"""),438.33)</f>
        <v>438.33</v>
      </c>
      <c r="D1218" s="2">
        <f>IFERROR(__xludf.DUMMYFUNCTION("""COMPUTED_VALUE"""),422.03)</f>
        <v>422.03</v>
      </c>
      <c r="E1218" s="2">
        <f>IFERROR(__xludf.DUMMYFUNCTION("""COMPUTED_VALUE"""),436.09)</f>
        <v>436.09</v>
      </c>
      <c r="F1218" s="2">
        <f>IFERROR(__xludf.DUMMYFUNCTION("""COMPUTED_VALUE"""),3239284.0)</f>
        <v>3239284</v>
      </c>
    </row>
    <row r="1219">
      <c r="A1219" s="3">
        <f>IFERROR(__xludf.DUMMYFUNCTION("""COMPUTED_VALUE"""),39224.645833333336)</f>
        <v>39224.64583</v>
      </c>
      <c r="B1219" s="2">
        <f>IFERROR(__xludf.DUMMYFUNCTION("""COMPUTED_VALUE"""),438.08)</f>
        <v>438.08</v>
      </c>
      <c r="C1219" s="2">
        <f>IFERROR(__xludf.DUMMYFUNCTION("""COMPUTED_VALUE"""),442.04)</f>
        <v>442.04</v>
      </c>
      <c r="D1219" s="2">
        <f>IFERROR(__xludf.DUMMYFUNCTION("""COMPUTED_VALUE"""),430.44)</f>
        <v>430.44</v>
      </c>
      <c r="E1219" s="2">
        <f>IFERROR(__xludf.DUMMYFUNCTION("""COMPUTED_VALUE"""),440.62)</f>
        <v>440.62</v>
      </c>
      <c r="F1219" s="2">
        <f>IFERROR(__xludf.DUMMYFUNCTION("""COMPUTED_VALUE"""),3931802.0)</f>
        <v>3931802</v>
      </c>
    </row>
    <row r="1220">
      <c r="A1220" s="3">
        <f>IFERROR(__xludf.DUMMYFUNCTION("""COMPUTED_VALUE"""),39225.645833333336)</f>
        <v>39225.64583</v>
      </c>
      <c r="B1220" s="2">
        <f>IFERROR(__xludf.DUMMYFUNCTION("""COMPUTED_VALUE"""),440.81)</f>
        <v>440.81</v>
      </c>
      <c r="C1220" s="2">
        <f>IFERROR(__xludf.DUMMYFUNCTION("""COMPUTED_VALUE"""),445.21)</f>
        <v>445.21</v>
      </c>
      <c r="D1220" s="2">
        <f>IFERROR(__xludf.DUMMYFUNCTION("""COMPUTED_VALUE"""),433.38)</f>
        <v>433.38</v>
      </c>
      <c r="E1220" s="2">
        <f>IFERROR(__xludf.DUMMYFUNCTION("""COMPUTED_VALUE"""),434.9)</f>
        <v>434.9</v>
      </c>
      <c r="F1220" s="2">
        <f>IFERROR(__xludf.DUMMYFUNCTION("""COMPUTED_VALUE"""),1603841.0)</f>
        <v>1603841</v>
      </c>
    </row>
    <row r="1221">
      <c r="A1221" s="3">
        <f>IFERROR(__xludf.DUMMYFUNCTION("""COMPUTED_VALUE"""),39226.645833333336)</f>
        <v>39226.64583</v>
      </c>
      <c r="B1221" s="2">
        <f>IFERROR(__xludf.DUMMYFUNCTION("""COMPUTED_VALUE"""),433.39)</f>
        <v>433.39</v>
      </c>
      <c r="C1221" s="2">
        <f>IFERROR(__xludf.DUMMYFUNCTION("""COMPUTED_VALUE"""),435.85)</f>
        <v>435.85</v>
      </c>
      <c r="D1221" s="2">
        <f>IFERROR(__xludf.DUMMYFUNCTION("""COMPUTED_VALUE"""),425.22)</f>
        <v>425.22</v>
      </c>
      <c r="E1221" s="2">
        <f>IFERROR(__xludf.DUMMYFUNCTION("""COMPUTED_VALUE"""),427.73)</f>
        <v>427.73</v>
      </c>
      <c r="F1221" s="2">
        <f>IFERROR(__xludf.DUMMYFUNCTION("""COMPUTED_VALUE"""),2824875.0)</f>
        <v>2824875</v>
      </c>
    </row>
    <row r="1222">
      <c r="A1222" s="3">
        <f>IFERROR(__xludf.DUMMYFUNCTION("""COMPUTED_VALUE"""),39227.645833333336)</f>
        <v>39227.64583</v>
      </c>
      <c r="B1222" s="2">
        <f>IFERROR(__xludf.DUMMYFUNCTION("""COMPUTED_VALUE"""),421.3)</f>
        <v>421.3</v>
      </c>
      <c r="C1222" s="2">
        <f>IFERROR(__xludf.DUMMYFUNCTION("""COMPUTED_VALUE"""),430.16)</f>
        <v>430.16</v>
      </c>
      <c r="D1222" s="2">
        <f>IFERROR(__xludf.DUMMYFUNCTION("""COMPUTED_VALUE"""),421.27)</f>
        <v>421.27</v>
      </c>
      <c r="E1222" s="2">
        <f>IFERROR(__xludf.DUMMYFUNCTION("""COMPUTED_VALUE"""),427.94)</f>
        <v>427.94</v>
      </c>
      <c r="F1222" s="2">
        <f>IFERROR(__xludf.DUMMYFUNCTION("""COMPUTED_VALUE"""),2419081.0)</f>
        <v>2419081</v>
      </c>
    </row>
    <row r="1223">
      <c r="A1223" s="3">
        <f>IFERROR(__xludf.DUMMYFUNCTION("""COMPUTED_VALUE"""),39230.645833333336)</f>
        <v>39230.64583</v>
      </c>
      <c r="B1223" s="2">
        <f>IFERROR(__xludf.DUMMYFUNCTION("""COMPUTED_VALUE"""),430.87)</f>
        <v>430.87</v>
      </c>
      <c r="C1223" s="2">
        <f>IFERROR(__xludf.DUMMYFUNCTION("""COMPUTED_VALUE"""),433.38)</f>
        <v>433.38</v>
      </c>
      <c r="D1223" s="2">
        <f>IFERROR(__xludf.DUMMYFUNCTION("""COMPUTED_VALUE"""),425.03)</f>
        <v>425.03</v>
      </c>
      <c r="E1223" s="2">
        <f>IFERROR(__xludf.DUMMYFUNCTION("""COMPUTED_VALUE"""),426.91)</f>
        <v>426.91</v>
      </c>
      <c r="F1223" s="2">
        <f>IFERROR(__xludf.DUMMYFUNCTION("""COMPUTED_VALUE"""),1540056.0)</f>
        <v>1540056</v>
      </c>
    </row>
    <row r="1224">
      <c r="A1224" s="3">
        <f>IFERROR(__xludf.DUMMYFUNCTION("""COMPUTED_VALUE"""),39231.645833333336)</f>
        <v>39231.64583</v>
      </c>
      <c r="B1224" s="2">
        <f>IFERROR(__xludf.DUMMYFUNCTION("""COMPUTED_VALUE"""),426.44)</f>
        <v>426.44</v>
      </c>
      <c r="C1224" s="2">
        <f>IFERROR(__xludf.DUMMYFUNCTION("""COMPUTED_VALUE"""),437.83)</f>
        <v>437.83</v>
      </c>
      <c r="D1224" s="2">
        <f>IFERROR(__xludf.DUMMYFUNCTION("""COMPUTED_VALUE"""),424.16)</f>
        <v>424.16</v>
      </c>
      <c r="E1224" s="2">
        <f>IFERROR(__xludf.DUMMYFUNCTION("""COMPUTED_VALUE"""),435.08)</f>
        <v>435.08</v>
      </c>
      <c r="F1224" s="2">
        <f>IFERROR(__xludf.DUMMYFUNCTION("""COMPUTED_VALUE"""),2321445.0)</f>
        <v>2321445</v>
      </c>
    </row>
    <row r="1225">
      <c r="A1225" s="3">
        <f>IFERROR(__xludf.DUMMYFUNCTION("""COMPUTED_VALUE"""),39232.645833333336)</f>
        <v>39232.64583</v>
      </c>
      <c r="B1225" s="2">
        <f>IFERROR(__xludf.DUMMYFUNCTION("""COMPUTED_VALUE"""),433.38)</f>
        <v>433.38</v>
      </c>
      <c r="C1225" s="2">
        <f>IFERROR(__xludf.DUMMYFUNCTION("""COMPUTED_VALUE"""),440.81)</f>
        <v>440.81</v>
      </c>
      <c r="D1225" s="2">
        <f>IFERROR(__xludf.DUMMYFUNCTION("""COMPUTED_VALUE"""),431.42)</f>
        <v>431.42</v>
      </c>
      <c r="E1225" s="2">
        <f>IFERROR(__xludf.DUMMYFUNCTION("""COMPUTED_VALUE"""),434.08)</f>
        <v>434.08</v>
      </c>
      <c r="F1225" s="2">
        <f>IFERROR(__xludf.DUMMYFUNCTION("""COMPUTED_VALUE"""),3083875.0)</f>
        <v>3083875</v>
      </c>
    </row>
    <row r="1226">
      <c r="A1226" s="3">
        <f>IFERROR(__xludf.DUMMYFUNCTION("""COMPUTED_VALUE"""),39233.645833333336)</f>
        <v>39233.64583</v>
      </c>
      <c r="B1226" s="2">
        <f>IFERROR(__xludf.DUMMYFUNCTION("""COMPUTED_VALUE"""),434.61)</f>
        <v>434.61</v>
      </c>
      <c r="C1226" s="2">
        <f>IFERROR(__xludf.DUMMYFUNCTION("""COMPUTED_VALUE"""),438.76)</f>
        <v>438.76</v>
      </c>
      <c r="D1226" s="2">
        <f>IFERROR(__xludf.DUMMYFUNCTION("""COMPUTED_VALUE"""),432.63)</f>
        <v>432.63</v>
      </c>
      <c r="E1226" s="2">
        <f>IFERROR(__xludf.DUMMYFUNCTION("""COMPUTED_VALUE"""),435.56)</f>
        <v>435.56</v>
      </c>
      <c r="F1226" s="2">
        <f>IFERROR(__xludf.DUMMYFUNCTION("""COMPUTED_VALUE"""),1866498.0)</f>
        <v>1866498</v>
      </c>
    </row>
    <row r="1227">
      <c r="A1227" s="3">
        <f>IFERROR(__xludf.DUMMYFUNCTION("""COMPUTED_VALUE"""),39234.645833333336)</f>
        <v>39234.64583</v>
      </c>
      <c r="B1227" s="2">
        <f>IFERROR(__xludf.DUMMYFUNCTION("""COMPUTED_VALUE"""),439.02)</f>
        <v>439.02</v>
      </c>
      <c r="C1227" s="2">
        <f>IFERROR(__xludf.DUMMYFUNCTION("""COMPUTED_VALUE"""),440.78)</f>
        <v>440.78</v>
      </c>
      <c r="D1227" s="2">
        <f>IFERROR(__xludf.DUMMYFUNCTION("""COMPUTED_VALUE"""),432.72)</f>
        <v>432.72</v>
      </c>
      <c r="E1227" s="2">
        <f>IFERROR(__xludf.DUMMYFUNCTION("""COMPUTED_VALUE"""),433.69)</f>
        <v>433.69</v>
      </c>
      <c r="F1227" s="2">
        <f>IFERROR(__xludf.DUMMYFUNCTION("""COMPUTED_VALUE"""),1504954.0)</f>
        <v>1504954</v>
      </c>
    </row>
    <row r="1228">
      <c r="A1228" s="3">
        <f>IFERROR(__xludf.DUMMYFUNCTION("""COMPUTED_VALUE"""),39237.645833333336)</f>
        <v>39237.64583</v>
      </c>
      <c r="B1228" s="2">
        <f>IFERROR(__xludf.DUMMYFUNCTION("""COMPUTED_VALUE"""),438.08)</f>
        <v>438.08</v>
      </c>
      <c r="C1228" s="2">
        <f>IFERROR(__xludf.DUMMYFUNCTION("""COMPUTED_VALUE"""),438.08)</f>
        <v>438.08</v>
      </c>
      <c r="D1228" s="2">
        <f>IFERROR(__xludf.DUMMYFUNCTION("""COMPUTED_VALUE"""),430.54)</f>
        <v>430.54</v>
      </c>
      <c r="E1228" s="2">
        <f>IFERROR(__xludf.DUMMYFUNCTION("""COMPUTED_VALUE"""),431.38)</f>
        <v>431.38</v>
      </c>
      <c r="F1228" s="2">
        <f>IFERROR(__xludf.DUMMYFUNCTION("""COMPUTED_VALUE"""),1394408.0)</f>
        <v>1394408</v>
      </c>
    </row>
    <row r="1229">
      <c r="A1229" s="3">
        <f>IFERROR(__xludf.DUMMYFUNCTION("""COMPUTED_VALUE"""),39238.645833333336)</f>
        <v>39238.64583</v>
      </c>
      <c r="B1229" s="2">
        <f>IFERROR(__xludf.DUMMYFUNCTION("""COMPUTED_VALUE"""),430.65)</f>
        <v>430.65</v>
      </c>
      <c r="C1229" s="2">
        <f>IFERROR(__xludf.DUMMYFUNCTION("""COMPUTED_VALUE"""),433.62)</f>
        <v>433.62</v>
      </c>
      <c r="D1229" s="2">
        <f>IFERROR(__xludf.DUMMYFUNCTION("""COMPUTED_VALUE"""),426.48)</f>
        <v>426.48</v>
      </c>
      <c r="E1229" s="2">
        <f>IFERROR(__xludf.DUMMYFUNCTION("""COMPUTED_VALUE"""),432.24)</f>
        <v>432.24</v>
      </c>
      <c r="F1229" s="2">
        <f>IFERROR(__xludf.DUMMYFUNCTION("""COMPUTED_VALUE"""),1810873.0)</f>
        <v>1810873</v>
      </c>
    </row>
    <row r="1230">
      <c r="A1230" s="3">
        <f>IFERROR(__xludf.DUMMYFUNCTION("""COMPUTED_VALUE"""),39239.645833333336)</f>
        <v>39239.64583</v>
      </c>
      <c r="B1230" s="2">
        <f>IFERROR(__xludf.DUMMYFUNCTION("""COMPUTED_VALUE"""),433.62)</f>
        <v>433.62</v>
      </c>
      <c r="C1230" s="2">
        <f>IFERROR(__xludf.DUMMYFUNCTION("""COMPUTED_VALUE"""),435.36)</f>
        <v>435.36</v>
      </c>
      <c r="D1230" s="2">
        <f>IFERROR(__xludf.DUMMYFUNCTION("""COMPUTED_VALUE"""),416.61)</f>
        <v>416.61</v>
      </c>
      <c r="E1230" s="2">
        <f>IFERROR(__xludf.DUMMYFUNCTION("""COMPUTED_VALUE"""),418.84)</f>
        <v>418.84</v>
      </c>
      <c r="F1230" s="2">
        <f>IFERROR(__xludf.DUMMYFUNCTION("""COMPUTED_VALUE"""),2727682.0)</f>
        <v>2727682</v>
      </c>
    </row>
    <row r="1231">
      <c r="A1231" s="3">
        <f>IFERROR(__xludf.DUMMYFUNCTION("""COMPUTED_VALUE"""),39240.645833333336)</f>
        <v>39240.64583</v>
      </c>
      <c r="B1231" s="2">
        <f>IFERROR(__xludf.DUMMYFUNCTION("""COMPUTED_VALUE"""),414.31)</f>
        <v>414.31</v>
      </c>
      <c r="C1231" s="2">
        <f>IFERROR(__xludf.DUMMYFUNCTION("""COMPUTED_VALUE"""),422.68)</f>
        <v>422.68</v>
      </c>
      <c r="D1231" s="2">
        <f>IFERROR(__xludf.DUMMYFUNCTION("""COMPUTED_VALUE"""),411.09)</f>
        <v>411.09</v>
      </c>
      <c r="E1231" s="2">
        <f>IFERROR(__xludf.DUMMYFUNCTION("""COMPUTED_VALUE"""),413.35)</f>
        <v>413.35</v>
      </c>
      <c r="F1231" s="2">
        <f>IFERROR(__xludf.DUMMYFUNCTION("""COMPUTED_VALUE"""),2589690.0)</f>
        <v>2589690</v>
      </c>
    </row>
    <row r="1232">
      <c r="A1232" s="3">
        <f>IFERROR(__xludf.DUMMYFUNCTION("""COMPUTED_VALUE"""),39241.645833333336)</f>
        <v>39241.64583</v>
      </c>
      <c r="B1232" s="2">
        <f>IFERROR(__xludf.DUMMYFUNCTION("""COMPUTED_VALUE"""),412.08)</f>
        <v>412.08</v>
      </c>
      <c r="C1232" s="2">
        <f>IFERROR(__xludf.DUMMYFUNCTION("""COMPUTED_VALUE"""),420.46)</f>
        <v>420.46</v>
      </c>
      <c r="D1232" s="2">
        <f>IFERROR(__xludf.DUMMYFUNCTION("""COMPUTED_VALUE"""),407.89)</f>
        <v>407.89</v>
      </c>
      <c r="E1232" s="2">
        <f>IFERROR(__xludf.DUMMYFUNCTION("""COMPUTED_VALUE"""),410.36)</f>
        <v>410.36</v>
      </c>
      <c r="F1232" s="2">
        <f>IFERROR(__xludf.DUMMYFUNCTION("""COMPUTED_VALUE"""),3453696.0)</f>
        <v>3453696</v>
      </c>
    </row>
    <row r="1233">
      <c r="A1233" s="3">
        <f>IFERROR(__xludf.DUMMYFUNCTION("""COMPUTED_VALUE"""),39244.645833333336)</f>
        <v>39244.64583</v>
      </c>
      <c r="B1233" s="2">
        <f>IFERROR(__xludf.DUMMYFUNCTION("""COMPUTED_VALUE"""),445.76)</f>
        <v>445.76</v>
      </c>
      <c r="C1233" s="2">
        <f>IFERROR(__xludf.DUMMYFUNCTION("""COMPUTED_VALUE"""),445.76)</f>
        <v>445.76</v>
      </c>
      <c r="D1233" s="2">
        <f>IFERROR(__xludf.DUMMYFUNCTION("""COMPUTED_VALUE"""),411.15)</f>
        <v>411.15</v>
      </c>
      <c r="E1233" s="2">
        <f>IFERROR(__xludf.DUMMYFUNCTION("""COMPUTED_VALUE"""),412.61)</f>
        <v>412.61</v>
      </c>
      <c r="F1233" s="2">
        <f>IFERROR(__xludf.DUMMYFUNCTION("""COMPUTED_VALUE"""),2155325.0)</f>
        <v>2155325</v>
      </c>
    </row>
    <row r="1234">
      <c r="A1234" s="3">
        <f>IFERROR(__xludf.DUMMYFUNCTION("""COMPUTED_VALUE"""),39245.645833333336)</f>
        <v>39245.64583</v>
      </c>
      <c r="B1234" s="2">
        <f>IFERROR(__xludf.DUMMYFUNCTION("""COMPUTED_VALUE"""),414.78)</f>
        <v>414.78</v>
      </c>
      <c r="C1234" s="2">
        <f>IFERROR(__xludf.DUMMYFUNCTION("""COMPUTED_VALUE"""),423.93)</f>
        <v>423.93</v>
      </c>
      <c r="D1234" s="2">
        <f>IFERROR(__xludf.DUMMYFUNCTION("""COMPUTED_VALUE"""),411.76)</f>
        <v>411.76</v>
      </c>
      <c r="E1234" s="2">
        <f>IFERROR(__xludf.DUMMYFUNCTION("""COMPUTED_VALUE"""),420.72)</f>
        <v>420.72</v>
      </c>
      <c r="F1234" s="2">
        <f>IFERROR(__xludf.DUMMYFUNCTION("""COMPUTED_VALUE"""),2972202.0)</f>
        <v>2972202</v>
      </c>
    </row>
    <row r="1235">
      <c r="A1235" s="3">
        <f>IFERROR(__xludf.DUMMYFUNCTION("""COMPUTED_VALUE"""),39246.645833333336)</f>
        <v>39246.64583</v>
      </c>
      <c r="B1235" s="2">
        <f>IFERROR(__xludf.DUMMYFUNCTION("""COMPUTED_VALUE"""),420.57)</f>
        <v>420.57</v>
      </c>
      <c r="C1235" s="2">
        <f>IFERROR(__xludf.DUMMYFUNCTION("""COMPUTED_VALUE"""),423.42)</f>
        <v>423.42</v>
      </c>
      <c r="D1235" s="2">
        <f>IFERROR(__xludf.DUMMYFUNCTION("""COMPUTED_VALUE"""),413.56)</f>
        <v>413.56</v>
      </c>
      <c r="E1235" s="2">
        <f>IFERROR(__xludf.DUMMYFUNCTION("""COMPUTED_VALUE"""),414.9)</f>
        <v>414.9</v>
      </c>
      <c r="F1235" s="2">
        <f>IFERROR(__xludf.DUMMYFUNCTION("""COMPUTED_VALUE"""),2240665.0)</f>
        <v>2240665</v>
      </c>
    </row>
    <row r="1236">
      <c r="A1236" s="3">
        <f>IFERROR(__xludf.DUMMYFUNCTION("""COMPUTED_VALUE"""),39247.645833333336)</f>
        <v>39247.64583</v>
      </c>
      <c r="B1236" s="2">
        <f>IFERROR(__xludf.DUMMYFUNCTION("""COMPUTED_VALUE"""),417.53)</f>
        <v>417.53</v>
      </c>
      <c r="C1236" s="2">
        <f>IFERROR(__xludf.DUMMYFUNCTION("""COMPUTED_VALUE"""),421.74)</f>
        <v>421.74</v>
      </c>
      <c r="D1236" s="2">
        <f>IFERROR(__xludf.DUMMYFUNCTION("""COMPUTED_VALUE"""),417.28)</f>
        <v>417.28</v>
      </c>
      <c r="E1236" s="2">
        <f>IFERROR(__xludf.DUMMYFUNCTION("""COMPUTED_VALUE"""),420.02)</f>
        <v>420.02</v>
      </c>
      <c r="F1236" s="2">
        <f>IFERROR(__xludf.DUMMYFUNCTION("""COMPUTED_VALUE"""),1996192.0)</f>
        <v>1996192</v>
      </c>
    </row>
    <row r="1237">
      <c r="A1237" s="3">
        <f>IFERROR(__xludf.DUMMYFUNCTION("""COMPUTED_VALUE"""),39248.645833333336)</f>
        <v>39248.64583</v>
      </c>
      <c r="B1237" s="2">
        <f>IFERROR(__xludf.DUMMYFUNCTION("""COMPUTED_VALUE"""),420.99)</f>
        <v>420.99</v>
      </c>
      <c r="C1237" s="2">
        <f>IFERROR(__xludf.DUMMYFUNCTION("""COMPUTED_VALUE"""),423.47)</f>
        <v>423.47</v>
      </c>
      <c r="D1237" s="2">
        <f>IFERROR(__xludf.DUMMYFUNCTION("""COMPUTED_VALUE"""),413.11)</f>
        <v>413.11</v>
      </c>
      <c r="E1237" s="2">
        <f>IFERROR(__xludf.DUMMYFUNCTION("""COMPUTED_VALUE"""),416.51)</f>
        <v>416.51</v>
      </c>
      <c r="F1237" s="2">
        <f>IFERROR(__xludf.DUMMYFUNCTION("""COMPUTED_VALUE"""),1996976.0)</f>
        <v>1996976</v>
      </c>
    </row>
    <row r="1238">
      <c r="A1238" s="3">
        <f>IFERROR(__xludf.DUMMYFUNCTION("""COMPUTED_VALUE"""),39251.645833333336)</f>
        <v>39251.64583</v>
      </c>
      <c r="B1238" s="2">
        <f>IFERROR(__xludf.DUMMYFUNCTION("""COMPUTED_VALUE"""),420.45)</f>
        <v>420.45</v>
      </c>
      <c r="C1238" s="2">
        <f>IFERROR(__xludf.DUMMYFUNCTION("""COMPUTED_VALUE"""),420.45)</f>
        <v>420.45</v>
      </c>
      <c r="D1238" s="2">
        <f>IFERROR(__xludf.DUMMYFUNCTION("""COMPUTED_VALUE"""),412.7)</f>
        <v>412.7</v>
      </c>
      <c r="E1238" s="2">
        <f>IFERROR(__xludf.DUMMYFUNCTION("""COMPUTED_VALUE"""),413.96)</f>
        <v>413.96</v>
      </c>
      <c r="F1238" s="2">
        <f>IFERROR(__xludf.DUMMYFUNCTION("""COMPUTED_VALUE"""),1424616.0)</f>
        <v>1424616</v>
      </c>
    </row>
    <row r="1239">
      <c r="A1239" s="3">
        <f>IFERROR(__xludf.DUMMYFUNCTION("""COMPUTED_VALUE"""),39252.645833333336)</f>
        <v>39252.64583</v>
      </c>
      <c r="B1239" s="2">
        <f>IFERROR(__xludf.DUMMYFUNCTION("""COMPUTED_VALUE"""),413.96)</f>
        <v>413.96</v>
      </c>
      <c r="C1239" s="2">
        <f>IFERROR(__xludf.DUMMYFUNCTION("""COMPUTED_VALUE"""),428.52)</f>
        <v>428.52</v>
      </c>
      <c r="D1239" s="2">
        <f>IFERROR(__xludf.DUMMYFUNCTION("""COMPUTED_VALUE"""),413.59)</f>
        <v>413.59</v>
      </c>
      <c r="E1239" s="2">
        <f>IFERROR(__xludf.DUMMYFUNCTION("""COMPUTED_VALUE"""),427.57)</f>
        <v>427.57</v>
      </c>
      <c r="F1239" s="2">
        <f>IFERROR(__xludf.DUMMYFUNCTION("""COMPUTED_VALUE"""),2202023.0)</f>
        <v>2202023</v>
      </c>
    </row>
    <row r="1240">
      <c r="A1240" s="3">
        <f>IFERROR(__xludf.DUMMYFUNCTION("""COMPUTED_VALUE"""),39253.645833333336)</f>
        <v>39253.64583</v>
      </c>
      <c r="B1240" s="2">
        <f>IFERROR(__xludf.DUMMYFUNCTION("""COMPUTED_VALUE"""),427.57)</f>
        <v>427.57</v>
      </c>
      <c r="C1240" s="2">
        <f>IFERROR(__xludf.DUMMYFUNCTION("""COMPUTED_VALUE"""),433.08)</f>
        <v>433.08</v>
      </c>
      <c r="D1240" s="2">
        <f>IFERROR(__xludf.DUMMYFUNCTION("""COMPUTED_VALUE"""),426.44)</f>
        <v>426.44</v>
      </c>
      <c r="E1240" s="2">
        <f>IFERROR(__xludf.DUMMYFUNCTION("""COMPUTED_VALUE"""),429.15)</f>
        <v>429.15</v>
      </c>
      <c r="F1240" s="2">
        <f>IFERROR(__xludf.DUMMYFUNCTION("""COMPUTED_VALUE"""),1960094.0)</f>
        <v>1960094</v>
      </c>
    </row>
    <row r="1241">
      <c r="A1241" s="3">
        <f>IFERROR(__xludf.DUMMYFUNCTION("""COMPUTED_VALUE"""),39254.645833333336)</f>
        <v>39254.64583</v>
      </c>
      <c r="B1241" s="2">
        <f>IFERROR(__xludf.DUMMYFUNCTION("""COMPUTED_VALUE"""),429.66)</f>
        <v>429.66</v>
      </c>
      <c r="C1241" s="2">
        <f>IFERROR(__xludf.DUMMYFUNCTION("""COMPUTED_VALUE"""),432.76)</f>
        <v>432.76</v>
      </c>
      <c r="D1241" s="2">
        <f>IFERROR(__xludf.DUMMYFUNCTION("""COMPUTED_VALUE"""),426.24)</f>
        <v>426.24</v>
      </c>
      <c r="E1241" s="2">
        <f>IFERROR(__xludf.DUMMYFUNCTION("""COMPUTED_VALUE"""),429.5)</f>
        <v>429.5</v>
      </c>
      <c r="F1241" s="2">
        <f>IFERROR(__xludf.DUMMYFUNCTION("""COMPUTED_VALUE"""),1621509.0)</f>
        <v>1621509</v>
      </c>
    </row>
    <row r="1242">
      <c r="A1242" s="3">
        <f>IFERROR(__xludf.DUMMYFUNCTION("""COMPUTED_VALUE"""),39255.645833333336)</f>
        <v>39255.64583</v>
      </c>
      <c r="B1242" s="2">
        <f>IFERROR(__xludf.DUMMYFUNCTION("""COMPUTED_VALUE"""),429.66)</f>
        <v>429.66</v>
      </c>
      <c r="C1242" s="2">
        <f>IFERROR(__xludf.DUMMYFUNCTION("""COMPUTED_VALUE"""),429.66)</f>
        <v>429.66</v>
      </c>
      <c r="D1242" s="2">
        <f>IFERROR(__xludf.DUMMYFUNCTION("""COMPUTED_VALUE"""),420.66)</f>
        <v>420.66</v>
      </c>
      <c r="E1242" s="2">
        <f>IFERROR(__xludf.DUMMYFUNCTION("""COMPUTED_VALUE"""),422.26)</f>
        <v>422.26</v>
      </c>
      <c r="F1242" s="2">
        <f>IFERROR(__xludf.DUMMYFUNCTION("""COMPUTED_VALUE"""),2055653.0)</f>
        <v>2055653</v>
      </c>
    </row>
    <row r="1243">
      <c r="A1243" s="3">
        <f>IFERROR(__xludf.DUMMYFUNCTION("""COMPUTED_VALUE"""),39258.645833333336)</f>
        <v>39258.64583</v>
      </c>
      <c r="B1243" s="2">
        <f>IFERROR(__xludf.DUMMYFUNCTION("""COMPUTED_VALUE"""),422.98)</f>
        <v>422.98</v>
      </c>
      <c r="C1243" s="2">
        <f>IFERROR(__xludf.DUMMYFUNCTION("""COMPUTED_VALUE"""),424.46)</f>
        <v>424.46</v>
      </c>
      <c r="D1243" s="2">
        <f>IFERROR(__xludf.DUMMYFUNCTION("""COMPUTED_VALUE"""),420.2)</f>
        <v>420.2</v>
      </c>
      <c r="E1243" s="2">
        <f>IFERROR(__xludf.DUMMYFUNCTION("""COMPUTED_VALUE"""),423.26)</f>
        <v>423.26</v>
      </c>
      <c r="F1243" s="2">
        <f>IFERROR(__xludf.DUMMYFUNCTION("""COMPUTED_VALUE"""),2889439.0)</f>
        <v>2889439</v>
      </c>
    </row>
    <row r="1244">
      <c r="A1244" s="3">
        <f>IFERROR(__xludf.DUMMYFUNCTION("""COMPUTED_VALUE"""),39259.645833333336)</f>
        <v>39259.64583</v>
      </c>
      <c r="B1244" s="2">
        <f>IFERROR(__xludf.DUMMYFUNCTION("""COMPUTED_VALUE"""),423.22)</f>
        <v>423.22</v>
      </c>
      <c r="C1244" s="2">
        <f>IFERROR(__xludf.DUMMYFUNCTION("""COMPUTED_VALUE"""),425.95)</f>
        <v>425.95</v>
      </c>
      <c r="D1244" s="2">
        <f>IFERROR(__xludf.DUMMYFUNCTION("""COMPUTED_VALUE"""),420.99)</f>
        <v>420.99</v>
      </c>
      <c r="E1244" s="2">
        <f>IFERROR(__xludf.DUMMYFUNCTION("""COMPUTED_VALUE"""),421.8)</f>
        <v>421.8</v>
      </c>
      <c r="F1244" s="2">
        <f>IFERROR(__xludf.DUMMYFUNCTION("""COMPUTED_VALUE"""),1442066.0)</f>
        <v>1442066</v>
      </c>
    </row>
    <row r="1245">
      <c r="A1245" s="3">
        <f>IFERROR(__xludf.DUMMYFUNCTION("""COMPUTED_VALUE"""),39260.645833333336)</f>
        <v>39260.64583</v>
      </c>
      <c r="B1245" s="2">
        <f>IFERROR(__xludf.DUMMYFUNCTION("""COMPUTED_VALUE"""),420.75)</f>
        <v>420.75</v>
      </c>
      <c r="C1245" s="2">
        <f>IFERROR(__xludf.DUMMYFUNCTION("""COMPUTED_VALUE"""),425.92)</f>
        <v>425.92</v>
      </c>
      <c r="D1245" s="2">
        <f>IFERROR(__xludf.DUMMYFUNCTION("""COMPUTED_VALUE"""),419.17)</f>
        <v>419.17</v>
      </c>
      <c r="E1245" s="2">
        <f>IFERROR(__xludf.DUMMYFUNCTION("""COMPUTED_VALUE"""),420.63)</f>
        <v>420.63</v>
      </c>
      <c r="F1245" s="2">
        <f>IFERROR(__xludf.DUMMYFUNCTION("""COMPUTED_VALUE"""),1571971.0)</f>
        <v>1571971</v>
      </c>
    </row>
    <row r="1246">
      <c r="A1246" s="3">
        <f>IFERROR(__xludf.DUMMYFUNCTION("""COMPUTED_VALUE"""),39261.645833333336)</f>
        <v>39261.64583</v>
      </c>
      <c r="B1246" s="2">
        <f>IFERROR(__xludf.DUMMYFUNCTION("""COMPUTED_VALUE"""),423.22)</f>
        <v>423.22</v>
      </c>
      <c r="C1246" s="2">
        <f>IFERROR(__xludf.DUMMYFUNCTION("""COMPUTED_VALUE"""),424.66)</f>
        <v>424.66</v>
      </c>
      <c r="D1246" s="2">
        <f>IFERROR(__xludf.DUMMYFUNCTION("""COMPUTED_VALUE"""),417.61)</f>
        <v>417.61</v>
      </c>
      <c r="E1246" s="2">
        <f>IFERROR(__xludf.DUMMYFUNCTION("""COMPUTED_VALUE"""),419.01)</f>
        <v>419.01</v>
      </c>
      <c r="F1246" s="2">
        <f>IFERROR(__xludf.DUMMYFUNCTION("""COMPUTED_VALUE"""),2817089.0)</f>
        <v>2817089</v>
      </c>
    </row>
    <row r="1247">
      <c r="A1247" s="3">
        <f>IFERROR(__xludf.DUMMYFUNCTION("""COMPUTED_VALUE"""),39262.645833333336)</f>
        <v>39262.64583</v>
      </c>
      <c r="B1247" s="2">
        <f>IFERROR(__xludf.DUMMYFUNCTION("""COMPUTED_VALUE"""),420.99)</f>
        <v>420.99</v>
      </c>
      <c r="C1247" s="2">
        <f>IFERROR(__xludf.DUMMYFUNCTION("""COMPUTED_VALUE"""),423.72)</f>
        <v>423.72</v>
      </c>
      <c r="D1247" s="2">
        <f>IFERROR(__xludf.DUMMYFUNCTION("""COMPUTED_VALUE"""),418.27)</f>
        <v>418.27</v>
      </c>
      <c r="E1247" s="2">
        <f>IFERROR(__xludf.DUMMYFUNCTION("""COMPUTED_VALUE"""),421.13)</f>
        <v>421.13</v>
      </c>
      <c r="F1247" s="2">
        <f>IFERROR(__xludf.DUMMYFUNCTION("""COMPUTED_VALUE"""),2635833.0)</f>
        <v>2635833</v>
      </c>
    </row>
    <row r="1248">
      <c r="A1248" s="3">
        <f>IFERROR(__xludf.DUMMYFUNCTION("""COMPUTED_VALUE"""),39265.645833333336)</f>
        <v>39265.64583</v>
      </c>
      <c r="B1248" s="2">
        <f>IFERROR(__xludf.DUMMYFUNCTION("""COMPUTED_VALUE"""),421.98)</f>
        <v>421.98</v>
      </c>
      <c r="C1248" s="2">
        <f>IFERROR(__xludf.DUMMYFUNCTION("""COMPUTED_VALUE"""),423.97)</f>
        <v>423.97</v>
      </c>
      <c r="D1248" s="2">
        <f>IFERROR(__xludf.DUMMYFUNCTION("""COMPUTED_VALUE"""),415.81)</f>
        <v>415.81</v>
      </c>
      <c r="E1248" s="2">
        <f>IFERROR(__xludf.DUMMYFUNCTION("""COMPUTED_VALUE"""),417.11)</f>
        <v>417.11</v>
      </c>
      <c r="F1248" s="2">
        <f>IFERROR(__xludf.DUMMYFUNCTION("""COMPUTED_VALUE"""),2737732.0)</f>
        <v>2737732</v>
      </c>
    </row>
    <row r="1249">
      <c r="A1249" s="3">
        <f>IFERROR(__xludf.DUMMYFUNCTION("""COMPUTED_VALUE"""),39266.645833333336)</f>
        <v>39266.64583</v>
      </c>
      <c r="B1249" s="2">
        <f>IFERROR(__xludf.DUMMYFUNCTION("""COMPUTED_VALUE"""),415.08)</f>
        <v>415.08</v>
      </c>
      <c r="C1249" s="2">
        <f>IFERROR(__xludf.DUMMYFUNCTION("""COMPUTED_VALUE"""),424.18)</f>
        <v>424.18</v>
      </c>
      <c r="D1249" s="2">
        <f>IFERROR(__xludf.DUMMYFUNCTION("""COMPUTED_VALUE"""),415.08)</f>
        <v>415.08</v>
      </c>
      <c r="E1249" s="2">
        <f>IFERROR(__xludf.DUMMYFUNCTION("""COMPUTED_VALUE"""),422.8)</f>
        <v>422.8</v>
      </c>
      <c r="F1249" s="2">
        <f>IFERROR(__xludf.DUMMYFUNCTION("""COMPUTED_VALUE"""),2680539.0)</f>
        <v>2680539</v>
      </c>
    </row>
    <row r="1250">
      <c r="A1250" s="3">
        <f>IFERROR(__xludf.DUMMYFUNCTION("""COMPUTED_VALUE"""),39267.645833333336)</f>
        <v>39267.64583</v>
      </c>
      <c r="B1250" s="2">
        <f>IFERROR(__xludf.DUMMYFUNCTION("""COMPUTED_VALUE"""),423.72)</f>
        <v>423.72</v>
      </c>
      <c r="C1250" s="2">
        <f>IFERROR(__xludf.DUMMYFUNCTION("""COMPUTED_VALUE"""),428.83)</f>
        <v>428.83</v>
      </c>
      <c r="D1250" s="2">
        <f>IFERROR(__xludf.DUMMYFUNCTION("""COMPUTED_VALUE"""),423.22)</f>
        <v>423.22</v>
      </c>
      <c r="E1250" s="2">
        <f>IFERROR(__xludf.DUMMYFUNCTION("""COMPUTED_VALUE"""),425.49)</f>
        <v>425.49</v>
      </c>
      <c r="F1250" s="2">
        <f>IFERROR(__xludf.DUMMYFUNCTION("""COMPUTED_VALUE"""),2179332.0)</f>
        <v>2179332</v>
      </c>
    </row>
    <row r="1251">
      <c r="A1251" s="3">
        <f>IFERROR(__xludf.DUMMYFUNCTION("""COMPUTED_VALUE"""),39268.645833333336)</f>
        <v>39268.64583</v>
      </c>
      <c r="B1251" s="2">
        <f>IFERROR(__xludf.DUMMYFUNCTION("""COMPUTED_VALUE"""),425.45)</f>
        <v>425.45</v>
      </c>
      <c r="C1251" s="2">
        <f>IFERROR(__xludf.DUMMYFUNCTION("""COMPUTED_VALUE"""),427.18)</f>
        <v>427.18</v>
      </c>
      <c r="D1251" s="2">
        <f>IFERROR(__xludf.DUMMYFUNCTION("""COMPUTED_VALUE"""),416.16)</f>
        <v>416.16</v>
      </c>
      <c r="E1251" s="2">
        <f>IFERROR(__xludf.DUMMYFUNCTION("""COMPUTED_VALUE"""),423.43)</f>
        <v>423.43</v>
      </c>
      <c r="F1251" s="2">
        <f>IFERROR(__xludf.DUMMYFUNCTION("""COMPUTED_VALUE"""),1759660.0)</f>
        <v>1759660</v>
      </c>
    </row>
    <row r="1252">
      <c r="A1252" s="3">
        <f>IFERROR(__xludf.DUMMYFUNCTION("""COMPUTED_VALUE"""),39269.645833333336)</f>
        <v>39269.64583</v>
      </c>
      <c r="B1252" s="2">
        <f>IFERROR(__xludf.DUMMYFUNCTION("""COMPUTED_VALUE"""),424.46)</f>
        <v>424.46</v>
      </c>
      <c r="C1252" s="2">
        <f>IFERROR(__xludf.DUMMYFUNCTION("""COMPUTED_VALUE"""),428.56)</f>
        <v>428.56</v>
      </c>
      <c r="D1252" s="2">
        <f>IFERROR(__xludf.DUMMYFUNCTION("""COMPUTED_VALUE"""),417.28)</f>
        <v>417.28</v>
      </c>
      <c r="E1252" s="2">
        <f>IFERROR(__xludf.DUMMYFUNCTION("""COMPUTED_VALUE"""),423.45)</f>
        <v>423.45</v>
      </c>
      <c r="F1252" s="2">
        <f>IFERROR(__xludf.DUMMYFUNCTION("""COMPUTED_VALUE"""),1577879.0)</f>
        <v>1577879</v>
      </c>
    </row>
    <row r="1253">
      <c r="A1253" s="3">
        <f>IFERROR(__xludf.DUMMYFUNCTION("""COMPUTED_VALUE"""),39272.645833333336)</f>
        <v>39272.64583</v>
      </c>
      <c r="B1253" s="2">
        <f>IFERROR(__xludf.DUMMYFUNCTION("""COMPUTED_VALUE"""),421.71)</f>
        <v>421.71</v>
      </c>
      <c r="C1253" s="2">
        <f>IFERROR(__xludf.DUMMYFUNCTION("""COMPUTED_VALUE"""),425.81)</f>
        <v>425.81</v>
      </c>
      <c r="D1253" s="2">
        <f>IFERROR(__xludf.DUMMYFUNCTION("""COMPUTED_VALUE"""),421.24)</f>
        <v>421.24</v>
      </c>
      <c r="E1253" s="2">
        <f>IFERROR(__xludf.DUMMYFUNCTION("""COMPUTED_VALUE"""),423.71)</f>
        <v>423.71</v>
      </c>
      <c r="F1253" s="2">
        <f>IFERROR(__xludf.DUMMYFUNCTION("""COMPUTED_VALUE"""),1509831.0)</f>
        <v>1509831</v>
      </c>
    </row>
    <row r="1254">
      <c r="A1254" s="3">
        <f>IFERROR(__xludf.DUMMYFUNCTION("""COMPUTED_VALUE"""),39273.645833333336)</f>
        <v>39273.64583</v>
      </c>
      <c r="B1254" s="2">
        <f>IFERROR(__xludf.DUMMYFUNCTION("""COMPUTED_VALUE"""),424.72)</f>
        <v>424.72</v>
      </c>
      <c r="C1254" s="2">
        <f>IFERROR(__xludf.DUMMYFUNCTION("""COMPUTED_VALUE"""),424.72)</f>
        <v>424.72</v>
      </c>
      <c r="D1254" s="2">
        <f>IFERROR(__xludf.DUMMYFUNCTION("""COMPUTED_VALUE"""),419.76)</f>
        <v>419.76</v>
      </c>
      <c r="E1254" s="2">
        <f>IFERROR(__xludf.DUMMYFUNCTION("""COMPUTED_VALUE"""),421.66)</f>
        <v>421.66</v>
      </c>
      <c r="F1254" s="2">
        <f>IFERROR(__xludf.DUMMYFUNCTION("""COMPUTED_VALUE"""),1126790.0)</f>
        <v>1126790</v>
      </c>
    </row>
    <row r="1255">
      <c r="A1255" s="3">
        <f>IFERROR(__xludf.DUMMYFUNCTION("""COMPUTED_VALUE"""),39274.645833333336)</f>
        <v>39274.64583</v>
      </c>
      <c r="B1255" s="2">
        <f>IFERROR(__xludf.DUMMYFUNCTION("""COMPUTED_VALUE"""),425.2)</f>
        <v>425.2</v>
      </c>
      <c r="C1255" s="2">
        <f>IFERROR(__xludf.DUMMYFUNCTION("""COMPUTED_VALUE"""),425.65)</f>
        <v>425.65</v>
      </c>
      <c r="D1255" s="2">
        <f>IFERROR(__xludf.DUMMYFUNCTION("""COMPUTED_VALUE"""),417.56)</f>
        <v>417.56</v>
      </c>
      <c r="E1255" s="2">
        <f>IFERROR(__xludf.DUMMYFUNCTION("""COMPUTED_VALUE"""),421.81)</f>
        <v>421.81</v>
      </c>
      <c r="F1255" s="2">
        <f>IFERROR(__xludf.DUMMYFUNCTION("""COMPUTED_VALUE"""),1231205.0)</f>
        <v>1231205</v>
      </c>
    </row>
    <row r="1256">
      <c r="A1256" s="3">
        <f>IFERROR(__xludf.DUMMYFUNCTION("""COMPUTED_VALUE"""),39275.645833333336)</f>
        <v>39275.64583</v>
      </c>
      <c r="B1256" s="2">
        <f>IFERROR(__xludf.DUMMYFUNCTION("""COMPUTED_VALUE"""),422.63)</f>
        <v>422.63</v>
      </c>
      <c r="C1256" s="2">
        <f>IFERROR(__xludf.DUMMYFUNCTION("""COMPUTED_VALUE"""),427.21)</f>
        <v>427.21</v>
      </c>
      <c r="D1256" s="2">
        <f>IFERROR(__xludf.DUMMYFUNCTION("""COMPUTED_VALUE"""),422.63)</f>
        <v>422.63</v>
      </c>
      <c r="E1256" s="2">
        <f>IFERROR(__xludf.DUMMYFUNCTION("""COMPUTED_VALUE"""),425.79)</f>
        <v>425.79</v>
      </c>
      <c r="F1256" s="2">
        <f>IFERROR(__xludf.DUMMYFUNCTION("""COMPUTED_VALUE"""),1417920.0)</f>
        <v>1417920</v>
      </c>
    </row>
    <row r="1257">
      <c r="A1257" s="3">
        <f>IFERROR(__xludf.DUMMYFUNCTION("""COMPUTED_VALUE"""),39276.645833333336)</f>
        <v>39276.64583</v>
      </c>
      <c r="B1257" s="2">
        <f>IFERROR(__xludf.DUMMYFUNCTION("""COMPUTED_VALUE"""),428.37)</f>
        <v>428.37</v>
      </c>
      <c r="C1257" s="2">
        <f>IFERROR(__xludf.DUMMYFUNCTION("""COMPUTED_VALUE"""),443.46)</f>
        <v>443.46</v>
      </c>
      <c r="D1257" s="2">
        <f>IFERROR(__xludf.DUMMYFUNCTION("""COMPUTED_VALUE"""),427.49)</f>
        <v>427.49</v>
      </c>
      <c r="E1257" s="2">
        <f>IFERROR(__xludf.DUMMYFUNCTION("""COMPUTED_VALUE"""),439.08)</f>
        <v>439.08</v>
      </c>
      <c r="F1257" s="2">
        <f>IFERROR(__xludf.DUMMYFUNCTION("""COMPUTED_VALUE"""),4454697.0)</f>
        <v>4454697</v>
      </c>
    </row>
    <row r="1258">
      <c r="A1258" s="3">
        <f>IFERROR(__xludf.DUMMYFUNCTION("""COMPUTED_VALUE"""),39279.645833333336)</f>
        <v>39279.64583</v>
      </c>
      <c r="B1258" s="2">
        <f>IFERROR(__xludf.DUMMYFUNCTION("""COMPUTED_VALUE"""),440.81)</f>
        <v>440.81</v>
      </c>
      <c r="C1258" s="2">
        <f>IFERROR(__xludf.DUMMYFUNCTION("""COMPUTED_VALUE"""),443.03)</f>
        <v>443.03</v>
      </c>
      <c r="D1258" s="2">
        <f>IFERROR(__xludf.DUMMYFUNCTION("""COMPUTED_VALUE"""),437.65)</f>
        <v>437.65</v>
      </c>
      <c r="E1258" s="2">
        <f>IFERROR(__xludf.DUMMYFUNCTION("""COMPUTED_VALUE"""),439.99)</f>
        <v>439.99</v>
      </c>
      <c r="F1258" s="2">
        <f>IFERROR(__xludf.DUMMYFUNCTION("""COMPUTED_VALUE"""),1506972.0)</f>
        <v>1506972</v>
      </c>
    </row>
    <row r="1259">
      <c r="A1259" s="3">
        <f>IFERROR(__xludf.DUMMYFUNCTION("""COMPUTED_VALUE"""),39280.645833333336)</f>
        <v>39280.64583</v>
      </c>
      <c r="B1259" s="2">
        <f>IFERROR(__xludf.DUMMYFUNCTION("""COMPUTED_VALUE"""),443.03)</f>
        <v>443.03</v>
      </c>
      <c r="C1259" s="2">
        <f>IFERROR(__xludf.DUMMYFUNCTION("""COMPUTED_VALUE"""),455.37)</f>
        <v>455.37</v>
      </c>
      <c r="D1259" s="2">
        <f>IFERROR(__xludf.DUMMYFUNCTION("""COMPUTED_VALUE"""),440.83)</f>
        <v>440.83</v>
      </c>
      <c r="E1259" s="2">
        <f>IFERROR(__xludf.DUMMYFUNCTION("""COMPUTED_VALUE"""),452.66)</f>
        <v>452.66</v>
      </c>
      <c r="F1259" s="2">
        <f>IFERROR(__xludf.DUMMYFUNCTION("""COMPUTED_VALUE"""),3566387.0)</f>
        <v>3566387</v>
      </c>
    </row>
    <row r="1260">
      <c r="A1260" s="3">
        <f>IFERROR(__xludf.DUMMYFUNCTION("""COMPUTED_VALUE"""),39281.645833333336)</f>
        <v>39281.64583</v>
      </c>
      <c r="B1260" s="2">
        <f>IFERROR(__xludf.DUMMYFUNCTION("""COMPUTED_VALUE"""),454.43)</f>
        <v>454.43</v>
      </c>
      <c r="C1260" s="2">
        <f>IFERROR(__xludf.DUMMYFUNCTION("""COMPUTED_VALUE"""),455.42)</f>
        <v>455.42</v>
      </c>
      <c r="D1260" s="2">
        <f>IFERROR(__xludf.DUMMYFUNCTION("""COMPUTED_VALUE"""),446.64)</f>
        <v>446.64</v>
      </c>
      <c r="E1260" s="2">
        <f>IFERROR(__xludf.DUMMYFUNCTION("""COMPUTED_VALUE"""),451.37)</f>
        <v>451.37</v>
      </c>
      <c r="F1260" s="2">
        <f>IFERROR(__xludf.DUMMYFUNCTION("""COMPUTED_VALUE"""),3072600.0)</f>
        <v>3072600</v>
      </c>
    </row>
    <row r="1261">
      <c r="A1261" s="3">
        <f>IFERROR(__xludf.DUMMYFUNCTION("""COMPUTED_VALUE"""),39282.645833333336)</f>
        <v>39282.64583</v>
      </c>
      <c r="B1261" s="2">
        <f>IFERROR(__xludf.DUMMYFUNCTION("""COMPUTED_VALUE"""),451.45)</f>
        <v>451.45</v>
      </c>
      <c r="C1261" s="2">
        <f>IFERROR(__xludf.DUMMYFUNCTION("""COMPUTED_VALUE"""),472.75)</f>
        <v>472.75</v>
      </c>
      <c r="D1261" s="2">
        <f>IFERROR(__xludf.DUMMYFUNCTION("""COMPUTED_VALUE"""),450.02)</f>
        <v>450.02</v>
      </c>
      <c r="E1261" s="2">
        <f>IFERROR(__xludf.DUMMYFUNCTION("""COMPUTED_VALUE"""),468.74)</f>
        <v>468.74</v>
      </c>
      <c r="F1261" s="2">
        <f>IFERROR(__xludf.DUMMYFUNCTION("""COMPUTED_VALUE"""),3840133.0)</f>
        <v>3840133</v>
      </c>
    </row>
    <row r="1262">
      <c r="A1262" s="3">
        <f>IFERROR(__xludf.DUMMYFUNCTION("""COMPUTED_VALUE"""),39283.645833333336)</f>
        <v>39283.64583</v>
      </c>
      <c r="B1262" s="2">
        <f>IFERROR(__xludf.DUMMYFUNCTION("""COMPUTED_VALUE"""),470.27)</f>
        <v>470.27</v>
      </c>
      <c r="C1262" s="2">
        <f>IFERROR(__xludf.DUMMYFUNCTION("""COMPUTED_VALUE"""),474.24)</f>
        <v>474.24</v>
      </c>
      <c r="D1262" s="2">
        <f>IFERROR(__xludf.DUMMYFUNCTION("""COMPUTED_VALUE"""),465.82)</f>
        <v>465.82</v>
      </c>
      <c r="E1262" s="2">
        <f>IFERROR(__xludf.DUMMYFUNCTION("""COMPUTED_VALUE"""),468.58)</f>
        <v>468.58</v>
      </c>
      <c r="F1262" s="2">
        <f>IFERROR(__xludf.DUMMYFUNCTION("""COMPUTED_VALUE"""),3610919.0)</f>
        <v>3610919</v>
      </c>
    </row>
    <row r="1263">
      <c r="A1263" s="3">
        <f>IFERROR(__xludf.DUMMYFUNCTION("""COMPUTED_VALUE"""),39286.645833333336)</f>
        <v>39286.64583</v>
      </c>
      <c r="B1263" s="2">
        <f>IFERROR(__xludf.DUMMYFUNCTION("""COMPUTED_VALUE"""),465.57)</f>
        <v>465.57</v>
      </c>
      <c r="C1263" s="2">
        <f>IFERROR(__xludf.DUMMYFUNCTION("""COMPUTED_VALUE"""),474.24)</f>
        <v>474.24</v>
      </c>
      <c r="D1263" s="2">
        <f>IFERROR(__xludf.DUMMYFUNCTION("""COMPUTED_VALUE"""),464.33)</f>
        <v>464.33</v>
      </c>
      <c r="E1263" s="2">
        <f>IFERROR(__xludf.DUMMYFUNCTION("""COMPUTED_VALUE"""),472.8)</f>
        <v>472.8</v>
      </c>
      <c r="F1263" s="2">
        <f>IFERROR(__xludf.DUMMYFUNCTION("""COMPUTED_VALUE"""),2359687.0)</f>
        <v>2359687</v>
      </c>
    </row>
    <row r="1264">
      <c r="A1264" s="3">
        <f>IFERROR(__xludf.DUMMYFUNCTION("""COMPUTED_VALUE"""),39287.645833333336)</f>
        <v>39287.64583</v>
      </c>
      <c r="B1264" s="2">
        <f>IFERROR(__xludf.DUMMYFUNCTION("""COMPUTED_VALUE"""),473.49)</f>
        <v>473.49</v>
      </c>
      <c r="C1264" s="2">
        <f>IFERROR(__xludf.DUMMYFUNCTION("""COMPUTED_VALUE"""),478.2)</f>
        <v>478.2</v>
      </c>
      <c r="D1264" s="2">
        <f>IFERROR(__xludf.DUMMYFUNCTION("""COMPUTED_VALUE"""),472.5)</f>
        <v>472.5</v>
      </c>
      <c r="E1264" s="2">
        <f>IFERROR(__xludf.DUMMYFUNCTION("""COMPUTED_VALUE"""),473.64)</f>
        <v>473.64</v>
      </c>
      <c r="F1264" s="2">
        <f>IFERROR(__xludf.DUMMYFUNCTION("""COMPUTED_VALUE"""),2313661.0)</f>
        <v>2313661</v>
      </c>
    </row>
    <row r="1265">
      <c r="A1265" s="3">
        <f>IFERROR(__xludf.DUMMYFUNCTION("""COMPUTED_VALUE"""),39288.645833333336)</f>
        <v>39288.64583</v>
      </c>
      <c r="B1265" s="2">
        <f>IFERROR(__xludf.DUMMYFUNCTION("""COMPUTED_VALUE"""),469.28)</f>
        <v>469.28</v>
      </c>
      <c r="C1265" s="2">
        <f>IFERROR(__xludf.DUMMYFUNCTION("""COMPUTED_VALUE"""),473.49)</f>
        <v>473.49</v>
      </c>
      <c r="D1265" s="2">
        <f>IFERROR(__xludf.DUMMYFUNCTION("""COMPUTED_VALUE"""),464.33)</f>
        <v>464.33</v>
      </c>
      <c r="E1265" s="2">
        <f>IFERROR(__xludf.DUMMYFUNCTION("""COMPUTED_VALUE"""),471.17)</f>
        <v>471.17</v>
      </c>
      <c r="F1265" s="2">
        <f>IFERROR(__xludf.DUMMYFUNCTION("""COMPUTED_VALUE"""),2253970.0)</f>
        <v>2253970</v>
      </c>
    </row>
    <row r="1266">
      <c r="A1266" s="3">
        <f>IFERROR(__xludf.DUMMYFUNCTION("""COMPUTED_VALUE"""),39289.645833333336)</f>
        <v>39289.64583</v>
      </c>
      <c r="B1266" s="2">
        <f>IFERROR(__xludf.DUMMYFUNCTION("""COMPUTED_VALUE"""),473.0)</f>
        <v>473</v>
      </c>
      <c r="C1266" s="2">
        <f>IFERROR(__xludf.DUMMYFUNCTION("""COMPUTED_VALUE"""),482.53)</f>
        <v>482.53</v>
      </c>
      <c r="D1266" s="2">
        <f>IFERROR(__xludf.DUMMYFUNCTION("""COMPUTED_VALUE"""),472.01)</f>
        <v>472.01</v>
      </c>
      <c r="E1266" s="2">
        <f>IFERROR(__xludf.DUMMYFUNCTION("""COMPUTED_VALUE"""),480.91)</f>
        <v>480.91</v>
      </c>
      <c r="F1266" s="2">
        <f>IFERROR(__xludf.DUMMYFUNCTION("""COMPUTED_VALUE"""),3789715.0)</f>
        <v>3789715</v>
      </c>
    </row>
    <row r="1267">
      <c r="A1267" s="3">
        <f>IFERROR(__xludf.DUMMYFUNCTION("""COMPUTED_VALUE"""),39290.645833333336)</f>
        <v>39290.64583</v>
      </c>
      <c r="B1267" s="2">
        <f>IFERROR(__xludf.DUMMYFUNCTION("""COMPUTED_VALUE"""),475.43)</f>
        <v>475.43</v>
      </c>
      <c r="C1267" s="2">
        <f>IFERROR(__xludf.DUMMYFUNCTION("""COMPUTED_VALUE"""),479.44)</f>
        <v>479.44</v>
      </c>
      <c r="D1267" s="2">
        <f>IFERROR(__xludf.DUMMYFUNCTION("""COMPUTED_VALUE"""),459.38)</f>
        <v>459.38</v>
      </c>
      <c r="E1267" s="2">
        <f>IFERROR(__xludf.DUMMYFUNCTION("""COMPUTED_VALUE"""),462.47)</f>
        <v>462.47</v>
      </c>
      <c r="F1267" s="2">
        <f>IFERROR(__xludf.DUMMYFUNCTION("""COMPUTED_VALUE"""),6558586.0)</f>
        <v>6558586</v>
      </c>
    </row>
    <row r="1268">
      <c r="A1268" s="3">
        <f>IFERROR(__xludf.DUMMYFUNCTION("""COMPUTED_VALUE"""),39293.645833333336)</f>
        <v>39293.64583</v>
      </c>
      <c r="B1268" s="2">
        <f>IFERROR(__xludf.DUMMYFUNCTION("""COMPUTED_VALUE"""),466.81)</f>
        <v>466.81</v>
      </c>
      <c r="C1268" s="2">
        <f>IFERROR(__xludf.DUMMYFUNCTION("""COMPUTED_VALUE"""),470.24)</f>
        <v>470.24</v>
      </c>
      <c r="D1268" s="2">
        <f>IFERROR(__xludf.DUMMYFUNCTION("""COMPUTED_VALUE"""),455.66)</f>
        <v>455.66</v>
      </c>
      <c r="E1268" s="2">
        <f>IFERROR(__xludf.DUMMYFUNCTION("""COMPUTED_VALUE"""),457.83)</f>
        <v>457.83</v>
      </c>
      <c r="F1268" s="2">
        <f>IFERROR(__xludf.DUMMYFUNCTION("""COMPUTED_VALUE"""),2788649.0)</f>
        <v>2788649</v>
      </c>
    </row>
    <row r="1269">
      <c r="A1269" s="3">
        <f>IFERROR(__xludf.DUMMYFUNCTION("""COMPUTED_VALUE"""),39294.645833333336)</f>
        <v>39294.64583</v>
      </c>
      <c r="B1269" s="2">
        <f>IFERROR(__xludf.DUMMYFUNCTION("""COMPUTED_VALUE"""),461.86)</f>
        <v>461.86</v>
      </c>
      <c r="C1269" s="2">
        <f>IFERROR(__xludf.DUMMYFUNCTION("""COMPUTED_VALUE"""),470.97)</f>
        <v>470.97</v>
      </c>
      <c r="D1269" s="2">
        <f>IFERROR(__xludf.DUMMYFUNCTION("""COMPUTED_VALUE"""),453.93)</f>
        <v>453.93</v>
      </c>
      <c r="E1269" s="2">
        <f>IFERROR(__xludf.DUMMYFUNCTION("""COMPUTED_VALUE"""),468.91)</f>
        <v>468.91</v>
      </c>
      <c r="F1269" s="2">
        <f>IFERROR(__xludf.DUMMYFUNCTION("""COMPUTED_VALUE"""),2246392.0)</f>
        <v>2246392</v>
      </c>
    </row>
    <row r="1270">
      <c r="A1270" s="3">
        <f>IFERROR(__xludf.DUMMYFUNCTION("""COMPUTED_VALUE"""),39295.645833333336)</f>
        <v>39295.64583</v>
      </c>
      <c r="B1270" s="2">
        <f>IFERROR(__xludf.DUMMYFUNCTION("""COMPUTED_VALUE"""),461.11)</f>
        <v>461.11</v>
      </c>
      <c r="C1270" s="2">
        <f>IFERROR(__xludf.DUMMYFUNCTION("""COMPUTED_VALUE"""),464.08)</f>
        <v>464.08</v>
      </c>
      <c r="D1270" s="2">
        <f>IFERROR(__xludf.DUMMYFUNCTION("""COMPUTED_VALUE"""),443.9)</f>
        <v>443.9</v>
      </c>
      <c r="E1270" s="2">
        <f>IFERROR(__xludf.DUMMYFUNCTION("""COMPUTED_VALUE"""),445.2)</f>
        <v>445.2</v>
      </c>
      <c r="F1270" s="2">
        <f>IFERROR(__xludf.DUMMYFUNCTION("""COMPUTED_VALUE"""),4184118.0)</f>
        <v>4184118</v>
      </c>
    </row>
    <row r="1271">
      <c r="A1271" s="3">
        <f>IFERROR(__xludf.DUMMYFUNCTION("""COMPUTED_VALUE"""),39296.645833333336)</f>
        <v>39296.64583</v>
      </c>
      <c r="B1271" s="2">
        <f>IFERROR(__xludf.DUMMYFUNCTION("""COMPUTED_VALUE"""),454.92)</f>
        <v>454.92</v>
      </c>
      <c r="C1271" s="2">
        <f>IFERROR(__xludf.DUMMYFUNCTION("""COMPUTED_VALUE"""),455.59)</f>
        <v>455.59</v>
      </c>
      <c r="D1271" s="2">
        <f>IFERROR(__xludf.DUMMYFUNCTION("""COMPUTED_VALUE"""),443.78)</f>
        <v>443.78</v>
      </c>
      <c r="E1271" s="2">
        <f>IFERROR(__xludf.DUMMYFUNCTION("""COMPUTED_VALUE"""),445.89)</f>
        <v>445.89</v>
      </c>
      <c r="F1271" s="2">
        <f>IFERROR(__xludf.DUMMYFUNCTION("""COMPUTED_VALUE"""),2392662.0)</f>
        <v>2392662</v>
      </c>
    </row>
    <row r="1272">
      <c r="A1272" s="3">
        <f>IFERROR(__xludf.DUMMYFUNCTION("""COMPUTED_VALUE"""),39297.645833333336)</f>
        <v>39297.64583</v>
      </c>
      <c r="B1272" s="2">
        <f>IFERROR(__xludf.DUMMYFUNCTION("""COMPUTED_VALUE"""),448.48)</f>
        <v>448.48</v>
      </c>
      <c r="C1272" s="2">
        <f>IFERROR(__xludf.DUMMYFUNCTION("""COMPUTED_VALUE"""),455.32)</f>
        <v>455.32</v>
      </c>
      <c r="D1272" s="2">
        <f>IFERROR(__xludf.DUMMYFUNCTION("""COMPUTED_VALUE"""),444.77)</f>
        <v>444.77</v>
      </c>
      <c r="E1272" s="2">
        <f>IFERROR(__xludf.DUMMYFUNCTION("""COMPUTED_VALUE"""),446.04)</f>
        <v>446.04</v>
      </c>
      <c r="F1272" s="2">
        <f>IFERROR(__xludf.DUMMYFUNCTION("""COMPUTED_VALUE"""),2985750.0)</f>
        <v>2985750</v>
      </c>
    </row>
    <row r="1273">
      <c r="A1273" s="3">
        <f>IFERROR(__xludf.DUMMYFUNCTION("""COMPUTED_VALUE"""),39300.645833333336)</f>
        <v>39300.64583</v>
      </c>
      <c r="B1273" s="2">
        <f>IFERROR(__xludf.DUMMYFUNCTION("""COMPUTED_VALUE"""),441.55)</f>
        <v>441.55</v>
      </c>
      <c r="C1273" s="2">
        <f>IFERROR(__xludf.DUMMYFUNCTION("""COMPUTED_VALUE"""),443.78)</f>
        <v>443.78</v>
      </c>
      <c r="D1273" s="2">
        <f>IFERROR(__xludf.DUMMYFUNCTION("""COMPUTED_VALUE"""),433.72)</f>
        <v>433.72</v>
      </c>
      <c r="E1273" s="2">
        <f>IFERROR(__xludf.DUMMYFUNCTION("""COMPUTED_VALUE"""),440.84)</f>
        <v>440.84</v>
      </c>
      <c r="F1273" s="2">
        <f>IFERROR(__xludf.DUMMYFUNCTION("""COMPUTED_VALUE"""),2210646.0)</f>
        <v>2210646</v>
      </c>
    </row>
    <row r="1274">
      <c r="A1274" s="3">
        <f>IFERROR(__xludf.DUMMYFUNCTION("""COMPUTED_VALUE"""),39301.645833333336)</f>
        <v>39301.64583</v>
      </c>
      <c r="B1274" s="2">
        <f>IFERROR(__xludf.DUMMYFUNCTION("""COMPUTED_VALUE"""),448.23)</f>
        <v>448.23</v>
      </c>
      <c r="C1274" s="2">
        <f>IFERROR(__xludf.DUMMYFUNCTION("""COMPUTED_VALUE"""),450.96)</f>
        <v>450.96</v>
      </c>
      <c r="D1274" s="2">
        <f>IFERROR(__xludf.DUMMYFUNCTION("""COMPUTED_VALUE"""),443.84)</f>
        <v>443.84</v>
      </c>
      <c r="E1274" s="2">
        <f>IFERROR(__xludf.DUMMYFUNCTION("""COMPUTED_VALUE"""),448.28)</f>
        <v>448.28</v>
      </c>
      <c r="F1274" s="2">
        <f>IFERROR(__xludf.DUMMYFUNCTION("""COMPUTED_VALUE"""),3094692.0)</f>
        <v>3094692</v>
      </c>
    </row>
    <row r="1275">
      <c r="A1275" s="3">
        <f>IFERROR(__xludf.DUMMYFUNCTION("""COMPUTED_VALUE"""),39302.645833333336)</f>
        <v>39302.64583</v>
      </c>
      <c r="B1275" s="2">
        <f>IFERROR(__xludf.DUMMYFUNCTION("""COMPUTED_VALUE"""),451.45)</f>
        <v>451.45</v>
      </c>
      <c r="C1275" s="2">
        <f>IFERROR(__xludf.DUMMYFUNCTION("""COMPUTED_VALUE"""),466.78)</f>
        <v>466.78</v>
      </c>
      <c r="D1275" s="2">
        <f>IFERROR(__xludf.DUMMYFUNCTION("""COMPUTED_VALUE"""),450.41)</f>
        <v>450.41</v>
      </c>
      <c r="E1275" s="2">
        <f>IFERROR(__xludf.DUMMYFUNCTION("""COMPUTED_VALUE"""),464.44)</f>
        <v>464.44</v>
      </c>
      <c r="F1275" s="2">
        <f>IFERROR(__xludf.DUMMYFUNCTION("""COMPUTED_VALUE"""),3259975.0)</f>
        <v>3259975</v>
      </c>
    </row>
    <row r="1276">
      <c r="A1276" s="3">
        <f>IFERROR(__xludf.DUMMYFUNCTION("""COMPUTED_VALUE"""),39303.645833333336)</f>
        <v>39303.64583</v>
      </c>
      <c r="B1276" s="2">
        <f>IFERROR(__xludf.DUMMYFUNCTION("""COMPUTED_VALUE"""),467.3)</f>
        <v>467.3</v>
      </c>
      <c r="C1276" s="2">
        <f>IFERROR(__xludf.DUMMYFUNCTION("""COMPUTED_VALUE"""),473.62)</f>
        <v>473.62</v>
      </c>
      <c r="D1276" s="2">
        <f>IFERROR(__xludf.DUMMYFUNCTION("""COMPUTED_VALUE"""),454.55)</f>
        <v>454.55</v>
      </c>
      <c r="E1276" s="2">
        <f>IFERROR(__xludf.DUMMYFUNCTION("""COMPUTED_VALUE"""),457.1)</f>
        <v>457.1</v>
      </c>
      <c r="F1276" s="2">
        <f>IFERROR(__xludf.DUMMYFUNCTION("""COMPUTED_VALUE"""),3666336.0)</f>
        <v>3666336</v>
      </c>
    </row>
    <row r="1277">
      <c r="A1277" s="3">
        <f>IFERROR(__xludf.DUMMYFUNCTION("""COMPUTED_VALUE"""),39304.645833333336)</f>
        <v>39304.64583</v>
      </c>
      <c r="B1277" s="2">
        <f>IFERROR(__xludf.DUMMYFUNCTION("""COMPUTED_VALUE"""),450.71)</f>
        <v>450.71</v>
      </c>
      <c r="C1277" s="2">
        <f>IFERROR(__xludf.DUMMYFUNCTION("""COMPUTED_VALUE"""),450.71)</f>
        <v>450.71</v>
      </c>
      <c r="D1277" s="2">
        <f>IFERROR(__xludf.DUMMYFUNCTION("""COMPUTED_VALUE"""),439.86)</f>
        <v>439.86</v>
      </c>
      <c r="E1277" s="2">
        <f>IFERROR(__xludf.DUMMYFUNCTION("""COMPUTED_VALUE"""),448.0)</f>
        <v>448</v>
      </c>
      <c r="F1277" s="2">
        <f>IFERROR(__xludf.DUMMYFUNCTION("""COMPUTED_VALUE"""),3363768.0)</f>
        <v>3363768</v>
      </c>
    </row>
    <row r="1278">
      <c r="A1278" s="3">
        <f>IFERROR(__xludf.DUMMYFUNCTION("""COMPUTED_VALUE"""),39307.645833333336)</f>
        <v>39307.64583</v>
      </c>
      <c r="B1278" s="2">
        <f>IFERROR(__xludf.DUMMYFUNCTION("""COMPUTED_VALUE"""),451.21)</f>
        <v>451.21</v>
      </c>
      <c r="C1278" s="2">
        <f>IFERROR(__xludf.DUMMYFUNCTION("""COMPUTED_VALUE"""),454.87)</f>
        <v>454.87</v>
      </c>
      <c r="D1278" s="2">
        <f>IFERROR(__xludf.DUMMYFUNCTION("""COMPUTED_VALUE"""),447.63)</f>
        <v>447.63</v>
      </c>
      <c r="E1278" s="2">
        <f>IFERROR(__xludf.DUMMYFUNCTION("""COMPUTED_VALUE"""),452.99)</f>
        <v>452.99</v>
      </c>
      <c r="F1278" s="2">
        <f>IFERROR(__xludf.DUMMYFUNCTION("""COMPUTED_VALUE"""),1574985.0)</f>
        <v>1574985</v>
      </c>
    </row>
    <row r="1279">
      <c r="A1279" s="3">
        <f>IFERROR(__xludf.DUMMYFUNCTION("""COMPUTED_VALUE"""),39308.645833333336)</f>
        <v>39308.64583</v>
      </c>
      <c r="B1279" s="2">
        <f>IFERROR(__xludf.DUMMYFUNCTION("""COMPUTED_VALUE"""),445.76)</f>
        <v>445.76</v>
      </c>
      <c r="C1279" s="2">
        <f>IFERROR(__xludf.DUMMYFUNCTION("""COMPUTED_VALUE"""),455.66)</f>
        <v>455.66</v>
      </c>
      <c r="D1279" s="2">
        <f>IFERROR(__xludf.DUMMYFUNCTION("""COMPUTED_VALUE"""),445.76)</f>
        <v>445.76</v>
      </c>
      <c r="E1279" s="2">
        <f>IFERROR(__xludf.DUMMYFUNCTION("""COMPUTED_VALUE"""),453.94)</f>
        <v>453.94</v>
      </c>
      <c r="F1279" s="2">
        <f>IFERROR(__xludf.DUMMYFUNCTION("""COMPUTED_VALUE"""),1019447.0)</f>
        <v>1019447</v>
      </c>
    </row>
    <row r="1280">
      <c r="A1280" s="3">
        <f>IFERROR(__xludf.DUMMYFUNCTION("""COMPUTED_VALUE"""),39310.645833333336)</f>
        <v>39310.64583</v>
      </c>
      <c r="B1280" s="2">
        <f>IFERROR(__xludf.DUMMYFUNCTION("""COMPUTED_VALUE"""),443.78)</f>
        <v>443.78</v>
      </c>
      <c r="C1280" s="2">
        <f>IFERROR(__xludf.DUMMYFUNCTION("""COMPUTED_VALUE"""),443.78)</f>
        <v>443.78</v>
      </c>
      <c r="D1280" s="2">
        <f>IFERROR(__xludf.DUMMYFUNCTION("""COMPUTED_VALUE"""),427.18)</f>
        <v>427.18</v>
      </c>
      <c r="E1280" s="2">
        <f>IFERROR(__xludf.DUMMYFUNCTION("""COMPUTED_VALUE"""),430.66)</f>
        <v>430.66</v>
      </c>
      <c r="F1280" s="2">
        <f>IFERROR(__xludf.DUMMYFUNCTION("""COMPUTED_VALUE"""),4004899.0)</f>
        <v>4004899</v>
      </c>
    </row>
    <row r="1281">
      <c r="A1281" s="3">
        <f>IFERROR(__xludf.DUMMYFUNCTION("""COMPUTED_VALUE"""),39311.645833333336)</f>
        <v>39311.64583</v>
      </c>
      <c r="B1281" s="2">
        <f>IFERROR(__xludf.DUMMYFUNCTION("""COMPUTED_VALUE"""),423.72)</f>
        <v>423.72</v>
      </c>
      <c r="C1281" s="2">
        <f>IFERROR(__xludf.DUMMYFUNCTION("""COMPUTED_VALUE"""),439.29)</f>
        <v>439.29</v>
      </c>
      <c r="D1281" s="2">
        <f>IFERROR(__xludf.DUMMYFUNCTION("""COMPUTED_VALUE"""),416.83)</f>
        <v>416.83</v>
      </c>
      <c r="E1281" s="2">
        <f>IFERROR(__xludf.DUMMYFUNCTION("""COMPUTED_VALUE"""),434.09)</f>
        <v>434.09</v>
      </c>
      <c r="F1281" s="2">
        <f>IFERROR(__xludf.DUMMYFUNCTION("""COMPUTED_VALUE"""),5958453.0)</f>
        <v>5958453</v>
      </c>
    </row>
    <row r="1282">
      <c r="A1282" s="3">
        <f>IFERROR(__xludf.DUMMYFUNCTION("""COMPUTED_VALUE"""),39314.645833333336)</f>
        <v>39314.64583</v>
      </c>
      <c r="B1282" s="2">
        <f>IFERROR(__xludf.DUMMYFUNCTION("""COMPUTED_VALUE"""),445.76)</f>
        <v>445.76</v>
      </c>
      <c r="C1282" s="2">
        <f>IFERROR(__xludf.DUMMYFUNCTION("""COMPUTED_VALUE"""),456.9)</f>
        <v>456.9</v>
      </c>
      <c r="D1282" s="2">
        <f>IFERROR(__xludf.DUMMYFUNCTION("""COMPUTED_VALUE"""),441.05)</f>
        <v>441.05</v>
      </c>
      <c r="E1282" s="2">
        <f>IFERROR(__xludf.DUMMYFUNCTION("""COMPUTED_VALUE"""),445.26)</f>
        <v>445.26</v>
      </c>
      <c r="F1282" s="2">
        <f>IFERROR(__xludf.DUMMYFUNCTION("""COMPUTED_VALUE"""),2357903.0)</f>
        <v>2357903</v>
      </c>
    </row>
    <row r="1283">
      <c r="A1283" s="3">
        <f>IFERROR(__xludf.DUMMYFUNCTION("""COMPUTED_VALUE"""),39315.645833333336)</f>
        <v>39315.64583</v>
      </c>
      <c r="B1283" s="2">
        <f>IFERROR(__xludf.DUMMYFUNCTION("""COMPUTED_VALUE"""),445.76)</f>
        <v>445.76</v>
      </c>
      <c r="C1283" s="2">
        <f>IFERROR(__xludf.DUMMYFUNCTION("""COMPUTED_VALUE"""),448.9)</f>
        <v>448.9</v>
      </c>
      <c r="D1283" s="2">
        <f>IFERROR(__xludf.DUMMYFUNCTION("""COMPUTED_VALUE"""),429.74)</f>
        <v>429.74</v>
      </c>
      <c r="E1283" s="2">
        <f>IFERROR(__xludf.DUMMYFUNCTION("""COMPUTED_VALUE"""),432.6)</f>
        <v>432.6</v>
      </c>
      <c r="F1283" s="2">
        <f>IFERROR(__xludf.DUMMYFUNCTION("""COMPUTED_VALUE"""),3838397.0)</f>
        <v>3838397</v>
      </c>
    </row>
    <row r="1284">
      <c r="A1284" s="3">
        <f>IFERROR(__xludf.DUMMYFUNCTION("""COMPUTED_VALUE"""),39316.645833333336)</f>
        <v>39316.64583</v>
      </c>
      <c r="B1284" s="2">
        <f>IFERROR(__xludf.DUMMYFUNCTION("""COMPUTED_VALUE"""),432.63)</f>
        <v>432.63</v>
      </c>
      <c r="C1284" s="2">
        <f>IFERROR(__xludf.DUMMYFUNCTION("""COMPUTED_VALUE"""),444.22)</f>
        <v>444.22</v>
      </c>
      <c r="D1284" s="2">
        <f>IFERROR(__xludf.DUMMYFUNCTION("""COMPUTED_VALUE"""),424.78)</f>
        <v>424.78</v>
      </c>
      <c r="E1284" s="2">
        <f>IFERROR(__xludf.DUMMYFUNCTION("""COMPUTED_VALUE"""),437.39)</f>
        <v>437.39</v>
      </c>
      <c r="F1284" s="2">
        <f>IFERROR(__xludf.DUMMYFUNCTION("""COMPUTED_VALUE"""),4304130.0)</f>
        <v>4304130</v>
      </c>
    </row>
    <row r="1285">
      <c r="A1285" s="3">
        <f>IFERROR(__xludf.DUMMYFUNCTION("""COMPUTED_VALUE"""),39317.645833333336)</f>
        <v>39317.64583</v>
      </c>
      <c r="B1285" s="2">
        <f>IFERROR(__xludf.DUMMYFUNCTION("""COMPUTED_VALUE"""),445.51)</f>
        <v>445.51</v>
      </c>
      <c r="C1285" s="2">
        <f>IFERROR(__xludf.DUMMYFUNCTION("""COMPUTED_VALUE"""),447.74)</f>
        <v>447.74</v>
      </c>
      <c r="D1285" s="2">
        <f>IFERROR(__xludf.DUMMYFUNCTION("""COMPUTED_VALUE"""),429.66)</f>
        <v>429.66</v>
      </c>
      <c r="E1285" s="2">
        <f>IFERROR(__xludf.DUMMYFUNCTION("""COMPUTED_VALUE"""),431.89)</f>
        <v>431.89</v>
      </c>
      <c r="F1285" s="2">
        <f>IFERROR(__xludf.DUMMYFUNCTION("""COMPUTED_VALUE"""),3057645.0)</f>
        <v>3057645</v>
      </c>
    </row>
    <row r="1286">
      <c r="A1286" s="3">
        <f>IFERROR(__xludf.DUMMYFUNCTION("""COMPUTED_VALUE"""),39318.645833333336)</f>
        <v>39318.64583</v>
      </c>
      <c r="B1286" s="2">
        <f>IFERROR(__xludf.DUMMYFUNCTION("""COMPUTED_VALUE"""),434.75)</f>
        <v>434.75</v>
      </c>
      <c r="C1286" s="2">
        <f>IFERROR(__xludf.DUMMYFUNCTION("""COMPUTED_VALUE"""),441.3)</f>
        <v>441.3</v>
      </c>
      <c r="D1286" s="2">
        <f>IFERROR(__xludf.DUMMYFUNCTION("""COMPUTED_VALUE"""),431.42)</f>
        <v>431.42</v>
      </c>
      <c r="E1286" s="2">
        <f>IFERROR(__xludf.DUMMYFUNCTION("""COMPUTED_VALUE"""),439.9)</f>
        <v>439.9</v>
      </c>
      <c r="F1286" s="2">
        <f>IFERROR(__xludf.DUMMYFUNCTION("""COMPUTED_VALUE"""),1699023.0)</f>
        <v>1699023</v>
      </c>
    </row>
    <row r="1287">
      <c r="A1287" s="3">
        <f>IFERROR(__xludf.DUMMYFUNCTION("""COMPUTED_VALUE"""),39321.645833333336)</f>
        <v>39321.64583</v>
      </c>
      <c r="B1287" s="2">
        <f>IFERROR(__xludf.DUMMYFUNCTION("""COMPUTED_VALUE"""),450.22)</f>
        <v>450.22</v>
      </c>
      <c r="C1287" s="2">
        <f>IFERROR(__xludf.DUMMYFUNCTION("""COMPUTED_VALUE"""),455.76)</f>
        <v>455.76</v>
      </c>
      <c r="D1287" s="2">
        <f>IFERROR(__xludf.DUMMYFUNCTION("""COMPUTED_VALUE"""),443.78)</f>
        <v>443.78</v>
      </c>
      <c r="E1287" s="2">
        <f>IFERROR(__xludf.DUMMYFUNCTION("""COMPUTED_VALUE"""),454.13)</f>
        <v>454.13</v>
      </c>
      <c r="F1287" s="2">
        <f>IFERROR(__xludf.DUMMYFUNCTION("""COMPUTED_VALUE"""),2052305.0)</f>
        <v>2052305</v>
      </c>
    </row>
    <row r="1288">
      <c r="A1288" s="3">
        <f>IFERROR(__xludf.DUMMYFUNCTION("""COMPUTED_VALUE"""),39322.645833333336)</f>
        <v>39322.64583</v>
      </c>
      <c r="B1288" s="2">
        <f>IFERROR(__xludf.DUMMYFUNCTION("""COMPUTED_VALUE"""),454.13)</f>
        <v>454.13</v>
      </c>
      <c r="C1288" s="2">
        <f>IFERROR(__xludf.DUMMYFUNCTION("""COMPUTED_VALUE"""),468.05)</f>
        <v>468.05</v>
      </c>
      <c r="D1288" s="2">
        <f>IFERROR(__xludf.DUMMYFUNCTION("""COMPUTED_VALUE"""),452.44)</f>
        <v>452.44</v>
      </c>
      <c r="E1288" s="2">
        <f>IFERROR(__xludf.DUMMYFUNCTION("""COMPUTED_VALUE"""),466.19)</f>
        <v>466.19</v>
      </c>
      <c r="F1288" s="2">
        <f>IFERROR(__xludf.DUMMYFUNCTION("""COMPUTED_VALUE"""),3221906.0)</f>
        <v>3221906</v>
      </c>
    </row>
    <row r="1289">
      <c r="A1289" s="3">
        <f>IFERROR(__xludf.DUMMYFUNCTION("""COMPUTED_VALUE"""),39323.645833333336)</f>
        <v>39323.64583</v>
      </c>
      <c r="B1289" s="2">
        <f>IFERROR(__xludf.DUMMYFUNCTION("""COMPUTED_VALUE"""),459.13)</f>
        <v>459.13</v>
      </c>
      <c r="C1289" s="2">
        <f>IFERROR(__xludf.DUMMYFUNCTION("""COMPUTED_VALUE"""),471.46)</f>
        <v>471.46</v>
      </c>
      <c r="D1289" s="2">
        <f>IFERROR(__xludf.DUMMYFUNCTION("""COMPUTED_VALUE"""),456.9)</f>
        <v>456.9</v>
      </c>
      <c r="E1289" s="2">
        <f>IFERROR(__xludf.DUMMYFUNCTION("""COMPUTED_VALUE"""),467.97)</f>
        <v>467.97</v>
      </c>
      <c r="F1289" s="2">
        <f>IFERROR(__xludf.DUMMYFUNCTION("""COMPUTED_VALUE"""),2659196.0)</f>
        <v>2659196</v>
      </c>
    </row>
    <row r="1290">
      <c r="A1290" s="3">
        <f>IFERROR(__xludf.DUMMYFUNCTION("""COMPUTED_VALUE"""),39324.645833333336)</f>
        <v>39324.64583</v>
      </c>
      <c r="B1290" s="2">
        <f>IFERROR(__xludf.DUMMYFUNCTION("""COMPUTED_VALUE"""),470.52)</f>
        <v>470.52</v>
      </c>
      <c r="C1290" s="2">
        <f>IFERROR(__xludf.DUMMYFUNCTION("""COMPUTED_VALUE"""),476.71)</f>
        <v>476.71</v>
      </c>
      <c r="D1290" s="2">
        <f>IFERROR(__xludf.DUMMYFUNCTION("""COMPUTED_VALUE"""),465.82)</f>
        <v>465.82</v>
      </c>
      <c r="E1290" s="2">
        <f>IFERROR(__xludf.DUMMYFUNCTION("""COMPUTED_VALUE"""),473.51)</f>
        <v>473.51</v>
      </c>
      <c r="F1290" s="2">
        <f>IFERROR(__xludf.DUMMYFUNCTION("""COMPUTED_VALUE"""),4219933.0)</f>
        <v>4219933</v>
      </c>
    </row>
    <row r="1291">
      <c r="A1291" s="3">
        <f>IFERROR(__xludf.DUMMYFUNCTION("""COMPUTED_VALUE"""),39325.645833333336)</f>
        <v>39325.64583</v>
      </c>
      <c r="B1291" s="2">
        <f>IFERROR(__xludf.DUMMYFUNCTION("""COMPUTED_VALUE"""),470.52)</f>
        <v>470.52</v>
      </c>
      <c r="C1291" s="2">
        <f>IFERROR(__xludf.DUMMYFUNCTION("""COMPUTED_VALUE"""),487.86)</f>
        <v>487.86</v>
      </c>
      <c r="D1291" s="2">
        <f>IFERROR(__xludf.DUMMYFUNCTION("""COMPUTED_VALUE"""),470.24)</f>
        <v>470.24</v>
      </c>
      <c r="E1291" s="2">
        <f>IFERROR(__xludf.DUMMYFUNCTION("""COMPUTED_VALUE"""),485.6)</f>
        <v>485.6</v>
      </c>
      <c r="F1291" s="2">
        <f>IFERROR(__xludf.DUMMYFUNCTION("""COMPUTED_VALUE"""),3631120.0)</f>
        <v>3631120</v>
      </c>
    </row>
    <row r="1292">
      <c r="A1292" s="3">
        <f>IFERROR(__xludf.DUMMYFUNCTION("""COMPUTED_VALUE"""),39328.645833333336)</f>
        <v>39328.64583</v>
      </c>
      <c r="B1292" s="2">
        <f>IFERROR(__xludf.DUMMYFUNCTION("""COMPUTED_VALUE"""),485.6)</f>
        <v>485.6</v>
      </c>
      <c r="C1292" s="2">
        <f>IFERROR(__xludf.DUMMYFUNCTION("""COMPUTED_VALUE"""),490.09)</f>
        <v>490.09</v>
      </c>
      <c r="D1292" s="2">
        <f>IFERROR(__xludf.DUMMYFUNCTION("""COMPUTED_VALUE"""),480.43)</f>
        <v>480.43</v>
      </c>
      <c r="E1292" s="2">
        <f>IFERROR(__xludf.DUMMYFUNCTION("""COMPUTED_VALUE"""),484.87)</f>
        <v>484.87</v>
      </c>
      <c r="F1292" s="2">
        <f>IFERROR(__xludf.DUMMYFUNCTION("""COMPUTED_VALUE"""),1994257.0)</f>
        <v>1994257</v>
      </c>
    </row>
    <row r="1293">
      <c r="A1293" s="3">
        <f>IFERROR(__xludf.DUMMYFUNCTION("""COMPUTED_VALUE"""),39329.645833333336)</f>
        <v>39329.64583</v>
      </c>
      <c r="B1293" s="2">
        <f>IFERROR(__xludf.DUMMYFUNCTION("""COMPUTED_VALUE"""),486.37)</f>
        <v>486.37</v>
      </c>
      <c r="C1293" s="2">
        <f>IFERROR(__xludf.DUMMYFUNCTION("""COMPUTED_VALUE"""),489.55)</f>
        <v>489.55</v>
      </c>
      <c r="D1293" s="2">
        <f>IFERROR(__xludf.DUMMYFUNCTION("""COMPUTED_VALUE"""),475.78)</f>
        <v>475.78</v>
      </c>
      <c r="E1293" s="2">
        <f>IFERROR(__xludf.DUMMYFUNCTION("""COMPUTED_VALUE"""),488.58)</f>
        <v>488.58</v>
      </c>
      <c r="F1293" s="2">
        <f>IFERROR(__xludf.DUMMYFUNCTION("""COMPUTED_VALUE"""),2030637.0)</f>
        <v>2030637</v>
      </c>
    </row>
    <row r="1294">
      <c r="A1294" s="3">
        <f>IFERROR(__xludf.DUMMYFUNCTION("""COMPUTED_VALUE"""),39330.645833333336)</f>
        <v>39330.64583</v>
      </c>
      <c r="B1294" s="2">
        <f>IFERROR(__xludf.DUMMYFUNCTION("""COMPUTED_VALUE"""),492.07)</f>
        <v>492.07</v>
      </c>
      <c r="C1294" s="2">
        <f>IFERROR(__xludf.DUMMYFUNCTION("""COMPUTED_VALUE"""),493.8)</f>
        <v>493.8</v>
      </c>
      <c r="D1294" s="2">
        <f>IFERROR(__xludf.DUMMYFUNCTION("""COMPUTED_VALUE"""),483.15)</f>
        <v>483.15</v>
      </c>
      <c r="E1294" s="2">
        <f>IFERROR(__xludf.DUMMYFUNCTION("""COMPUTED_VALUE"""),486.52)</f>
        <v>486.52</v>
      </c>
      <c r="F1294" s="2">
        <f>IFERROR(__xludf.DUMMYFUNCTION("""COMPUTED_VALUE"""),2495169.0)</f>
        <v>2495169</v>
      </c>
    </row>
    <row r="1295">
      <c r="A1295" s="3">
        <f>IFERROR(__xludf.DUMMYFUNCTION("""COMPUTED_VALUE"""),39331.645833333336)</f>
        <v>39331.64583</v>
      </c>
      <c r="B1295" s="2">
        <f>IFERROR(__xludf.DUMMYFUNCTION("""COMPUTED_VALUE"""),481.42)</f>
        <v>481.42</v>
      </c>
      <c r="C1295" s="2">
        <f>IFERROR(__xludf.DUMMYFUNCTION("""COMPUTED_VALUE"""),492.32)</f>
        <v>492.32</v>
      </c>
      <c r="D1295" s="2">
        <f>IFERROR(__xludf.DUMMYFUNCTION("""COMPUTED_VALUE"""),481.17)</f>
        <v>481.17</v>
      </c>
      <c r="E1295" s="2">
        <f>IFERROR(__xludf.DUMMYFUNCTION("""COMPUTED_VALUE"""),491.04)</f>
        <v>491.04</v>
      </c>
      <c r="F1295" s="2">
        <f>IFERROR(__xludf.DUMMYFUNCTION("""COMPUTED_VALUE"""),1531284.0)</f>
        <v>1531284</v>
      </c>
    </row>
    <row r="1296">
      <c r="A1296" s="3">
        <f>IFERROR(__xludf.DUMMYFUNCTION("""COMPUTED_VALUE"""),39332.645833333336)</f>
        <v>39332.64583</v>
      </c>
      <c r="B1296" s="2">
        <f>IFERROR(__xludf.DUMMYFUNCTION("""COMPUTED_VALUE"""),491.08)</f>
        <v>491.08</v>
      </c>
      <c r="C1296" s="2">
        <f>IFERROR(__xludf.DUMMYFUNCTION("""COMPUTED_VALUE"""),492.81)</f>
        <v>492.81</v>
      </c>
      <c r="D1296" s="2">
        <f>IFERROR(__xludf.DUMMYFUNCTION("""COMPUTED_VALUE"""),484.14)</f>
        <v>484.14</v>
      </c>
      <c r="E1296" s="2">
        <f>IFERROR(__xludf.DUMMYFUNCTION("""COMPUTED_VALUE"""),486.1)</f>
        <v>486.1</v>
      </c>
      <c r="F1296" s="2">
        <f>IFERROR(__xludf.DUMMYFUNCTION("""COMPUTED_VALUE"""),1840068.0)</f>
        <v>1840068</v>
      </c>
    </row>
    <row r="1297">
      <c r="A1297" s="3">
        <f>IFERROR(__xludf.DUMMYFUNCTION("""COMPUTED_VALUE"""),39335.645833333336)</f>
        <v>39335.64583</v>
      </c>
      <c r="B1297" s="2">
        <f>IFERROR(__xludf.DUMMYFUNCTION("""COMPUTED_VALUE"""),484.14)</f>
        <v>484.14</v>
      </c>
      <c r="C1297" s="2">
        <f>IFERROR(__xludf.DUMMYFUNCTION("""COMPUTED_VALUE"""),494.05)</f>
        <v>494.05</v>
      </c>
      <c r="D1297" s="2">
        <f>IFERROR(__xludf.DUMMYFUNCTION("""COMPUTED_VALUE"""),481.42)</f>
        <v>481.42</v>
      </c>
      <c r="E1297" s="2">
        <f>IFERROR(__xludf.DUMMYFUNCTION("""COMPUTED_VALUE"""),491.72)</f>
        <v>491.72</v>
      </c>
      <c r="F1297" s="2">
        <f>IFERROR(__xludf.DUMMYFUNCTION("""COMPUTED_VALUE"""),1558841.0)</f>
        <v>1558841</v>
      </c>
    </row>
    <row r="1298">
      <c r="A1298" s="3">
        <f>IFERROR(__xludf.DUMMYFUNCTION("""COMPUTED_VALUE"""),39336.645833333336)</f>
        <v>39336.64583</v>
      </c>
      <c r="B1298" s="2">
        <f>IFERROR(__xludf.DUMMYFUNCTION("""COMPUTED_VALUE"""),492.81)</f>
        <v>492.81</v>
      </c>
      <c r="C1298" s="2">
        <f>IFERROR(__xludf.DUMMYFUNCTION("""COMPUTED_VALUE"""),497.39)</f>
        <v>497.39</v>
      </c>
      <c r="D1298" s="2">
        <f>IFERROR(__xludf.DUMMYFUNCTION("""COMPUTED_VALUE"""),491.57)</f>
        <v>491.57</v>
      </c>
      <c r="E1298" s="2">
        <f>IFERROR(__xludf.DUMMYFUNCTION("""COMPUTED_VALUE"""),492.84)</f>
        <v>492.84</v>
      </c>
      <c r="F1298" s="2">
        <f>IFERROR(__xludf.DUMMYFUNCTION("""COMPUTED_VALUE"""),2167892.0)</f>
        <v>2167892</v>
      </c>
    </row>
    <row r="1299">
      <c r="A1299" s="3">
        <f>IFERROR(__xludf.DUMMYFUNCTION("""COMPUTED_VALUE"""),39337.645833333336)</f>
        <v>39337.64583</v>
      </c>
      <c r="B1299" s="2">
        <f>IFERROR(__xludf.DUMMYFUNCTION("""COMPUTED_VALUE"""),494.3)</f>
        <v>494.3</v>
      </c>
      <c r="C1299" s="2">
        <f>IFERROR(__xludf.DUMMYFUNCTION("""COMPUTED_VALUE"""),500.49)</f>
        <v>500.49</v>
      </c>
      <c r="D1299" s="2">
        <f>IFERROR(__xludf.DUMMYFUNCTION("""COMPUTED_VALUE"""),493.31)</f>
        <v>493.31</v>
      </c>
      <c r="E1299" s="2">
        <f>IFERROR(__xludf.DUMMYFUNCTION("""COMPUTED_VALUE"""),498.54)</f>
        <v>498.54</v>
      </c>
      <c r="F1299" s="2">
        <f>IFERROR(__xludf.DUMMYFUNCTION("""COMPUTED_VALUE"""),2407667.0)</f>
        <v>2407667</v>
      </c>
    </row>
    <row r="1300">
      <c r="A1300" s="3">
        <f>IFERROR(__xludf.DUMMYFUNCTION("""COMPUTED_VALUE"""),39338.645833333336)</f>
        <v>39338.64583</v>
      </c>
      <c r="B1300" s="2">
        <f>IFERROR(__xludf.DUMMYFUNCTION("""COMPUTED_VALUE"""),501.48)</f>
        <v>501.48</v>
      </c>
      <c r="C1300" s="2">
        <f>IFERROR(__xludf.DUMMYFUNCTION("""COMPUTED_VALUE"""),503.95)</f>
        <v>503.95</v>
      </c>
      <c r="D1300" s="2">
        <f>IFERROR(__xludf.DUMMYFUNCTION("""COMPUTED_VALUE"""),498.67)</f>
        <v>498.67</v>
      </c>
      <c r="E1300" s="2">
        <f>IFERROR(__xludf.DUMMYFUNCTION("""COMPUTED_VALUE"""),502.1)</f>
        <v>502.1</v>
      </c>
      <c r="F1300" s="2">
        <f>IFERROR(__xludf.DUMMYFUNCTION("""COMPUTED_VALUE"""),1975162.0)</f>
        <v>1975162</v>
      </c>
    </row>
    <row r="1301">
      <c r="A1301" s="3">
        <f>IFERROR(__xludf.DUMMYFUNCTION("""COMPUTED_VALUE"""),39339.645833333336)</f>
        <v>39339.64583</v>
      </c>
      <c r="B1301" s="2">
        <f>IFERROR(__xludf.DUMMYFUNCTION("""COMPUTED_VALUE"""),503.95)</f>
        <v>503.95</v>
      </c>
      <c r="C1301" s="2">
        <f>IFERROR(__xludf.DUMMYFUNCTION("""COMPUTED_VALUE"""),512.84)</f>
        <v>512.84</v>
      </c>
      <c r="D1301" s="2">
        <f>IFERROR(__xludf.DUMMYFUNCTION("""COMPUTED_VALUE"""),502.28)</f>
        <v>502.28</v>
      </c>
      <c r="E1301" s="2">
        <f>IFERROR(__xludf.DUMMYFUNCTION("""COMPUTED_VALUE"""),503.89)</f>
        <v>503.89</v>
      </c>
      <c r="F1301" s="2">
        <f>IFERROR(__xludf.DUMMYFUNCTION("""COMPUTED_VALUE"""),2558842.0)</f>
        <v>2558842</v>
      </c>
    </row>
    <row r="1302">
      <c r="A1302" s="3">
        <f>IFERROR(__xludf.DUMMYFUNCTION("""COMPUTED_VALUE"""),39342.645833333336)</f>
        <v>39342.64583</v>
      </c>
      <c r="B1302" s="2">
        <f>IFERROR(__xludf.DUMMYFUNCTION("""COMPUTED_VALUE"""),502.72)</f>
        <v>502.72</v>
      </c>
      <c r="C1302" s="2">
        <f>IFERROR(__xludf.DUMMYFUNCTION("""COMPUTED_VALUE"""),510.0)</f>
        <v>510</v>
      </c>
      <c r="D1302" s="2">
        <f>IFERROR(__xludf.DUMMYFUNCTION("""COMPUTED_VALUE"""),500.49)</f>
        <v>500.49</v>
      </c>
      <c r="E1302" s="2">
        <f>IFERROR(__xludf.DUMMYFUNCTION("""COMPUTED_VALUE"""),502.3)</f>
        <v>502.3</v>
      </c>
      <c r="F1302" s="2">
        <f>IFERROR(__xludf.DUMMYFUNCTION("""COMPUTED_VALUE"""),1444760.0)</f>
        <v>1444760</v>
      </c>
    </row>
    <row r="1303">
      <c r="A1303" s="3">
        <f>IFERROR(__xludf.DUMMYFUNCTION("""COMPUTED_VALUE"""),39343.645833333336)</f>
        <v>39343.64583</v>
      </c>
      <c r="B1303" s="2">
        <f>IFERROR(__xludf.DUMMYFUNCTION("""COMPUTED_VALUE"""),500.24)</f>
        <v>500.24</v>
      </c>
      <c r="C1303" s="2">
        <f>IFERROR(__xludf.DUMMYFUNCTION("""COMPUTED_VALUE"""),511.14)</f>
        <v>511.14</v>
      </c>
      <c r="D1303" s="2">
        <f>IFERROR(__xludf.DUMMYFUNCTION("""COMPUTED_VALUE"""),499.22)</f>
        <v>499.22</v>
      </c>
      <c r="E1303" s="2">
        <f>IFERROR(__xludf.DUMMYFUNCTION("""COMPUTED_VALUE"""),509.66)</f>
        <v>509.66</v>
      </c>
      <c r="F1303" s="2">
        <f>IFERROR(__xludf.DUMMYFUNCTION("""COMPUTED_VALUE"""),2514217.0)</f>
        <v>2514217</v>
      </c>
    </row>
    <row r="1304">
      <c r="A1304" s="3">
        <f>IFERROR(__xludf.DUMMYFUNCTION("""COMPUTED_VALUE"""),39344.645833333336)</f>
        <v>39344.64583</v>
      </c>
      <c r="B1304" s="2">
        <f>IFERROR(__xludf.DUMMYFUNCTION("""COMPUTED_VALUE"""),528.72)</f>
        <v>528.72</v>
      </c>
      <c r="C1304" s="2">
        <f>IFERROR(__xludf.DUMMYFUNCTION("""COMPUTED_VALUE"""),540.56)</f>
        <v>540.56</v>
      </c>
      <c r="D1304" s="2">
        <f>IFERROR(__xludf.DUMMYFUNCTION("""COMPUTED_VALUE"""),515.09)</f>
        <v>515.09</v>
      </c>
      <c r="E1304" s="2">
        <f>IFERROR(__xludf.DUMMYFUNCTION("""COMPUTED_VALUE"""),538.35)</f>
        <v>538.35</v>
      </c>
      <c r="F1304" s="2">
        <f>IFERROR(__xludf.DUMMYFUNCTION("""COMPUTED_VALUE"""),3308060.0)</f>
        <v>3308060</v>
      </c>
    </row>
    <row r="1305">
      <c r="A1305" s="3">
        <f>IFERROR(__xludf.DUMMYFUNCTION("""COMPUTED_VALUE"""),39345.645833333336)</f>
        <v>39345.64583</v>
      </c>
      <c r="B1305" s="2">
        <f>IFERROR(__xludf.DUMMYFUNCTION("""COMPUTED_VALUE"""),538.87)</f>
        <v>538.87</v>
      </c>
      <c r="C1305" s="2">
        <f>IFERROR(__xludf.DUMMYFUNCTION("""COMPUTED_VALUE"""),545.25)</f>
        <v>545.25</v>
      </c>
      <c r="D1305" s="2">
        <f>IFERROR(__xludf.DUMMYFUNCTION("""COMPUTED_VALUE"""),536.64)</f>
        <v>536.64</v>
      </c>
      <c r="E1305" s="2">
        <f>IFERROR(__xludf.DUMMYFUNCTION("""COMPUTED_VALUE"""),542.41)</f>
        <v>542.41</v>
      </c>
      <c r="F1305" s="2">
        <f>IFERROR(__xludf.DUMMYFUNCTION("""COMPUTED_VALUE"""),2726830.0)</f>
        <v>2726830</v>
      </c>
    </row>
    <row r="1306">
      <c r="A1306" s="3">
        <f>IFERROR(__xludf.DUMMYFUNCTION("""COMPUTED_VALUE"""),39346.645833333336)</f>
        <v>39346.64583</v>
      </c>
      <c r="B1306" s="2">
        <f>IFERROR(__xludf.DUMMYFUNCTION("""COMPUTED_VALUE"""),540.85)</f>
        <v>540.85</v>
      </c>
      <c r="C1306" s="2">
        <f>IFERROR(__xludf.DUMMYFUNCTION("""COMPUTED_VALUE"""),569.33)</f>
        <v>569.33</v>
      </c>
      <c r="D1306" s="2">
        <f>IFERROR(__xludf.DUMMYFUNCTION("""COMPUTED_VALUE"""),540.25)</f>
        <v>540.25</v>
      </c>
      <c r="E1306" s="2">
        <f>IFERROR(__xludf.DUMMYFUNCTION("""COMPUTED_VALUE"""),564.74)</f>
        <v>564.74</v>
      </c>
      <c r="F1306" s="2">
        <f>IFERROR(__xludf.DUMMYFUNCTION("""COMPUTED_VALUE"""),2888873.0)</f>
        <v>2888873</v>
      </c>
    </row>
    <row r="1307">
      <c r="A1307" s="3">
        <f>IFERROR(__xludf.DUMMYFUNCTION("""COMPUTED_VALUE"""),39349.645833333336)</f>
        <v>39349.64583</v>
      </c>
      <c r="B1307" s="2">
        <f>IFERROR(__xludf.DUMMYFUNCTION("""COMPUTED_VALUE"""),569.58)</f>
        <v>569.58</v>
      </c>
      <c r="C1307" s="2">
        <f>IFERROR(__xludf.DUMMYFUNCTION("""COMPUTED_VALUE"""),589.14)</f>
        <v>589.14</v>
      </c>
      <c r="D1307" s="2">
        <f>IFERROR(__xludf.DUMMYFUNCTION("""COMPUTED_VALUE"""),566.11)</f>
        <v>566.11</v>
      </c>
      <c r="E1307" s="2">
        <f>IFERROR(__xludf.DUMMYFUNCTION("""COMPUTED_VALUE"""),583.32)</f>
        <v>583.32</v>
      </c>
      <c r="F1307" s="2">
        <f>IFERROR(__xludf.DUMMYFUNCTION("""COMPUTED_VALUE"""),3906329.0)</f>
        <v>3906329</v>
      </c>
    </row>
    <row r="1308">
      <c r="A1308" s="3">
        <f>IFERROR(__xludf.DUMMYFUNCTION("""COMPUTED_VALUE"""),39350.645833333336)</f>
        <v>39350.64583</v>
      </c>
      <c r="B1308" s="2">
        <f>IFERROR(__xludf.DUMMYFUNCTION("""COMPUTED_VALUE"""),573.36)</f>
        <v>573.36</v>
      </c>
      <c r="C1308" s="2">
        <f>IFERROR(__xludf.DUMMYFUNCTION("""COMPUTED_VALUE"""),600.78)</f>
        <v>600.78</v>
      </c>
      <c r="D1308" s="2">
        <f>IFERROR(__xludf.DUMMYFUNCTION("""COMPUTED_VALUE"""),573.36)</f>
        <v>573.36</v>
      </c>
      <c r="E1308" s="2">
        <f>IFERROR(__xludf.DUMMYFUNCTION("""COMPUTED_VALUE"""),594.25)</f>
        <v>594.25</v>
      </c>
      <c r="F1308" s="2">
        <f>IFERROR(__xludf.DUMMYFUNCTION("""COMPUTED_VALUE"""),3355641.0)</f>
        <v>3355641</v>
      </c>
    </row>
    <row r="1309">
      <c r="A1309" s="3">
        <f>IFERROR(__xludf.DUMMYFUNCTION("""COMPUTED_VALUE"""),39351.645833333336)</f>
        <v>39351.64583</v>
      </c>
      <c r="B1309" s="2">
        <f>IFERROR(__xludf.DUMMYFUNCTION("""COMPUTED_VALUE"""),594.1)</f>
        <v>594.1</v>
      </c>
      <c r="C1309" s="2">
        <f>IFERROR(__xludf.DUMMYFUNCTION("""COMPUTED_VALUE"""),598.06)</f>
        <v>598.06</v>
      </c>
      <c r="D1309" s="2">
        <f>IFERROR(__xludf.DUMMYFUNCTION("""COMPUTED_VALUE"""),573.29)</f>
        <v>573.29</v>
      </c>
      <c r="E1309" s="2">
        <f>IFERROR(__xludf.DUMMYFUNCTION("""COMPUTED_VALUE"""),575.02)</f>
        <v>575.02</v>
      </c>
      <c r="F1309" s="2">
        <f>IFERROR(__xludf.DUMMYFUNCTION("""COMPUTED_VALUE"""),3935791.0)</f>
        <v>3935791</v>
      </c>
    </row>
    <row r="1310">
      <c r="A1310" s="3">
        <f>IFERROR(__xludf.DUMMYFUNCTION("""COMPUTED_VALUE"""),39352.645833333336)</f>
        <v>39352.64583</v>
      </c>
      <c r="B1310" s="2">
        <f>IFERROR(__xludf.DUMMYFUNCTION("""COMPUTED_VALUE"""),577.18)</f>
        <v>577.18</v>
      </c>
      <c r="C1310" s="2">
        <f>IFERROR(__xludf.DUMMYFUNCTION("""COMPUTED_VALUE"""),586.91)</f>
        <v>586.91</v>
      </c>
      <c r="D1310" s="2">
        <f>IFERROR(__xludf.DUMMYFUNCTION("""COMPUTED_VALUE"""),570.93)</f>
        <v>570.93</v>
      </c>
      <c r="E1310" s="2">
        <f>IFERROR(__xludf.DUMMYFUNCTION("""COMPUTED_VALUE"""),574.11)</f>
        <v>574.11</v>
      </c>
      <c r="F1310" s="2">
        <f>IFERROR(__xludf.DUMMYFUNCTION("""COMPUTED_VALUE"""),3494924.0)</f>
        <v>3494924</v>
      </c>
    </row>
    <row r="1311">
      <c r="A1311" s="3">
        <f>IFERROR(__xludf.DUMMYFUNCTION("""COMPUTED_VALUE"""),39353.645833333336)</f>
        <v>39353.64583</v>
      </c>
      <c r="B1311" s="2">
        <f>IFERROR(__xludf.DUMMYFUNCTION("""COMPUTED_VALUE"""),581.96)</f>
        <v>581.96</v>
      </c>
      <c r="C1311" s="2">
        <f>IFERROR(__xludf.DUMMYFUNCTION("""COMPUTED_VALUE"""),581.96)</f>
        <v>581.96</v>
      </c>
      <c r="D1311" s="2">
        <f>IFERROR(__xludf.DUMMYFUNCTION("""COMPUTED_VALUE"""),560.91)</f>
        <v>560.91</v>
      </c>
      <c r="E1311" s="2">
        <f>IFERROR(__xludf.DUMMYFUNCTION("""COMPUTED_VALUE"""),569.1)</f>
        <v>569.1</v>
      </c>
      <c r="F1311" s="2">
        <f>IFERROR(__xludf.DUMMYFUNCTION("""COMPUTED_VALUE"""),3454315.0)</f>
        <v>3454315</v>
      </c>
    </row>
    <row r="1312">
      <c r="A1312" s="3">
        <f>IFERROR(__xludf.DUMMYFUNCTION("""COMPUTED_VALUE"""),39356.645833333336)</f>
        <v>39356.64583</v>
      </c>
      <c r="B1312" s="2">
        <f>IFERROR(__xludf.DUMMYFUNCTION("""COMPUTED_VALUE"""),572.06)</f>
        <v>572.06</v>
      </c>
      <c r="C1312" s="2">
        <f>IFERROR(__xludf.DUMMYFUNCTION("""COMPUTED_VALUE"""),576.75)</f>
        <v>576.75</v>
      </c>
      <c r="D1312" s="2">
        <f>IFERROR(__xludf.DUMMYFUNCTION("""COMPUTED_VALUE"""),560.23)</f>
        <v>560.23</v>
      </c>
      <c r="E1312" s="2">
        <f>IFERROR(__xludf.DUMMYFUNCTION("""COMPUTED_VALUE"""),567.65)</f>
        <v>567.65</v>
      </c>
      <c r="F1312" s="2">
        <f>IFERROR(__xludf.DUMMYFUNCTION("""COMPUTED_VALUE"""),4448285.0)</f>
        <v>4448285</v>
      </c>
    </row>
    <row r="1313">
      <c r="A1313" s="3">
        <f>IFERROR(__xludf.DUMMYFUNCTION("""COMPUTED_VALUE"""),39358.645833333336)</f>
        <v>39358.64583</v>
      </c>
      <c r="B1313" s="2">
        <f>IFERROR(__xludf.DUMMYFUNCTION("""COMPUTED_VALUE"""),570.08)</f>
        <v>570.08</v>
      </c>
      <c r="C1313" s="2">
        <f>IFERROR(__xludf.DUMMYFUNCTION("""COMPUTED_VALUE"""),604.25)</f>
        <v>604.25</v>
      </c>
      <c r="D1313" s="2">
        <f>IFERROR(__xludf.DUMMYFUNCTION("""COMPUTED_VALUE"""),553.48)</f>
        <v>553.48</v>
      </c>
      <c r="E1313" s="2">
        <f>IFERROR(__xludf.DUMMYFUNCTION("""COMPUTED_VALUE"""),593.33)</f>
        <v>593.33</v>
      </c>
      <c r="F1313" s="2">
        <f>IFERROR(__xludf.DUMMYFUNCTION("""COMPUTED_VALUE"""),6704314.0)</f>
        <v>6704314</v>
      </c>
    </row>
    <row r="1314">
      <c r="A1314" s="3">
        <f>IFERROR(__xludf.DUMMYFUNCTION("""COMPUTED_VALUE"""),39359.645833333336)</f>
        <v>39359.64583</v>
      </c>
      <c r="B1314" s="2">
        <f>IFERROR(__xludf.DUMMYFUNCTION("""COMPUTED_VALUE"""),589.39)</f>
        <v>589.39</v>
      </c>
      <c r="C1314" s="2">
        <f>IFERROR(__xludf.DUMMYFUNCTION("""COMPUTED_VALUE"""),604.21)</f>
        <v>604.21</v>
      </c>
      <c r="D1314" s="2">
        <f>IFERROR(__xludf.DUMMYFUNCTION("""COMPUTED_VALUE"""),584.93)</f>
        <v>584.93</v>
      </c>
      <c r="E1314" s="2">
        <f>IFERROR(__xludf.DUMMYFUNCTION("""COMPUTED_VALUE"""),600.76)</f>
        <v>600.76</v>
      </c>
      <c r="F1314" s="2">
        <f>IFERROR(__xludf.DUMMYFUNCTION("""COMPUTED_VALUE"""),3492432.0)</f>
        <v>3492432</v>
      </c>
    </row>
    <row r="1315">
      <c r="A1315" s="3">
        <f>IFERROR(__xludf.DUMMYFUNCTION("""COMPUTED_VALUE"""),39360.645833333336)</f>
        <v>39360.64583</v>
      </c>
      <c r="B1315" s="2">
        <f>IFERROR(__xludf.DUMMYFUNCTION("""COMPUTED_VALUE"""),617.82)</f>
        <v>617.82</v>
      </c>
      <c r="C1315" s="2">
        <f>IFERROR(__xludf.DUMMYFUNCTION("""COMPUTED_VALUE"""),622.82)</f>
        <v>622.82</v>
      </c>
      <c r="D1315" s="2">
        <f>IFERROR(__xludf.DUMMYFUNCTION("""COMPUTED_VALUE"""),599.3)</f>
        <v>599.3</v>
      </c>
      <c r="E1315" s="2">
        <f>IFERROR(__xludf.DUMMYFUNCTION("""COMPUTED_VALUE"""),617.25)</f>
        <v>617.25</v>
      </c>
      <c r="F1315" s="2">
        <f>IFERROR(__xludf.DUMMYFUNCTION("""COMPUTED_VALUE"""),4065960.0)</f>
        <v>4065960</v>
      </c>
    </row>
    <row r="1316">
      <c r="A1316" s="3">
        <f>IFERROR(__xludf.DUMMYFUNCTION("""COMPUTED_VALUE"""),39363.645833333336)</f>
        <v>39363.64583</v>
      </c>
      <c r="B1316" s="2">
        <f>IFERROR(__xludf.DUMMYFUNCTION("""COMPUTED_VALUE"""),620.35)</f>
        <v>620.35</v>
      </c>
      <c r="C1316" s="2">
        <f>IFERROR(__xludf.DUMMYFUNCTION("""COMPUTED_VALUE"""),627.03)</f>
        <v>627.03</v>
      </c>
      <c r="D1316" s="2">
        <f>IFERROR(__xludf.DUMMYFUNCTION("""COMPUTED_VALUE"""),590.84)</f>
        <v>590.84</v>
      </c>
      <c r="E1316" s="2">
        <f>IFERROR(__xludf.DUMMYFUNCTION("""COMPUTED_VALUE"""),599.59)</f>
        <v>599.59</v>
      </c>
      <c r="F1316" s="2">
        <f>IFERROR(__xludf.DUMMYFUNCTION("""COMPUTED_VALUE"""),3736225.0)</f>
        <v>3736225</v>
      </c>
    </row>
    <row r="1317">
      <c r="A1317" s="3">
        <f>IFERROR(__xludf.DUMMYFUNCTION("""COMPUTED_VALUE"""),39364.645833333336)</f>
        <v>39364.64583</v>
      </c>
      <c r="B1317" s="2">
        <f>IFERROR(__xludf.DUMMYFUNCTION("""COMPUTED_VALUE"""),577.26)</f>
        <v>577.26</v>
      </c>
      <c r="C1317" s="2">
        <f>IFERROR(__xludf.DUMMYFUNCTION("""COMPUTED_VALUE"""),648.54)</f>
        <v>648.54</v>
      </c>
      <c r="D1317" s="2">
        <f>IFERROR(__xludf.DUMMYFUNCTION("""COMPUTED_VALUE"""),544.25)</f>
        <v>544.25</v>
      </c>
      <c r="E1317" s="2">
        <f>IFERROR(__xludf.DUMMYFUNCTION("""COMPUTED_VALUE"""),643.87)</f>
        <v>643.87</v>
      </c>
      <c r="F1317" s="2">
        <f>IFERROR(__xludf.DUMMYFUNCTION("""COMPUTED_VALUE"""),4137315.0)</f>
        <v>4137315</v>
      </c>
    </row>
    <row r="1318">
      <c r="A1318" s="3">
        <f>IFERROR(__xludf.DUMMYFUNCTION("""COMPUTED_VALUE"""),39365.645833333336)</f>
        <v>39365.64583</v>
      </c>
      <c r="B1318" s="2">
        <f>IFERROR(__xludf.DUMMYFUNCTION("""COMPUTED_VALUE"""),652.52)</f>
        <v>652.52</v>
      </c>
      <c r="C1318" s="2">
        <f>IFERROR(__xludf.DUMMYFUNCTION("""COMPUTED_VALUE"""),664.68)</f>
        <v>664.68</v>
      </c>
      <c r="D1318" s="2">
        <f>IFERROR(__xludf.DUMMYFUNCTION("""COMPUTED_VALUE"""),639.48)</f>
        <v>639.48</v>
      </c>
      <c r="E1318" s="2">
        <f>IFERROR(__xludf.DUMMYFUNCTION("""COMPUTED_VALUE"""),648.43)</f>
        <v>648.43</v>
      </c>
      <c r="F1318" s="2">
        <f>IFERROR(__xludf.DUMMYFUNCTION("""COMPUTED_VALUE"""),4999438.0)</f>
        <v>4999438</v>
      </c>
    </row>
    <row r="1319">
      <c r="A1319" s="3">
        <f>IFERROR(__xludf.DUMMYFUNCTION("""COMPUTED_VALUE"""),39366.645833333336)</f>
        <v>39366.64583</v>
      </c>
      <c r="B1319" s="2">
        <f>IFERROR(__xludf.DUMMYFUNCTION("""COMPUTED_VALUE"""),658.48)</f>
        <v>658.48</v>
      </c>
      <c r="C1319" s="2">
        <f>IFERROR(__xludf.DUMMYFUNCTION("""COMPUTED_VALUE"""),658.48)</f>
        <v>658.48</v>
      </c>
      <c r="D1319" s="2">
        <f>IFERROR(__xludf.DUMMYFUNCTION("""COMPUTED_VALUE"""),639.51)</f>
        <v>639.51</v>
      </c>
      <c r="E1319" s="2">
        <f>IFERROR(__xludf.DUMMYFUNCTION("""COMPUTED_VALUE"""),651.44)</f>
        <v>651.44</v>
      </c>
      <c r="F1319" s="2">
        <f>IFERROR(__xludf.DUMMYFUNCTION("""COMPUTED_VALUE"""),4903126.0)</f>
        <v>4903126</v>
      </c>
    </row>
    <row r="1320">
      <c r="A1320" s="3">
        <f>IFERROR(__xludf.DUMMYFUNCTION("""COMPUTED_VALUE"""),39367.645833333336)</f>
        <v>39367.64583</v>
      </c>
      <c r="B1320" s="2">
        <f>IFERROR(__xludf.DUMMYFUNCTION("""COMPUTED_VALUE"""),651.92)</f>
        <v>651.92</v>
      </c>
      <c r="C1320" s="2">
        <f>IFERROR(__xludf.DUMMYFUNCTION("""COMPUTED_VALUE"""),674.75)</f>
        <v>674.75</v>
      </c>
      <c r="D1320" s="2">
        <f>IFERROR(__xludf.DUMMYFUNCTION("""COMPUTED_VALUE"""),629.47)</f>
        <v>629.47</v>
      </c>
      <c r="E1320" s="2">
        <f>IFERROR(__xludf.DUMMYFUNCTION("""COMPUTED_VALUE"""),635.39)</f>
        <v>635.39</v>
      </c>
      <c r="F1320" s="2">
        <f>IFERROR(__xludf.DUMMYFUNCTION("""COMPUTED_VALUE"""),9947936.0)</f>
        <v>9947936</v>
      </c>
    </row>
    <row r="1321">
      <c r="A1321" s="3">
        <f>IFERROR(__xludf.DUMMYFUNCTION("""COMPUTED_VALUE"""),39370.645833333336)</f>
        <v>39370.64583</v>
      </c>
      <c r="B1321" s="2">
        <f>IFERROR(__xludf.DUMMYFUNCTION("""COMPUTED_VALUE"""),640.18)</f>
        <v>640.18</v>
      </c>
      <c r="C1321" s="2">
        <f>IFERROR(__xludf.DUMMYFUNCTION("""COMPUTED_VALUE"""),663.68)</f>
        <v>663.68</v>
      </c>
      <c r="D1321" s="2">
        <f>IFERROR(__xludf.DUMMYFUNCTION("""COMPUTED_VALUE"""),637.98)</f>
        <v>637.98</v>
      </c>
      <c r="E1321" s="2">
        <f>IFERROR(__xludf.DUMMYFUNCTION("""COMPUTED_VALUE"""),660.3)</f>
        <v>660.3</v>
      </c>
      <c r="F1321" s="2">
        <f>IFERROR(__xludf.DUMMYFUNCTION("""COMPUTED_VALUE"""),4920977.0)</f>
        <v>4920977</v>
      </c>
    </row>
    <row r="1322">
      <c r="A1322" s="3">
        <f>IFERROR(__xludf.DUMMYFUNCTION("""COMPUTED_VALUE"""),39371.645833333336)</f>
        <v>39371.64583</v>
      </c>
      <c r="B1322" s="2">
        <f>IFERROR(__xludf.DUMMYFUNCTION("""COMPUTED_VALUE"""),657.49)</f>
        <v>657.49</v>
      </c>
      <c r="C1322" s="2">
        <f>IFERROR(__xludf.DUMMYFUNCTION("""COMPUTED_VALUE"""),668.62)</f>
        <v>668.62</v>
      </c>
      <c r="D1322" s="2">
        <f>IFERROR(__xludf.DUMMYFUNCTION("""COMPUTED_VALUE"""),648.58)</f>
        <v>648.58</v>
      </c>
      <c r="E1322" s="2">
        <f>IFERROR(__xludf.DUMMYFUNCTION("""COMPUTED_VALUE"""),656.64)</f>
        <v>656.64</v>
      </c>
      <c r="F1322" s="2">
        <f>IFERROR(__xludf.DUMMYFUNCTION("""COMPUTED_VALUE"""),5638322.0)</f>
        <v>5638322</v>
      </c>
    </row>
    <row r="1323">
      <c r="A1323" s="3">
        <f>IFERROR(__xludf.DUMMYFUNCTION("""COMPUTED_VALUE"""),39372.645833333336)</f>
        <v>39372.64583</v>
      </c>
      <c r="B1323" s="2">
        <f>IFERROR(__xludf.DUMMYFUNCTION("""COMPUTED_VALUE"""),623.57)</f>
        <v>623.57</v>
      </c>
      <c r="C1323" s="2">
        <f>IFERROR(__xludf.DUMMYFUNCTION("""COMPUTED_VALUE"""),669.88)</f>
        <v>669.88</v>
      </c>
      <c r="D1323" s="2">
        <f>IFERROR(__xludf.DUMMYFUNCTION("""COMPUTED_VALUE"""),557.45)</f>
        <v>557.45</v>
      </c>
      <c r="E1323" s="2">
        <f>IFERROR(__xludf.DUMMYFUNCTION("""COMPUTED_VALUE"""),665.55)</f>
        <v>665.55</v>
      </c>
      <c r="F1323" s="2">
        <f>IFERROR(__xludf.DUMMYFUNCTION("""COMPUTED_VALUE"""),8626308.0)</f>
        <v>8626308</v>
      </c>
    </row>
    <row r="1324">
      <c r="A1324" s="3">
        <f>IFERROR(__xludf.DUMMYFUNCTION("""COMPUTED_VALUE"""),39373.645833333336)</f>
        <v>39373.64583</v>
      </c>
      <c r="B1324" s="2">
        <f>IFERROR(__xludf.DUMMYFUNCTION("""COMPUTED_VALUE"""),681.02)</f>
        <v>681.02</v>
      </c>
      <c r="C1324" s="2">
        <f>IFERROR(__xludf.DUMMYFUNCTION("""COMPUTED_VALUE"""),740.21)</f>
        <v>740.21</v>
      </c>
      <c r="D1324" s="2">
        <f>IFERROR(__xludf.DUMMYFUNCTION("""COMPUTED_VALUE"""),625.55)</f>
        <v>625.55</v>
      </c>
      <c r="E1324" s="2">
        <f>IFERROR(__xludf.DUMMYFUNCTION("""COMPUTED_VALUE"""),639.7)</f>
        <v>639.7</v>
      </c>
      <c r="F1324" s="2">
        <f>IFERROR(__xludf.DUMMYFUNCTION("""COMPUTED_VALUE"""),7574262.0)</f>
        <v>7574262</v>
      </c>
    </row>
    <row r="1325">
      <c r="A1325" s="3">
        <f>IFERROR(__xludf.DUMMYFUNCTION("""COMPUTED_VALUE"""),39374.645833333336)</f>
        <v>39374.64583</v>
      </c>
      <c r="B1325" s="2">
        <f>IFERROR(__xludf.DUMMYFUNCTION("""COMPUTED_VALUE"""),649.82)</f>
        <v>649.82</v>
      </c>
      <c r="C1325" s="2">
        <f>IFERROR(__xludf.DUMMYFUNCTION("""COMPUTED_VALUE"""),668.64)</f>
        <v>668.64</v>
      </c>
      <c r="D1325" s="2">
        <f>IFERROR(__xludf.DUMMYFUNCTION("""COMPUTED_VALUE"""),599.22)</f>
        <v>599.22</v>
      </c>
      <c r="E1325" s="2">
        <f>IFERROR(__xludf.DUMMYFUNCTION("""COMPUTED_VALUE"""),611.51)</f>
        <v>611.51</v>
      </c>
      <c r="F1325" s="2">
        <f>IFERROR(__xludf.DUMMYFUNCTION("""COMPUTED_VALUE"""),5322440.0)</f>
        <v>5322440</v>
      </c>
    </row>
    <row r="1326">
      <c r="A1326" s="3">
        <f>IFERROR(__xludf.DUMMYFUNCTION("""COMPUTED_VALUE"""),39377.645833333336)</f>
        <v>39377.64583</v>
      </c>
      <c r="B1326" s="2">
        <f>IFERROR(__xludf.DUMMYFUNCTION("""COMPUTED_VALUE"""),594.34)</f>
        <v>594.34</v>
      </c>
      <c r="C1326" s="2">
        <f>IFERROR(__xludf.DUMMYFUNCTION("""COMPUTED_VALUE"""),614.9)</f>
        <v>614.9</v>
      </c>
      <c r="D1326" s="2">
        <f>IFERROR(__xludf.DUMMYFUNCTION("""COMPUTED_VALUE"""),587.36)</f>
        <v>587.36</v>
      </c>
      <c r="E1326" s="2">
        <f>IFERROR(__xludf.DUMMYFUNCTION("""COMPUTED_VALUE"""),596.83)</f>
        <v>596.83</v>
      </c>
      <c r="F1326" s="2">
        <f>IFERROR(__xludf.DUMMYFUNCTION("""COMPUTED_VALUE"""),5051715.0)</f>
        <v>5051715</v>
      </c>
    </row>
    <row r="1327">
      <c r="A1327" s="3">
        <f>IFERROR(__xludf.DUMMYFUNCTION("""COMPUTED_VALUE"""),39378.645833333336)</f>
        <v>39378.64583</v>
      </c>
      <c r="B1327" s="2">
        <f>IFERROR(__xludf.DUMMYFUNCTION("""COMPUTED_VALUE"""),611.68)</f>
        <v>611.68</v>
      </c>
      <c r="C1327" s="2">
        <f>IFERROR(__xludf.DUMMYFUNCTION("""COMPUTED_VALUE"""),647.34)</f>
        <v>647.34</v>
      </c>
      <c r="D1327" s="2">
        <f>IFERROR(__xludf.DUMMYFUNCTION("""COMPUTED_VALUE"""),607.96)</f>
        <v>607.96</v>
      </c>
      <c r="E1327" s="2">
        <f>IFERROR(__xludf.DUMMYFUNCTION("""COMPUTED_VALUE"""),643.84)</f>
        <v>643.84</v>
      </c>
      <c r="F1327" s="2">
        <f>IFERROR(__xludf.DUMMYFUNCTION("""COMPUTED_VALUE"""),4880073.0)</f>
        <v>4880073</v>
      </c>
    </row>
    <row r="1328">
      <c r="A1328" s="3">
        <f>IFERROR(__xludf.DUMMYFUNCTION("""COMPUTED_VALUE"""),39379.645833333336)</f>
        <v>39379.64583</v>
      </c>
      <c r="B1328" s="2">
        <f>IFERROR(__xludf.DUMMYFUNCTION("""COMPUTED_VALUE"""),653.78)</f>
        <v>653.78</v>
      </c>
      <c r="C1328" s="2">
        <f>IFERROR(__xludf.DUMMYFUNCTION("""COMPUTED_VALUE"""),656.43)</f>
        <v>656.43</v>
      </c>
      <c r="D1328" s="2">
        <f>IFERROR(__xludf.DUMMYFUNCTION("""COMPUTED_VALUE"""),633.13)</f>
        <v>633.13</v>
      </c>
      <c r="E1328" s="2">
        <f>IFERROR(__xludf.DUMMYFUNCTION("""COMPUTED_VALUE"""),647.6)</f>
        <v>647.6</v>
      </c>
      <c r="F1328" s="2">
        <f>IFERROR(__xludf.DUMMYFUNCTION("""COMPUTED_VALUE"""),4302258.0)</f>
        <v>4302258</v>
      </c>
    </row>
    <row r="1329">
      <c r="A1329" s="3">
        <f>IFERROR(__xludf.DUMMYFUNCTION("""COMPUTED_VALUE"""),39380.645833333336)</f>
        <v>39380.64583</v>
      </c>
      <c r="B1329" s="2">
        <f>IFERROR(__xludf.DUMMYFUNCTION("""COMPUTED_VALUE"""),645.11)</f>
        <v>645.11</v>
      </c>
      <c r="C1329" s="2">
        <f>IFERROR(__xludf.DUMMYFUNCTION("""COMPUTED_VALUE"""),660.66)</f>
        <v>660.66</v>
      </c>
      <c r="D1329" s="2">
        <f>IFERROR(__xludf.DUMMYFUNCTION("""COMPUTED_VALUE"""),641.94)</f>
        <v>641.94</v>
      </c>
      <c r="E1329" s="2">
        <f>IFERROR(__xludf.DUMMYFUNCTION("""COMPUTED_VALUE"""),650.82)</f>
        <v>650.82</v>
      </c>
      <c r="F1329" s="2">
        <f>IFERROR(__xludf.DUMMYFUNCTION("""COMPUTED_VALUE"""),4181650.0)</f>
        <v>4181650</v>
      </c>
    </row>
    <row r="1330">
      <c r="A1330" s="3">
        <f>IFERROR(__xludf.DUMMYFUNCTION("""COMPUTED_VALUE"""),39381.645833333336)</f>
        <v>39381.64583</v>
      </c>
      <c r="B1330" s="2">
        <f>IFERROR(__xludf.DUMMYFUNCTION("""COMPUTED_VALUE"""),656.26)</f>
        <v>656.26</v>
      </c>
      <c r="C1330" s="2">
        <f>IFERROR(__xludf.DUMMYFUNCTION("""COMPUTED_VALUE"""),672.05)</f>
        <v>672.05</v>
      </c>
      <c r="D1330" s="2">
        <f>IFERROR(__xludf.DUMMYFUNCTION("""COMPUTED_VALUE"""),645.19)</f>
        <v>645.19</v>
      </c>
      <c r="E1330" s="2">
        <f>IFERROR(__xludf.DUMMYFUNCTION("""COMPUTED_VALUE"""),668.22)</f>
        <v>668.22</v>
      </c>
      <c r="F1330" s="2">
        <f>IFERROR(__xludf.DUMMYFUNCTION("""COMPUTED_VALUE"""),3942809.0)</f>
        <v>3942809</v>
      </c>
    </row>
    <row r="1331">
      <c r="A1331" s="3">
        <f>IFERROR(__xludf.DUMMYFUNCTION("""COMPUTED_VALUE"""),39384.645833333336)</f>
        <v>39384.64583</v>
      </c>
      <c r="B1331" s="2">
        <f>IFERROR(__xludf.DUMMYFUNCTION("""COMPUTED_VALUE"""),684.73)</f>
        <v>684.73</v>
      </c>
      <c r="C1331" s="2">
        <f>IFERROR(__xludf.DUMMYFUNCTION("""COMPUTED_VALUE"""),704.55)</f>
        <v>704.55</v>
      </c>
      <c r="D1331" s="2">
        <f>IFERROR(__xludf.DUMMYFUNCTION("""COMPUTED_VALUE"""),677.3)</f>
        <v>677.3</v>
      </c>
      <c r="E1331" s="2">
        <f>IFERROR(__xludf.DUMMYFUNCTION("""COMPUTED_VALUE"""),700.31)</f>
        <v>700.31</v>
      </c>
      <c r="F1331" s="2">
        <f>IFERROR(__xludf.DUMMYFUNCTION("""COMPUTED_VALUE"""),4509529.0)</f>
        <v>4509529</v>
      </c>
    </row>
    <row r="1332">
      <c r="A1332" s="3">
        <f>IFERROR(__xludf.DUMMYFUNCTION("""COMPUTED_VALUE"""),39385.645833333336)</f>
        <v>39385.64583</v>
      </c>
      <c r="B1332" s="2">
        <f>IFERROR(__xludf.DUMMYFUNCTION("""COMPUTED_VALUE"""),703.06)</f>
        <v>703.06</v>
      </c>
      <c r="C1332" s="2">
        <f>IFERROR(__xludf.DUMMYFUNCTION("""COMPUTED_VALUE"""),706.89)</f>
        <v>706.89</v>
      </c>
      <c r="D1332" s="2">
        <f>IFERROR(__xludf.DUMMYFUNCTION("""COMPUTED_VALUE"""),678.62)</f>
        <v>678.62</v>
      </c>
      <c r="E1332" s="2">
        <f>IFERROR(__xludf.DUMMYFUNCTION("""COMPUTED_VALUE"""),685.85)</f>
        <v>685.85</v>
      </c>
      <c r="F1332" s="2">
        <f>IFERROR(__xludf.DUMMYFUNCTION("""COMPUTED_VALUE"""),4374145.0)</f>
        <v>4374145</v>
      </c>
    </row>
    <row r="1333">
      <c r="A1333" s="3">
        <f>IFERROR(__xludf.DUMMYFUNCTION("""COMPUTED_VALUE"""),39386.645833333336)</f>
        <v>39386.64583</v>
      </c>
      <c r="B1333" s="2">
        <f>IFERROR(__xludf.DUMMYFUNCTION("""COMPUTED_VALUE"""),685.48)</f>
        <v>685.48</v>
      </c>
      <c r="C1333" s="2">
        <f>IFERROR(__xludf.DUMMYFUNCTION("""COMPUTED_VALUE"""),697.98)</f>
        <v>697.98</v>
      </c>
      <c r="D1333" s="2">
        <f>IFERROR(__xludf.DUMMYFUNCTION("""COMPUTED_VALUE"""),682.01)</f>
        <v>682.01</v>
      </c>
      <c r="E1333" s="2">
        <f>IFERROR(__xludf.DUMMYFUNCTION("""COMPUTED_VALUE"""),689.39)</f>
        <v>689.39</v>
      </c>
      <c r="F1333" s="2">
        <f>IFERROR(__xludf.DUMMYFUNCTION("""COMPUTED_VALUE"""),4153087.0)</f>
        <v>4153087</v>
      </c>
    </row>
    <row r="1334">
      <c r="A1334" s="3">
        <f>IFERROR(__xludf.DUMMYFUNCTION("""COMPUTED_VALUE"""),39387.645833333336)</f>
        <v>39387.64583</v>
      </c>
      <c r="B1334" s="2">
        <f>IFERROR(__xludf.DUMMYFUNCTION("""COMPUTED_VALUE"""),698.35)</f>
        <v>698.35</v>
      </c>
      <c r="C1334" s="2">
        <f>IFERROR(__xludf.DUMMYFUNCTION("""COMPUTED_VALUE"""),703.06)</f>
        <v>703.06</v>
      </c>
      <c r="D1334" s="2">
        <f>IFERROR(__xludf.DUMMYFUNCTION("""COMPUTED_VALUE"""),656.27)</f>
        <v>656.27</v>
      </c>
      <c r="E1334" s="2">
        <f>IFERROR(__xludf.DUMMYFUNCTION("""COMPUTED_VALUE"""),663.83)</f>
        <v>663.83</v>
      </c>
      <c r="F1334" s="2">
        <f>IFERROR(__xludf.DUMMYFUNCTION("""COMPUTED_VALUE"""),5986480.0)</f>
        <v>5986480</v>
      </c>
    </row>
    <row r="1335">
      <c r="A1335" s="3">
        <f>IFERROR(__xludf.DUMMYFUNCTION("""COMPUTED_VALUE"""),39388.645833333336)</f>
        <v>39388.64583</v>
      </c>
      <c r="B1335" s="2">
        <f>IFERROR(__xludf.DUMMYFUNCTION("""COMPUTED_VALUE"""),638.18)</f>
        <v>638.18</v>
      </c>
      <c r="C1335" s="2">
        <f>IFERROR(__xludf.DUMMYFUNCTION("""COMPUTED_VALUE"""),674.83)</f>
        <v>674.83</v>
      </c>
      <c r="D1335" s="2">
        <f>IFERROR(__xludf.DUMMYFUNCTION("""COMPUTED_VALUE"""),638.18)</f>
        <v>638.18</v>
      </c>
      <c r="E1335" s="2">
        <f>IFERROR(__xludf.DUMMYFUNCTION("""COMPUTED_VALUE"""),671.93)</f>
        <v>671.93</v>
      </c>
      <c r="F1335" s="2">
        <f>IFERROR(__xludf.DUMMYFUNCTION("""COMPUTED_VALUE"""),3867608.0)</f>
        <v>3867608</v>
      </c>
    </row>
    <row r="1336">
      <c r="A1336" s="3">
        <f>IFERROR(__xludf.DUMMYFUNCTION("""COMPUTED_VALUE"""),39391.645833333336)</f>
        <v>39391.64583</v>
      </c>
      <c r="B1336" s="2">
        <f>IFERROR(__xludf.DUMMYFUNCTION("""COMPUTED_VALUE"""),671.93)</f>
        <v>671.93</v>
      </c>
      <c r="C1336" s="2">
        <f>IFERROR(__xludf.DUMMYFUNCTION("""COMPUTED_VALUE"""),677.3)</f>
        <v>677.3</v>
      </c>
      <c r="D1336" s="2">
        <f>IFERROR(__xludf.DUMMYFUNCTION("""COMPUTED_VALUE"""),652.05)</f>
        <v>652.05</v>
      </c>
      <c r="E1336" s="2">
        <f>IFERROR(__xludf.DUMMYFUNCTION("""COMPUTED_VALUE"""),659.02)</f>
        <v>659.02</v>
      </c>
      <c r="F1336" s="2">
        <f>IFERROR(__xludf.DUMMYFUNCTION("""COMPUTED_VALUE"""),4453574.0)</f>
        <v>4453574</v>
      </c>
    </row>
    <row r="1337">
      <c r="A1337" s="3">
        <f>IFERROR(__xludf.DUMMYFUNCTION("""COMPUTED_VALUE"""),39392.645833333336)</f>
        <v>39392.64583</v>
      </c>
      <c r="B1337" s="2">
        <f>IFERROR(__xludf.DUMMYFUNCTION("""COMPUTED_VALUE"""),668.32)</f>
        <v>668.32</v>
      </c>
      <c r="C1337" s="2">
        <f>IFERROR(__xludf.DUMMYFUNCTION("""COMPUTED_VALUE"""),682.26)</f>
        <v>682.26</v>
      </c>
      <c r="D1337" s="2">
        <f>IFERROR(__xludf.DUMMYFUNCTION("""COMPUTED_VALUE"""),656.56)</f>
        <v>656.56</v>
      </c>
      <c r="E1337" s="2">
        <f>IFERROR(__xludf.DUMMYFUNCTION("""COMPUTED_VALUE"""),660.27)</f>
        <v>660.27</v>
      </c>
      <c r="F1337" s="2">
        <f>IFERROR(__xludf.DUMMYFUNCTION("""COMPUTED_VALUE"""),3027331.0)</f>
        <v>3027331</v>
      </c>
    </row>
    <row r="1338">
      <c r="A1338" s="3">
        <f>IFERROR(__xludf.DUMMYFUNCTION("""COMPUTED_VALUE"""),39393.645833333336)</f>
        <v>39393.64583</v>
      </c>
      <c r="B1338" s="2">
        <f>IFERROR(__xludf.DUMMYFUNCTION("""COMPUTED_VALUE"""),682.26)</f>
        <v>682.26</v>
      </c>
      <c r="C1338" s="2">
        <f>IFERROR(__xludf.DUMMYFUNCTION("""COMPUTED_VALUE"""),694.39)</f>
        <v>694.39</v>
      </c>
      <c r="D1338" s="2">
        <f>IFERROR(__xludf.DUMMYFUNCTION("""COMPUTED_VALUE"""),668.64)</f>
        <v>668.64</v>
      </c>
      <c r="E1338" s="2">
        <f>IFERROR(__xludf.DUMMYFUNCTION("""COMPUTED_VALUE"""),686.2)</f>
        <v>686.2</v>
      </c>
      <c r="F1338" s="2">
        <f>IFERROR(__xludf.DUMMYFUNCTION("""COMPUTED_VALUE"""),3482112.0)</f>
        <v>3482112</v>
      </c>
    </row>
    <row r="1339">
      <c r="A1339" s="3">
        <f>IFERROR(__xludf.DUMMYFUNCTION("""COMPUTED_VALUE"""),39394.645833333336)</f>
        <v>39394.64583</v>
      </c>
      <c r="B1339" s="2">
        <f>IFERROR(__xludf.DUMMYFUNCTION("""COMPUTED_VALUE"""),681.02)</f>
        <v>681.02</v>
      </c>
      <c r="C1339" s="2">
        <f>IFERROR(__xludf.DUMMYFUNCTION("""COMPUTED_VALUE"""),692.11)</f>
        <v>692.11</v>
      </c>
      <c r="D1339" s="2">
        <f>IFERROR(__xludf.DUMMYFUNCTION("""COMPUTED_VALUE"""),656.75)</f>
        <v>656.75</v>
      </c>
      <c r="E1339" s="2">
        <f>IFERROR(__xludf.DUMMYFUNCTION("""COMPUTED_VALUE"""),679.25)</f>
        <v>679.25</v>
      </c>
      <c r="F1339" s="2">
        <f>IFERROR(__xludf.DUMMYFUNCTION("""COMPUTED_VALUE"""),3639342.0)</f>
        <v>3639342</v>
      </c>
    </row>
    <row r="1340">
      <c r="A1340" s="3">
        <f>IFERROR(__xludf.DUMMYFUNCTION("""COMPUTED_VALUE"""),39395.645833333336)</f>
        <v>39395.64583</v>
      </c>
      <c r="B1340" s="2">
        <f>IFERROR(__xludf.DUMMYFUNCTION("""COMPUTED_VALUE"""),690.93)</f>
        <v>690.93</v>
      </c>
      <c r="C1340" s="2">
        <f>IFERROR(__xludf.DUMMYFUNCTION("""COMPUTED_VALUE"""),690.93)</f>
        <v>690.93</v>
      </c>
      <c r="D1340" s="2">
        <f>IFERROR(__xludf.DUMMYFUNCTION("""COMPUTED_VALUE"""),666.16)</f>
        <v>666.16</v>
      </c>
      <c r="E1340" s="2">
        <f>IFERROR(__xludf.DUMMYFUNCTION("""COMPUTED_VALUE"""),677.16)</f>
        <v>677.16</v>
      </c>
      <c r="F1340" s="2">
        <f>IFERROR(__xludf.DUMMYFUNCTION("""COMPUTED_VALUE"""),681498.0)</f>
        <v>681498</v>
      </c>
    </row>
    <row r="1341">
      <c r="A1341" s="3">
        <f>IFERROR(__xludf.DUMMYFUNCTION("""COMPUTED_VALUE"""),39398.645833333336)</f>
        <v>39398.64583</v>
      </c>
      <c r="B1341" s="2">
        <f>IFERROR(__xludf.DUMMYFUNCTION("""COMPUTED_VALUE"""),656.26)</f>
        <v>656.26</v>
      </c>
      <c r="C1341" s="2">
        <f>IFERROR(__xludf.DUMMYFUNCTION("""COMPUTED_VALUE"""),669.8)</f>
        <v>669.8</v>
      </c>
      <c r="D1341" s="2">
        <f>IFERROR(__xludf.DUMMYFUNCTION("""COMPUTED_VALUE"""),644.37)</f>
        <v>644.37</v>
      </c>
      <c r="E1341" s="2">
        <f>IFERROR(__xludf.DUMMYFUNCTION("""COMPUTED_VALUE"""),662.59)</f>
        <v>662.59</v>
      </c>
      <c r="F1341" s="2">
        <f>IFERROR(__xludf.DUMMYFUNCTION("""COMPUTED_VALUE"""),4521756.0)</f>
        <v>4521756</v>
      </c>
    </row>
    <row r="1342">
      <c r="A1342" s="3">
        <f>IFERROR(__xludf.DUMMYFUNCTION("""COMPUTED_VALUE"""),39399.645833333336)</f>
        <v>39399.64583</v>
      </c>
      <c r="B1342" s="2">
        <f>IFERROR(__xludf.DUMMYFUNCTION("""COMPUTED_VALUE"""),665.17)</f>
        <v>665.17</v>
      </c>
      <c r="C1342" s="2">
        <f>IFERROR(__xludf.DUMMYFUNCTION("""COMPUTED_VALUE"""),674.53)</f>
        <v>674.53</v>
      </c>
      <c r="D1342" s="2">
        <f>IFERROR(__xludf.DUMMYFUNCTION("""COMPUTED_VALUE"""),658.73)</f>
        <v>658.73</v>
      </c>
      <c r="E1342" s="2">
        <f>IFERROR(__xludf.DUMMYFUNCTION("""COMPUTED_VALUE"""),666.93)</f>
        <v>666.93</v>
      </c>
      <c r="F1342" s="2">
        <f>IFERROR(__xludf.DUMMYFUNCTION("""COMPUTED_VALUE"""),4241726.0)</f>
        <v>4241726</v>
      </c>
    </row>
    <row r="1343">
      <c r="A1343" s="3">
        <f>IFERROR(__xludf.DUMMYFUNCTION("""COMPUTED_VALUE"""),39400.645833333336)</f>
        <v>39400.64583</v>
      </c>
      <c r="B1343" s="2">
        <f>IFERROR(__xludf.DUMMYFUNCTION("""COMPUTED_VALUE"""),676.07)</f>
        <v>676.07</v>
      </c>
      <c r="C1343" s="2">
        <f>IFERROR(__xludf.DUMMYFUNCTION("""COMPUTED_VALUE"""),717.92)</f>
        <v>717.92</v>
      </c>
      <c r="D1343" s="2">
        <f>IFERROR(__xludf.DUMMYFUNCTION("""COMPUTED_VALUE"""),676.07)</f>
        <v>676.07</v>
      </c>
      <c r="E1343" s="2">
        <f>IFERROR(__xludf.DUMMYFUNCTION("""COMPUTED_VALUE"""),715.31)</f>
        <v>715.31</v>
      </c>
      <c r="F1343" s="2">
        <f>IFERROR(__xludf.DUMMYFUNCTION("""COMPUTED_VALUE"""),6131511.0)</f>
        <v>6131511</v>
      </c>
    </row>
    <row r="1344">
      <c r="A1344" s="3">
        <f>IFERROR(__xludf.DUMMYFUNCTION("""COMPUTED_VALUE"""),39401.645833333336)</f>
        <v>39401.64583</v>
      </c>
      <c r="B1344" s="2">
        <f>IFERROR(__xludf.DUMMYFUNCTION("""COMPUTED_VALUE"""),713.21)</f>
        <v>713.21</v>
      </c>
      <c r="C1344" s="2">
        <f>IFERROR(__xludf.DUMMYFUNCTION("""COMPUTED_VALUE"""),720.64)</f>
        <v>720.64</v>
      </c>
      <c r="D1344" s="2">
        <f>IFERROR(__xludf.DUMMYFUNCTION("""COMPUTED_VALUE"""),705.78)</f>
        <v>705.78</v>
      </c>
      <c r="E1344" s="2">
        <f>IFERROR(__xludf.DUMMYFUNCTION("""COMPUTED_VALUE"""),712.0)</f>
        <v>712</v>
      </c>
      <c r="F1344" s="2">
        <f>IFERROR(__xludf.DUMMYFUNCTION("""COMPUTED_VALUE"""),2639340.0)</f>
        <v>2639340</v>
      </c>
    </row>
    <row r="1345">
      <c r="A1345" s="3">
        <f>IFERROR(__xludf.DUMMYFUNCTION("""COMPUTED_VALUE"""),39402.645833333336)</f>
        <v>39402.64583</v>
      </c>
      <c r="B1345" s="2">
        <f>IFERROR(__xludf.DUMMYFUNCTION("""COMPUTED_VALUE"""),705.78)</f>
        <v>705.78</v>
      </c>
      <c r="C1345" s="2">
        <f>IFERROR(__xludf.DUMMYFUNCTION("""COMPUTED_VALUE"""),725.1)</f>
        <v>725.1</v>
      </c>
      <c r="D1345" s="2">
        <f>IFERROR(__xludf.DUMMYFUNCTION("""COMPUTED_VALUE"""),698.85)</f>
        <v>698.85</v>
      </c>
      <c r="E1345" s="2">
        <f>IFERROR(__xludf.DUMMYFUNCTION("""COMPUTED_VALUE"""),713.62)</f>
        <v>713.62</v>
      </c>
      <c r="F1345" s="2">
        <f>IFERROR(__xludf.DUMMYFUNCTION("""COMPUTED_VALUE"""),2545231.0)</f>
        <v>2545231</v>
      </c>
    </row>
    <row r="1346">
      <c r="A1346" s="3">
        <f>IFERROR(__xludf.DUMMYFUNCTION("""COMPUTED_VALUE"""),39405.645833333336)</f>
        <v>39405.64583</v>
      </c>
      <c r="B1346" s="2">
        <f>IFERROR(__xludf.DUMMYFUNCTION("""COMPUTED_VALUE"""),714.49)</f>
        <v>714.49</v>
      </c>
      <c r="C1346" s="2">
        <f>IFERROR(__xludf.DUMMYFUNCTION("""COMPUTED_VALUE"""),719.65)</f>
        <v>719.65</v>
      </c>
      <c r="D1346" s="2">
        <f>IFERROR(__xludf.DUMMYFUNCTION("""COMPUTED_VALUE"""),703.56)</f>
        <v>703.56</v>
      </c>
      <c r="E1346" s="2">
        <f>IFERROR(__xludf.DUMMYFUNCTION("""COMPUTED_VALUE"""),706.01)</f>
        <v>706.01</v>
      </c>
      <c r="F1346" s="2">
        <f>IFERROR(__xludf.DUMMYFUNCTION("""COMPUTED_VALUE"""),1778497.0)</f>
        <v>1778497</v>
      </c>
    </row>
    <row r="1347">
      <c r="A1347" s="3">
        <f>IFERROR(__xludf.DUMMYFUNCTION("""COMPUTED_VALUE"""),39406.645833333336)</f>
        <v>39406.64583</v>
      </c>
      <c r="B1347" s="2">
        <f>IFERROR(__xludf.DUMMYFUNCTION("""COMPUTED_VALUE"""),700.83)</f>
        <v>700.83</v>
      </c>
      <c r="C1347" s="2">
        <f>IFERROR(__xludf.DUMMYFUNCTION("""COMPUTED_VALUE"""),707.76)</f>
        <v>707.76</v>
      </c>
      <c r="D1347" s="2">
        <f>IFERROR(__xludf.DUMMYFUNCTION("""COMPUTED_VALUE"""),683.55)</f>
        <v>683.55</v>
      </c>
      <c r="E1347" s="2">
        <f>IFERROR(__xludf.DUMMYFUNCTION("""COMPUTED_VALUE"""),689.65)</f>
        <v>689.65</v>
      </c>
      <c r="F1347" s="2">
        <f>IFERROR(__xludf.DUMMYFUNCTION("""COMPUTED_VALUE"""),3804144.0)</f>
        <v>3804144</v>
      </c>
    </row>
    <row r="1348">
      <c r="A1348" s="3">
        <f>IFERROR(__xludf.DUMMYFUNCTION("""COMPUTED_VALUE"""),39407.645833333336)</f>
        <v>39407.64583</v>
      </c>
      <c r="B1348" s="2">
        <f>IFERROR(__xludf.DUMMYFUNCTION("""COMPUTED_VALUE"""),685.97)</f>
        <v>685.97</v>
      </c>
      <c r="C1348" s="2">
        <f>IFERROR(__xludf.DUMMYFUNCTION("""COMPUTED_VALUE"""),692.88)</f>
        <v>692.88</v>
      </c>
      <c r="D1348" s="2">
        <f>IFERROR(__xludf.DUMMYFUNCTION("""COMPUTED_VALUE"""),666.16)</f>
        <v>666.16</v>
      </c>
      <c r="E1348" s="2">
        <f>IFERROR(__xludf.DUMMYFUNCTION("""COMPUTED_VALUE"""),670.99)</f>
        <v>670.99</v>
      </c>
      <c r="F1348" s="2">
        <f>IFERROR(__xludf.DUMMYFUNCTION("""COMPUTED_VALUE"""),4287627.0)</f>
        <v>4287627</v>
      </c>
    </row>
    <row r="1349">
      <c r="A1349" s="3">
        <f>IFERROR(__xludf.DUMMYFUNCTION("""COMPUTED_VALUE"""),39408.645833333336)</f>
        <v>39408.64583</v>
      </c>
      <c r="B1349" s="2">
        <f>IFERROR(__xludf.DUMMYFUNCTION("""COMPUTED_VALUE"""),685.9)</f>
        <v>685.9</v>
      </c>
      <c r="C1349" s="2">
        <f>IFERROR(__xludf.DUMMYFUNCTION("""COMPUTED_VALUE"""),685.9)</f>
        <v>685.9</v>
      </c>
      <c r="D1349" s="2">
        <f>IFERROR(__xludf.DUMMYFUNCTION("""COMPUTED_VALUE"""),660.22)</f>
        <v>660.22</v>
      </c>
      <c r="E1349" s="2">
        <f>IFERROR(__xludf.DUMMYFUNCTION("""COMPUTED_VALUE"""),674.77)</f>
        <v>674.77</v>
      </c>
      <c r="F1349" s="2">
        <f>IFERROR(__xludf.DUMMYFUNCTION("""COMPUTED_VALUE"""),3519383.0)</f>
        <v>3519383</v>
      </c>
    </row>
    <row r="1350">
      <c r="A1350" s="3">
        <f>IFERROR(__xludf.DUMMYFUNCTION("""COMPUTED_VALUE"""),39409.645833333336)</f>
        <v>39409.64583</v>
      </c>
      <c r="B1350" s="2">
        <f>IFERROR(__xludf.DUMMYFUNCTION("""COMPUTED_VALUE"""),681.03)</f>
        <v>681.03</v>
      </c>
      <c r="C1350" s="2">
        <f>IFERROR(__xludf.DUMMYFUNCTION("""COMPUTED_VALUE"""),701.57)</f>
        <v>701.57</v>
      </c>
      <c r="D1350" s="2">
        <f>IFERROR(__xludf.DUMMYFUNCTION("""COMPUTED_VALUE"""),673.61)</f>
        <v>673.61</v>
      </c>
      <c r="E1350" s="2">
        <f>IFERROR(__xludf.DUMMYFUNCTION("""COMPUTED_VALUE"""),696.18)</f>
        <v>696.18</v>
      </c>
      <c r="F1350" s="2">
        <f>IFERROR(__xludf.DUMMYFUNCTION("""COMPUTED_VALUE"""),2386365.0)</f>
        <v>2386365</v>
      </c>
    </row>
    <row r="1351">
      <c r="A1351" s="3">
        <f>IFERROR(__xludf.DUMMYFUNCTION("""COMPUTED_VALUE"""),39412.645833333336)</f>
        <v>39412.64583</v>
      </c>
      <c r="B1351" s="2">
        <f>IFERROR(__xludf.DUMMYFUNCTION("""COMPUTED_VALUE"""),707.32)</f>
        <v>707.32</v>
      </c>
      <c r="C1351" s="2">
        <f>IFERROR(__xludf.DUMMYFUNCTION("""COMPUTED_VALUE"""),719.08)</f>
        <v>719.08</v>
      </c>
      <c r="D1351" s="2">
        <f>IFERROR(__xludf.DUMMYFUNCTION("""COMPUTED_VALUE"""),700.36)</f>
        <v>700.36</v>
      </c>
      <c r="E1351" s="2">
        <f>IFERROR(__xludf.DUMMYFUNCTION("""COMPUTED_VALUE"""),714.34)</f>
        <v>714.34</v>
      </c>
      <c r="F1351" s="2">
        <f>IFERROR(__xludf.DUMMYFUNCTION("""COMPUTED_VALUE"""),3025531.0)</f>
        <v>3025531</v>
      </c>
    </row>
    <row r="1352">
      <c r="A1352" s="3">
        <f>IFERROR(__xludf.DUMMYFUNCTION("""COMPUTED_VALUE"""),39413.645833333336)</f>
        <v>39413.64583</v>
      </c>
      <c r="B1352" s="2">
        <f>IFERROR(__xludf.DUMMYFUNCTION("""COMPUTED_VALUE"""),716.93)</f>
        <v>716.93</v>
      </c>
      <c r="C1352" s="2">
        <f>IFERROR(__xludf.DUMMYFUNCTION("""COMPUTED_VALUE"""),716.93)</f>
        <v>716.93</v>
      </c>
      <c r="D1352" s="2">
        <f>IFERROR(__xludf.DUMMYFUNCTION("""COMPUTED_VALUE"""),699.59)</f>
        <v>699.59</v>
      </c>
      <c r="E1352" s="2">
        <f>IFERROR(__xludf.DUMMYFUNCTION("""COMPUTED_VALUE"""),704.12)</f>
        <v>704.12</v>
      </c>
      <c r="F1352" s="2">
        <f>IFERROR(__xludf.DUMMYFUNCTION("""COMPUTED_VALUE"""),2439933.0)</f>
        <v>2439933</v>
      </c>
    </row>
    <row r="1353">
      <c r="A1353" s="3">
        <f>IFERROR(__xludf.DUMMYFUNCTION("""COMPUTED_VALUE"""),39414.645833333336)</f>
        <v>39414.64583</v>
      </c>
      <c r="B1353" s="2">
        <f>IFERROR(__xludf.DUMMYFUNCTION("""COMPUTED_VALUE"""),707.02)</f>
        <v>707.02</v>
      </c>
      <c r="C1353" s="2">
        <f>IFERROR(__xludf.DUMMYFUNCTION("""COMPUTED_VALUE"""),710.44)</f>
        <v>710.44</v>
      </c>
      <c r="D1353" s="2">
        <f>IFERROR(__xludf.DUMMYFUNCTION("""COMPUTED_VALUE"""),685.72)</f>
        <v>685.72</v>
      </c>
      <c r="E1353" s="2">
        <f>IFERROR(__xludf.DUMMYFUNCTION("""COMPUTED_VALUE"""),691.49)</f>
        <v>691.49</v>
      </c>
      <c r="F1353" s="2">
        <f>IFERROR(__xludf.DUMMYFUNCTION("""COMPUTED_VALUE"""),2394190.0)</f>
        <v>2394190</v>
      </c>
    </row>
    <row r="1354">
      <c r="A1354" s="3">
        <f>IFERROR(__xludf.DUMMYFUNCTION("""COMPUTED_VALUE"""),39415.645833333336)</f>
        <v>39415.64583</v>
      </c>
      <c r="B1354" s="2">
        <f>IFERROR(__xludf.DUMMYFUNCTION("""COMPUTED_VALUE"""),703.06)</f>
        <v>703.06</v>
      </c>
      <c r="C1354" s="2">
        <f>IFERROR(__xludf.DUMMYFUNCTION("""COMPUTED_VALUE"""),704.22)</f>
        <v>704.22</v>
      </c>
      <c r="D1354" s="2">
        <f>IFERROR(__xludf.DUMMYFUNCTION("""COMPUTED_VALUE"""),692.91)</f>
        <v>692.91</v>
      </c>
      <c r="E1354" s="2">
        <f>IFERROR(__xludf.DUMMYFUNCTION("""COMPUTED_VALUE"""),696.51)</f>
        <v>696.51</v>
      </c>
      <c r="F1354" s="2">
        <f>IFERROR(__xludf.DUMMYFUNCTION("""COMPUTED_VALUE"""),4045389.0)</f>
        <v>4045389</v>
      </c>
    </row>
    <row r="1355">
      <c r="A1355" s="3">
        <f>IFERROR(__xludf.DUMMYFUNCTION("""COMPUTED_VALUE"""),39416.645833333336)</f>
        <v>39416.64583</v>
      </c>
      <c r="B1355" s="2">
        <f>IFERROR(__xludf.DUMMYFUNCTION("""COMPUTED_VALUE"""),699.59)</f>
        <v>699.59</v>
      </c>
      <c r="C1355" s="2">
        <f>IFERROR(__xludf.DUMMYFUNCTION("""COMPUTED_VALUE"""),713.96)</f>
        <v>713.96</v>
      </c>
      <c r="D1355" s="2">
        <f>IFERROR(__xludf.DUMMYFUNCTION("""COMPUTED_VALUE"""),696.7)</f>
        <v>696.7</v>
      </c>
      <c r="E1355" s="2">
        <f>IFERROR(__xludf.DUMMYFUNCTION("""COMPUTED_VALUE"""),706.19)</f>
        <v>706.19</v>
      </c>
      <c r="F1355" s="2">
        <f>IFERROR(__xludf.DUMMYFUNCTION("""COMPUTED_VALUE"""),3086761.0)</f>
        <v>3086761</v>
      </c>
    </row>
    <row r="1356">
      <c r="A1356" s="3">
        <f>IFERROR(__xludf.DUMMYFUNCTION("""COMPUTED_VALUE"""),39419.645833333336)</f>
        <v>39419.64583</v>
      </c>
      <c r="B1356" s="2">
        <f>IFERROR(__xludf.DUMMYFUNCTION("""COMPUTED_VALUE"""),715.24)</f>
        <v>715.24</v>
      </c>
      <c r="C1356" s="2">
        <f>IFERROR(__xludf.DUMMYFUNCTION("""COMPUTED_VALUE"""),728.79)</f>
        <v>728.79</v>
      </c>
      <c r="D1356" s="2">
        <f>IFERROR(__xludf.DUMMYFUNCTION("""COMPUTED_VALUE"""),707.27)</f>
        <v>707.27</v>
      </c>
      <c r="E1356" s="2">
        <f>IFERROR(__xludf.DUMMYFUNCTION("""COMPUTED_VALUE"""),726.81)</f>
        <v>726.81</v>
      </c>
      <c r="F1356" s="2">
        <f>IFERROR(__xludf.DUMMYFUNCTION("""COMPUTED_VALUE"""),2451946.0)</f>
        <v>2451946</v>
      </c>
    </row>
    <row r="1357">
      <c r="A1357" s="3">
        <f>IFERROR(__xludf.DUMMYFUNCTION("""COMPUTED_VALUE"""),39420.645833333336)</f>
        <v>39420.64583</v>
      </c>
      <c r="B1357" s="2">
        <f>IFERROR(__xludf.DUMMYFUNCTION("""COMPUTED_VALUE"""),730.55)</f>
        <v>730.55</v>
      </c>
      <c r="C1357" s="2">
        <f>IFERROR(__xludf.DUMMYFUNCTION("""COMPUTED_VALUE"""),734.41)</f>
        <v>734.41</v>
      </c>
      <c r="D1357" s="2">
        <f>IFERROR(__xludf.DUMMYFUNCTION("""COMPUTED_VALUE"""),705.83)</f>
        <v>705.83</v>
      </c>
      <c r="E1357" s="2">
        <f>IFERROR(__xludf.DUMMYFUNCTION("""COMPUTED_VALUE"""),708.88)</f>
        <v>708.88</v>
      </c>
      <c r="F1357" s="2">
        <f>IFERROR(__xludf.DUMMYFUNCTION("""COMPUTED_VALUE"""),2637250.0)</f>
        <v>2637250</v>
      </c>
    </row>
    <row r="1358">
      <c r="A1358" s="3">
        <f>IFERROR(__xludf.DUMMYFUNCTION("""COMPUTED_VALUE"""),39421.645833333336)</f>
        <v>39421.64583</v>
      </c>
      <c r="B1358" s="2">
        <f>IFERROR(__xludf.DUMMYFUNCTION("""COMPUTED_VALUE"""),721.31)</f>
        <v>721.31</v>
      </c>
      <c r="C1358" s="2">
        <f>IFERROR(__xludf.DUMMYFUNCTION("""COMPUTED_VALUE"""),723.12)</f>
        <v>723.12</v>
      </c>
      <c r="D1358" s="2">
        <f>IFERROR(__xludf.DUMMYFUNCTION("""COMPUTED_VALUE"""),709.5)</f>
        <v>709.5</v>
      </c>
      <c r="E1358" s="2">
        <f>IFERROR(__xludf.DUMMYFUNCTION("""COMPUTED_VALUE"""),718.51)</f>
        <v>718.51</v>
      </c>
      <c r="F1358" s="2">
        <f>IFERROR(__xludf.DUMMYFUNCTION("""COMPUTED_VALUE"""),1958011.0)</f>
        <v>1958011</v>
      </c>
    </row>
    <row r="1359">
      <c r="A1359" s="3">
        <f>IFERROR(__xludf.DUMMYFUNCTION("""COMPUTED_VALUE"""),39422.645833333336)</f>
        <v>39422.64583</v>
      </c>
      <c r="B1359" s="2">
        <f>IFERROR(__xludf.DUMMYFUNCTION("""COMPUTED_VALUE"""),730.55)</f>
        <v>730.55</v>
      </c>
      <c r="C1359" s="2">
        <f>IFERROR(__xludf.DUMMYFUNCTION("""COMPUTED_VALUE"""),739.96)</f>
        <v>739.96</v>
      </c>
      <c r="D1359" s="2">
        <f>IFERROR(__xludf.DUMMYFUNCTION("""COMPUTED_VALUE"""),709.56)</f>
        <v>709.56</v>
      </c>
      <c r="E1359" s="2">
        <f>IFERROR(__xludf.DUMMYFUNCTION("""COMPUTED_VALUE"""),711.68)</f>
        <v>711.68</v>
      </c>
      <c r="F1359" s="2">
        <f>IFERROR(__xludf.DUMMYFUNCTION("""COMPUTED_VALUE"""),2480173.0)</f>
        <v>2480173</v>
      </c>
    </row>
    <row r="1360">
      <c r="A1360" s="3">
        <f>IFERROR(__xludf.DUMMYFUNCTION("""COMPUTED_VALUE"""),39423.645833333336)</f>
        <v>39423.64583</v>
      </c>
      <c r="B1360" s="2">
        <f>IFERROR(__xludf.DUMMYFUNCTION("""COMPUTED_VALUE"""),719.4)</f>
        <v>719.4</v>
      </c>
      <c r="C1360" s="2">
        <f>IFERROR(__xludf.DUMMYFUNCTION("""COMPUTED_VALUE"""),719.4)</f>
        <v>719.4</v>
      </c>
      <c r="D1360" s="2">
        <f>IFERROR(__xludf.DUMMYFUNCTION("""COMPUTED_VALUE"""),693.98)</f>
        <v>693.98</v>
      </c>
      <c r="E1360" s="2">
        <f>IFERROR(__xludf.DUMMYFUNCTION("""COMPUTED_VALUE"""),703.67)</f>
        <v>703.67</v>
      </c>
      <c r="F1360" s="2">
        <f>IFERROR(__xludf.DUMMYFUNCTION("""COMPUTED_VALUE"""),3296976.0)</f>
        <v>3296976</v>
      </c>
    </row>
    <row r="1361">
      <c r="A1361" s="3">
        <f>IFERROR(__xludf.DUMMYFUNCTION("""COMPUTED_VALUE"""),39426.645833333336)</f>
        <v>39426.64583</v>
      </c>
      <c r="B1361" s="2">
        <f>IFERROR(__xludf.DUMMYFUNCTION("""COMPUTED_VALUE"""),705.78)</f>
        <v>705.78</v>
      </c>
      <c r="C1361" s="2">
        <f>IFERROR(__xludf.DUMMYFUNCTION("""COMPUTED_VALUE"""),710.44)</f>
        <v>710.44</v>
      </c>
      <c r="D1361" s="2">
        <f>IFERROR(__xludf.DUMMYFUNCTION("""COMPUTED_VALUE"""),693.72)</f>
        <v>693.72</v>
      </c>
      <c r="E1361" s="2">
        <f>IFERROR(__xludf.DUMMYFUNCTION("""COMPUTED_VALUE"""),699.09)</f>
        <v>699.09</v>
      </c>
      <c r="F1361" s="2">
        <f>IFERROR(__xludf.DUMMYFUNCTION("""COMPUTED_VALUE"""),1845761.0)</f>
        <v>1845761</v>
      </c>
    </row>
    <row r="1362">
      <c r="A1362" s="3">
        <f>IFERROR(__xludf.DUMMYFUNCTION("""COMPUTED_VALUE"""),39427.645833333336)</f>
        <v>39427.64583</v>
      </c>
      <c r="B1362" s="2">
        <f>IFERROR(__xludf.DUMMYFUNCTION("""COMPUTED_VALUE"""),707.02)</f>
        <v>707.02</v>
      </c>
      <c r="C1362" s="2">
        <f>IFERROR(__xludf.DUMMYFUNCTION("""COMPUTED_VALUE"""),717.91)</f>
        <v>717.91</v>
      </c>
      <c r="D1362" s="2">
        <f>IFERROR(__xludf.DUMMYFUNCTION("""COMPUTED_VALUE"""),700.83)</f>
        <v>700.83</v>
      </c>
      <c r="E1362" s="2">
        <f>IFERROR(__xludf.DUMMYFUNCTION("""COMPUTED_VALUE"""),714.61)</f>
        <v>714.61</v>
      </c>
      <c r="F1362" s="2">
        <f>IFERROR(__xludf.DUMMYFUNCTION("""COMPUTED_VALUE"""),3182745.0)</f>
        <v>3182745</v>
      </c>
    </row>
    <row r="1363">
      <c r="A1363" s="3">
        <f>IFERROR(__xludf.DUMMYFUNCTION("""COMPUTED_VALUE"""),39428.645833333336)</f>
        <v>39428.64583</v>
      </c>
      <c r="B1363" s="2">
        <f>IFERROR(__xludf.DUMMYFUNCTION("""COMPUTED_VALUE"""),710.98)</f>
        <v>710.98</v>
      </c>
      <c r="C1363" s="2">
        <f>IFERROR(__xludf.DUMMYFUNCTION("""COMPUTED_VALUE"""),720.64)</f>
        <v>720.64</v>
      </c>
      <c r="D1363" s="2">
        <f>IFERROR(__xludf.DUMMYFUNCTION("""COMPUTED_VALUE"""),703.31)</f>
        <v>703.31</v>
      </c>
      <c r="E1363" s="2">
        <f>IFERROR(__xludf.DUMMYFUNCTION("""COMPUTED_VALUE"""),713.44)</f>
        <v>713.44</v>
      </c>
      <c r="F1363" s="2">
        <f>IFERROR(__xludf.DUMMYFUNCTION("""COMPUTED_VALUE"""),3105727.0)</f>
        <v>3105727</v>
      </c>
    </row>
    <row r="1364">
      <c r="A1364" s="3">
        <f>IFERROR(__xludf.DUMMYFUNCTION("""COMPUTED_VALUE"""),39429.645833333336)</f>
        <v>39429.64583</v>
      </c>
      <c r="B1364" s="2">
        <f>IFERROR(__xludf.DUMMYFUNCTION("""COMPUTED_VALUE"""),714.38)</f>
        <v>714.38</v>
      </c>
      <c r="C1364" s="2">
        <f>IFERROR(__xludf.DUMMYFUNCTION("""COMPUTED_VALUE"""),724.15)</f>
        <v>724.15</v>
      </c>
      <c r="D1364" s="2">
        <f>IFERROR(__xludf.DUMMYFUNCTION("""COMPUTED_VALUE"""),697.19)</f>
        <v>697.19</v>
      </c>
      <c r="E1364" s="2">
        <f>IFERROR(__xludf.DUMMYFUNCTION("""COMPUTED_VALUE"""),701.51)</f>
        <v>701.51</v>
      </c>
      <c r="F1364" s="2">
        <f>IFERROR(__xludf.DUMMYFUNCTION("""COMPUTED_VALUE"""),3308802.0)</f>
        <v>3308802</v>
      </c>
    </row>
    <row r="1365">
      <c r="A1365" s="3">
        <f>IFERROR(__xludf.DUMMYFUNCTION("""COMPUTED_VALUE"""),39430.645833333336)</f>
        <v>39430.64583</v>
      </c>
      <c r="B1365" s="2">
        <f>IFERROR(__xludf.DUMMYFUNCTION("""COMPUTED_VALUE"""),694.64)</f>
        <v>694.64</v>
      </c>
      <c r="C1365" s="2">
        <f>IFERROR(__xludf.DUMMYFUNCTION("""COMPUTED_VALUE"""),718.17)</f>
        <v>718.17</v>
      </c>
      <c r="D1365" s="2">
        <f>IFERROR(__xludf.DUMMYFUNCTION("""COMPUTED_VALUE"""),694.64)</f>
        <v>694.64</v>
      </c>
      <c r="E1365" s="2">
        <f>IFERROR(__xludf.DUMMYFUNCTION("""COMPUTED_VALUE"""),715.36)</f>
        <v>715.36</v>
      </c>
      <c r="F1365" s="2">
        <f>IFERROR(__xludf.DUMMYFUNCTION("""COMPUTED_VALUE"""),3562187.0)</f>
        <v>3562187</v>
      </c>
    </row>
    <row r="1366">
      <c r="A1366" s="3">
        <f>IFERROR(__xludf.DUMMYFUNCTION("""COMPUTED_VALUE"""),39433.645833333336)</f>
        <v>39433.64583</v>
      </c>
      <c r="B1366" s="2">
        <f>IFERROR(__xludf.DUMMYFUNCTION("""COMPUTED_VALUE"""),705.8)</f>
        <v>705.8</v>
      </c>
      <c r="C1366" s="2">
        <f>IFERROR(__xludf.DUMMYFUNCTION("""COMPUTED_VALUE"""),715.19)</f>
        <v>715.19</v>
      </c>
      <c r="D1366" s="2">
        <f>IFERROR(__xludf.DUMMYFUNCTION("""COMPUTED_VALUE"""),671.11)</f>
        <v>671.11</v>
      </c>
      <c r="E1366" s="2">
        <f>IFERROR(__xludf.DUMMYFUNCTION("""COMPUTED_VALUE"""),687.24)</f>
        <v>687.24</v>
      </c>
      <c r="F1366" s="2">
        <f>IFERROR(__xludf.DUMMYFUNCTION("""COMPUTED_VALUE"""),3594591.0)</f>
        <v>3594591</v>
      </c>
    </row>
    <row r="1367">
      <c r="A1367" s="3">
        <f>IFERROR(__xludf.DUMMYFUNCTION("""COMPUTED_VALUE"""),39435.645833333336)</f>
        <v>39435.64583</v>
      </c>
      <c r="B1367" s="2">
        <f>IFERROR(__xludf.DUMMYFUNCTION("""COMPUTED_VALUE"""),663.7)</f>
        <v>663.7</v>
      </c>
      <c r="C1367" s="2">
        <f>IFERROR(__xludf.DUMMYFUNCTION("""COMPUTED_VALUE"""),689.66)</f>
        <v>689.66</v>
      </c>
      <c r="D1367" s="2">
        <f>IFERROR(__xludf.DUMMYFUNCTION("""COMPUTED_VALUE"""),656.64)</f>
        <v>656.64</v>
      </c>
      <c r="E1367" s="2">
        <f>IFERROR(__xludf.DUMMYFUNCTION("""COMPUTED_VALUE"""),669.58)</f>
        <v>669.58</v>
      </c>
      <c r="F1367" s="2">
        <f>IFERROR(__xludf.DUMMYFUNCTION("""COMPUTED_VALUE"""),3792872.0)</f>
        <v>3792872</v>
      </c>
    </row>
    <row r="1368">
      <c r="A1368" s="3">
        <f>IFERROR(__xludf.DUMMYFUNCTION("""COMPUTED_VALUE"""),39436.645833333336)</f>
        <v>39436.64583</v>
      </c>
      <c r="B1368" s="2">
        <f>IFERROR(__xludf.DUMMYFUNCTION("""COMPUTED_VALUE"""),672.35)</f>
        <v>672.35</v>
      </c>
      <c r="C1368" s="2">
        <f>IFERROR(__xludf.DUMMYFUNCTION("""COMPUTED_VALUE"""),689.44)</f>
        <v>689.44</v>
      </c>
      <c r="D1368" s="2">
        <f>IFERROR(__xludf.DUMMYFUNCTION("""COMPUTED_VALUE"""),666.63)</f>
        <v>666.63</v>
      </c>
      <c r="E1368" s="2">
        <f>IFERROR(__xludf.DUMMYFUNCTION("""COMPUTED_VALUE"""),672.02)</f>
        <v>672.02</v>
      </c>
      <c r="F1368" s="2">
        <f>IFERROR(__xludf.DUMMYFUNCTION("""COMPUTED_VALUE"""),2500665.0)</f>
        <v>2500665</v>
      </c>
    </row>
    <row r="1369">
      <c r="A1369" s="3">
        <f>IFERROR(__xludf.DUMMYFUNCTION("""COMPUTED_VALUE"""),39440.645833333336)</f>
        <v>39440.64583</v>
      </c>
      <c r="B1369" s="2">
        <f>IFERROR(__xludf.DUMMYFUNCTION("""COMPUTED_VALUE"""),684.98)</f>
        <v>684.98</v>
      </c>
      <c r="C1369" s="2">
        <f>IFERROR(__xludf.DUMMYFUNCTION("""COMPUTED_VALUE"""),693.39)</f>
        <v>693.39</v>
      </c>
      <c r="D1369" s="2">
        <f>IFERROR(__xludf.DUMMYFUNCTION("""COMPUTED_VALUE"""),668.14)</f>
        <v>668.14</v>
      </c>
      <c r="E1369" s="2">
        <f>IFERROR(__xludf.DUMMYFUNCTION("""COMPUTED_VALUE"""),690.57)</f>
        <v>690.57</v>
      </c>
      <c r="F1369" s="2">
        <f>IFERROR(__xludf.DUMMYFUNCTION("""COMPUTED_VALUE"""),2693235.0)</f>
        <v>2693235</v>
      </c>
    </row>
    <row r="1370">
      <c r="A1370" s="3">
        <f>IFERROR(__xludf.DUMMYFUNCTION("""COMPUTED_VALUE"""),39442.645833333336)</f>
        <v>39442.64583</v>
      </c>
      <c r="B1370" s="2">
        <f>IFERROR(__xludf.DUMMYFUNCTION("""COMPUTED_VALUE"""),693.4)</f>
        <v>693.4</v>
      </c>
      <c r="C1370" s="2">
        <f>IFERROR(__xludf.DUMMYFUNCTION("""COMPUTED_VALUE"""),721.81)</f>
        <v>721.81</v>
      </c>
      <c r="D1370" s="2">
        <f>IFERROR(__xludf.DUMMYFUNCTION("""COMPUTED_VALUE"""),692.91)</f>
        <v>692.91</v>
      </c>
      <c r="E1370" s="2">
        <f>IFERROR(__xludf.DUMMYFUNCTION("""COMPUTED_VALUE"""),717.3)</f>
        <v>717.3</v>
      </c>
      <c r="F1370" s="2">
        <f>IFERROR(__xludf.DUMMYFUNCTION("""COMPUTED_VALUE"""),3170047.0)</f>
        <v>3170047</v>
      </c>
    </row>
    <row r="1371">
      <c r="A1371" s="3">
        <f>IFERROR(__xludf.DUMMYFUNCTION("""COMPUTED_VALUE"""),39443.645833333336)</f>
        <v>39443.64583</v>
      </c>
      <c r="B1371" s="2">
        <f>IFERROR(__xludf.DUMMYFUNCTION("""COMPUTED_VALUE"""),718.17)</f>
        <v>718.17</v>
      </c>
      <c r="C1371" s="2">
        <f>IFERROR(__xludf.DUMMYFUNCTION("""COMPUTED_VALUE"""),724.6)</f>
        <v>724.6</v>
      </c>
      <c r="D1371" s="2">
        <f>IFERROR(__xludf.DUMMYFUNCTION("""COMPUTED_VALUE"""),712.0)</f>
        <v>712</v>
      </c>
      <c r="E1371" s="2">
        <f>IFERROR(__xludf.DUMMYFUNCTION("""COMPUTED_VALUE"""),716.64)</f>
        <v>716.64</v>
      </c>
      <c r="F1371" s="2">
        <f>IFERROR(__xludf.DUMMYFUNCTION("""COMPUTED_VALUE"""),3821936.0)</f>
        <v>3821936</v>
      </c>
    </row>
    <row r="1372">
      <c r="A1372" s="3">
        <f>IFERROR(__xludf.DUMMYFUNCTION("""COMPUTED_VALUE"""),39444.645833333336)</f>
        <v>39444.64583</v>
      </c>
      <c r="B1372" s="2">
        <f>IFERROR(__xludf.DUMMYFUNCTION("""COMPUTED_VALUE"""),714.95)</f>
        <v>714.95</v>
      </c>
      <c r="C1372" s="2">
        <f>IFERROR(__xludf.DUMMYFUNCTION("""COMPUTED_VALUE"""),725.6)</f>
        <v>725.6</v>
      </c>
      <c r="D1372" s="2">
        <f>IFERROR(__xludf.DUMMYFUNCTION("""COMPUTED_VALUE"""),707.33)</f>
        <v>707.33</v>
      </c>
      <c r="E1372" s="2">
        <f>IFERROR(__xludf.DUMMYFUNCTION("""COMPUTED_VALUE"""),716.89)</f>
        <v>716.89</v>
      </c>
      <c r="F1372" s="2">
        <f>IFERROR(__xludf.DUMMYFUNCTION("""COMPUTED_VALUE"""),1816867.0)</f>
        <v>1816867</v>
      </c>
    </row>
    <row r="1373">
      <c r="A1373" s="3">
        <f>IFERROR(__xludf.DUMMYFUNCTION("""COMPUTED_VALUE"""),39447.645833333336)</f>
        <v>39447.64583</v>
      </c>
      <c r="B1373" s="2">
        <f>IFERROR(__xludf.DUMMYFUNCTION("""COMPUTED_VALUE"""),719.03)</f>
        <v>719.03</v>
      </c>
      <c r="C1373" s="2">
        <f>IFERROR(__xludf.DUMMYFUNCTION("""COMPUTED_VALUE"""),725.6)</f>
        <v>725.6</v>
      </c>
      <c r="D1373" s="2">
        <f>IFERROR(__xludf.DUMMYFUNCTION("""COMPUTED_VALUE"""),710.74)</f>
        <v>710.74</v>
      </c>
      <c r="E1373" s="2">
        <f>IFERROR(__xludf.DUMMYFUNCTION("""COMPUTED_VALUE"""),713.88)</f>
        <v>713.88</v>
      </c>
      <c r="F1373" s="2">
        <f>IFERROR(__xludf.DUMMYFUNCTION("""COMPUTED_VALUE"""),1281379.0)</f>
        <v>1281379</v>
      </c>
    </row>
    <row r="1374">
      <c r="A1374" s="3">
        <f>IFERROR(__xludf.DUMMYFUNCTION("""COMPUTED_VALUE"""),39448.645833333336)</f>
        <v>39448.64583</v>
      </c>
      <c r="B1374" s="2">
        <f>IFERROR(__xludf.DUMMYFUNCTION("""COMPUTED_VALUE"""),715.69)</f>
        <v>715.69</v>
      </c>
      <c r="C1374" s="2">
        <f>IFERROR(__xludf.DUMMYFUNCTION("""COMPUTED_VALUE"""),717.92)</f>
        <v>717.92</v>
      </c>
      <c r="D1374" s="2">
        <f>IFERROR(__xludf.DUMMYFUNCTION("""COMPUTED_VALUE"""),702.09)</f>
        <v>702.09</v>
      </c>
      <c r="E1374" s="2">
        <f>IFERROR(__xludf.DUMMYFUNCTION("""COMPUTED_VALUE"""),705.35)</f>
        <v>705.35</v>
      </c>
      <c r="F1374" s="2">
        <f>IFERROR(__xludf.DUMMYFUNCTION("""COMPUTED_VALUE"""),1204696.0)</f>
        <v>1204696</v>
      </c>
    </row>
    <row r="1375">
      <c r="A1375" s="3">
        <f>IFERROR(__xludf.DUMMYFUNCTION("""COMPUTED_VALUE"""),39449.645833333336)</f>
        <v>39449.64583</v>
      </c>
      <c r="B1375" s="2">
        <f>IFERROR(__xludf.DUMMYFUNCTION("""COMPUTED_VALUE"""),707.02)</f>
        <v>707.02</v>
      </c>
      <c r="C1375" s="2">
        <f>IFERROR(__xludf.DUMMYFUNCTION("""COMPUTED_VALUE"""),714.2)</f>
        <v>714.2</v>
      </c>
      <c r="D1375" s="2">
        <f>IFERROR(__xludf.DUMMYFUNCTION("""COMPUTED_VALUE"""),696.2)</f>
        <v>696.2</v>
      </c>
      <c r="E1375" s="2">
        <f>IFERROR(__xludf.DUMMYFUNCTION("""COMPUTED_VALUE"""),708.69)</f>
        <v>708.69</v>
      </c>
      <c r="F1375" s="2">
        <f>IFERROR(__xludf.DUMMYFUNCTION("""COMPUTED_VALUE"""),3117451.0)</f>
        <v>3117451</v>
      </c>
    </row>
    <row r="1376">
      <c r="A1376" s="3">
        <f>IFERROR(__xludf.DUMMYFUNCTION("""COMPUTED_VALUE"""),39450.645833333336)</f>
        <v>39450.64583</v>
      </c>
      <c r="B1376" s="2">
        <f>IFERROR(__xludf.DUMMYFUNCTION("""COMPUTED_VALUE"""),706.28)</f>
        <v>706.28</v>
      </c>
      <c r="C1376" s="2">
        <f>IFERROR(__xludf.DUMMYFUNCTION("""COMPUTED_VALUE"""),725.6)</f>
        <v>725.6</v>
      </c>
      <c r="D1376" s="2">
        <f>IFERROR(__xludf.DUMMYFUNCTION("""COMPUTED_VALUE"""),700.89)</f>
        <v>700.89</v>
      </c>
      <c r="E1376" s="2">
        <f>IFERROR(__xludf.DUMMYFUNCTION("""COMPUTED_VALUE"""),719.08)</f>
        <v>719.08</v>
      </c>
      <c r="F1376" s="2">
        <f>IFERROR(__xludf.DUMMYFUNCTION("""COMPUTED_VALUE"""),3452086.0)</f>
        <v>3452086</v>
      </c>
    </row>
    <row r="1377">
      <c r="A1377" s="3">
        <f>IFERROR(__xludf.DUMMYFUNCTION("""COMPUTED_VALUE"""),39451.645833333336)</f>
        <v>39451.64583</v>
      </c>
      <c r="B1377" s="2">
        <f>IFERROR(__xludf.DUMMYFUNCTION("""COMPUTED_VALUE"""),719.16)</f>
        <v>719.16</v>
      </c>
      <c r="C1377" s="2">
        <f>IFERROR(__xludf.DUMMYFUNCTION("""COMPUTED_VALUE"""),747.83)</f>
        <v>747.83</v>
      </c>
      <c r="D1377" s="2">
        <f>IFERROR(__xludf.DUMMYFUNCTION("""COMPUTED_VALUE"""),719.16)</f>
        <v>719.16</v>
      </c>
      <c r="E1377" s="2">
        <f>IFERROR(__xludf.DUMMYFUNCTION("""COMPUTED_VALUE"""),741.2)</f>
        <v>741.2</v>
      </c>
      <c r="F1377" s="2">
        <f>IFERROR(__xludf.DUMMYFUNCTION("""COMPUTED_VALUE"""),4053144.0)</f>
        <v>4053144</v>
      </c>
    </row>
    <row r="1378">
      <c r="A1378" s="3">
        <f>IFERROR(__xludf.DUMMYFUNCTION("""COMPUTED_VALUE"""),39454.645833333336)</f>
        <v>39454.64583</v>
      </c>
      <c r="B1378" s="2">
        <f>IFERROR(__xludf.DUMMYFUNCTION("""COMPUTED_VALUE"""),736.69)</f>
        <v>736.69</v>
      </c>
      <c r="C1378" s="2">
        <f>IFERROR(__xludf.DUMMYFUNCTION("""COMPUTED_VALUE"""),750.36)</f>
        <v>750.36</v>
      </c>
      <c r="D1378" s="2">
        <f>IFERROR(__xludf.DUMMYFUNCTION("""COMPUTED_VALUE"""),733.02)</f>
        <v>733.02</v>
      </c>
      <c r="E1378" s="2">
        <f>IFERROR(__xludf.DUMMYFUNCTION("""COMPUTED_VALUE"""),747.95)</f>
        <v>747.95</v>
      </c>
      <c r="F1378" s="2">
        <f>IFERROR(__xludf.DUMMYFUNCTION("""COMPUTED_VALUE"""),3132985.0)</f>
        <v>3132985</v>
      </c>
    </row>
    <row r="1379">
      <c r="A1379" s="3">
        <f>IFERROR(__xludf.DUMMYFUNCTION("""COMPUTED_VALUE"""),39455.645833333336)</f>
        <v>39455.64583</v>
      </c>
      <c r="B1379" s="2">
        <f>IFERROR(__xludf.DUMMYFUNCTION("""COMPUTED_VALUE"""),755.44)</f>
        <v>755.44</v>
      </c>
      <c r="C1379" s="2">
        <f>IFERROR(__xludf.DUMMYFUNCTION("""COMPUTED_VALUE"""),763.73)</f>
        <v>763.73</v>
      </c>
      <c r="D1379" s="2">
        <f>IFERROR(__xludf.DUMMYFUNCTION("""COMPUTED_VALUE"""),742.93)</f>
        <v>742.93</v>
      </c>
      <c r="E1379" s="2">
        <f>IFERROR(__xludf.DUMMYFUNCTION("""COMPUTED_VALUE"""),756.46)</f>
        <v>756.46</v>
      </c>
      <c r="F1379" s="2">
        <f>IFERROR(__xludf.DUMMYFUNCTION("""COMPUTED_VALUE"""),4907826.0)</f>
        <v>4907826</v>
      </c>
    </row>
    <row r="1380">
      <c r="A1380" s="3">
        <f>IFERROR(__xludf.DUMMYFUNCTION("""COMPUTED_VALUE"""),39456.645833333336)</f>
        <v>39456.64583</v>
      </c>
      <c r="B1380" s="2">
        <f>IFERROR(__xludf.DUMMYFUNCTION("""COMPUTED_VALUE"""),754.73)</f>
        <v>754.73</v>
      </c>
      <c r="C1380" s="2">
        <f>IFERROR(__xludf.DUMMYFUNCTION("""COMPUTED_VALUE"""),760.27)</f>
        <v>760.27</v>
      </c>
      <c r="D1380" s="2">
        <f>IFERROR(__xludf.DUMMYFUNCTION("""COMPUTED_VALUE"""),745.99)</f>
        <v>745.99</v>
      </c>
      <c r="E1380" s="2">
        <f>IFERROR(__xludf.DUMMYFUNCTION("""COMPUTED_VALUE"""),751.26)</f>
        <v>751.26</v>
      </c>
      <c r="F1380" s="2">
        <f>IFERROR(__xludf.DUMMYFUNCTION("""COMPUTED_VALUE"""),2522299.0)</f>
        <v>2522299</v>
      </c>
    </row>
    <row r="1381">
      <c r="A1381" s="3">
        <f>IFERROR(__xludf.DUMMYFUNCTION("""COMPUTED_VALUE"""),39457.645833333336)</f>
        <v>39457.64583</v>
      </c>
      <c r="B1381" s="2">
        <f>IFERROR(__xludf.DUMMYFUNCTION("""COMPUTED_VALUE"""),751.6)</f>
        <v>751.6</v>
      </c>
      <c r="C1381" s="2">
        <f>IFERROR(__xludf.DUMMYFUNCTION("""COMPUTED_VALUE"""),767.08)</f>
        <v>767.08</v>
      </c>
      <c r="D1381" s="2">
        <f>IFERROR(__xludf.DUMMYFUNCTION("""COMPUTED_VALUE"""),746.65)</f>
        <v>746.65</v>
      </c>
      <c r="E1381" s="2">
        <f>IFERROR(__xludf.DUMMYFUNCTION("""COMPUTED_VALUE"""),749.81)</f>
        <v>749.81</v>
      </c>
      <c r="F1381" s="2">
        <f>IFERROR(__xludf.DUMMYFUNCTION("""COMPUTED_VALUE"""),4107103.0)</f>
        <v>4107103</v>
      </c>
    </row>
    <row r="1382">
      <c r="A1382" s="3">
        <f>IFERROR(__xludf.DUMMYFUNCTION("""COMPUTED_VALUE"""),39458.645833333336)</f>
        <v>39458.64583</v>
      </c>
      <c r="B1382" s="2">
        <f>IFERROR(__xludf.DUMMYFUNCTION("""COMPUTED_VALUE"""),762.62)</f>
        <v>762.62</v>
      </c>
      <c r="C1382" s="2">
        <f>IFERROR(__xludf.DUMMYFUNCTION("""COMPUTED_VALUE"""),777.6)</f>
        <v>777.6</v>
      </c>
      <c r="D1382" s="2">
        <f>IFERROR(__xludf.DUMMYFUNCTION("""COMPUTED_VALUE"""),749.12)</f>
        <v>749.12</v>
      </c>
      <c r="E1382" s="2">
        <f>IFERROR(__xludf.DUMMYFUNCTION("""COMPUTED_VALUE"""),774.53)</f>
        <v>774.53</v>
      </c>
      <c r="F1382" s="2">
        <f>IFERROR(__xludf.DUMMYFUNCTION("""COMPUTED_VALUE"""),5031340.0)</f>
        <v>5031340</v>
      </c>
    </row>
    <row r="1383">
      <c r="A1383" s="3">
        <f>IFERROR(__xludf.DUMMYFUNCTION("""COMPUTED_VALUE"""),39461.645833333336)</f>
        <v>39461.64583</v>
      </c>
      <c r="B1383" s="2">
        <f>IFERROR(__xludf.DUMMYFUNCTION("""COMPUTED_VALUE"""),782.31)</f>
        <v>782.31</v>
      </c>
      <c r="C1383" s="2">
        <f>IFERROR(__xludf.DUMMYFUNCTION("""COMPUTED_VALUE"""),802.36)</f>
        <v>802.36</v>
      </c>
      <c r="D1383" s="2">
        <f>IFERROR(__xludf.DUMMYFUNCTION("""COMPUTED_VALUE"""),774.13)</f>
        <v>774.13</v>
      </c>
      <c r="E1383" s="2">
        <f>IFERROR(__xludf.DUMMYFUNCTION("""COMPUTED_VALUE"""),797.62)</f>
        <v>797.62</v>
      </c>
      <c r="F1383" s="2">
        <f>IFERROR(__xludf.DUMMYFUNCTION("""COMPUTED_VALUE"""),2761350.0)</f>
        <v>2761350</v>
      </c>
    </row>
    <row r="1384">
      <c r="A1384" s="3">
        <f>IFERROR(__xludf.DUMMYFUNCTION("""COMPUTED_VALUE"""),39462.645833333336)</f>
        <v>39462.64583</v>
      </c>
      <c r="B1384" s="2">
        <f>IFERROR(__xludf.DUMMYFUNCTION("""COMPUTED_VALUE"""),816.73)</f>
        <v>816.73</v>
      </c>
      <c r="C1384" s="2">
        <f>IFERROR(__xludf.DUMMYFUNCTION("""COMPUTED_VALUE"""),816.73)</f>
        <v>816.73</v>
      </c>
      <c r="D1384" s="2">
        <f>IFERROR(__xludf.DUMMYFUNCTION("""COMPUTED_VALUE"""),777.92)</f>
        <v>777.92</v>
      </c>
      <c r="E1384" s="2">
        <f>IFERROR(__xludf.DUMMYFUNCTION("""COMPUTED_VALUE"""),783.93)</f>
        <v>783.93</v>
      </c>
      <c r="F1384" s="2">
        <f>IFERROR(__xludf.DUMMYFUNCTION("""COMPUTED_VALUE"""),3798648.0)</f>
        <v>3798648</v>
      </c>
    </row>
    <row r="1385">
      <c r="A1385" s="3">
        <f>IFERROR(__xludf.DUMMYFUNCTION("""COMPUTED_VALUE"""),39463.645833333336)</f>
        <v>39463.64583</v>
      </c>
      <c r="B1385" s="2">
        <f>IFERROR(__xludf.DUMMYFUNCTION("""COMPUTED_VALUE"""),770.17)</f>
        <v>770.17</v>
      </c>
      <c r="C1385" s="2">
        <f>IFERROR(__xludf.DUMMYFUNCTION("""COMPUTED_VALUE"""),778.84)</f>
        <v>778.84</v>
      </c>
      <c r="D1385" s="2">
        <f>IFERROR(__xludf.DUMMYFUNCTION("""COMPUTED_VALUE"""),749.12)</f>
        <v>749.12</v>
      </c>
      <c r="E1385" s="2">
        <f>IFERROR(__xludf.DUMMYFUNCTION("""COMPUTED_VALUE"""),766.12)</f>
        <v>766.12</v>
      </c>
      <c r="F1385" s="2">
        <f>IFERROR(__xludf.DUMMYFUNCTION("""COMPUTED_VALUE"""),5554677.0)</f>
        <v>5554677</v>
      </c>
    </row>
    <row r="1386">
      <c r="A1386" s="3">
        <f>IFERROR(__xludf.DUMMYFUNCTION("""COMPUTED_VALUE"""),39464.645833333336)</f>
        <v>39464.64583</v>
      </c>
      <c r="B1386" s="2">
        <f>IFERROR(__xludf.DUMMYFUNCTION("""COMPUTED_VALUE"""),782.31)</f>
        <v>782.31</v>
      </c>
      <c r="C1386" s="2">
        <f>IFERROR(__xludf.DUMMYFUNCTION("""COMPUTED_VALUE"""),782.31)</f>
        <v>782.31</v>
      </c>
      <c r="D1386" s="2">
        <f>IFERROR(__xludf.DUMMYFUNCTION("""COMPUTED_VALUE"""),737.02)</f>
        <v>737.02</v>
      </c>
      <c r="E1386" s="2">
        <f>IFERROR(__xludf.DUMMYFUNCTION("""COMPUTED_VALUE"""),742.08)</f>
        <v>742.08</v>
      </c>
      <c r="F1386" s="2">
        <f>IFERROR(__xludf.DUMMYFUNCTION("""COMPUTED_VALUE"""),4791289.0)</f>
        <v>4791289</v>
      </c>
    </row>
    <row r="1387">
      <c r="A1387" s="3">
        <f>IFERROR(__xludf.DUMMYFUNCTION("""COMPUTED_VALUE"""),39465.645833333336)</f>
        <v>39465.64583</v>
      </c>
      <c r="B1387" s="2">
        <f>IFERROR(__xludf.DUMMYFUNCTION("""COMPUTED_VALUE"""),736.74)</f>
        <v>736.74</v>
      </c>
      <c r="C1387" s="2">
        <f>IFERROR(__xludf.DUMMYFUNCTION("""COMPUTED_VALUE"""),736.74)</f>
        <v>736.74</v>
      </c>
      <c r="D1387" s="2">
        <f>IFERROR(__xludf.DUMMYFUNCTION("""COMPUTED_VALUE"""),688.45)</f>
        <v>688.45</v>
      </c>
      <c r="E1387" s="2">
        <f>IFERROR(__xludf.DUMMYFUNCTION("""COMPUTED_VALUE"""),693.3)</f>
        <v>693.3</v>
      </c>
      <c r="F1387" s="2">
        <f>IFERROR(__xludf.DUMMYFUNCTION("""COMPUTED_VALUE"""),5803304.0)</f>
        <v>5803304</v>
      </c>
    </row>
    <row r="1388">
      <c r="A1388" s="3">
        <f>IFERROR(__xludf.DUMMYFUNCTION("""COMPUTED_VALUE"""),39468.645833333336)</f>
        <v>39468.64583</v>
      </c>
      <c r="B1388" s="2">
        <f>IFERROR(__xludf.DUMMYFUNCTION("""COMPUTED_VALUE"""),688.4)</f>
        <v>688.4</v>
      </c>
      <c r="C1388" s="2">
        <f>IFERROR(__xludf.DUMMYFUNCTION("""COMPUTED_VALUE"""),688.4)</f>
        <v>688.4</v>
      </c>
      <c r="D1388" s="2">
        <f>IFERROR(__xludf.DUMMYFUNCTION("""COMPUTED_VALUE"""),580.79)</f>
        <v>580.79</v>
      </c>
      <c r="E1388" s="2">
        <f>IFERROR(__xludf.DUMMYFUNCTION("""COMPUTED_VALUE"""),629.21)</f>
        <v>629.21</v>
      </c>
      <c r="F1388" s="2">
        <f>IFERROR(__xludf.DUMMYFUNCTION("""COMPUTED_VALUE"""),8279575.0)</f>
        <v>8279575</v>
      </c>
    </row>
    <row r="1389">
      <c r="A1389" s="3">
        <f>IFERROR(__xludf.DUMMYFUNCTION("""COMPUTED_VALUE"""),39469.645833333336)</f>
        <v>39469.64583</v>
      </c>
      <c r="B1389" s="2">
        <f>IFERROR(__xludf.DUMMYFUNCTION("""COMPUTED_VALUE"""),582.52)</f>
        <v>582.52</v>
      </c>
      <c r="C1389" s="2">
        <f>IFERROR(__xludf.DUMMYFUNCTION("""COMPUTED_VALUE"""),616.14)</f>
        <v>616.14</v>
      </c>
      <c r="D1389" s="2">
        <f>IFERROR(__xludf.DUMMYFUNCTION("""COMPUTED_VALUE"""),525.0)</f>
        <v>525</v>
      </c>
      <c r="E1389" s="2">
        <f>IFERROR(__xludf.DUMMYFUNCTION("""COMPUTED_VALUE"""),583.81)</f>
        <v>583.81</v>
      </c>
      <c r="F1389" s="2">
        <f>IFERROR(__xludf.DUMMYFUNCTION("""COMPUTED_VALUE"""),8766276.0)</f>
        <v>8766276</v>
      </c>
    </row>
    <row r="1390">
      <c r="A1390" s="3">
        <f>IFERROR(__xludf.DUMMYFUNCTION("""COMPUTED_VALUE"""),39470.645833333336)</f>
        <v>39470.64583</v>
      </c>
      <c r="B1390" s="2">
        <f>IFERROR(__xludf.DUMMYFUNCTION("""COMPUTED_VALUE"""),599.3)</f>
        <v>599.3</v>
      </c>
      <c r="C1390" s="2">
        <f>IFERROR(__xludf.DUMMYFUNCTION("""COMPUTED_VALUE"""),699.59)</f>
        <v>699.59</v>
      </c>
      <c r="D1390" s="2">
        <f>IFERROR(__xludf.DUMMYFUNCTION("""COMPUTED_VALUE"""),594.34)</f>
        <v>594.34</v>
      </c>
      <c r="E1390" s="2">
        <f>IFERROR(__xludf.DUMMYFUNCTION("""COMPUTED_VALUE"""),631.66)</f>
        <v>631.66</v>
      </c>
      <c r="F1390" s="2">
        <f>IFERROR(__xludf.DUMMYFUNCTION("""COMPUTED_VALUE"""),7329351.0)</f>
        <v>7329351</v>
      </c>
    </row>
    <row r="1391">
      <c r="A1391" s="3">
        <f>IFERROR(__xludf.DUMMYFUNCTION("""COMPUTED_VALUE"""),39471.645833333336)</f>
        <v>39471.64583</v>
      </c>
      <c r="B1391" s="2">
        <f>IFERROR(__xludf.DUMMYFUNCTION("""COMPUTED_VALUE"""),641.4)</f>
        <v>641.4</v>
      </c>
      <c r="C1391" s="2">
        <f>IFERROR(__xludf.DUMMYFUNCTION("""COMPUTED_VALUE"""),655.02)</f>
        <v>655.02</v>
      </c>
      <c r="D1391" s="2">
        <f>IFERROR(__xludf.DUMMYFUNCTION("""COMPUTED_VALUE"""),603.01)</f>
        <v>603.01</v>
      </c>
      <c r="E1391" s="2">
        <f>IFERROR(__xludf.DUMMYFUNCTION("""COMPUTED_VALUE"""),616.36)</f>
        <v>616.36</v>
      </c>
      <c r="F1391" s="2">
        <f>IFERROR(__xludf.DUMMYFUNCTION("""COMPUTED_VALUE"""),4882441.0)</f>
        <v>4882441</v>
      </c>
    </row>
    <row r="1392">
      <c r="A1392" s="3">
        <f>IFERROR(__xludf.DUMMYFUNCTION("""COMPUTED_VALUE"""),39472.645833333336)</f>
        <v>39472.64583</v>
      </c>
      <c r="B1392" s="2">
        <f>IFERROR(__xludf.DUMMYFUNCTION("""COMPUTED_VALUE"""),637.68)</f>
        <v>637.68</v>
      </c>
      <c r="C1392" s="2">
        <f>IFERROR(__xludf.DUMMYFUNCTION("""COMPUTED_VALUE"""),650.06)</f>
        <v>650.06</v>
      </c>
      <c r="D1392" s="2">
        <f>IFERROR(__xludf.DUMMYFUNCTION("""COMPUTED_VALUE"""),625.3)</f>
        <v>625.3</v>
      </c>
      <c r="E1392" s="2">
        <f>IFERROR(__xludf.DUMMYFUNCTION("""COMPUTED_VALUE"""),647.69)</f>
        <v>647.69</v>
      </c>
      <c r="F1392" s="2">
        <f>IFERROR(__xludf.DUMMYFUNCTION("""COMPUTED_VALUE"""),2996462.0)</f>
        <v>2996462</v>
      </c>
    </row>
    <row r="1393">
      <c r="A1393" s="3">
        <f>IFERROR(__xludf.DUMMYFUNCTION("""COMPUTED_VALUE"""),39475.645833333336)</f>
        <v>39475.64583</v>
      </c>
      <c r="B1393" s="2">
        <f>IFERROR(__xludf.DUMMYFUNCTION("""COMPUTED_VALUE"""),635.21)</f>
        <v>635.21</v>
      </c>
      <c r="C1393" s="2">
        <f>IFERROR(__xludf.DUMMYFUNCTION("""COMPUTED_VALUE"""),642.56)</f>
        <v>642.56</v>
      </c>
      <c r="D1393" s="2">
        <f>IFERROR(__xludf.DUMMYFUNCTION("""COMPUTED_VALUE"""),601.77)</f>
        <v>601.77</v>
      </c>
      <c r="E1393" s="2">
        <f>IFERROR(__xludf.DUMMYFUNCTION("""COMPUTED_VALUE"""),635.55)</f>
        <v>635.55</v>
      </c>
      <c r="F1393" s="2">
        <f>IFERROR(__xludf.DUMMYFUNCTION("""COMPUTED_VALUE"""),3025440.0)</f>
        <v>3025440</v>
      </c>
    </row>
    <row r="1394">
      <c r="A1394" s="3">
        <f>IFERROR(__xludf.DUMMYFUNCTION("""COMPUTED_VALUE"""),39476.645833333336)</f>
        <v>39476.64583</v>
      </c>
      <c r="B1394" s="2">
        <f>IFERROR(__xludf.DUMMYFUNCTION("""COMPUTED_VALUE"""),655.02)</f>
        <v>655.02</v>
      </c>
      <c r="C1394" s="2">
        <f>IFERROR(__xludf.DUMMYFUNCTION("""COMPUTED_VALUE"""),655.02)</f>
        <v>655.02</v>
      </c>
      <c r="D1394" s="2">
        <f>IFERROR(__xludf.DUMMYFUNCTION("""COMPUTED_VALUE"""),629.1)</f>
        <v>629.1</v>
      </c>
      <c r="E1394" s="2">
        <f>IFERROR(__xludf.DUMMYFUNCTION("""COMPUTED_VALUE"""),638.15)</f>
        <v>638.15</v>
      </c>
      <c r="F1394" s="2">
        <f>IFERROR(__xludf.DUMMYFUNCTION("""COMPUTED_VALUE"""),1988599.0)</f>
        <v>1988599</v>
      </c>
    </row>
    <row r="1395">
      <c r="A1395" s="3">
        <f>IFERROR(__xludf.DUMMYFUNCTION("""COMPUTED_VALUE"""),39477.645833333336)</f>
        <v>39477.64583</v>
      </c>
      <c r="B1395" s="2">
        <f>IFERROR(__xludf.DUMMYFUNCTION("""COMPUTED_VALUE"""),630.3)</f>
        <v>630.3</v>
      </c>
      <c r="C1395" s="2">
        <f>IFERROR(__xludf.DUMMYFUNCTION("""COMPUTED_VALUE"""),643.38)</f>
        <v>643.38</v>
      </c>
      <c r="D1395" s="2">
        <f>IFERROR(__xludf.DUMMYFUNCTION("""COMPUTED_VALUE"""),607.47)</f>
        <v>607.47</v>
      </c>
      <c r="E1395" s="2">
        <f>IFERROR(__xludf.DUMMYFUNCTION("""COMPUTED_VALUE"""),612.15)</f>
        <v>612.15</v>
      </c>
      <c r="F1395" s="2">
        <f>IFERROR(__xludf.DUMMYFUNCTION("""COMPUTED_VALUE"""),2497759.0)</f>
        <v>2497759</v>
      </c>
    </row>
    <row r="1396">
      <c r="A1396" s="3">
        <f>IFERROR(__xludf.DUMMYFUNCTION("""COMPUTED_VALUE"""),39478.645833333336)</f>
        <v>39478.64583</v>
      </c>
      <c r="B1396" s="2">
        <f>IFERROR(__xludf.DUMMYFUNCTION("""COMPUTED_VALUE"""),612.17)</f>
        <v>612.17</v>
      </c>
      <c r="C1396" s="2">
        <f>IFERROR(__xludf.DUMMYFUNCTION("""COMPUTED_VALUE"""),636.37)</f>
        <v>636.37</v>
      </c>
      <c r="D1396" s="2">
        <f>IFERROR(__xludf.DUMMYFUNCTION("""COMPUTED_VALUE"""),587.16)</f>
        <v>587.16</v>
      </c>
      <c r="E1396" s="2">
        <f>IFERROR(__xludf.DUMMYFUNCTION("""COMPUTED_VALUE"""),613.88)</f>
        <v>613.88</v>
      </c>
      <c r="F1396" s="2">
        <f>IFERROR(__xludf.DUMMYFUNCTION("""COMPUTED_VALUE"""),5649201.0)</f>
        <v>5649201</v>
      </c>
    </row>
    <row r="1397">
      <c r="A1397" s="3">
        <f>IFERROR(__xludf.DUMMYFUNCTION("""COMPUTED_VALUE"""),39479.645833333336)</f>
        <v>39479.64583</v>
      </c>
      <c r="B1397" s="2">
        <f>IFERROR(__xludf.DUMMYFUNCTION("""COMPUTED_VALUE"""),616.63)</f>
        <v>616.63</v>
      </c>
      <c r="C1397" s="2">
        <f>IFERROR(__xludf.DUMMYFUNCTION("""COMPUTED_VALUE"""),634.03)</f>
        <v>634.03</v>
      </c>
      <c r="D1397" s="2">
        <f>IFERROR(__xludf.DUMMYFUNCTION("""COMPUTED_VALUE"""),599.3)</f>
        <v>599.3</v>
      </c>
      <c r="E1397" s="2">
        <f>IFERROR(__xludf.DUMMYFUNCTION("""COMPUTED_VALUE"""),629.7)</f>
        <v>629.7</v>
      </c>
      <c r="F1397" s="2">
        <f>IFERROR(__xludf.DUMMYFUNCTION("""COMPUTED_VALUE"""),2109433.0)</f>
        <v>2109433</v>
      </c>
    </row>
    <row r="1398">
      <c r="A1398" s="3">
        <f>IFERROR(__xludf.DUMMYFUNCTION("""COMPUTED_VALUE"""),39482.645833333336)</f>
        <v>39482.64583</v>
      </c>
      <c r="B1398" s="2">
        <f>IFERROR(__xludf.DUMMYFUNCTION("""COMPUTED_VALUE"""),628.02)</f>
        <v>628.02</v>
      </c>
      <c r="C1398" s="2">
        <f>IFERROR(__xludf.DUMMYFUNCTION("""COMPUTED_VALUE"""),654.27)</f>
        <v>654.27</v>
      </c>
      <c r="D1398" s="2">
        <f>IFERROR(__xludf.DUMMYFUNCTION("""COMPUTED_VALUE"""),628.02)</f>
        <v>628.02</v>
      </c>
      <c r="E1398" s="2">
        <f>IFERROR(__xludf.DUMMYFUNCTION("""COMPUTED_VALUE"""),641.69)</f>
        <v>641.69</v>
      </c>
      <c r="F1398" s="2">
        <f>IFERROR(__xludf.DUMMYFUNCTION("""COMPUTED_VALUE"""),2950332.0)</f>
        <v>2950332</v>
      </c>
    </row>
    <row r="1399">
      <c r="A1399" s="3">
        <f>IFERROR(__xludf.DUMMYFUNCTION("""COMPUTED_VALUE"""),39483.645833333336)</f>
        <v>39483.64583</v>
      </c>
      <c r="B1399" s="2">
        <f>IFERROR(__xludf.DUMMYFUNCTION("""COMPUTED_VALUE"""),643.87)</f>
        <v>643.87</v>
      </c>
      <c r="C1399" s="2">
        <f>IFERROR(__xludf.DUMMYFUNCTION("""COMPUTED_VALUE"""),652.29)</f>
        <v>652.29</v>
      </c>
      <c r="D1399" s="2">
        <f>IFERROR(__xludf.DUMMYFUNCTION("""COMPUTED_VALUE"""),635.53)</f>
        <v>635.53</v>
      </c>
      <c r="E1399" s="2">
        <f>IFERROR(__xludf.DUMMYFUNCTION("""COMPUTED_VALUE"""),648.11)</f>
        <v>648.11</v>
      </c>
      <c r="F1399" s="2">
        <f>IFERROR(__xludf.DUMMYFUNCTION("""COMPUTED_VALUE"""),1731683.0)</f>
        <v>1731683</v>
      </c>
    </row>
    <row r="1400">
      <c r="A1400" s="3">
        <f>IFERROR(__xludf.DUMMYFUNCTION("""COMPUTED_VALUE"""),39484.645833333336)</f>
        <v>39484.64583</v>
      </c>
      <c r="B1400" s="2">
        <f>IFERROR(__xludf.DUMMYFUNCTION("""COMPUTED_VALUE"""),633.94)</f>
        <v>633.94</v>
      </c>
      <c r="C1400" s="2">
        <f>IFERROR(__xludf.DUMMYFUNCTION("""COMPUTED_VALUE"""),636.44)</f>
        <v>636.44</v>
      </c>
      <c r="D1400" s="2">
        <f>IFERROR(__xludf.DUMMYFUNCTION("""COMPUTED_VALUE"""),619.43)</f>
        <v>619.43</v>
      </c>
      <c r="E1400" s="2">
        <f>IFERROR(__xludf.DUMMYFUNCTION("""COMPUTED_VALUE"""),632.11)</f>
        <v>632.11</v>
      </c>
      <c r="F1400" s="2">
        <f>IFERROR(__xludf.DUMMYFUNCTION("""COMPUTED_VALUE"""),2201762.0)</f>
        <v>2201762</v>
      </c>
    </row>
    <row r="1401">
      <c r="A1401" s="3">
        <f>IFERROR(__xludf.DUMMYFUNCTION("""COMPUTED_VALUE"""),39485.645833333336)</f>
        <v>39485.64583</v>
      </c>
      <c r="B1401" s="2">
        <f>IFERROR(__xludf.DUMMYFUNCTION("""COMPUTED_VALUE"""),624.06)</f>
        <v>624.06</v>
      </c>
      <c r="C1401" s="2">
        <f>IFERROR(__xludf.DUMMYFUNCTION("""COMPUTED_VALUE"""),638.92)</f>
        <v>638.92</v>
      </c>
      <c r="D1401" s="2">
        <f>IFERROR(__xludf.DUMMYFUNCTION("""COMPUTED_VALUE"""),596.1)</f>
        <v>596.1</v>
      </c>
      <c r="E1401" s="2">
        <f>IFERROR(__xludf.DUMMYFUNCTION("""COMPUTED_VALUE"""),600.65)</f>
        <v>600.65</v>
      </c>
      <c r="F1401" s="2">
        <f>IFERROR(__xludf.DUMMYFUNCTION("""COMPUTED_VALUE"""),3133544.0)</f>
        <v>3133544</v>
      </c>
    </row>
    <row r="1402">
      <c r="A1402" s="3">
        <f>IFERROR(__xludf.DUMMYFUNCTION("""COMPUTED_VALUE"""),39486.645833333336)</f>
        <v>39486.64583</v>
      </c>
      <c r="B1402" s="2">
        <f>IFERROR(__xludf.DUMMYFUNCTION("""COMPUTED_VALUE"""),603.04)</f>
        <v>603.04</v>
      </c>
      <c r="C1402" s="2">
        <f>IFERROR(__xludf.DUMMYFUNCTION("""COMPUTED_VALUE"""),611.18)</f>
        <v>611.18</v>
      </c>
      <c r="D1402" s="2">
        <f>IFERROR(__xludf.DUMMYFUNCTION("""COMPUTED_VALUE"""),591.87)</f>
        <v>591.87</v>
      </c>
      <c r="E1402" s="2">
        <f>IFERROR(__xludf.DUMMYFUNCTION("""COMPUTED_VALUE"""),600.88)</f>
        <v>600.88</v>
      </c>
      <c r="F1402" s="2">
        <f>IFERROR(__xludf.DUMMYFUNCTION("""COMPUTED_VALUE"""),3160339.0)</f>
        <v>3160339</v>
      </c>
    </row>
    <row r="1403">
      <c r="A1403" s="3">
        <f>IFERROR(__xludf.DUMMYFUNCTION("""COMPUTED_VALUE"""),39489.645833333336)</f>
        <v>39489.64583</v>
      </c>
      <c r="B1403" s="2">
        <f>IFERROR(__xludf.DUMMYFUNCTION("""COMPUTED_VALUE"""),597.81)</f>
        <v>597.81</v>
      </c>
      <c r="C1403" s="2">
        <f>IFERROR(__xludf.DUMMYFUNCTION("""COMPUTED_VALUE"""),597.81)</f>
        <v>597.81</v>
      </c>
      <c r="D1403" s="2">
        <f>IFERROR(__xludf.DUMMYFUNCTION("""COMPUTED_VALUE"""),553.48)</f>
        <v>553.48</v>
      </c>
      <c r="E1403" s="2">
        <f>IFERROR(__xludf.DUMMYFUNCTION("""COMPUTED_VALUE"""),563.88)</f>
        <v>563.88</v>
      </c>
      <c r="F1403" s="2">
        <f>IFERROR(__xludf.DUMMYFUNCTION("""COMPUTED_VALUE"""),4760592.0)</f>
        <v>4760592</v>
      </c>
    </row>
    <row r="1404">
      <c r="A1404" s="3">
        <f>IFERROR(__xludf.DUMMYFUNCTION("""COMPUTED_VALUE"""),39490.645833333336)</f>
        <v>39490.64583</v>
      </c>
      <c r="B1404" s="2">
        <f>IFERROR(__xludf.DUMMYFUNCTION("""COMPUTED_VALUE"""),564.87)</f>
        <v>564.87</v>
      </c>
      <c r="C1404" s="2">
        <f>IFERROR(__xludf.DUMMYFUNCTION("""COMPUTED_VALUE"""),599.3)</f>
        <v>599.3</v>
      </c>
      <c r="D1404" s="2">
        <f>IFERROR(__xludf.DUMMYFUNCTION("""COMPUTED_VALUE"""),558.93)</f>
        <v>558.93</v>
      </c>
      <c r="E1404" s="2">
        <f>IFERROR(__xludf.DUMMYFUNCTION("""COMPUTED_VALUE"""),575.73)</f>
        <v>575.73</v>
      </c>
      <c r="F1404" s="2">
        <f>IFERROR(__xludf.DUMMYFUNCTION("""COMPUTED_VALUE"""),4073504.0)</f>
        <v>4073504</v>
      </c>
    </row>
    <row r="1405">
      <c r="A1405" s="3">
        <f>IFERROR(__xludf.DUMMYFUNCTION("""COMPUTED_VALUE"""),39491.645833333336)</f>
        <v>39491.64583</v>
      </c>
      <c r="B1405" s="2">
        <f>IFERROR(__xludf.DUMMYFUNCTION("""COMPUTED_VALUE"""),586.91)</f>
        <v>586.91</v>
      </c>
      <c r="C1405" s="2">
        <f>IFERROR(__xludf.DUMMYFUNCTION("""COMPUTED_VALUE"""),611.42)</f>
        <v>611.42</v>
      </c>
      <c r="D1405" s="2">
        <f>IFERROR(__xludf.DUMMYFUNCTION("""COMPUTED_VALUE"""),581.97)</f>
        <v>581.97</v>
      </c>
      <c r="E1405" s="2">
        <f>IFERROR(__xludf.DUMMYFUNCTION("""COMPUTED_VALUE"""),591.74)</f>
        <v>591.74</v>
      </c>
      <c r="F1405" s="2">
        <f>IFERROR(__xludf.DUMMYFUNCTION("""COMPUTED_VALUE"""),4747799.0)</f>
        <v>4747799</v>
      </c>
    </row>
    <row r="1406">
      <c r="A1406" s="3">
        <f>IFERROR(__xludf.DUMMYFUNCTION("""COMPUTED_VALUE"""),39492.645833333336)</f>
        <v>39492.64583</v>
      </c>
      <c r="B1406" s="2">
        <f>IFERROR(__xludf.DUMMYFUNCTION("""COMPUTED_VALUE"""),606.73)</f>
        <v>606.73</v>
      </c>
      <c r="C1406" s="2">
        <f>IFERROR(__xludf.DUMMYFUNCTION("""COMPUTED_VALUE"""),627.28)</f>
        <v>627.28</v>
      </c>
      <c r="D1406" s="2">
        <f>IFERROR(__xludf.DUMMYFUNCTION("""COMPUTED_VALUE"""),606.73)</f>
        <v>606.73</v>
      </c>
      <c r="E1406" s="2">
        <f>IFERROR(__xludf.DUMMYFUNCTION("""COMPUTED_VALUE"""),623.26)</f>
        <v>623.26</v>
      </c>
      <c r="F1406" s="2">
        <f>IFERROR(__xludf.DUMMYFUNCTION("""COMPUTED_VALUE"""),2879421.0)</f>
        <v>2879421</v>
      </c>
    </row>
    <row r="1407">
      <c r="A1407" s="3">
        <f>IFERROR(__xludf.DUMMYFUNCTION("""COMPUTED_VALUE"""),39493.645833333336)</f>
        <v>39493.64583</v>
      </c>
      <c r="B1407" s="2">
        <f>IFERROR(__xludf.DUMMYFUNCTION("""COMPUTED_VALUE"""),620.32)</f>
        <v>620.32</v>
      </c>
      <c r="C1407" s="2">
        <f>IFERROR(__xludf.DUMMYFUNCTION("""COMPUTED_VALUE"""),643.87)</f>
        <v>643.87</v>
      </c>
      <c r="D1407" s="2">
        <f>IFERROR(__xludf.DUMMYFUNCTION("""COMPUTED_VALUE"""),610.69)</f>
        <v>610.69</v>
      </c>
      <c r="E1407" s="2">
        <f>IFERROR(__xludf.DUMMYFUNCTION("""COMPUTED_VALUE"""),642.37)</f>
        <v>642.37</v>
      </c>
      <c r="F1407" s="2">
        <f>IFERROR(__xludf.DUMMYFUNCTION("""COMPUTED_VALUE"""),2152508.0)</f>
        <v>2152508</v>
      </c>
    </row>
    <row r="1408">
      <c r="A1408" s="3">
        <f>IFERROR(__xludf.DUMMYFUNCTION("""COMPUTED_VALUE"""),39496.645833333336)</f>
        <v>39496.64583</v>
      </c>
      <c r="B1408" s="2">
        <f>IFERROR(__xludf.DUMMYFUNCTION("""COMPUTED_VALUE"""),643.87)</f>
        <v>643.87</v>
      </c>
      <c r="C1408" s="2">
        <f>IFERROR(__xludf.DUMMYFUNCTION("""COMPUTED_VALUE"""),647.59)</f>
        <v>647.59</v>
      </c>
      <c r="D1408" s="2">
        <f>IFERROR(__xludf.DUMMYFUNCTION("""COMPUTED_VALUE"""),628.52)</f>
        <v>628.52</v>
      </c>
      <c r="E1408" s="2">
        <f>IFERROR(__xludf.DUMMYFUNCTION("""COMPUTED_VALUE"""),632.41)</f>
        <v>632.41</v>
      </c>
      <c r="F1408" s="2">
        <f>IFERROR(__xludf.DUMMYFUNCTION("""COMPUTED_VALUE"""),1304630.0)</f>
        <v>1304630</v>
      </c>
    </row>
    <row r="1409">
      <c r="A1409" s="3">
        <f>IFERROR(__xludf.DUMMYFUNCTION("""COMPUTED_VALUE"""),39497.645833333336)</f>
        <v>39497.64583</v>
      </c>
      <c r="B1409" s="2">
        <f>IFERROR(__xludf.DUMMYFUNCTION("""COMPUTED_VALUE"""),641.4)</f>
        <v>641.4</v>
      </c>
      <c r="C1409" s="2">
        <f>IFERROR(__xludf.DUMMYFUNCTION("""COMPUTED_VALUE"""),648.33)</f>
        <v>648.33</v>
      </c>
      <c r="D1409" s="2">
        <f>IFERROR(__xludf.DUMMYFUNCTION("""COMPUTED_VALUE"""),626.54)</f>
        <v>626.54</v>
      </c>
      <c r="E1409" s="2">
        <f>IFERROR(__xludf.DUMMYFUNCTION("""COMPUTED_VALUE"""),632.62)</f>
        <v>632.62</v>
      </c>
      <c r="F1409" s="2">
        <f>IFERROR(__xludf.DUMMYFUNCTION("""COMPUTED_VALUE"""),1608669.0)</f>
        <v>1608669</v>
      </c>
    </row>
    <row r="1410">
      <c r="A1410" s="3">
        <f>IFERROR(__xludf.DUMMYFUNCTION("""COMPUTED_VALUE"""),39498.645833333336)</f>
        <v>39498.64583</v>
      </c>
      <c r="B1410" s="2">
        <f>IFERROR(__xludf.DUMMYFUNCTION("""COMPUTED_VALUE"""),619.16)</f>
        <v>619.16</v>
      </c>
      <c r="C1410" s="2">
        <f>IFERROR(__xludf.DUMMYFUNCTION("""COMPUTED_VALUE"""),631.49)</f>
        <v>631.49</v>
      </c>
      <c r="D1410" s="2">
        <f>IFERROR(__xludf.DUMMYFUNCTION("""COMPUTED_VALUE"""),609.7)</f>
        <v>609.7</v>
      </c>
      <c r="E1410" s="2">
        <f>IFERROR(__xludf.DUMMYFUNCTION("""COMPUTED_VALUE"""),615.15)</f>
        <v>615.15</v>
      </c>
      <c r="F1410" s="2">
        <f>IFERROR(__xludf.DUMMYFUNCTION("""COMPUTED_VALUE"""),2207600.0)</f>
        <v>2207600</v>
      </c>
    </row>
    <row r="1411">
      <c r="A1411" s="3">
        <f>IFERROR(__xludf.DUMMYFUNCTION("""COMPUTED_VALUE"""),39499.645833333336)</f>
        <v>39499.64583</v>
      </c>
      <c r="B1411" s="2">
        <f>IFERROR(__xludf.DUMMYFUNCTION("""COMPUTED_VALUE"""),621.59)</f>
        <v>621.59</v>
      </c>
      <c r="C1411" s="2">
        <f>IFERROR(__xludf.DUMMYFUNCTION("""COMPUTED_VALUE"""),629.26)</f>
        <v>629.26</v>
      </c>
      <c r="D1411" s="2">
        <f>IFERROR(__xludf.DUMMYFUNCTION("""COMPUTED_VALUE"""),609.55)</f>
        <v>609.55</v>
      </c>
      <c r="E1411" s="2">
        <f>IFERROR(__xludf.DUMMYFUNCTION("""COMPUTED_VALUE"""),618.19)</f>
        <v>618.19</v>
      </c>
      <c r="F1411" s="2">
        <f>IFERROR(__xludf.DUMMYFUNCTION("""COMPUTED_VALUE"""),1607483.0)</f>
        <v>1607483</v>
      </c>
    </row>
    <row r="1412">
      <c r="A1412" s="3">
        <f>IFERROR(__xludf.DUMMYFUNCTION("""COMPUTED_VALUE"""),39500.645833333336)</f>
        <v>39500.64583</v>
      </c>
      <c r="B1412" s="2">
        <f>IFERROR(__xludf.DUMMYFUNCTION("""COMPUTED_VALUE"""),604.82)</f>
        <v>604.82</v>
      </c>
      <c r="C1412" s="2">
        <f>IFERROR(__xludf.DUMMYFUNCTION("""COMPUTED_VALUE"""),614.16)</f>
        <v>614.16</v>
      </c>
      <c r="D1412" s="2">
        <f>IFERROR(__xludf.DUMMYFUNCTION("""COMPUTED_VALUE"""),598.06)</f>
        <v>598.06</v>
      </c>
      <c r="E1412" s="2">
        <f>IFERROR(__xludf.DUMMYFUNCTION("""COMPUTED_VALUE"""),602.88)</f>
        <v>602.88</v>
      </c>
      <c r="F1412" s="2">
        <f>IFERROR(__xludf.DUMMYFUNCTION("""COMPUTED_VALUE"""),1982606.0)</f>
        <v>1982606</v>
      </c>
    </row>
    <row r="1413">
      <c r="A1413" s="3">
        <f>IFERROR(__xludf.DUMMYFUNCTION("""COMPUTED_VALUE"""),39503.645833333336)</f>
        <v>39503.64583</v>
      </c>
      <c r="B1413" s="2">
        <f>IFERROR(__xludf.DUMMYFUNCTION("""COMPUTED_VALUE"""),617.87)</f>
        <v>617.87</v>
      </c>
      <c r="C1413" s="2">
        <f>IFERROR(__xludf.DUMMYFUNCTION("""COMPUTED_VALUE"""),635.21)</f>
        <v>635.21</v>
      </c>
      <c r="D1413" s="2">
        <f>IFERROR(__xludf.DUMMYFUNCTION("""COMPUTED_VALUE"""),596.83)</f>
        <v>596.83</v>
      </c>
      <c r="E1413" s="2">
        <f>IFERROR(__xludf.DUMMYFUNCTION("""COMPUTED_VALUE"""),631.85)</f>
        <v>631.85</v>
      </c>
      <c r="F1413" s="2">
        <f>IFERROR(__xludf.DUMMYFUNCTION("""COMPUTED_VALUE"""),1853574.0)</f>
        <v>1853574</v>
      </c>
    </row>
    <row r="1414">
      <c r="A1414" s="3">
        <f>IFERROR(__xludf.DUMMYFUNCTION("""COMPUTED_VALUE"""),39504.645833333336)</f>
        <v>39504.64583</v>
      </c>
      <c r="B1414" s="2">
        <f>IFERROR(__xludf.DUMMYFUNCTION("""COMPUTED_VALUE"""),635.18)</f>
        <v>635.18</v>
      </c>
      <c r="C1414" s="2">
        <f>IFERROR(__xludf.DUMMYFUNCTION("""COMPUTED_VALUE"""),640.41)</f>
        <v>640.41</v>
      </c>
      <c r="D1414" s="2">
        <f>IFERROR(__xludf.DUMMYFUNCTION("""COMPUTED_VALUE"""),627.06)</f>
        <v>627.06</v>
      </c>
      <c r="E1414" s="2">
        <f>IFERROR(__xludf.DUMMYFUNCTION("""COMPUTED_VALUE"""),638.09)</f>
        <v>638.09</v>
      </c>
      <c r="F1414" s="2">
        <f>IFERROR(__xludf.DUMMYFUNCTION("""COMPUTED_VALUE"""),1461973.0)</f>
        <v>1461973</v>
      </c>
    </row>
    <row r="1415">
      <c r="A1415" s="3">
        <f>IFERROR(__xludf.DUMMYFUNCTION("""COMPUTED_VALUE"""),39505.645833333336)</f>
        <v>39505.64583</v>
      </c>
      <c r="B1415" s="2">
        <f>IFERROR(__xludf.DUMMYFUNCTION("""COMPUTED_VALUE"""),645.11)</f>
        <v>645.11</v>
      </c>
      <c r="C1415" s="2">
        <f>IFERROR(__xludf.DUMMYFUNCTION("""COMPUTED_VALUE"""),653.28)</f>
        <v>653.28</v>
      </c>
      <c r="D1415" s="2">
        <f>IFERROR(__xludf.DUMMYFUNCTION("""COMPUTED_VALUE"""),636.46)</f>
        <v>636.46</v>
      </c>
      <c r="E1415" s="2">
        <f>IFERROR(__xludf.DUMMYFUNCTION("""COMPUTED_VALUE"""),641.01)</f>
        <v>641.01</v>
      </c>
      <c r="F1415" s="2">
        <f>IFERROR(__xludf.DUMMYFUNCTION("""COMPUTED_VALUE"""),2665462.0)</f>
        <v>2665462</v>
      </c>
    </row>
    <row r="1416">
      <c r="A1416" s="3">
        <f>IFERROR(__xludf.DUMMYFUNCTION("""COMPUTED_VALUE"""),39506.645833333336)</f>
        <v>39506.64583</v>
      </c>
      <c r="B1416" s="2">
        <f>IFERROR(__xludf.DUMMYFUNCTION("""COMPUTED_VALUE"""),638.92)</f>
        <v>638.92</v>
      </c>
      <c r="C1416" s="2">
        <f>IFERROR(__xludf.DUMMYFUNCTION("""COMPUTED_VALUE"""),643.87)</f>
        <v>643.87</v>
      </c>
      <c r="D1416" s="2">
        <f>IFERROR(__xludf.DUMMYFUNCTION("""COMPUTED_VALUE"""),623.24)</f>
        <v>623.24</v>
      </c>
      <c r="E1416" s="2">
        <f>IFERROR(__xludf.DUMMYFUNCTION("""COMPUTED_VALUE"""),627.34)</f>
        <v>627.34</v>
      </c>
      <c r="F1416" s="2">
        <f>IFERROR(__xludf.DUMMYFUNCTION("""COMPUTED_VALUE"""),2821861.0)</f>
        <v>2821861</v>
      </c>
    </row>
    <row r="1417">
      <c r="A1417" s="3">
        <f>IFERROR(__xludf.DUMMYFUNCTION("""COMPUTED_VALUE"""),39507.645833333336)</f>
        <v>39507.64583</v>
      </c>
      <c r="B1417" s="2">
        <f>IFERROR(__xludf.DUMMYFUNCTION("""COMPUTED_VALUE"""),631.99)</f>
        <v>631.99</v>
      </c>
      <c r="C1417" s="2">
        <f>IFERROR(__xludf.DUMMYFUNCTION("""COMPUTED_VALUE"""),631.99)</f>
        <v>631.99</v>
      </c>
      <c r="D1417" s="2">
        <f>IFERROR(__xludf.DUMMYFUNCTION("""COMPUTED_VALUE"""),596.82)</f>
        <v>596.82</v>
      </c>
      <c r="E1417" s="2">
        <f>IFERROR(__xludf.DUMMYFUNCTION("""COMPUTED_VALUE"""),610.06)</f>
        <v>610.06</v>
      </c>
      <c r="F1417" s="2">
        <f>IFERROR(__xludf.DUMMYFUNCTION("""COMPUTED_VALUE"""),3336910.0)</f>
        <v>3336910</v>
      </c>
    </row>
    <row r="1418">
      <c r="A1418" s="3">
        <f>IFERROR(__xludf.DUMMYFUNCTION("""COMPUTED_VALUE"""),39510.645833333336)</f>
        <v>39510.64583</v>
      </c>
      <c r="B1418" s="2">
        <f>IFERROR(__xludf.DUMMYFUNCTION("""COMPUTED_VALUE"""),594.29)</f>
        <v>594.29</v>
      </c>
      <c r="C1418" s="2">
        <f>IFERROR(__xludf.DUMMYFUNCTION("""COMPUTED_VALUE"""),594.29)</f>
        <v>594.29</v>
      </c>
      <c r="D1418" s="2">
        <f>IFERROR(__xludf.DUMMYFUNCTION("""COMPUTED_VALUE"""),566.99)</f>
        <v>566.99</v>
      </c>
      <c r="E1418" s="2">
        <f>IFERROR(__xludf.DUMMYFUNCTION("""COMPUTED_VALUE"""),571.07)</f>
        <v>571.07</v>
      </c>
      <c r="F1418" s="2">
        <f>IFERROR(__xludf.DUMMYFUNCTION("""COMPUTED_VALUE"""),3028734.0)</f>
        <v>3028734</v>
      </c>
    </row>
    <row r="1419">
      <c r="A1419" s="3">
        <f>IFERROR(__xludf.DUMMYFUNCTION("""COMPUTED_VALUE"""),39511.645833333336)</f>
        <v>39511.64583</v>
      </c>
      <c r="B1419" s="2">
        <f>IFERROR(__xludf.DUMMYFUNCTION("""COMPUTED_VALUE"""),574.53)</f>
        <v>574.53</v>
      </c>
      <c r="C1419" s="2">
        <f>IFERROR(__xludf.DUMMYFUNCTION("""COMPUTED_VALUE"""),578.99)</f>
        <v>578.99</v>
      </c>
      <c r="D1419" s="2">
        <f>IFERROR(__xludf.DUMMYFUNCTION("""COMPUTED_VALUE"""),547.29)</f>
        <v>547.29</v>
      </c>
      <c r="E1419" s="2">
        <f>IFERROR(__xludf.DUMMYFUNCTION("""COMPUTED_VALUE"""),555.51)</f>
        <v>555.51</v>
      </c>
      <c r="F1419" s="2">
        <f>IFERROR(__xludf.DUMMYFUNCTION("""COMPUTED_VALUE"""),4554609.0)</f>
        <v>4554609</v>
      </c>
    </row>
    <row r="1420">
      <c r="A1420" s="3">
        <f>IFERROR(__xludf.DUMMYFUNCTION("""COMPUTED_VALUE"""),39512.645833333336)</f>
        <v>39512.64583</v>
      </c>
      <c r="B1420" s="2">
        <f>IFERROR(__xludf.DUMMYFUNCTION("""COMPUTED_VALUE"""),554.75)</f>
        <v>554.75</v>
      </c>
      <c r="C1420" s="2">
        <f>IFERROR(__xludf.DUMMYFUNCTION("""COMPUTED_VALUE"""),574.53)</f>
        <v>574.53</v>
      </c>
      <c r="D1420" s="2">
        <f>IFERROR(__xludf.DUMMYFUNCTION("""COMPUTED_VALUE"""),551.53)</f>
        <v>551.53</v>
      </c>
      <c r="E1420" s="2">
        <f>IFERROR(__xludf.DUMMYFUNCTION("""COMPUTED_VALUE"""),567.78)</f>
        <v>567.78</v>
      </c>
      <c r="F1420" s="2">
        <f>IFERROR(__xludf.DUMMYFUNCTION("""COMPUTED_VALUE"""),2937145.0)</f>
        <v>2937145</v>
      </c>
    </row>
    <row r="1421">
      <c r="A1421" s="3">
        <f>IFERROR(__xludf.DUMMYFUNCTION("""COMPUTED_VALUE"""),39514.645833333336)</f>
        <v>39514.64583</v>
      </c>
      <c r="B1421" s="2">
        <f>IFERROR(__xludf.DUMMYFUNCTION("""COMPUTED_VALUE"""),564.31)</f>
        <v>564.31</v>
      </c>
      <c r="C1421" s="2">
        <f>IFERROR(__xludf.DUMMYFUNCTION("""COMPUTED_VALUE"""),564.31)</f>
        <v>564.31</v>
      </c>
      <c r="D1421" s="2">
        <f>IFERROR(__xludf.DUMMYFUNCTION("""COMPUTED_VALUE"""),536.46)</f>
        <v>536.46</v>
      </c>
      <c r="E1421" s="2">
        <f>IFERROR(__xludf.DUMMYFUNCTION("""COMPUTED_VALUE"""),556.76)</f>
        <v>556.76</v>
      </c>
      <c r="F1421" s="2">
        <f>IFERROR(__xludf.DUMMYFUNCTION("""COMPUTED_VALUE"""),3323902.0)</f>
        <v>3323902</v>
      </c>
    </row>
    <row r="1422">
      <c r="A1422" s="3">
        <f>IFERROR(__xludf.DUMMYFUNCTION("""COMPUTED_VALUE"""),39517.645833333336)</f>
        <v>39517.64583</v>
      </c>
      <c r="B1422" s="2">
        <f>IFERROR(__xludf.DUMMYFUNCTION("""COMPUTED_VALUE"""),547.51)</f>
        <v>547.51</v>
      </c>
      <c r="C1422" s="2">
        <f>IFERROR(__xludf.DUMMYFUNCTION("""COMPUTED_VALUE"""),566.81)</f>
        <v>566.81</v>
      </c>
      <c r="D1422" s="2">
        <f>IFERROR(__xludf.DUMMYFUNCTION("""COMPUTED_VALUE"""),525.59)</f>
        <v>525.59</v>
      </c>
      <c r="E1422" s="2">
        <f>IFERROR(__xludf.DUMMYFUNCTION("""COMPUTED_VALUE"""),563.28)</f>
        <v>563.28</v>
      </c>
      <c r="F1422" s="2">
        <f>IFERROR(__xludf.DUMMYFUNCTION("""COMPUTED_VALUE"""),5243330.0)</f>
        <v>5243330</v>
      </c>
    </row>
    <row r="1423">
      <c r="A1423" s="3">
        <f>IFERROR(__xludf.DUMMYFUNCTION("""COMPUTED_VALUE"""),39518.645833333336)</f>
        <v>39518.64583</v>
      </c>
      <c r="B1423" s="2">
        <f>IFERROR(__xludf.DUMMYFUNCTION("""COMPUTED_VALUE"""),557.2)</f>
        <v>557.2</v>
      </c>
      <c r="C1423" s="2">
        <f>IFERROR(__xludf.DUMMYFUNCTION("""COMPUTED_VALUE"""),583.2)</f>
        <v>583.2</v>
      </c>
      <c r="D1423" s="2">
        <f>IFERROR(__xludf.DUMMYFUNCTION("""COMPUTED_VALUE"""),545.91)</f>
        <v>545.91</v>
      </c>
      <c r="E1423" s="2">
        <f>IFERROR(__xludf.DUMMYFUNCTION("""COMPUTED_VALUE"""),581.44)</f>
        <v>581.44</v>
      </c>
      <c r="F1423" s="2">
        <f>IFERROR(__xludf.DUMMYFUNCTION("""COMPUTED_VALUE"""),3666369.0)</f>
        <v>3666369</v>
      </c>
    </row>
    <row r="1424">
      <c r="A1424" s="3">
        <f>IFERROR(__xludf.DUMMYFUNCTION("""COMPUTED_VALUE"""),39519.645833333336)</f>
        <v>39519.64583</v>
      </c>
      <c r="B1424" s="2">
        <f>IFERROR(__xludf.DUMMYFUNCTION("""COMPUTED_VALUE"""),599.0)</f>
        <v>599</v>
      </c>
      <c r="C1424" s="2">
        <f>IFERROR(__xludf.DUMMYFUNCTION("""COMPUTED_VALUE"""),601.38)</f>
        <v>601.38</v>
      </c>
      <c r="D1424" s="2">
        <f>IFERROR(__xludf.DUMMYFUNCTION("""COMPUTED_VALUE"""),584.44)</f>
        <v>584.44</v>
      </c>
      <c r="E1424" s="2">
        <f>IFERROR(__xludf.DUMMYFUNCTION("""COMPUTED_VALUE"""),588.05)</f>
        <v>588.05</v>
      </c>
      <c r="F1424" s="2">
        <f>IFERROR(__xludf.DUMMYFUNCTION("""COMPUTED_VALUE"""),3195994.0)</f>
        <v>3195994</v>
      </c>
    </row>
    <row r="1425">
      <c r="A1425" s="3">
        <f>IFERROR(__xludf.DUMMYFUNCTION("""COMPUTED_VALUE"""),39520.645833333336)</f>
        <v>39520.64583</v>
      </c>
      <c r="B1425" s="2">
        <f>IFERROR(__xludf.DUMMYFUNCTION("""COMPUTED_VALUE"""),567.1)</f>
        <v>567.1</v>
      </c>
      <c r="C1425" s="2">
        <f>IFERROR(__xludf.DUMMYFUNCTION("""COMPUTED_VALUE"""),575.77)</f>
        <v>575.77</v>
      </c>
      <c r="D1425" s="2">
        <f>IFERROR(__xludf.DUMMYFUNCTION("""COMPUTED_VALUE"""),545.21)</f>
        <v>545.21</v>
      </c>
      <c r="E1425" s="2">
        <f>IFERROR(__xludf.DUMMYFUNCTION("""COMPUTED_VALUE"""),555.48)</f>
        <v>555.48</v>
      </c>
      <c r="F1425" s="2">
        <f>IFERROR(__xludf.DUMMYFUNCTION("""COMPUTED_VALUE"""),4050878.0)</f>
        <v>4050878</v>
      </c>
    </row>
    <row r="1426">
      <c r="A1426" s="3">
        <f>IFERROR(__xludf.DUMMYFUNCTION("""COMPUTED_VALUE"""),39521.645833333336)</f>
        <v>39521.64583</v>
      </c>
      <c r="B1426" s="2">
        <f>IFERROR(__xludf.DUMMYFUNCTION("""COMPUTED_VALUE"""),557.2)</f>
        <v>557.2</v>
      </c>
      <c r="C1426" s="2">
        <f>IFERROR(__xludf.DUMMYFUNCTION("""COMPUTED_VALUE"""),579.46)</f>
        <v>579.46</v>
      </c>
      <c r="D1426" s="2">
        <f>IFERROR(__xludf.DUMMYFUNCTION("""COMPUTED_VALUE"""),552.32)</f>
        <v>552.32</v>
      </c>
      <c r="E1426" s="2">
        <f>IFERROR(__xludf.DUMMYFUNCTION("""COMPUTED_VALUE"""),575.18)</f>
        <v>575.18</v>
      </c>
      <c r="F1426" s="2">
        <f>IFERROR(__xludf.DUMMYFUNCTION("""COMPUTED_VALUE"""),2736483.0)</f>
        <v>2736483</v>
      </c>
    </row>
    <row r="1427">
      <c r="A1427" s="3">
        <f>IFERROR(__xludf.DUMMYFUNCTION("""COMPUTED_VALUE"""),39524.645833333336)</f>
        <v>39524.64583</v>
      </c>
      <c r="B1427" s="2">
        <f>IFERROR(__xludf.DUMMYFUNCTION("""COMPUTED_VALUE"""),559.95)</f>
        <v>559.95</v>
      </c>
      <c r="C1427" s="2">
        <f>IFERROR(__xludf.DUMMYFUNCTION("""COMPUTED_VALUE"""),562.89)</f>
        <v>562.89</v>
      </c>
      <c r="D1427" s="2">
        <f>IFERROR(__xludf.DUMMYFUNCTION("""COMPUTED_VALUE"""),533.67)</f>
        <v>533.67</v>
      </c>
      <c r="E1427" s="2">
        <f>IFERROR(__xludf.DUMMYFUNCTION("""COMPUTED_VALUE"""),539.91)</f>
        <v>539.91</v>
      </c>
      <c r="F1427" s="2">
        <f>IFERROR(__xludf.DUMMYFUNCTION("""COMPUTED_VALUE"""),4709376.0)</f>
        <v>4709376</v>
      </c>
    </row>
    <row r="1428">
      <c r="A1428" s="3">
        <f>IFERROR(__xludf.DUMMYFUNCTION("""COMPUTED_VALUE"""),39525.645833333336)</f>
        <v>39525.64583</v>
      </c>
      <c r="B1428" s="2">
        <f>IFERROR(__xludf.DUMMYFUNCTION("""COMPUTED_VALUE"""),557.15)</f>
        <v>557.15</v>
      </c>
      <c r="C1428" s="2">
        <f>IFERROR(__xludf.DUMMYFUNCTION("""COMPUTED_VALUE"""),557.15)</f>
        <v>557.15</v>
      </c>
      <c r="D1428" s="2">
        <f>IFERROR(__xludf.DUMMYFUNCTION("""COMPUTED_VALUE"""),525.0)</f>
        <v>525</v>
      </c>
      <c r="E1428" s="2">
        <f>IFERROR(__xludf.DUMMYFUNCTION("""COMPUTED_VALUE"""),532.68)</f>
        <v>532.68</v>
      </c>
      <c r="F1428" s="2">
        <f>IFERROR(__xludf.DUMMYFUNCTION("""COMPUTED_VALUE"""),3965487.0)</f>
        <v>3965487</v>
      </c>
    </row>
    <row r="1429">
      <c r="A1429" s="3">
        <f>IFERROR(__xludf.DUMMYFUNCTION("""COMPUTED_VALUE"""),39526.645833333336)</f>
        <v>39526.64583</v>
      </c>
      <c r="B1429" s="2">
        <f>IFERROR(__xludf.DUMMYFUNCTION("""COMPUTED_VALUE"""),557.2)</f>
        <v>557.2</v>
      </c>
      <c r="C1429" s="2">
        <f>IFERROR(__xludf.DUMMYFUNCTION("""COMPUTED_VALUE"""),580.72)</f>
        <v>580.72</v>
      </c>
      <c r="D1429" s="2">
        <f>IFERROR(__xludf.DUMMYFUNCTION("""COMPUTED_VALUE"""),531.23)</f>
        <v>531.23</v>
      </c>
      <c r="E1429" s="2">
        <f>IFERROR(__xludf.DUMMYFUNCTION("""COMPUTED_VALUE"""),534.69)</f>
        <v>534.69</v>
      </c>
      <c r="F1429" s="2">
        <f>IFERROR(__xludf.DUMMYFUNCTION("""COMPUTED_VALUE"""),3399737.0)</f>
        <v>3399737</v>
      </c>
    </row>
    <row r="1430">
      <c r="A1430" s="3">
        <f>IFERROR(__xludf.DUMMYFUNCTION("""COMPUTED_VALUE"""),39531.645833333336)</f>
        <v>39531.64583</v>
      </c>
      <c r="B1430" s="2">
        <f>IFERROR(__xludf.DUMMYFUNCTION("""COMPUTED_VALUE"""),534.91)</f>
        <v>534.91</v>
      </c>
      <c r="C1430" s="2">
        <f>IFERROR(__xludf.DUMMYFUNCTION("""COMPUTED_VALUE"""),547.22)</f>
        <v>547.22</v>
      </c>
      <c r="D1430" s="2">
        <f>IFERROR(__xludf.DUMMYFUNCTION("""COMPUTED_VALUE"""),526.34)</f>
        <v>526.34</v>
      </c>
      <c r="E1430" s="2">
        <f>IFERROR(__xludf.DUMMYFUNCTION("""COMPUTED_VALUE"""),544.88)</f>
        <v>544.88</v>
      </c>
      <c r="F1430" s="2">
        <f>IFERROR(__xludf.DUMMYFUNCTION("""COMPUTED_VALUE"""),2985289.0)</f>
        <v>2985289</v>
      </c>
    </row>
    <row r="1431">
      <c r="A1431" s="3">
        <f>IFERROR(__xludf.DUMMYFUNCTION("""COMPUTED_VALUE"""),39532.645833333336)</f>
        <v>39532.64583</v>
      </c>
      <c r="B1431" s="2">
        <f>IFERROR(__xludf.DUMMYFUNCTION("""COMPUTED_VALUE"""),548.53)</f>
        <v>548.53</v>
      </c>
      <c r="C1431" s="2">
        <f>IFERROR(__xludf.DUMMYFUNCTION("""COMPUTED_VALUE"""),575.76)</f>
        <v>575.76</v>
      </c>
      <c r="D1431" s="2">
        <f>IFERROR(__xludf.DUMMYFUNCTION("""COMPUTED_VALUE"""),548.53)</f>
        <v>548.53</v>
      </c>
      <c r="E1431" s="2">
        <f>IFERROR(__xludf.DUMMYFUNCTION("""COMPUTED_VALUE"""),573.0)</f>
        <v>573</v>
      </c>
      <c r="F1431" s="2">
        <f>IFERROR(__xludf.DUMMYFUNCTION("""COMPUTED_VALUE"""),3115010.0)</f>
        <v>3115010</v>
      </c>
    </row>
    <row r="1432">
      <c r="A1432" s="3">
        <f>IFERROR(__xludf.DUMMYFUNCTION("""COMPUTED_VALUE"""),39533.645833333336)</f>
        <v>39533.64583</v>
      </c>
      <c r="B1432" s="2">
        <f>IFERROR(__xludf.DUMMYFUNCTION("""COMPUTED_VALUE"""),578.0)</f>
        <v>578</v>
      </c>
      <c r="C1432" s="2">
        <f>IFERROR(__xludf.DUMMYFUNCTION("""COMPUTED_VALUE"""),578.51)</f>
        <v>578.51</v>
      </c>
      <c r="D1432" s="2">
        <f>IFERROR(__xludf.DUMMYFUNCTION("""COMPUTED_VALUE"""),562.29)</f>
        <v>562.29</v>
      </c>
      <c r="E1432" s="2">
        <f>IFERROR(__xludf.DUMMYFUNCTION("""COMPUTED_VALUE"""),569.44)</f>
        <v>569.44</v>
      </c>
      <c r="F1432" s="2">
        <f>IFERROR(__xludf.DUMMYFUNCTION("""COMPUTED_VALUE"""),2331754.0)</f>
        <v>2331754</v>
      </c>
    </row>
    <row r="1433">
      <c r="A1433" s="3">
        <f>IFERROR(__xludf.DUMMYFUNCTION("""COMPUTED_VALUE"""),39534.645833333336)</f>
        <v>39534.64583</v>
      </c>
      <c r="B1433" s="2">
        <f>IFERROR(__xludf.DUMMYFUNCTION("""COMPUTED_VALUE"""),567.1)</f>
        <v>567.1</v>
      </c>
      <c r="C1433" s="2">
        <f>IFERROR(__xludf.DUMMYFUNCTION("""COMPUTED_VALUE"""),573.05)</f>
        <v>573.05</v>
      </c>
      <c r="D1433" s="2">
        <f>IFERROR(__xludf.DUMMYFUNCTION("""COMPUTED_VALUE"""),555.71)</f>
        <v>555.71</v>
      </c>
      <c r="E1433" s="2">
        <f>IFERROR(__xludf.DUMMYFUNCTION("""COMPUTED_VALUE"""),562.35)</f>
        <v>562.35</v>
      </c>
      <c r="F1433" s="2">
        <f>IFERROR(__xludf.DUMMYFUNCTION("""COMPUTED_VALUE"""),4148373.0)</f>
        <v>4148373</v>
      </c>
    </row>
    <row r="1434">
      <c r="A1434" s="3">
        <f>IFERROR(__xludf.DUMMYFUNCTION("""COMPUTED_VALUE"""),39535.645833333336)</f>
        <v>39535.64583</v>
      </c>
      <c r="B1434" s="2">
        <f>IFERROR(__xludf.DUMMYFUNCTION("""COMPUTED_VALUE"""),578.0)</f>
        <v>578</v>
      </c>
      <c r="C1434" s="2">
        <f>IFERROR(__xludf.DUMMYFUNCTION("""COMPUTED_VALUE"""),586.39)</f>
        <v>586.39</v>
      </c>
      <c r="D1434" s="2">
        <f>IFERROR(__xludf.DUMMYFUNCTION("""COMPUTED_VALUE"""),552.65)</f>
        <v>552.65</v>
      </c>
      <c r="E1434" s="2">
        <f>IFERROR(__xludf.DUMMYFUNCTION("""COMPUTED_VALUE"""),582.57)</f>
        <v>582.57</v>
      </c>
      <c r="F1434" s="2">
        <f>IFERROR(__xludf.DUMMYFUNCTION("""COMPUTED_VALUE"""),3944461.0)</f>
        <v>3944461</v>
      </c>
    </row>
    <row r="1435">
      <c r="A1435" s="3">
        <f>IFERROR(__xludf.DUMMYFUNCTION("""COMPUTED_VALUE"""),39538.645833333336)</f>
        <v>39538.64583</v>
      </c>
      <c r="B1435" s="2">
        <f>IFERROR(__xludf.DUMMYFUNCTION("""COMPUTED_VALUE"""),570.82)</f>
        <v>570.82</v>
      </c>
      <c r="C1435" s="2">
        <f>IFERROR(__xludf.DUMMYFUNCTION("""COMPUTED_VALUE"""),578.25)</f>
        <v>578.25</v>
      </c>
      <c r="D1435" s="2">
        <f>IFERROR(__xludf.DUMMYFUNCTION("""COMPUTED_VALUE"""),557.22)</f>
        <v>557.22</v>
      </c>
      <c r="E1435" s="2">
        <f>IFERROR(__xludf.DUMMYFUNCTION("""COMPUTED_VALUE"""),561.11)</f>
        <v>561.11</v>
      </c>
      <c r="F1435" s="2">
        <f>IFERROR(__xludf.DUMMYFUNCTION("""COMPUTED_VALUE"""),3096566.0)</f>
        <v>3096566</v>
      </c>
    </row>
    <row r="1436">
      <c r="A1436" s="3">
        <f>IFERROR(__xludf.DUMMYFUNCTION("""COMPUTED_VALUE"""),39539.645833333336)</f>
        <v>39539.64583</v>
      </c>
      <c r="B1436" s="2">
        <f>IFERROR(__xludf.DUMMYFUNCTION("""COMPUTED_VALUE"""),569.33)</f>
        <v>569.33</v>
      </c>
      <c r="C1436" s="2">
        <f>IFERROR(__xludf.DUMMYFUNCTION("""COMPUTED_VALUE"""),588.15)</f>
        <v>588.15</v>
      </c>
      <c r="D1436" s="2">
        <f>IFERROR(__xludf.DUMMYFUNCTION("""COMPUTED_VALUE"""),555.59)</f>
        <v>555.59</v>
      </c>
      <c r="E1436" s="2">
        <f>IFERROR(__xludf.DUMMYFUNCTION("""COMPUTED_VALUE"""),580.79)</f>
        <v>580.79</v>
      </c>
      <c r="F1436" s="2">
        <f>IFERROR(__xludf.DUMMYFUNCTION("""COMPUTED_VALUE"""),3063841.0)</f>
        <v>3063841</v>
      </c>
    </row>
    <row r="1437">
      <c r="A1437" s="3">
        <f>IFERROR(__xludf.DUMMYFUNCTION("""COMPUTED_VALUE"""),39540.645833333336)</f>
        <v>39540.64583</v>
      </c>
      <c r="B1437" s="2">
        <f>IFERROR(__xludf.DUMMYFUNCTION("""COMPUTED_VALUE"""),593.11)</f>
        <v>593.11</v>
      </c>
      <c r="C1437" s="2">
        <f>IFERROR(__xludf.DUMMYFUNCTION("""COMPUTED_VALUE"""),607.42)</f>
        <v>607.42</v>
      </c>
      <c r="D1437" s="2">
        <f>IFERROR(__xludf.DUMMYFUNCTION("""COMPUTED_VALUE"""),577.01)</f>
        <v>577.01</v>
      </c>
      <c r="E1437" s="2">
        <f>IFERROR(__xludf.DUMMYFUNCTION("""COMPUTED_VALUE"""),580.36)</f>
        <v>580.36</v>
      </c>
      <c r="F1437" s="2">
        <f>IFERROR(__xludf.DUMMYFUNCTION("""COMPUTED_VALUE"""),3664625.0)</f>
        <v>3664625</v>
      </c>
    </row>
    <row r="1438">
      <c r="A1438" s="3">
        <f>IFERROR(__xludf.DUMMYFUNCTION("""COMPUTED_VALUE"""),39541.645833333336)</f>
        <v>39541.64583</v>
      </c>
      <c r="B1438" s="2">
        <f>IFERROR(__xludf.DUMMYFUNCTION("""COMPUTED_VALUE"""),581.96)</f>
        <v>581.96</v>
      </c>
      <c r="C1438" s="2">
        <f>IFERROR(__xludf.DUMMYFUNCTION("""COMPUTED_VALUE"""),598.8)</f>
        <v>598.8</v>
      </c>
      <c r="D1438" s="2">
        <f>IFERROR(__xludf.DUMMYFUNCTION("""COMPUTED_VALUE"""),580.97)</f>
        <v>580.97</v>
      </c>
      <c r="E1438" s="2">
        <f>IFERROR(__xludf.DUMMYFUNCTION("""COMPUTED_VALUE"""),593.37)</f>
        <v>593.37</v>
      </c>
      <c r="F1438" s="2">
        <f>IFERROR(__xludf.DUMMYFUNCTION("""COMPUTED_VALUE"""),1977750.0)</f>
        <v>1977750</v>
      </c>
    </row>
    <row r="1439">
      <c r="A1439" s="3">
        <f>IFERROR(__xludf.DUMMYFUNCTION("""COMPUTED_VALUE"""),39542.645833333336)</f>
        <v>39542.64583</v>
      </c>
      <c r="B1439" s="2">
        <f>IFERROR(__xludf.DUMMYFUNCTION("""COMPUTED_VALUE"""),590.63)</f>
        <v>590.63</v>
      </c>
      <c r="C1439" s="2">
        <f>IFERROR(__xludf.DUMMYFUNCTION("""COMPUTED_VALUE"""),598.03)</f>
        <v>598.03</v>
      </c>
      <c r="D1439" s="2">
        <f>IFERROR(__xludf.DUMMYFUNCTION("""COMPUTED_VALUE"""),572.48)</f>
        <v>572.48</v>
      </c>
      <c r="E1439" s="2">
        <f>IFERROR(__xludf.DUMMYFUNCTION("""COMPUTED_VALUE"""),574.82)</f>
        <v>574.82</v>
      </c>
      <c r="F1439" s="2">
        <f>IFERROR(__xludf.DUMMYFUNCTION("""COMPUTED_VALUE"""),2486271.0)</f>
        <v>2486271</v>
      </c>
    </row>
    <row r="1440">
      <c r="A1440" s="3">
        <f>IFERROR(__xludf.DUMMYFUNCTION("""COMPUTED_VALUE"""),39545.645833333336)</f>
        <v>39545.64583</v>
      </c>
      <c r="B1440" s="2">
        <f>IFERROR(__xludf.DUMMYFUNCTION("""COMPUTED_VALUE"""),558.75)</f>
        <v>558.75</v>
      </c>
      <c r="C1440" s="2">
        <f>IFERROR(__xludf.DUMMYFUNCTION("""COMPUTED_VALUE"""),601.7)</f>
        <v>601.7</v>
      </c>
      <c r="D1440" s="2">
        <f>IFERROR(__xludf.DUMMYFUNCTION("""COMPUTED_VALUE"""),558.75)</f>
        <v>558.75</v>
      </c>
      <c r="E1440" s="2">
        <f>IFERROR(__xludf.DUMMYFUNCTION("""COMPUTED_VALUE"""),595.56)</f>
        <v>595.56</v>
      </c>
      <c r="F1440" s="2">
        <f>IFERROR(__xludf.DUMMYFUNCTION("""COMPUTED_VALUE"""),2632844.0)</f>
        <v>2632844</v>
      </c>
    </row>
    <row r="1441">
      <c r="A1441" s="3">
        <f>IFERROR(__xludf.DUMMYFUNCTION("""COMPUTED_VALUE"""),39546.645833333336)</f>
        <v>39546.64583</v>
      </c>
      <c r="B1441" s="2">
        <f>IFERROR(__xludf.DUMMYFUNCTION("""COMPUTED_VALUE"""),594.34)</f>
        <v>594.34</v>
      </c>
      <c r="C1441" s="2">
        <f>IFERROR(__xludf.DUMMYFUNCTION("""COMPUTED_VALUE"""),600.0)</f>
        <v>600</v>
      </c>
      <c r="D1441" s="2">
        <f>IFERROR(__xludf.DUMMYFUNCTION("""COMPUTED_VALUE"""),584.43)</f>
        <v>584.43</v>
      </c>
      <c r="E1441" s="2">
        <f>IFERROR(__xludf.DUMMYFUNCTION("""COMPUTED_VALUE"""),589.82)</f>
        <v>589.82</v>
      </c>
      <c r="F1441" s="2">
        <f>IFERROR(__xludf.DUMMYFUNCTION("""COMPUTED_VALUE"""),2819713.0)</f>
        <v>2819713</v>
      </c>
    </row>
    <row r="1442">
      <c r="A1442" s="3">
        <f>IFERROR(__xludf.DUMMYFUNCTION("""COMPUTED_VALUE"""),39547.645833333336)</f>
        <v>39547.64583</v>
      </c>
      <c r="B1442" s="2">
        <f>IFERROR(__xludf.DUMMYFUNCTION("""COMPUTED_VALUE"""),583.2)</f>
        <v>583.2</v>
      </c>
      <c r="C1442" s="2">
        <f>IFERROR(__xludf.DUMMYFUNCTION("""COMPUTED_VALUE"""),602.22)</f>
        <v>602.22</v>
      </c>
      <c r="D1442" s="2">
        <f>IFERROR(__xludf.DUMMYFUNCTION("""COMPUTED_VALUE"""),582.22)</f>
        <v>582.22</v>
      </c>
      <c r="E1442" s="2">
        <f>IFERROR(__xludf.DUMMYFUNCTION("""COMPUTED_VALUE"""),598.86)</f>
        <v>598.86</v>
      </c>
      <c r="F1442" s="2">
        <f>IFERROR(__xludf.DUMMYFUNCTION("""COMPUTED_VALUE"""),2281967.0)</f>
        <v>2281967</v>
      </c>
    </row>
    <row r="1443">
      <c r="A1443" s="3">
        <f>IFERROR(__xludf.DUMMYFUNCTION("""COMPUTED_VALUE"""),39548.645833333336)</f>
        <v>39548.64583</v>
      </c>
      <c r="B1443" s="2">
        <f>IFERROR(__xludf.DUMMYFUNCTION("""COMPUTED_VALUE"""),600.54)</f>
        <v>600.54</v>
      </c>
      <c r="C1443" s="2">
        <f>IFERROR(__xludf.DUMMYFUNCTION("""COMPUTED_VALUE"""),623.91)</f>
        <v>623.91</v>
      </c>
      <c r="D1443" s="2">
        <f>IFERROR(__xludf.DUMMYFUNCTION("""COMPUTED_VALUE"""),595.83)</f>
        <v>595.83</v>
      </c>
      <c r="E1443" s="2">
        <f>IFERROR(__xludf.DUMMYFUNCTION("""COMPUTED_VALUE"""),611.34)</f>
        <v>611.34</v>
      </c>
      <c r="F1443" s="2">
        <f>IFERROR(__xludf.DUMMYFUNCTION("""COMPUTED_VALUE"""),3666638.0)</f>
        <v>3666638</v>
      </c>
    </row>
    <row r="1444">
      <c r="A1444" s="3">
        <f>IFERROR(__xludf.DUMMYFUNCTION("""COMPUTED_VALUE"""),39549.645833333336)</f>
        <v>39549.64583</v>
      </c>
      <c r="B1444" s="2">
        <f>IFERROR(__xludf.DUMMYFUNCTION("""COMPUTED_VALUE"""),629.01)</f>
        <v>629.01</v>
      </c>
      <c r="C1444" s="2">
        <f>IFERROR(__xludf.DUMMYFUNCTION("""COMPUTED_VALUE"""),635.7)</f>
        <v>635.7</v>
      </c>
      <c r="D1444" s="2">
        <f>IFERROR(__xludf.DUMMYFUNCTION("""COMPUTED_VALUE"""),610.56)</f>
        <v>610.56</v>
      </c>
      <c r="E1444" s="2">
        <f>IFERROR(__xludf.DUMMYFUNCTION("""COMPUTED_VALUE"""),631.87)</f>
        <v>631.87</v>
      </c>
      <c r="F1444" s="2">
        <f>IFERROR(__xludf.DUMMYFUNCTION("""COMPUTED_VALUE"""),4286756.0)</f>
        <v>4286756</v>
      </c>
    </row>
    <row r="1445">
      <c r="A1445" s="3">
        <f>IFERROR(__xludf.DUMMYFUNCTION("""COMPUTED_VALUE"""),39553.645833333336)</f>
        <v>39553.64583</v>
      </c>
      <c r="B1445" s="2">
        <f>IFERROR(__xludf.DUMMYFUNCTION("""COMPUTED_VALUE"""),622.8)</f>
        <v>622.8</v>
      </c>
      <c r="C1445" s="2">
        <f>IFERROR(__xludf.DUMMYFUNCTION("""COMPUTED_VALUE"""),653.04)</f>
        <v>653.04</v>
      </c>
      <c r="D1445" s="2">
        <f>IFERROR(__xludf.DUMMYFUNCTION("""COMPUTED_VALUE"""),615.73)</f>
        <v>615.73</v>
      </c>
      <c r="E1445" s="2">
        <f>IFERROR(__xludf.DUMMYFUNCTION("""COMPUTED_VALUE"""),646.8)</f>
        <v>646.8</v>
      </c>
      <c r="F1445" s="2">
        <f>IFERROR(__xludf.DUMMYFUNCTION("""COMPUTED_VALUE"""),4266890.0)</f>
        <v>4266890</v>
      </c>
    </row>
    <row r="1446">
      <c r="A1446" s="3">
        <f>IFERROR(__xludf.DUMMYFUNCTION("""COMPUTED_VALUE"""),39554.645833333336)</f>
        <v>39554.64583</v>
      </c>
      <c r="B1446" s="2">
        <f>IFERROR(__xludf.DUMMYFUNCTION("""COMPUTED_VALUE"""),648.84)</f>
        <v>648.84</v>
      </c>
      <c r="C1446" s="2">
        <f>IFERROR(__xludf.DUMMYFUNCTION("""COMPUTED_VALUE"""),660.22)</f>
        <v>660.22</v>
      </c>
      <c r="D1446" s="2">
        <f>IFERROR(__xludf.DUMMYFUNCTION("""COMPUTED_VALUE"""),647.66)</f>
        <v>647.66</v>
      </c>
      <c r="E1446" s="2">
        <f>IFERROR(__xludf.DUMMYFUNCTION("""COMPUTED_VALUE"""),654.4)</f>
        <v>654.4</v>
      </c>
      <c r="F1446" s="2">
        <f>IFERROR(__xludf.DUMMYFUNCTION("""COMPUTED_VALUE"""),3601987.0)</f>
        <v>3601987</v>
      </c>
    </row>
    <row r="1447">
      <c r="A1447" s="3">
        <f>IFERROR(__xludf.DUMMYFUNCTION("""COMPUTED_VALUE"""),39555.645833333336)</f>
        <v>39555.64583</v>
      </c>
      <c r="B1447" s="2">
        <f>IFERROR(__xludf.DUMMYFUNCTION("""COMPUTED_VALUE"""),663.73)</f>
        <v>663.73</v>
      </c>
      <c r="C1447" s="2">
        <f>IFERROR(__xludf.DUMMYFUNCTION("""COMPUTED_VALUE"""),673.09)</f>
        <v>673.09</v>
      </c>
      <c r="D1447" s="2">
        <f>IFERROR(__xludf.DUMMYFUNCTION("""COMPUTED_VALUE"""),648.95)</f>
        <v>648.95</v>
      </c>
      <c r="E1447" s="2">
        <f>IFERROR(__xludf.DUMMYFUNCTION("""COMPUTED_VALUE"""),653.79)</f>
        <v>653.79</v>
      </c>
      <c r="F1447" s="2">
        <f>IFERROR(__xludf.DUMMYFUNCTION("""COMPUTED_VALUE"""),2506892.0)</f>
        <v>2506892</v>
      </c>
    </row>
    <row r="1448">
      <c r="A1448" s="3">
        <f>IFERROR(__xludf.DUMMYFUNCTION("""COMPUTED_VALUE"""),39559.645833333336)</f>
        <v>39559.64583</v>
      </c>
      <c r="B1448" s="2">
        <f>IFERROR(__xludf.DUMMYFUNCTION("""COMPUTED_VALUE"""),651.23)</f>
        <v>651.23</v>
      </c>
      <c r="C1448" s="2">
        <f>IFERROR(__xludf.DUMMYFUNCTION("""COMPUTED_VALUE"""),663.68)</f>
        <v>663.68</v>
      </c>
      <c r="D1448" s="2">
        <f>IFERROR(__xludf.DUMMYFUNCTION("""COMPUTED_VALUE"""),649.35)</f>
        <v>649.35</v>
      </c>
      <c r="E1448" s="2">
        <f>IFERROR(__xludf.DUMMYFUNCTION("""COMPUTED_VALUE"""),654.67)</f>
        <v>654.67</v>
      </c>
      <c r="F1448" s="2">
        <f>IFERROR(__xludf.DUMMYFUNCTION("""COMPUTED_VALUE"""),2114344.0)</f>
        <v>2114344</v>
      </c>
    </row>
    <row r="1449">
      <c r="A1449" s="3">
        <f>IFERROR(__xludf.DUMMYFUNCTION("""COMPUTED_VALUE"""),39560.645833333336)</f>
        <v>39560.64583</v>
      </c>
      <c r="B1449" s="2">
        <f>IFERROR(__xludf.DUMMYFUNCTION("""COMPUTED_VALUE"""),644.12)</f>
        <v>644.12</v>
      </c>
      <c r="C1449" s="2">
        <f>IFERROR(__xludf.DUMMYFUNCTION("""COMPUTED_VALUE"""),662.45)</f>
        <v>662.45</v>
      </c>
      <c r="D1449" s="2">
        <f>IFERROR(__xludf.DUMMYFUNCTION("""COMPUTED_VALUE"""),643.17)</f>
        <v>643.17</v>
      </c>
      <c r="E1449" s="2">
        <f>IFERROR(__xludf.DUMMYFUNCTION("""COMPUTED_VALUE"""),645.69)</f>
        <v>645.69</v>
      </c>
      <c r="F1449" s="2">
        <f>IFERROR(__xludf.DUMMYFUNCTION("""COMPUTED_VALUE"""),2872718.0)</f>
        <v>2872718</v>
      </c>
    </row>
    <row r="1450">
      <c r="A1450" s="3">
        <f>IFERROR(__xludf.DUMMYFUNCTION("""COMPUTED_VALUE"""),39561.645833333336)</f>
        <v>39561.64583</v>
      </c>
      <c r="B1450" s="2">
        <f>IFERROR(__xludf.DUMMYFUNCTION("""COMPUTED_VALUE"""),646.84)</f>
        <v>646.84</v>
      </c>
      <c r="C1450" s="2">
        <f>IFERROR(__xludf.DUMMYFUNCTION("""COMPUTED_VALUE"""),651.8)</f>
        <v>651.8</v>
      </c>
      <c r="D1450" s="2">
        <f>IFERROR(__xludf.DUMMYFUNCTION("""COMPUTED_VALUE"""),635.95)</f>
        <v>635.95</v>
      </c>
      <c r="E1450" s="2">
        <f>IFERROR(__xludf.DUMMYFUNCTION("""COMPUTED_VALUE"""),638.33)</f>
        <v>638.33</v>
      </c>
      <c r="F1450" s="2">
        <f>IFERROR(__xludf.DUMMYFUNCTION("""COMPUTED_VALUE"""),3176219.0)</f>
        <v>3176219</v>
      </c>
    </row>
    <row r="1451">
      <c r="A1451" s="3">
        <f>IFERROR(__xludf.DUMMYFUNCTION("""COMPUTED_VALUE"""),39562.645833333336)</f>
        <v>39562.64583</v>
      </c>
      <c r="B1451" s="2">
        <f>IFERROR(__xludf.DUMMYFUNCTION("""COMPUTED_VALUE"""),643.87)</f>
        <v>643.87</v>
      </c>
      <c r="C1451" s="2">
        <f>IFERROR(__xludf.DUMMYFUNCTION("""COMPUTED_VALUE"""),643.87)</f>
        <v>643.87</v>
      </c>
      <c r="D1451" s="2">
        <f>IFERROR(__xludf.DUMMYFUNCTION("""COMPUTED_VALUE"""),633.06)</f>
        <v>633.06</v>
      </c>
      <c r="E1451" s="2">
        <f>IFERROR(__xludf.DUMMYFUNCTION("""COMPUTED_VALUE"""),639.58)</f>
        <v>639.58</v>
      </c>
      <c r="F1451" s="2">
        <f>IFERROR(__xludf.DUMMYFUNCTION("""COMPUTED_VALUE"""),3303999.0)</f>
        <v>3303999</v>
      </c>
    </row>
    <row r="1452">
      <c r="A1452" s="3">
        <f>IFERROR(__xludf.DUMMYFUNCTION("""COMPUTED_VALUE"""),39563.645833333336)</f>
        <v>39563.64583</v>
      </c>
      <c r="B1452" s="2">
        <f>IFERROR(__xludf.DUMMYFUNCTION("""COMPUTED_VALUE"""),641.4)</f>
        <v>641.4</v>
      </c>
      <c r="C1452" s="2">
        <f>IFERROR(__xludf.DUMMYFUNCTION("""COMPUTED_VALUE"""),652.29)</f>
        <v>652.29</v>
      </c>
      <c r="D1452" s="2">
        <f>IFERROR(__xludf.DUMMYFUNCTION("""COMPUTED_VALUE"""),634.46)</f>
        <v>634.46</v>
      </c>
      <c r="E1452" s="2">
        <f>IFERROR(__xludf.DUMMYFUNCTION("""COMPUTED_VALUE"""),649.94)</f>
        <v>649.94</v>
      </c>
      <c r="F1452" s="2">
        <f>IFERROR(__xludf.DUMMYFUNCTION("""COMPUTED_VALUE"""),3370534.0)</f>
        <v>3370534</v>
      </c>
    </row>
    <row r="1453">
      <c r="A1453" s="3">
        <f>IFERROR(__xludf.DUMMYFUNCTION("""COMPUTED_VALUE"""),39566.645833333336)</f>
        <v>39566.64583</v>
      </c>
      <c r="B1453" s="2">
        <f>IFERROR(__xludf.DUMMYFUNCTION("""COMPUTED_VALUE"""),651.55)</f>
        <v>651.55</v>
      </c>
      <c r="C1453" s="2">
        <f>IFERROR(__xludf.DUMMYFUNCTION("""COMPUTED_VALUE"""),655.02)</f>
        <v>655.02</v>
      </c>
      <c r="D1453" s="2">
        <f>IFERROR(__xludf.DUMMYFUNCTION("""COMPUTED_VALUE"""),639.55)</f>
        <v>639.55</v>
      </c>
      <c r="E1453" s="2">
        <f>IFERROR(__xludf.DUMMYFUNCTION("""COMPUTED_VALUE"""),641.74)</f>
        <v>641.74</v>
      </c>
      <c r="F1453" s="2">
        <f>IFERROR(__xludf.DUMMYFUNCTION("""COMPUTED_VALUE"""),2041983.0)</f>
        <v>2041983</v>
      </c>
    </row>
    <row r="1454">
      <c r="A1454" s="3">
        <f>IFERROR(__xludf.DUMMYFUNCTION("""COMPUTED_VALUE"""),39567.645833333336)</f>
        <v>39567.64583</v>
      </c>
      <c r="B1454" s="2">
        <f>IFERROR(__xludf.DUMMYFUNCTION("""COMPUTED_VALUE"""),638.92)</f>
        <v>638.92</v>
      </c>
      <c r="C1454" s="2">
        <f>IFERROR(__xludf.DUMMYFUNCTION("""COMPUTED_VALUE"""),662.45)</f>
        <v>662.45</v>
      </c>
      <c r="D1454" s="2">
        <f>IFERROR(__xludf.DUMMYFUNCTION("""COMPUTED_VALUE"""),638.92)</f>
        <v>638.92</v>
      </c>
      <c r="E1454" s="2">
        <f>IFERROR(__xludf.DUMMYFUNCTION("""COMPUTED_VALUE"""),658.72)</f>
        <v>658.72</v>
      </c>
      <c r="F1454" s="2">
        <f>IFERROR(__xludf.DUMMYFUNCTION("""COMPUTED_VALUE"""),2486561.0)</f>
        <v>2486561</v>
      </c>
    </row>
    <row r="1455">
      <c r="A1455" s="3">
        <f>IFERROR(__xludf.DUMMYFUNCTION("""COMPUTED_VALUE"""),39568.645833333336)</f>
        <v>39568.64583</v>
      </c>
      <c r="B1455" s="2">
        <f>IFERROR(__xludf.DUMMYFUNCTION("""COMPUTED_VALUE"""),656.26)</f>
        <v>656.26</v>
      </c>
      <c r="C1455" s="2">
        <f>IFERROR(__xludf.DUMMYFUNCTION("""COMPUTED_VALUE"""),662.45)</f>
        <v>662.45</v>
      </c>
      <c r="D1455" s="2">
        <f>IFERROR(__xludf.DUMMYFUNCTION("""COMPUTED_VALUE"""),645.51)</f>
        <v>645.51</v>
      </c>
      <c r="E1455" s="2">
        <f>IFERROR(__xludf.DUMMYFUNCTION("""COMPUTED_VALUE"""),647.46)</f>
        <v>647.46</v>
      </c>
      <c r="F1455" s="2">
        <f>IFERROR(__xludf.DUMMYFUNCTION("""COMPUTED_VALUE"""),2737552.0)</f>
        <v>2737552</v>
      </c>
    </row>
    <row r="1456">
      <c r="A1456" s="3">
        <f>IFERROR(__xludf.DUMMYFUNCTION("""COMPUTED_VALUE"""),39570.645833333336)</f>
        <v>39570.64583</v>
      </c>
      <c r="B1456" s="2">
        <f>IFERROR(__xludf.DUMMYFUNCTION("""COMPUTED_VALUE"""),749.37)</f>
        <v>749.37</v>
      </c>
      <c r="C1456" s="2">
        <f>IFERROR(__xludf.DUMMYFUNCTION("""COMPUTED_VALUE"""),749.37)</f>
        <v>749.37</v>
      </c>
      <c r="D1456" s="2">
        <f>IFERROR(__xludf.DUMMYFUNCTION("""COMPUTED_VALUE"""),651.05)</f>
        <v>651.05</v>
      </c>
      <c r="E1456" s="2">
        <f>IFERROR(__xludf.DUMMYFUNCTION("""COMPUTED_VALUE"""),662.38)</f>
        <v>662.38</v>
      </c>
      <c r="F1456" s="2">
        <f>IFERROR(__xludf.DUMMYFUNCTION("""COMPUTED_VALUE"""),2409509.0)</f>
        <v>2409509</v>
      </c>
    </row>
    <row r="1457">
      <c r="A1457" s="3">
        <f>IFERROR(__xludf.DUMMYFUNCTION("""COMPUTED_VALUE"""),39573.645833333336)</f>
        <v>39573.64583</v>
      </c>
      <c r="B1457" s="2">
        <f>IFERROR(__xludf.DUMMYFUNCTION("""COMPUTED_VALUE"""),662.47)</f>
        <v>662.47</v>
      </c>
      <c r="C1457" s="2">
        <f>IFERROR(__xludf.DUMMYFUNCTION("""COMPUTED_VALUE"""),670.87)</f>
        <v>670.87</v>
      </c>
      <c r="D1457" s="2">
        <f>IFERROR(__xludf.DUMMYFUNCTION("""COMPUTED_VALUE"""),656.26)</f>
        <v>656.26</v>
      </c>
      <c r="E1457" s="2">
        <f>IFERROR(__xludf.DUMMYFUNCTION("""COMPUTED_VALUE"""),661.01)</f>
        <v>661.01</v>
      </c>
      <c r="F1457" s="2">
        <f>IFERROR(__xludf.DUMMYFUNCTION("""COMPUTED_VALUE"""),2103808.0)</f>
        <v>2103808</v>
      </c>
    </row>
    <row r="1458">
      <c r="A1458" s="3">
        <f>IFERROR(__xludf.DUMMYFUNCTION("""COMPUTED_VALUE"""),39574.645833333336)</f>
        <v>39574.64583</v>
      </c>
      <c r="B1458" s="2">
        <f>IFERROR(__xludf.DUMMYFUNCTION("""COMPUTED_VALUE"""),643.87)</f>
        <v>643.87</v>
      </c>
      <c r="C1458" s="2">
        <f>IFERROR(__xludf.DUMMYFUNCTION("""COMPUTED_VALUE"""),664.18)</f>
        <v>664.18</v>
      </c>
      <c r="D1458" s="2">
        <f>IFERROR(__xludf.DUMMYFUNCTION("""COMPUTED_VALUE"""),643.87)</f>
        <v>643.87</v>
      </c>
      <c r="E1458" s="2">
        <f>IFERROR(__xludf.DUMMYFUNCTION("""COMPUTED_VALUE"""),656.26)</f>
        <v>656.26</v>
      </c>
      <c r="F1458" s="2">
        <f>IFERROR(__xludf.DUMMYFUNCTION("""COMPUTED_VALUE"""),2103076.0)</f>
        <v>2103076</v>
      </c>
    </row>
    <row r="1459">
      <c r="A1459" s="3">
        <f>IFERROR(__xludf.DUMMYFUNCTION("""COMPUTED_VALUE"""),39575.645833333336)</f>
        <v>39575.64583</v>
      </c>
      <c r="B1459" s="2">
        <f>IFERROR(__xludf.DUMMYFUNCTION("""COMPUTED_VALUE"""),668.64)</f>
        <v>668.64</v>
      </c>
      <c r="C1459" s="2">
        <f>IFERROR(__xludf.DUMMYFUNCTION("""COMPUTED_VALUE"""),668.64)</f>
        <v>668.64</v>
      </c>
      <c r="D1459" s="2">
        <f>IFERROR(__xludf.DUMMYFUNCTION("""COMPUTED_VALUE"""),649.82)</f>
        <v>649.82</v>
      </c>
      <c r="E1459" s="2">
        <f>IFERROR(__xludf.DUMMYFUNCTION("""COMPUTED_VALUE"""),665.9)</f>
        <v>665.9</v>
      </c>
      <c r="F1459" s="2">
        <f>IFERROR(__xludf.DUMMYFUNCTION("""COMPUTED_VALUE"""),2549324.0)</f>
        <v>2549324</v>
      </c>
    </row>
    <row r="1460">
      <c r="A1460" s="3">
        <f>IFERROR(__xludf.DUMMYFUNCTION("""COMPUTED_VALUE"""),39576.645833333336)</f>
        <v>39576.64583</v>
      </c>
      <c r="B1460" s="2">
        <f>IFERROR(__xludf.DUMMYFUNCTION("""COMPUTED_VALUE"""),663.68)</f>
        <v>663.68</v>
      </c>
      <c r="C1460" s="2">
        <f>IFERROR(__xludf.DUMMYFUNCTION("""COMPUTED_VALUE"""),665.17)</f>
        <v>665.17</v>
      </c>
      <c r="D1460" s="2">
        <f>IFERROR(__xludf.DUMMYFUNCTION("""COMPUTED_VALUE"""),656.9)</f>
        <v>656.9</v>
      </c>
      <c r="E1460" s="2">
        <f>IFERROR(__xludf.DUMMYFUNCTION("""COMPUTED_VALUE"""),660.53)</f>
        <v>660.53</v>
      </c>
      <c r="F1460" s="2">
        <f>IFERROR(__xludf.DUMMYFUNCTION("""COMPUTED_VALUE"""),1894271.0)</f>
        <v>1894271</v>
      </c>
    </row>
    <row r="1461">
      <c r="A1461" s="3">
        <f>IFERROR(__xludf.DUMMYFUNCTION("""COMPUTED_VALUE"""),39577.645833333336)</f>
        <v>39577.64583</v>
      </c>
      <c r="B1461" s="2">
        <f>IFERROR(__xludf.DUMMYFUNCTION("""COMPUTED_VALUE"""),660.09)</f>
        <v>660.09</v>
      </c>
      <c r="C1461" s="2">
        <f>IFERROR(__xludf.DUMMYFUNCTION("""COMPUTED_VALUE"""),662.11)</f>
        <v>662.11</v>
      </c>
      <c r="D1461" s="2">
        <f>IFERROR(__xludf.DUMMYFUNCTION("""COMPUTED_VALUE"""),621.59)</f>
        <v>621.59</v>
      </c>
      <c r="E1461" s="2">
        <f>IFERROR(__xludf.DUMMYFUNCTION("""COMPUTED_VALUE"""),626.14)</f>
        <v>626.14</v>
      </c>
      <c r="F1461" s="2">
        <f>IFERROR(__xludf.DUMMYFUNCTION("""COMPUTED_VALUE"""),3507684.0)</f>
        <v>3507684</v>
      </c>
    </row>
    <row r="1462">
      <c r="A1462" s="3">
        <f>IFERROR(__xludf.DUMMYFUNCTION("""COMPUTED_VALUE"""),39580.645833333336)</f>
        <v>39580.64583</v>
      </c>
      <c r="B1462" s="2">
        <f>IFERROR(__xludf.DUMMYFUNCTION("""COMPUTED_VALUE"""),621.85)</f>
        <v>621.85</v>
      </c>
      <c r="C1462" s="2">
        <f>IFERROR(__xludf.DUMMYFUNCTION("""COMPUTED_VALUE"""),634.98)</f>
        <v>634.98</v>
      </c>
      <c r="D1462" s="2">
        <f>IFERROR(__xludf.DUMMYFUNCTION("""COMPUTED_VALUE"""),613.44)</f>
        <v>613.44</v>
      </c>
      <c r="E1462" s="2">
        <f>IFERROR(__xludf.DUMMYFUNCTION("""COMPUTED_VALUE"""),632.44)</f>
        <v>632.44</v>
      </c>
      <c r="F1462" s="2">
        <f>IFERROR(__xludf.DUMMYFUNCTION("""COMPUTED_VALUE"""),2761164.0)</f>
        <v>2761164</v>
      </c>
    </row>
    <row r="1463">
      <c r="A1463" s="3">
        <f>IFERROR(__xludf.DUMMYFUNCTION("""COMPUTED_VALUE"""),39581.645833333336)</f>
        <v>39581.64583</v>
      </c>
      <c r="B1463" s="2">
        <f>IFERROR(__xludf.DUMMYFUNCTION("""COMPUTED_VALUE"""),643.87)</f>
        <v>643.87</v>
      </c>
      <c r="C1463" s="2">
        <f>IFERROR(__xludf.DUMMYFUNCTION("""COMPUTED_VALUE"""),643.87)</f>
        <v>643.87</v>
      </c>
      <c r="D1463" s="2">
        <f>IFERROR(__xludf.DUMMYFUNCTION("""COMPUTED_VALUE"""),616.14)</f>
        <v>616.14</v>
      </c>
      <c r="E1463" s="2">
        <f>IFERROR(__xludf.DUMMYFUNCTION("""COMPUTED_VALUE"""),619.38)</f>
        <v>619.38</v>
      </c>
      <c r="F1463" s="2">
        <f>IFERROR(__xludf.DUMMYFUNCTION("""COMPUTED_VALUE"""),2600800.0)</f>
        <v>2600800</v>
      </c>
    </row>
    <row r="1464">
      <c r="A1464" s="3">
        <f>IFERROR(__xludf.DUMMYFUNCTION("""COMPUTED_VALUE"""),39582.645833333336)</f>
        <v>39582.64583</v>
      </c>
      <c r="B1464" s="2">
        <f>IFERROR(__xludf.DUMMYFUNCTION("""COMPUTED_VALUE"""),624.06)</f>
        <v>624.06</v>
      </c>
      <c r="C1464" s="2">
        <f>IFERROR(__xludf.DUMMYFUNCTION("""COMPUTED_VALUE"""),632.74)</f>
        <v>632.74</v>
      </c>
      <c r="D1464" s="2">
        <f>IFERROR(__xludf.DUMMYFUNCTION("""COMPUTED_VALUE"""),614.22)</f>
        <v>614.22</v>
      </c>
      <c r="E1464" s="2">
        <f>IFERROR(__xludf.DUMMYFUNCTION("""COMPUTED_VALUE"""),626.72)</f>
        <v>626.72</v>
      </c>
      <c r="F1464" s="2">
        <f>IFERROR(__xludf.DUMMYFUNCTION("""COMPUTED_VALUE"""),2009835.0)</f>
        <v>2009835</v>
      </c>
    </row>
    <row r="1465">
      <c r="A1465" s="3">
        <f>IFERROR(__xludf.DUMMYFUNCTION("""COMPUTED_VALUE"""),39583.645833333336)</f>
        <v>39583.64583</v>
      </c>
      <c r="B1465" s="2">
        <f>IFERROR(__xludf.DUMMYFUNCTION("""COMPUTED_VALUE"""),626.76)</f>
        <v>626.76</v>
      </c>
      <c r="C1465" s="2">
        <f>IFERROR(__xludf.DUMMYFUNCTION("""COMPUTED_VALUE"""),651.97)</f>
        <v>651.97</v>
      </c>
      <c r="D1465" s="2">
        <f>IFERROR(__xludf.DUMMYFUNCTION("""COMPUTED_VALUE"""),626.72)</f>
        <v>626.72</v>
      </c>
      <c r="E1465" s="2">
        <f>IFERROR(__xludf.DUMMYFUNCTION("""COMPUTED_VALUE"""),649.56)</f>
        <v>649.56</v>
      </c>
      <c r="F1465" s="2">
        <f>IFERROR(__xludf.DUMMYFUNCTION("""COMPUTED_VALUE"""),2500502.0)</f>
        <v>2500502</v>
      </c>
    </row>
    <row r="1466">
      <c r="A1466" s="3">
        <f>IFERROR(__xludf.DUMMYFUNCTION("""COMPUTED_VALUE"""),39584.645833333336)</f>
        <v>39584.64583</v>
      </c>
      <c r="B1466" s="2">
        <f>IFERROR(__xludf.DUMMYFUNCTION("""COMPUTED_VALUE"""),651.55)</f>
        <v>651.55</v>
      </c>
      <c r="C1466" s="2">
        <f>IFERROR(__xludf.DUMMYFUNCTION("""COMPUTED_VALUE"""),655.76)</f>
        <v>655.76</v>
      </c>
      <c r="D1466" s="2">
        <f>IFERROR(__xludf.DUMMYFUNCTION("""COMPUTED_VALUE"""),644.62)</f>
        <v>644.62</v>
      </c>
      <c r="E1466" s="2">
        <f>IFERROR(__xludf.DUMMYFUNCTION("""COMPUTED_VALUE"""),652.71)</f>
        <v>652.71</v>
      </c>
      <c r="F1466" s="2">
        <f>IFERROR(__xludf.DUMMYFUNCTION("""COMPUTED_VALUE"""),1933723.0)</f>
        <v>1933723</v>
      </c>
    </row>
    <row r="1467">
      <c r="A1467" s="3">
        <f>IFERROR(__xludf.DUMMYFUNCTION("""COMPUTED_VALUE"""),39588.645833333336)</f>
        <v>39588.64583</v>
      </c>
      <c r="B1467" s="2">
        <f>IFERROR(__xludf.DUMMYFUNCTION("""COMPUTED_VALUE"""),650.06)</f>
        <v>650.06</v>
      </c>
      <c r="C1467" s="2">
        <f>IFERROR(__xludf.DUMMYFUNCTION("""COMPUTED_VALUE"""),652.54)</f>
        <v>652.54</v>
      </c>
      <c r="D1467" s="2">
        <f>IFERROR(__xludf.DUMMYFUNCTION("""COMPUTED_VALUE"""),637.43)</f>
        <v>637.43</v>
      </c>
      <c r="E1467" s="2">
        <f>IFERROR(__xludf.DUMMYFUNCTION("""COMPUTED_VALUE"""),644.6)</f>
        <v>644.6</v>
      </c>
      <c r="F1467" s="2">
        <f>IFERROR(__xludf.DUMMYFUNCTION("""COMPUTED_VALUE"""),1777614.0)</f>
        <v>1777614</v>
      </c>
    </row>
    <row r="1468">
      <c r="A1468" s="3">
        <f>IFERROR(__xludf.DUMMYFUNCTION("""COMPUTED_VALUE"""),39589.645833333336)</f>
        <v>39589.64583</v>
      </c>
      <c r="B1468" s="2">
        <f>IFERROR(__xludf.DUMMYFUNCTION("""COMPUTED_VALUE"""),638.92)</f>
        <v>638.92</v>
      </c>
      <c r="C1468" s="2">
        <f>IFERROR(__xludf.DUMMYFUNCTION("""COMPUTED_VALUE"""),662.45)</f>
        <v>662.45</v>
      </c>
      <c r="D1468" s="2">
        <f>IFERROR(__xludf.DUMMYFUNCTION("""COMPUTED_VALUE"""),631.55)</f>
        <v>631.55</v>
      </c>
      <c r="E1468" s="2">
        <f>IFERROR(__xludf.DUMMYFUNCTION("""COMPUTED_VALUE"""),660.64)</f>
        <v>660.64</v>
      </c>
      <c r="F1468" s="2">
        <f>IFERROR(__xludf.DUMMYFUNCTION("""COMPUTED_VALUE"""),3334889.0)</f>
        <v>3334889</v>
      </c>
    </row>
    <row r="1469">
      <c r="A1469" s="3">
        <f>IFERROR(__xludf.DUMMYFUNCTION("""COMPUTED_VALUE"""),39590.645833333336)</f>
        <v>39590.64583</v>
      </c>
      <c r="B1469" s="2">
        <f>IFERROR(__xludf.DUMMYFUNCTION("""COMPUTED_VALUE"""),652.54)</f>
        <v>652.54</v>
      </c>
      <c r="C1469" s="2">
        <f>IFERROR(__xludf.DUMMYFUNCTION("""COMPUTED_VALUE"""),656.26)</f>
        <v>656.26</v>
      </c>
      <c r="D1469" s="2">
        <f>IFERROR(__xludf.DUMMYFUNCTION("""COMPUTED_VALUE"""),643.13)</f>
        <v>643.13</v>
      </c>
      <c r="E1469" s="2">
        <f>IFERROR(__xludf.DUMMYFUNCTION("""COMPUTED_VALUE"""),650.32)</f>
        <v>650.32</v>
      </c>
      <c r="F1469" s="2">
        <f>IFERROR(__xludf.DUMMYFUNCTION("""COMPUTED_VALUE"""),2387252.0)</f>
        <v>2387252</v>
      </c>
    </row>
    <row r="1470">
      <c r="A1470" s="3">
        <f>IFERROR(__xludf.DUMMYFUNCTION("""COMPUTED_VALUE"""),39591.645833333336)</f>
        <v>39591.64583</v>
      </c>
      <c r="B1470" s="2">
        <f>IFERROR(__xludf.DUMMYFUNCTION("""COMPUTED_VALUE"""),651.3)</f>
        <v>651.3</v>
      </c>
      <c r="C1470" s="2">
        <f>IFERROR(__xludf.DUMMYFUNCTION("""COMPUTED_VALUE"""),653.78)</f>
        <v>653.78</v>
      </c>
      <c r="D1470" s="2">
        <f>IFERROR(__xludf.DUMMYFUNCTION("""COMPUTED_VALUE"""),631.49)</f>
        <v>631.49</v>
      </c>
      <c r="E1470" s="2">
        <f>IFERROR(__xludf.DUMMYFUNCTION("""COMPUTED_VALUE"""),633.03)</f>
        <v>633.03</v>
      </c>
      <c r="F1470" s="2">
        <f>IFERROR(__xludf.DUMMYFUNCTION("""COMPUTED_VALUE"""),2063402.0)</f>
        <v>2063402</v>
      </c>
    </row>
    <row r="1471">
      <c r="A1471" s="3">
        <f>IFERROR(__xludf.DUMMYFUNCTION("""COMPUTED_VALUE"""),39594.645833333336)</f>
        <v>39594.64583</v>
      </c>
      <c r="B1471" s="2">
        <f>IFERROR(__xludf.DUMMYFUNCTION("""COMPUTED_VALUE"""),629.01)</f>
        <v>629.01</v>
      </c>
      <c r="C1471" s="2">
        <f>IFERROR(__xludf.DUMMYFUNCTION("""COMPUTED_VALUE"""),632.69)</f>
        <v>632.69</v>
      </c>
      <c r="D1471" s="2">
        <f>IFERROR(__xludf.DUMMYFUNCTION("""COMPUTED_VALUE"""),619.63)</f>
        <v>619.63</v>
      </c>
      <c r="E1471" s="2">
        <f>IFERROR(__xludf.DUMMYFUNCTION("""COMPUTED_VALUE"""),622.97)</f>
        <v>622.97</v>
      </c>
      <c r="F1471" s="2">
        <f>IFERROR(__xludf.DUMMYFUNCTION("""COMPUTED_VALUE"""),2662132.0)</f>
        <v>2662132</v>
      </c>
    </row>
    <row r="1472">
      <c r="A1472" s="3">
        <f>IFERROR(__xludf.DUMMYFUNCTION("""COMPUTED_VALUE"""),39595.645833333336)</f>
        <v>39595.64583</v>
      </c>
      <c r="B1472" s="2">
        <f>IFERROR(__xludf.DUMMYFUNCTION("""COMPUTED_VALUE"""),633.97)</f>
        <v>633.97</v>
      </c>
      <c r="C1472" s="2">
        <f>IFERROR(__xludf.DUMMYFUNCTION("""COMPUTED_VALUE"""),641.35)</f>
        <v>641.35</v>
      </c>
      <c r="D1472" s="2">
        <f>IFERROR(__xludf.DUMMYFUNCTION("""COMPUTED_VALUE"""),614.16)</f>
        <v>614.16</v>
      </c>
      <c r="E1472" s="2">
        <f>IFERROR(__xludf.DUMMYFUNCTION("""COMPUTED_VALUE"""),617.9)</f>
        <v>617.9</v>
      </c>
      <c r="F1472" s="2">
        <f>IFERROR(__xludf.DUMMYFUNCTION("""COMPUTED_VALUE"""),1747866.0)</f>
        <v>1747866</v>
      </c>
    </row>
    <row r="1473">
      <c r="A1473" s="3">
        <f>IFERROR(__xludf.DUMMYFUNCTION("""COMPUTED_VALUE"""),39596.645833333336)</f>
        <v>39596.64583</v>
      </c>
      <c r="B1473" s="2">
        <f>IFERROR(__xludf.DUMMYFUNCTION("""COMPUTED_VALUE"""),620.35)</f>
        <v>620.35</v>
      </c>
      <c r="C1473" s="2">
        <f>IFERROR(__xludf.DUMMYFUNCTION("""COMPUTED_VALUE"""),627.78)</f>
        <v>627.78</v>
      </c>
      <c r="D1473" s="2">
        <f>IFERROR(__xludf.DUMMYFUNCTION("""COMPUTED_VALUE"""),611.93)</f>
        <v>611.93</v>
      </c>
      <c r="E1473" s="2">
        <f>IFERROR(__xludf.DUMMYFUNCTION("""COMPUTED_VALUE"""),624.68)</f>
        <v>624.68</v>
      </c>
      <c r="F1473" s="2">
        <f>IFERROR(__xludf.DUMMYFUNCTION("""COMPUTED_VALUE"""),2157344.0)</f>
        <v>2157344</v>
      </c>
    </row>
    <row r="1474">
      <c r="A1474" s="3">
        <f>IFERROR(__xludf.DUMMYFUNCTION("""COMPUTED_VALUE"""),39597.645833333336)</f>
        <v>39597.64583</v>
      </c>
      <c r="B1474" s="2">
        <f>IFERROR(__xludf.DUMMYFUNCTION("""COMPUTED_VALUE"""),632.84)</f>
        <v>632.84</v>
      </c>
      <c r="C1474" s="2">
        <f>IFERROR(__xludf.DUMMYFUNCTION("""COMPUTED_VALUE"""),632.84)</f>
        <v>632.84</v>
      </c>
      <c r="D1474" s="2">
        <f>IFERROR(__xludf.DUMMYFUNCTION("""COMPUTED_VALUE"""),605.49)</f>
        <v>605.49</v>
      </c>
      <c r="E1474" s="2">
        <f>IFERROR(__xludf.DUMMYFUNCTION("""COMPUTED_VALUE"""),609.87)</f>
        <v>609.87</v>
      </c>
      <c r="F1474" s="2">
        <f>IFERROR(__xludf.DUMMYFUNCTION("""COMPUTED_VALUE"""),4122995.0)</f>
        <v>4122995</v>
      </c>
    </row>
    <row r="1475">
      <c r="A1475" s="3">
        <f>IFERROR(__xludf.DUMMYFUNCTION("""COMPUTED_VALUE"""),39598.645833333336)</f>
        <v>39598.64583</v>
      </c>
      <c r="B1475" s="2">
        <f>IFERROR(__xludf.DUMMYFUNCTION("""COMPUTED_VALUE"""),618.84)</f>
        <v>618.84</v>
      </c>
      <c r="C1475" s="2">
        <f>IFERROR(__xludf.DUMMYFUNCTION("""COMPUTED_VALUE"""),618.84)</f>
        <v>618.84</v>
      </c>
      <c r="D1475" s="2">
        <f>IFERROR(__xludf.DUMMYFUNCTION("""COMPUTED_VALUE"""),591.93)</f>
        <v>591.93</v>
      </c>
      <c r="E1475" s="2">
        <f>IFERROR(__xludf.DUMMYFUNCTION("""COMPUTED_VALUE"""),595.21)</f>
        <v>595.21</v>
      </c>
      <c r="F1475" s="2">
        <f>IFERROR(__xludf.DUMMYFUNCTION("""COMPUTED_VALUE"""),3588787.0)</f>
        <v>3588787</v>
      </c>
    </row>
    <row r="1476">
      <c r="A1476" s="3">
        <f>IFERROR(__xludf.DUMMYFUNCTION("""COMPUTED_VALUE"""),39601.645833333336)</f>
        <v>39601.64583</v>
      </c>
      <c r="B1476" s="2">
        <f>IFERROR(__xludf.DUMMYFUNCTION("""COMPUTED_VALUE"""),601.28)</f>
        <v>601.28</v>
      </c>
      <c r="C1476" s="2">
        <f>IFERROR(__xludf.DUMMYFUNCTION("""COMPUTED_VALUE"""),604.25)</f>
        <v>604.25</v>
      </c>
      <c r="D1476" s="2">
        <f>IFERROR(__xludf.DUMMYFUNCTION("""COMPUTED_VALUE"""),579.49)</f>
        <v>579.49</v>
      </c>
      <c r="E1476" s="2">
        <f>IFERROR(__xludf.DUMMYFUNCTION("""COMPUTED_VALUE"""),584.14)</f>
        <v>584.14</v>
      </c>
      <c r="F1476" s="2">
        <f>IFERROR(__xludf.DUMMYFUNCTION("""COMPUTED_VALUE"""),2742514.0)</f>
        <v>2742514</v>
      </c>
    </row>
    <row r="1477">
      <c r="A1477" s="3">
        <f>IFERROR(__xludf.DUMMYFUNCTION("""COMPUTED_VALUE"""),39602.645833333336)</f>
        <v>39602.64583</v>
      </c>
      <c r="B1477" s="2">
        <f>IFERROR(__xludf.DUMMYFUNCTION("""COMPUTED_VALUE"""),581.96)</f>
        <v>581.96</v>
      </c>
      <c r="C1477" s="2">
        <f>IFERROR(__xludf.DUMMYFUNCTION("""COMPUTED_VALUE"""),600.51)</f>
        <v>600.51</v>
      </c>
      <c r="D1477" s="2">
        <f>IFERROR(__xludf.DUMMYFUNCTION("""COMPUTED_VALUE"""),572.8)</f>
        <v>572.8</v>
      </c>
      <c r="E1477" s="2">
        <f>IFERROR(__xludf.DUMMYFUNCTION("""COMPUTED_VALUE"""),595.99)</f>
        <v>595.99</v>
      </c>
      <c r="F1477" s="2">
        <f>IFERROR(__xludf.DUMMYFUNCTION("""COMPUTED_VALUE"""),3612031.0)</f>
        <v>3612031</v>
      </c>
    </row>
    <row r="1478">
      <c r="A1478" s="3">
        <f>IFERROR(__xludf.DUMMYFUNCTION("""COMPUTED_VALUE"""),39603.645833333336)</f>
        <v>39603.64583</v>
      </c>
      <c r="B1478" s="2">
        <f>IFERROR(__xludf.DUMMYFUNCTION("""COMPUTED_VALUE"""),596.57)</f>
        <v>596.57</v>
      </c>
      <c r="C1478" s="2">
        <f>IFERROR(__xludf.DUMMYFUNCTION("""COMPUTED_VALUE"""),605.24)</f>
        <v>605.24</v>
      </c>
      <c r="D1478" s="2">
        <f>IFERROR(__xludf.DUMMYFUNCTION("""COMPUTED_VALUE"""),565.87)</f>
        <v>565.87</v>
      </c>
      <c r="E1478" s="2">
        <f>IFERROR(__xludf.DUMMYFUNCTION("""COMPUTED_VALUE"""),571.31)</f>
        <v>571.31</v>
      </c>
      <c r="F1478" s="2">
        <f>IFERROR(__xludf.DUMMYFUNCTION("""COMPUTED_VALUE"""),3894687.0)</f>
        <v>3894687</v>
      </c>
    </row>
    <row r="1479">
      <c r="A1479" s="3">
        <f>IFERROR(__xludf.DUMMYFUNCTION("""COMPUTED_VALUE"""),39604.645833333336)</f>
        <v>39604.64583</v>
      </c>
      <c r="B1479" s="2">
        <f>IFERROR(__xludf.DUMMYFUNCTION("""COMPUTED_VALUE"""),581.96)</f>
        <v>581.96</v>
      </c>
      <c r="C1479" s="2">
        <f>IFERROR(__xludf.DUMMYFUNCTION("""COMPUTED_VALUE"""),581.96)</f>
        <v>581.96</v>
      </c>
      <c r="D1479" s="2">
        <f>IFERROR(__xludf.DUMMYFUNCTION("""COMPUTED_VALUE"""),538.62)</f>
        <v>538.62</v>
      </c>
      <c r="E1479" s="2">
        <f>IFERROR(__xludf.DUMMYFUNCTION("""COMPUTED_VALUE"""),556.41)</f>
        <v>556.41</v>
      </c>
      <c r="F1479" s="2">
        <f>IFERROR(__xludf.DUMMYFUNCTION("""COMPUTED_VALUE"""),7716138.0)</f>
        <v>7716138</v>
      </c>
    </row>
    <row r="1480">
      <c r="A1480" s="3">
        <f>IFERROR(__xludf.DUMMYFUNCTION("""COMPUTED_VALUE"""),39605.645833333336)</f>
        <v>39605.64583</v>
      </c>
      <c r="B1480" s="2">
        <f>IFERROR(__xludf.DUMMYFUNCTION("""COMPUTED_VALUE"""),569.33)</f>
        <v>569.33</v>
      </c>
      <c r="C1480" s="2">
        <f>IFERROR(__xludf.DUMMYFUNCTION("""COMPUTED_VALUE"""),569.33)</f>
        <v>569.33</v>
      </c>
      <c r="D1480" s="2">
        <f>IFERROR(__xludf.DUMMYFUNCTION("""COMPUTED_VALUE"""),547.79)</f>
        <v>547.79</v>
      </c>
      <c r="E1480" s="2">
        <f>IFERROR(__xludf.DUMMYFUNCTION("""COMPUTED_VALUE"""),554.35)</f>
        <v>554.35</v>
      </c>
      <c r="F1480" s="2">
        <f>IFERROR(__xludf.DUMMYFUNCTION("""COMPUTED_VALUE"""),4965105.0)</f>
        <v>4965105</v>
      </c>
    </row>
    <row r="1481">
      <c r="A1481" s="3">
        <f>IFERROR(__xludf.DUMMYFUNCTION("""COMPUTED_VALUE"""),39608.645833333336)</f>
        <v>39608.64583</v>
      </c>
      <c r="B1481" s="2">
        <f>IFERROR(__xludf.DUMMYFUNCTION("""COMPUTED_VALUE"""),540.36)</f>
        <v>540.36</v>
      </c>
      <c r="C1481" s="2">
        <f>IFERROR(__xludf.DUMMYFUNCTION("""COMPUTED_VALUE"""),549.62)</f>
        <v>549.62</v>
      </c>
      <c r="D1481" s="2">
        <f>IFERROR(__xludf.DUMMYFUNCTION("""COMPUTED_VALUE"""),522.78)</f>
        <v>522.78</v>
      </c>
      <c r="E1481" s="2">
        <f>IFERROR(__xludf.DUMMYFUNCTION("""COMPUTED_VALUE"""),535.58)</f>
        <v>535.58</v>
      </c>
      <c r="F1481" s="2">
        <f>IFERROR(__xludf.DUMMYFUNCTION("""COMPUTED_VALUE"""),5229890.0)</f>
        <v>5229890</v>
      </c>
    </row>
    <row r="1482">
      <c r="A1482" s="3">
        <f>IFERROR(__xludf.DUMMYFUNCTION("""COMPUTED_VALUE"""),39609.645833333336)</f>
        <v>39609.64583</v>
      </c>
      <c r="B1482" s="2">
        <f>IFERROR(__xludf.DUMMYFUNCTION("""COMPUTED_VALUE"""),557.2)</f>
        <v>557.2</v>
      </c>
      <c r="C1482" s="2">
        <f>IFERROR(__xludf.DUMMYFUNCTION("""COMPUTED_VALUE"""),557.2)</f>
        <v>557.2</v>
      </c>
      <c r="D1482" s="2">
        <f>IFERROR(__xludf.DUMMYFUNCTION("""COMPUTED_VALUE"""),531.2)</f>
        <v>531.2</v>
      </c>
      <c r="E1482" s="2">
        <f>IFERROR(__xludf.DUMMYFUNCTION("""COMPUTED_VALUE"""),544.26)</f>
        <v>544.26</v>
      </c>
      <c r="F1482" s="2">
        <f>IFERROR(__xludf.DUMMYFUNCTION("""COMPUTED_VALUE"""),4559201.0)</f>
        <v>4559201</v>
      </c>
    </row>
    <row r="1483">
      <c r="A1483" s="3">
        <f>IFERROR(__xludf.DUMMYFUNCTION("""COMPUTED_VALUE"""),39610.645833333336)</f>
        <v>39610.64583</v>
      </c>
      <c r="B1483" s="2">
        <f>IFERROR(__xludf.DUMMYFUNCTION("""COMPUTED_VALUE"""),564.63)</f>
        <v>564.63</v>
      </c>
      <c r="C1483" s="2">
        <f>IFERROR(__xludf.DUMMYFUNCTION("""COMPUTED_VALUE"""),564.63)</f>
        <v>564.63</v>
      </c>
      <c r="D1483" s="2">
        <f>IFERROR(__xludf.DUMMYFUNCTION("""COMPUTED_VALUE"""),547.29)</f>
        <v>547.29</v>
      </c>
      <c r="E1483" s="2">
        <f>IFERROR(__xludf.DUMMYFUNCTION("""COMPUTED_VALUE"""),560.02)</f>
        <v>560.02</v>
      </c>
      <c r="F1483" s="2">
        <f>IFERROR(__xludf.DUMMYFUNCTION("""COMPUTED_VALUE"""),4785355.0)</f>
        <v>4785355</v>
      </c>
    </row>
    <row r="1484">
      <c r="A1484" s="3">
        <f>IFERROR(__xludf.DUMMYFUNCTION("""COMPUTED_VALUE"""),39611.645833333336)</f>
        <v>39611.64583</v>
      </c>
      <c r="B1484" s="2">
        <f>IFERROR(__xludf.DUMMYFUNCTION("""COMPUTED_VALUE"""),557.21)</f>
        <v>557.21</v>
      </c>
      <c r="C1484" s="2">
        <f>IFERROR(__xludf.DUMMYFUNCTION("""COMPUTED_VALUE"""),568.34)</f>
        <v>568.34</v>
      </c>
      <c r="D1484" s="2">
        <f>IFERROR(__xludf.DUMMYFUNCTION("""COMPUTED_VALUE"""),534.01)</f>
        <v>534.01</v>
      </c>
      <c r="E1484" s="2">
        <f>IFERROR(__xludf.DUMMYFUNCTION("""COMPUTED_VALUE"""),563.96)</f>
        <v>563.96</v>
      </c>
      <c r="F1484" s="2">
        <f>IFERROR(__xludf.DUMMYFUNCTION("""COMPUTED_VALUE"""),5237223.0)</f>
        <v>5237223</v>
      </c>
    </row>
    <row r="1485">
      <c r="A1485" s="3">
        <f>IFERROR(__xludf.DUMMYFUNCTION("""COMPUTED_VALUE"""),39612.645833333336)</f>
        <v>39612.64583</v>
      </c>
      <c r="B1485" s="2">
        <f>IFERROR(__xludf.DUMMYFUNCTION("""COMPUTED_VALUE"""),566.36)</f>
        <v>566.36</v>
      </c>
      <c r="C1485" s="2">
        <f>IFERROR(__xludf.DUMMYFUNCTION("""COMPUTED_VALUE"""),569.56)</f>
        <v>569.56</v>
      </c>
      <c r="D1485" s="2">
        <f>IFERROR(__xludf.DUMMYFUNCTION("""COMPUTED_VALUE"""),553.48)</f>
        <v>553.48</v>
      </c>
      <c r="E1485" s="2">
        <f>IFERROR(__xludf.DUMMYFUNCTION("""COMPUTED_VALUE"""),562.25)</f>
        <v>562.25</v>
      </c>
      <c r="F1485" s="2">
        <f>IFERROR(__xludf.DUMMYFUNCTION("""COMPUTED_VALUE"""),3499671.0)</f>
        <v>3499671</v>
      </c>
    </row>
    <row r="1486">
      <c r="A1486" s="3">
        <f>IFERROR(__xludf.DUMMYFUNCTION("""COMPUTED_VALUE"""),39615.645833333336)</f>
        <v>39615.64583</v>
      </c>
      <c r="B1486" s="2">
        <f>IFERROR(__xludf.DUMMYFUNCTION("""COMPUTED_VALUE"""),581.96)</f>
        <v>581.96</v>
      </c>
      <c r="C1486" s="2">
        <f>IFERROR(__xludf.DUMMYFUNCTION("""COMPUTED_VALUE"""),581.96)</f>
        <v>581.96</v>
      </c>
      <c r="D1486" s="2">
        <f>IFERROR(__xludf.DUMMYFUNCTION("""COMPUTED_VALUE"""),560.22)</f>
        <v>560.22</v>
      </c>
      <c r="E1486" s="2">
        <f>IFERROR(__xludf.DUMMYFUNCTION("""COMPUTED_VALUE"""),565.21)</f>
        <v>565.21</v>
      </c>
      <c r="F1486" s="2">
        <f>IFERROR(__xludf.DUMMYFUNCTION("""COMPUTED_VALUE"""),3163129.0)</f>
        <v>3163129</v>
      </c>
    </row>
    <row r="1487">
      <c r="A1487" s="3">
        <f>IFERROR(__xludf.DUMMYFUNCTION("""COMPUTED_VALUE"""),39616.645833333336)</f>
        <v>39616.64583</v>
      </c>
      <c r="B1487" s="2">
        <f>IFERROR(__xludf.DUMMYFUNCTION("""COMPUTED_VALUE"""),564.64)</f>
        <v>564.64</v>
      </c>
      <c r="C1487" s="2">
        <f>IFERROR(__xludf.DUMMYFUNCTION("""COMPUTED_VALUE"""),579.49)</f>
        <v>579.49</v>
      </c>
      <c r="D1487" s="2">
        <f>IFERROR(__xludf.DUMMYFUNCTION("""COMPUTED_VALUE"""),559.67)</f>
        <v>559.67</v>
      </c>
      <c r="E1487" s="2">
        <f>IFERROR(__xludf.DUMMYFUNCTION("""COMPUTED_VALUE"""),577.73)</f>
        <v>577.73</v>
      </c>
      <c r="F1487" s="2">
        <f>IFERROR(__xludf.DUMMYFUNCTION("""COMPUTED_VALUE"""),2493500.0)</f>
        <v>2493500</v>
      </c>
    </row>
    <row r="1488">
      <c r="A1488" s="3">
        <f>IFERROR(__xludf.DUMMYFUNCTION("""COMPUTED_VALUE"""),39617.645833333336)</f>
        <v>39617.64583</v>
      </c>
      <c r="B1488" s="2">
        <f>IFERROR(__xludf.DUMMYFUNCTION("""COMPUTED_VALUE"""),581.96)</f>
        <v>581.96</v>
      </c>
      <c r="C1488" s="2">
        <f>IFERROR(__xludf.DUMMYFUNCTION("""COMPUTED_VALUE"""),581.96)</f>
        <v>581.96</v>
      </c>
      <c r="D1488" s="2">
        <f>IFERROR(__xludf.DUMMYFUNCTION("""COMPUTED_VALUE"""),564.63)</f>
        <v>564.63</v>
      </c>
      <c r="E1488" s="2">
        <f>IFERROR(__xludf.DUMMYFUNCTION("""COMPUTED_VALUE"""),566.39)</f>
        <v>566.39</v>
      </c>
      <c r="F1488" s="2">
        <f>IFERROR(__xludf.DUMMYFUNCTION("""COMPUTED_VALUE"""),2881337.0)</f>
        <v>2881337</v>
      </c>
    </row>
    <row r="1489">
      <c r="A1489" s="3">
        <f>IFERROR(__xludf.DUMMYFUNCTION("""COMPUTED_VALUE"""),39618.645833333336)</f>
        <v>39618.64583</v>
      </c>
      <c r="B1489" s="2">
        <f>IFERROR(__xludf.DUMMYFUNCTION("""COMPUTED_VALUE"""),559.39)</f>
        <v>559.39</v>
      </c>
      <c r="C1489" s="2">
        <f>IFERROR(__xludf.DUMMYFUNCTION("""COMPUTED_VALUE"""),562.16)</f>
        <v>562.16</v>
      </c>
      <c r="D1489" s="2">
        <f>IFERROR(__xludf.DUMMYFUNCTION("""COMPUTED_VALUE"""),552.31)</f>
        <v>552.31</v>
      </c>
      <c r="E1489" s="2">
        <f>IFERROR(__xludf.DUMMYFUNCTION("""COMPUTED_VALUE"""),556.74)</f>
        <v>556.74</v>
      </c>
      <c r="F1489" s="2">
        <f>IFERROR(__xludf.DUMMYFUNCTION("""COMPUTED_VALUE"""),2036997.0)</f>
        <v>2036997</v>
      </c>
    </row>
    <row r="1490">
      <c r="A1490" s="3">
        <f>IFERROR(__xludf.DUMMYFUNCTION("""COMPUTED_VALUE"""),39619.645833333336)</f>
        <v>39619.64583</v>
      </c>
      <c r="B1490" s="2">
        <f>IFERROR(__xludf.DUMMYFUNCTION("""COMPUTED_VALUE"""),559.69)</f>
        <v>559.69</v>
      </c>
      <c r="C1490" s="2">
        <f>IFERROR(__xludf.DUMMYFUNCTION("""COMPUTED_VALUE"""),559.69)</f>
        <v>559.69</v>
      </c>
      <c r="D1490" s="2">
        <f>IFERROR(__xludf.DUMMYFUNCTION("""COMPUTED_VALUE"""),513.93)</f>
        <v>513.93</v>
      </c>
      <c r="E1490" s="2">
        <f>IFERROR(__xludf.DUMMYFUNCTION("""COMPUTED_VALUE"""),519.85)</f>
        <v>519.85</v>
      </c>
      <c r="F1490" s="2">
        <f>IFERROR(__xludf.DUMMYFUNCTION("""COMPUTED_VALUE"""),5356849.0)</f>
        <v>5356849</v>
      </c>
    </row>
    <row r="1491">
      <c r="A1491" s="3">
        <f>IFERROR(__xludf.DUMMYFUNCTION("""COMPUTED_VALUE"""),39622.645833333336)</f>
        <v>39622.64583</v>
      </c>
      <c r="B1491" s="2">
        <f>IFERROR(__xludf.DUMMYFUNCTION("""COMPUTED_VALUE"""),515.1)</f>
        <v>515.1</v>
      </c>
      <c r="C1491" s="2">
        <f>IFERROR(__xludf.DUMMYFUNCTION("""COMPUTED_VALUE"""),515.82)</f>
        <v>515.82</v>
      </c>
      <c r="D1491" s="2">
        <f>IFERROR(__xludf.DUMMYFUNCTION("""COMPUTED_VALUE"""),490.92)</f>
        <v>490.92</v>
      </c>
      <c r="E1491" s="2">
        <f>IFERROR(__xludf.DUMMYFUNCTION("""COMPUTED_VALUE"""),501.65)</f>
        <v>501.65</v>
      </c>
      <c r="F1491" s="2">
        <f>IFERROR(__xludf.DUMMYFUNCTION("""COMPUTED_VALUE"""),5456421.0)</f>
        <v>5456421</v>
      </c>
    </row>
    <row r="1492">
      <c r="A1492" s="3">
        <f>IFERROR(__xludf.DUMMYFUNCTION("""COMPUTED_VALUE"""),39623.645833333336)</f>
        <v>39623.64583</v>
      </c>
      <c r="B1492" s="2">
        <f>IFERROR(__xludf.DUMMYFUNCTION("""COMPUTED_VALUE"""),506.43)</f>
        <v>506.43</v>
      </c>
      <c r="C1492" s="2">
        <f>IFERROR(__xludf.DUMMYFUNCTION("""COMPUTED_VALUE"""),528.22)</f>
        <v>528.22</v>
      </c>
      <c r="D1492" s="2">
        <f>IFERROR(__xludf.DUMMYFUNCTION("""COMPUTED_VALUE"""),499.0)</f>
        <v>499</v>
      </c>
      <c r="E1492" s="2">
        <f>IFERROR(__xludf.DUMMYFUNCTION("""COMPUTED_VALUE"""),510.81)</f>
        <v>510.81</v>
      </c>
      <c r="F1492" s="2">
        <f>IFERROR(__xludf.DUMMYFUNCTION("""COMPUTED_VALUE"""),5989228.0)</f>
        <v>5989228</v>
      </c>
    </row>
    <row r="1493">
      <c r="A1493" s="3">
        <f>IFERROR(__xludf.DUMMYFUNCTION("""COMPUTED_VALUE"""),39624.645833333336)</f>
        <v>39624.64583</v>
      </c>
      <c r="B1493" s="2">
        <f>IFERROR(__xludf.DUMMYFUNCTION("""COMPUTED_VALUE"""),484.45)</f>
        <v>484.45</v>
      </c>
      <c r="C1493" s="2">
        <f>IFERROR(__xludf.DUMMYFUNCTION("""COMPUTED_VALUE"""),531.94)</f>
        <v>531.94</v>
      </c>
      <c r="D1493" s="2">
        <f>IFERROR(__xludf.DUMMYFUNCTION("""COMPUTED_VALUE"""),484.45)</f>
        <v>484.45</v>
      </c>
      <c r="E1493" s="2">
        <f>IFERROR(__xludf.DUMMYFUNCTION("""COMPUTED_VALUE"""),528.97)</f>
        <v>528.97</v>
      </c>
      <c r="F1493" s="2">
        <f>IFERROR(__xludf.DUMMYFUNCTION("""COMPUTED_VALUE"""),4179505.0)</f>
        <v>4179505</v>
      </c>
    </row>
    <row r="1494">
      <c r="A1494" s="3">
        <f>IFERROR(__xludf.DUMMYFUNCTION("""COMPUTED_VALUE"""),39625.645833333336)</f>
        <v>39625.64583</v>
      </c>
      <c r="B1494" s="2">
        <f>IFERROR(__xludf.DUMMYFUNCTION("""COMPUTED_VALUE"""),531.2)</f>
        <v>531.2</v>
      </c>
      <c r="C1494" s="2">
        <f>IFERROR(__xludf.DUMMYFUNCTION("""COMPUTED_VALUE"""),559.65)</f>
        <v>559.65</v>
      </c>
      <c r="D1494" s="2">
        <f>IFERROR(__xludf.DUMMYFUNCTION("""COMPUTED_VALUE"""),528.97)</f>
        <v>528.97</v>
      </c>
      <c r="E1494" s="2">
        <f>IFERROR(__xludf.DUMMYFUNCTION("""COMPUTED_VALUE"""),554.61)</f>
        <v>554.61</v>
      </c>
      <c r="F1494" s="2">
        <f>IFERROR(__xludf.DUMMYFUNCTION("""COMPUTED_VALUE"""),9536641.0)</f>
        <v>9536641</v>
      </c>
    </row>
    <row r="1495">
      <c r="A1495" s="3">
        <f>IFERROR(__xludf.DUMMYFUNCTION("""COMPUTED_VALUE"""),39626.645833333336)</f>
        <v>39626.64583</v>
      </c>
      <c r="B1495" s="2">
        <f>IFERROR(__xludf.DUMMYFUNCTION("""COMPUTED_VALUE"""),538.87)</f>
        <v>538.87</v>
      </c>
      <c r="C1495" s="2">
        <f>IFERROR(__xludf.DUMMYFUNCTION("""COMPUTED_VALUE"""),556.7)</f>
        <v>556.7</v>
      </c>
      <c r="D1495" s="2">
        <f>IFERROR(__xludf.DUMMYFUNCTION("""COMPUTED_VALUE"""),528.78)</f>
        <v>528.78</v>
      </c>
      <c r="E1495" s="2">
        <f>IFERROR(__xludf.DUMMYFUNCTION("""COMPUTED_VALUE"""),540.52)</f>
        <v>540.52</v>
      </c>
      <c r="F1495" s="2">
        <f>IFERROR(__xludf.DUMMYFUNCTION("""COMPUTED_VALUE"""),6517499.0)</f>
        <v>6517499</v>
      </c>
    </row>
    <row r="1496">
      <c r="A1496" s="3">
        <f>IFERROR(__xludf.DUMMYFUNCTION("""COMPUTED_VALUE"""),39629.645833333336)</f>
        <v>39629.64583</v>
      </c>
      <c r="B1496" s="2">
        <f>IFERROR(__xludf.DUMMYFUNCTION("""COMPUTED_VALUE"""),539.86)</f>
        <v>539.86</v>
      </c>
      <c r="C1496" s="2">
        <f>IFERROR(__xludf.DUMMYFUNCTION("""COMPUTED_VALUE"""),549.0)</f>
        <v>549</v>
      </c>
      <c r="D1496" s="2">
        <f>IFERROR(__xludf.DUMMYFUNCTION("""COMPUTED_VALUE"""),514.6)</f>
        <v>514.6</v>
      </c>
      <c r="E1496" s="2">
        <f>IFERROR(__xludf.DUMMYFUNCTION("""COMPUTED_VALUE"""),518.85)</f>
        <v>518.85</v>
      </c>
      <c r="F1496" s="2">
        <f>IFERROR(__xludf.DUMMYFUNCTION("""COMPUTED_VALUE"""),6026649.0)</f>
        <v>6026649</v>
      </c>
    </row>
    <row r="1497">
      <c r="A1497" s="3">
        <f>IFERROR(__xludf.DUMMYFUNCTION("""COMPUTED_VALUE"""),39630.645833333336)</f>
        <v>39630.64583</v>
      </c>
      <c r="B1497" s="2">
        <f>IFERROR(__xludf.DUMMYFUNCTION("""COMPUTED_VALUE"""),522.53)</f>
        <v>522.53</v>
      </c>
      <c r="C1497" s="2">
        <f>IFERROR(__xludf.DUMMYFUNCTION("""COMPUTED_VALUE"""),532.19)</f>
        <v>532.19</v>
      </c>
      <c r="D1497" s="2">
        <f>IFERROR(__xludf.DUMMYFUNCTION("""COMPUTED_VALUE"""),501.81)</f>
        <v>501.81</v>
      </c>
      <c r="E1497" s="2">
        <f>IFERROR(__xludf.DUMMYFUNCTION("""COMPUTED_VALUE"""),506.22)</f>
        <v>506.22</v>
      </c>
      <c r="F1497" s="2">
        <f>IFERROR(__xludf.DUMMYFUNCTION("""COMPUTED_VALUE"""),5926354.0)</f>
        <v>5926354</v>
      </c>
    </row>
    <row r="1498">
      <c r="A1498" s="3">
        <f>IFERROR(__xludf.DUMMYFUNCTION("""COMPUTED_VALUE"""),39631.645833333336)</f>
        <v>39631.64583</v>
      </c>
      <c r="B1498" s="2">
        <f>IFERROR(__xludf.DUMMYFUNCTION("""COMPUTED_VALUE"""),505.12)</f>
        <v>505.12</v>
      </c>
      <c r="C1498" s="2">
        <f>IFERROR(__xludf.DUMMYFUNCTION("""COMPUTED_VALUE"""),540.61)</f>
        <v>540.61</v>
      </c>
      <c r="D1498" s="2">
        <f>IFERROR(__xludf.DUMMYFUNCTION("""COMPUTED_VALUE"""),492.81)</f>
        <v>492.81</v>
      </c>
      <c r="E1498" s="2">
        <f>IFERROR(__xludf.DUMMYFUNCTION("""COMPUTED_VALUE"""),530.95)</f>
        <v>530.95</v>
      </c>
      <c r="F1498" s="2">
        <f>IFERROR(__xludf.DUMMYFUNCTION("""COMPUTED_VALUE"""),6945445.0)</f>
        <v>6945445</v>
      </c>
    </row>
    <row r="1499">
      <c r="A1499" s="3">
        <f>IFERROR(__xludf.DUMMYFUNCTION("""COMPUTED_VALUE"""),39632.645833333336)</f>
        <v>39632.64583</v>
      </c>
      <c r="B1499" s="2">
        <f>IFERROR(__xludf.DUMMYFUNCTION("""COMPUTED_VALUE"""),527.48)</f>
        <v>527.48</v>
      </c>
      <c r="C1499" s="2">
        <f>IFERROR(__xludf.DUMMYFUNCTION("""COMPUTED_VALUE"""),527.48)</f>
        <v>527.48</v>
      </c>
      <c r="D1499" s="2">
        <f>IFERROR(__xludf.DUMMYFUNCTION("""COMPUTED_VALUE"""),501.63)</f>
        <v>501.63</v>
      </c>
      <c r="E1499" s="2">
        <f>IFERROR(__xludf.DUMMYFUNCTION("""COMPUTED_VALUE"""),512.65)</f>
        <v>512.65</v>
      </c>
      <c r="F1499" s="2">
        <f>IFERROR(__xludf.DUMMYFUNCTION("""COMPUTED_VALUE"""),4915980.0)</f>
        <v>4915980</v>
      </c>
    </row>
    <row r="1500">
      <c r="A1500" s="3">
        <f>IFERROR(__xludf.DUMMYFUNCTION("""COMPUTED_VALUE"""),39633.645833333336)</f>
        <v>39633.64583</v>
      </c>
      <c r="B1500" s="2">
        <f>IFERROR(__xludf.DUMMYFUNCTION("""COMPUTED_VALUE"""),512.63)</f>
        <v>512.63</v>
      </c>
      <c r="C1500" s="2">
        <f>IFERROR(__xludf.DUMMYFUNCTION("""COMPUTED_VALUE"""),527.78)</f>
        <v>527.78</v>
      </c>
      <c r="D1500" s="2">
        <f>IFERROR(__xludf.DUMMYFUNCTION("""COMPUTED_VALUE"""),507.68)</f>
        <v>507.68</v>
      </c>
      <c r="E1500" s="2">
        <f>IFERROR(__xludf.DUMMYFUNCTION("""COMPUTED_VALUE"""),519.53)</f>
        <v>519.53</v>
      </c>
      <c r="F1500" s="2">
        <f>IFERROR(__xludf.DUMMYFUNCTION("""COMPUTED_VALUE"""),4070364.0)</f>
        <v>4070364</v>
      </c>
    </row>
    <row r="1501">
      <c r="A1501" s="3">
        <f>IFERROR(__xludf.DUMMYFUNCTION("""COMPUTED_VALUE"""),39636.645833333336)</f>
        <v>39636.64583</v>
      </c>
      <c r="B1501" s="2">
        <f>IFERROR(__xludf.DUMMYFUNCTION("""COMPUTED_VALUE"""),517.59)</f>
        <v>517.59</v>
      </c>
      <c r="C1501" s="2">
        <f>IFERROR(__xludf.DUMMYFUNCTION("""COMPUTED_VALUE"""),525.0)</f>
        <v>525</v>
      </c>
      <c r="D1501" s="2">
        <f>IFERROR(__xludf.DUMMYFUNCTION("""COMPUTED_VALUE"""),494.54)</f>
        <v>494.54</v>
      </c>
      <c r="E1501" s="2">
        <f>IFERROR(__xludf.DUMMYFUNCTION("""COMPUTED_VALUE"""),502.27)</f>
        <v>502.27</v>
      </c>
      <c r="F1501" s="2">
        <f>IFERROR(__xludf.DUMMYFUNCTION("""COMPUTED_VALUE"""),3720988.0)</f>
        <v>3720988</v>
      </c>
    </row>
    <row r="1502">
      <c r="A1502" s="3">
        <f>IFERROR(__xludf.DUMMYFUNCTION("""COMPUTED_VALUE"""),39637.645833333336)</f>
        <v>39637.64583</v>
      </c>
      <c r="B1502" s="2">
        <f>IFERROR(__xludf.DUMMYFUNCTION("""COMPUTED_VALUE"""),494.79)</f>
        <v>494.79</v>
      </c>
      <c r="C1502" s="2">
        <f>IFERROR(__xludf.DUMMYFUNCTION("""COMPUTED_VALUE"""),499.48)</f>
        <v>499.48</v>
      </c>
      <c r="D1502" s="2">
        <f>IFERROR(__xludf.DUMMYFUNCTION("""COMPUTED_VALUE"""),478.03)</f>
        <v>478.03</v>
      </c>
      <c r="E1502" s="2">
        <f>IFERROR(__xludf.DUMMYFUNCTION("""COMPUTED_VALUE"""),490.2)</f>
        <v>490.2</v>
      </c>
      <c r="F1502" s="2">
        <f>IFERROR(__xludf.DUMMYFUNCTION("""COMPUTED_VALUE"""),4810596.0)</f>
        <v>4810596</v>
      </c>
    </row>
    <row r="1503">
      <c r="A1503" s="3">
        <f>IFERROR(__xludf.DUMMYFUNCTION("""COMPUTED_VALUE"""),39638.645833333336)</f>
        <v>39638.64583</v>
      </c>
      <c r="B1503" s="2">
        <f>IFERROR(__xludf.DUMMYFUNCTION("""COMPUTED_VALUE"""),495.29)</f>
        <v>495.29</v>
      </c>
      <c r="C1503" s="2">
        <f>IFERROR(__xludf.DUMMYFUNCTION("""COMPUTED_VALUE"""),518.8)</f>
        <v>518.8</v>
      </c>
      <c r="D1503" s="2">
        <f>IFERROR(__xludf.DUMMYFUNCTION("""COMPUTED_VALUE"""),495.29)</f>
        <v>495.29</v>
      </c>
      <c r="E1503" s="2">
        <f>IFERROR(__xludf.DUMMYFUNCTION("""COMPUTED_VALUE"""),514.89)</f>
        <v>514.89</v>
      </c>
      <c r="F1503" s="2">
        <f>IFERROR(__xludf.DUMMYFUNCTION("""COMPUTED_VALUE"""),3520252.0)</f>
        <v>3520252</v>
      </c>
    </row>
    <row r="1504">
      <c r="A1504" s="3">
        <f>IFERROR(__xludf.DUMMYFUNCTION("""COMPUTED_VALUE"""),39639.645833333336)</f>
        <v>39639.64583</v>
      </c>
      <c r="B1504" s="2">
        <f>IFERROR(__xludf.DUMMYFUNCTION("""COMPUTED_VALUE"""),514.33)</f>
        <v>514.33</v>
      </c>
      <c r="C1504" s="2">
        <f>IFERROR(__xludf.DUMMYFUNCTION("""COMPUTED_VALUE"""),516.27)</f>
        <v>516.27</v>
      </c>
      <c r="D1504" s="2">
        <f>IFERROR(__xludf.DUMMYFUNCTION("""COMPUTED_VALUE"""),503.11)</f>
        <v>503.11</v>
      </c>
      <c r="E1504" s="2">
        <f>IFERROR(__xludf.DUMMYFUNCTION("""COMPUTED_VALUE"""),506.84)</f>
        <v>506.84</v>
      </c>
      <c r="F1504" s="2">
        <f>IFERROR(__xludf.DUMMYFUNCTION("""COMPUTED_VALUE"""),2878942.0)</f>
        <v>2878942</v>
      </c>
    </row>
    <row r="1505">
      <c r="A1505" s="3">
        <f>IFERROR(__xludf.DUMMYFUNCTION("""COMPUTED_VALUE"""),39640.645833333336)</f>
        <v>39640.64583</v>
      </c>
      <c r="B1505" s="2">
        <f>IFERROR(__xludf.DUMMYFUNCTION("""COMPUTED_VALUE"""),508.66)</f>
        <v>508.66</v>
      </c>
      <c r="C1505" s="2">
        <f>IFERROR(__xludf.DUMMYFUNCTION("""COMPUTED_VALUE"""),512.35)</f>
        <v>512.35</v>
      </c>
      <c r="D1505" s="2">
        <f>IFERROR(__xludf.DUMMYFUNCTION("""COMPUTED_VALUE"""),493.31)</f>
        <v>493.31</v>
      </c>
      <c r="E1505" s="2">
        <f>IFERROR(__xludf.DUMMYFUNCTION("""COMPUTED_VALUE"""),499.27)</f>
        <v>499.27</v>
      </c>
      <c r="F1505" s="2">
        <f>IFERROR(__xludf.DUMMYFUNCTION("""COMPUTED_VALUE"""),3350305.0)</f>
        <v>3350305</v>
      </c>
    </row>
    <row r="1506">
      <c r="A1506" s="3">
        <f>IFERROR(__xludf.DUMMYFUNCTION("""COMPUTED_VALUE"""),39643.645833333336)</f>
        <v>39643.64583</v>
      </c>
      <c r="B1506" s="2">
        <f>IFERROR(__xludf.DUMMYFUNCTION("""COMPUTED_VALUE"""),495.29)</f>
        <v>495.29</v>
      </c>
      <c r="C1506" s="2">
        <f>IFERROR(__xludf.DUMMYFUNCTION("""COMPUTED_VALUE"""),513.86)</f>
        <v>513.86</v>
      </c>
      <c r="D1506" s="2">
        <f>IFERROR(__xludf.DUMMYFUNCTION("""COMPUTED_VALUE"""),492.81)</f>
        <v>492.81</v>
      </c>
      <c r="E1506" s="2">
        <f>IFERROR(__xludf.DUMMYFUNCTION("""COMPUTED_VALUE"""),506.05)</f>
        <v>506.05</v>
      </c>
      <c r="F1506" s="2">
        <f>IFERROR(__xludf.DUMMYFUNCTION("""COMPUTED_VALUE"""),3713341.0)</f>
        <v>3713341</v>
      </c>
    </row>
    <row r="1507">
      <c r="A1507" s="3">
        <f>IFERROR(__xludf.DUMMYFUNCTION("""COMPUTED_VALUE"""),39644.645833333336)</f>
        <v>39644.64583</v>
      </c>
      <c r="B1507" s="2">
        <f>IFERROR(__xludf.DUMMYFUNCTION("""COMPUTED_VALUE"""),496.53)</f>
        <v>496.53</v>
      </c>
      <c r="C1507" s="2">
        <f>IFERROR(__xludf.DUMMYFUNCTION("""COMPUTED_VALUE"""),506.88)</f>
        <v>506.88</v>
      </c>
      <c r="D1507" s="2">
        <f>IFERROR(__xludf.DUMMYFUNCTION("""COMPUTED_VALUE"""),487.36)</f>
        <v>487.36</v>
      </c>
      <c r="E1507" s="2">
        <f>IFERROR(__xludf.DUMMYFUNCTION("""COMPUTED_VALUE"""),489.69)</f>
        <v>489.69</v>
      </c>
      <c r="F1507" s="2">
        <f>IFERROR(__xludf.DUMMYFUNCTION("""COMPUTED_VALUE"""),4765338.0)</f>
        <v>4765338</v>
      </c>
    </row>
    <row r="1508">
      <c r="A1508" s="3">
        <f>IFERROR(__xludf.DUMMYFUNCTION("""COMPUTED_VALUE"""),39645.645833333336)</f>
        <v>39645.64583</v>
      </c>
      <c r="B1508" s="2">
        <f>IFERROR(__xludf.DUMMYFUNCTION("""COMPUTED_VALUE"""),492.85)</f>
        <v>492.85</v>
      </c>
      <c r="C1508" s="2">
        <f>IFERROR(__xludf.DUMMYFUNCTION("""COMPUTED_VALUE"""),501.48)</f>
        <v>501.48</v>
      </c>
      <c r="D1508" s="2">
        <f>IFERROR(__xludf.DUMMYFUNCTION("""COMPUTED_VALUE"""),475.48)</f>
        <v>475.48</v>
      </c>
      <c r="E1508" s="2">
        <f>IFERROR(__xludf.DUMMYFUNCTION("""COMPUTED_VALUE"""),481.3)</f>
        <v>481.3</v>
      </c>
      <c r="F1508" s="2">
        <f>IFERROR(__xludf.DUMMYFUNCTION("""COMPUTED_VALUE"""),3876668.0)</f>
        <v>3876668</v>
      </c>
    </row>
    <row r="1509">
      <c r="A1509" s="3">
        <f>IFERROR(__xludf.DUMMYFUNCTION("""COMPUTED_VALUE"""),39646.645833333336)</f>
        <v>39646.64583</v>
      </c>
      <c r="B1509" s="2">
        <f>IFERROR(__xludf.DUMMYFUNCTION("""COMPUTED_VALUE"""),504.7)</f>
        <v>504.7</v>
      </c>
      <c r="C1509" s="2">
        <f>IFERROR(__xludf.DUMMYFUNCTION("""COMPUTED_VALUE"""),506.36)</f>
        <v>506.36</v>
      </c>
      <c r="D1509" s="2">
        <f>IFERROR(__xludf.DUMMYFUNCTION("""COMPUTED_VALUE"""),486.64)</f>
        <v>486.64</v>
      </c>
      <c r="E1509" s="2">
        <f>IFERROR(__xludf.DUMMYFUNCTION("""COMPUTED_VALUE"""),499.88)</f>
        <v>499.88</v>
      </c>
      <c r="F1509" s="2">
        <f>IFERROR(__xludf.DUMMYFUNCTION("""COMPUTED_VALUE"""),3088057.0)</f>
        <v>3088057</v>
      </c>
    </row>
    <row r="1510">
      <c r="A1510" s="3">
        <f>IFERROR(__xludf.DUMMYFUNCTION("""COMPUTED_VALUE"""),39647.645833333336)</f>
        <v>39647.64583</v>
      </c>
      <c r="B1510" s="2">
        <f>IFERROR(__xludf.DUMMYFUNCTION("""COMPUTED_VALUE"""),492.81)</f>
        <v>492.81</v>
      </c>
      <c r="C1510" s="2">
        <f>IFERROR(__xludf.DUMMYFUNCTION("""COMPUTED_VALUE"""),526.74)</f>
        <v>526.74</v>
      </c>
      <c r="D1510" s="2">
        <f>IFERROR(__xludf.DUMMYFUNCTION("""COMPUTED_VALUE"""),492.81)</f>
        <v>492.81</v>
      </c>
      <c r="E1510" s="2">
        <f>IFERROR(__xludf.DUMMYFUNCTION("""COMPUTED_VALUE"""),523.32)</f>
        <v>523.32</v>
      </c>
      <c r="F1510" s="2">
        <f>IFERROR(__xludf.DUMMYFUNCTION("""COMPUTED_VALUE"""),3849669.0)</f>
        <v>3849669</v>
      </c>
    </row>
    <row r="1511">
      <c r="A1511" s="3">
        <f>IFERROR(__xludf.DUMMYFUNCTION("""COMPUTED_VALUE"""),39650.645833333336)</f>
        <v>39650.64583</v>
      </c>
      <c r="B1511" s="2">
        <f>IFERROR(__xludf.DUMMYFUNCTION("""COMPUTED_VALUE"""),532.19)</f>
        <v>532.19</v>
      </c>
      <c r="C1511" s="2">
        <f>IFERROR(__xludf.DUMMYFUNCTION("""COMPUTED_VALUE"""),535.96)</f>
        <v>535.96</v>
      </c>
      <c r="D1511" s="2">
        <f>IFERROR(__xludf.DUMMYFUNCTION("""COMPUTED_VALUE"""),518.33)</f>
        <v>518.33</v>
      </c>
      <c r="E1511" s="2">
        <f>IFERROR(__xludf.DUMMYFUNCTION("""COMPUTED_VALUE"""),533.14)</f>
        <v>533.14</v>
      </c>
      <c r="F1511" s="2">
        <f>IFERROR(__xludf.DUMMYFUNCTION("""COMPUTED_VALUE"""),2975966.0)</f>
        <v>2975966</v>
      </c>
    </row>
    <row r="1512">
      <c r="A1512" s="3">
        <f>IFERROR(__xludf.DUMMYFUNCTION("""COMPUTED_VALUE"""),39651.645833333336)</f>
        <v>39651.64583</v>
      </c>
      <c r="B1512" s="2">
        <f>IFERROR(__xludf.DUMMYFUNCTION("""COMPUTED_VALUE"""),526.24)</f>
        <v>526.24</v>
      </c>
      <c r="C1512" s="2">
        <f>IFERROR(__xludf.DUMMYFUNCTION("""COMPUTED_VALUE"""),544.57)</f>
        <v>544.57</v>
      </c>
      <c r="D1512" s="2">
        <f>IFERROR(__xludf.DUMMYFUNCTION("""COMPUTED_VALUE"""),526.24)</f>
        <v>526.24</v>
      </c>
      <c r="E1512" s="2">
        <f>IFERROR(__xludf.DUMMYFUNCTION("""COMPUTED_VALUE"""),532.97)</f>
        <v>532.97</v>
      </c>
      <c r="F1512" s="2">
        <f>IFERROR(__xludf.DUMMYFUNCTION("""COMPUTED_VALUE"""),2853219.0)</f>
        <v>2853219</v>
      </c>
    </row>
    <row r="1513">
      <c r="A1513" s="3">
        <f>IFERROR(__xludf.DUMMYFUNCTION("""COMPUTED_VALUE"""),39652.645833333336)</f>
        <v>39652.64583</v>
      </c>
      <c r="B1513" s="2">
        <f>IFERROR(__xludf.DUMMYFUNCTION("""COMPUTED_VALUE"""),537.39)</f>
        <v>537.39</v>
      </c>
      <c r="C1513" s="2">
        <f>IFERROR(__xludf.DUMMYFUNCTION("""COMPUTED_VALUE"""),564.38)</f>
        <v>564.38</v>
      </c>
      <c r="D1513" s="2">
        <f>IFERROR(__xludf.DUMMYFUNCTION("""COMPUTED_VALUE"""),537.39)</f>
        <v>537.39</v>
      </c>
      <c r="E1513" s="2">
        <f>IFERROR(__xludf.DUMMYFUNCTION("""COMPUTED_VALUE"""),561.48)</f>
        <v>561.48</v>
      </c>
      <c r="F1513" s="2">
        <f>IFERROR(__xludf.DUMMYFUNCTION("""COMPUTED_VALUE"""),5049840.0)</f>
        <v>5049840</v>
      </c>
    </row>
    <row r="1514">
      <c r="A1514" s="3">
        <f>IFERROR(__xludf.DUMMYFUNCTION("""COMPUTED_VALUE"""),39653.645833333336)</f>
        <v>39653.64583</v>
      </c>
      <c r="B1514" s="2">
        <f>IFERROR(__xludf.DUMMYFUNCTION("""COMPUTED_VALUE"""),559.65)</f>
        <v>559.65</v>
      </c>
      <c r="C1514" s="2">
        <f>IFERROR(__xludf.DUMMYFUNCTION("""COMPUTED_VALUE"""),577.01)</f>
        <v>577.01</v>
      </c>
      <c r="D1514" s="2">
        <f>IFERROR(__xludf.DUMMYFUNCTION("""COMPUTED_VALUE"""),559.65)</f>
        <v>559.65</v>
      </c>
      <c r="E1514" s="2">
        <f>IFERROR(__xludf.DUMMYFUNCTION("""COMPUTED_VALUE"""),571.57)</f>
        <v>571.57</v>
      </c>
      <c r="F1514" s="2">
        <f>IFERROR(__xludf.DUMMYFUNCTION("""COMPUTED_VALUE"""),3331358.0)</f>
        <v>3331358</v>
      </c>
    </row>
    <row r="1515">
      <c r="A1515" s="3">
        <f>IFERROR(__xludf.DUMMYFUNCTION("""COMPUTED_VALUE"""),39654.645833333336)</f>
        <v>39654.64583</v>
      </c>
      <c r="B1515" s="2">
        <f>IFERROR(__xludf.DUMMYFUNCTION("""COMPUTED_VALUE"""),579.1)</f>
        <v>579.1</v>
      </c>
      <c r="C1515" s="2">
        <f>IFERROR(__xludf.DUMMYFUNCTION("""COMPUTED_VALUE"""),579.1)</f>
        <v>579.1</v>
      </c>
      <c r="D1515" s="2">
        <f>IFERROR(__xludf.DUMMYFUNCTION("""COMPUTED_VALUE"""),528.72)</f>
        <v>528.72</v>
      </c>
      <c r="E1515" s="2">
        <f>IFERROR(__xludf.DUMMYFUNCTION("""COMPUTED_VALUE"""),531.72)</f>
        <v>531.72</v>
      </c>
      <c r="F1515" s="2">
        <f>IFERROR(__xludf.DUMMYFUNCTION("""COMPUTED_VALUE"""),7129220.0)</f>
        <v>7129220</v>
      </c>
    </row>
    <row r="1516">
      <c r="A1516" s="3">
        <f>IFERROR(__xludf.DUMMYFUNCTION("""COMPUTED_VALUE"""),39657.645833333336)</f>
        <v>39657.64583</v>
      </c>
      <c r="B1516" s="2">
        <f>IFERROR(__xludf.DUMMYFUNCTION("""COMPUTED_VALUE"""),532.45)</f>
        <v>532.45</v>
      </c>
      <c r="C1516" s="2">
        <f>IFERROR(__xludf.DUMMYFUNCTION("""COMPUTED_VALUE"""),542.09)</f>
        <v>542.09</v>
      </c>
      <c r="D1516" s="2">
        <f>IFERROR(__xludf.DUMMYFUNCTION("""COMPUTED_VALUE"""),521.54)</f>
        <v>521.54</v>
      </c>
      <c r="E1516" s="2">
        <f>IFERROR(__xludf.DUMMYFUNCTION("""COMPUTED_VALUE"""),539.84)</f>
        <v>539.84</v>
      </c>
      <c r="F1516" s="2">
        <f>IFERROR(__xludf.DUMMYFUNCTION("""COMPUTED_VALUE"""),3383436.0)</f>
        <v>3383436</v>
      </c>
    </row>
    <row r="1517">
      <c r="A1517" s="3">
        <f>IFERROR(__xludf.DUMMYFUNCTION("""COMPUTED_VALUE"""),39658.645833333336)</f>
        <v>39658.64583</v>
      </c>
      <c r="B1517" s="2">
        <f>IFERROR(__xludf.DUMMYFUNCTION("""COMPUTED_VALUE"""),529.91)</f>
        <v>529.91</v>
      </c>
      <c r="C1517" s="2">
        <f>IFERROR(__xludf.DUMMYFUNCTION("""COMPUTED_VALUE"""),534.65)</f>
        <v>534.65</v>
      </c>
      <c r="D1517" s="2">
        <f>IFERROR(__xludf.DUMMYFUNCTION("""COMPUTED_VALUE"""),513.86)</f>
        <v>513.86</v>
      </c>
      <c r="E1517" s="2">
        <f>IFERROR(__xludf.DUMMYFUNCTION("""COMPUTED_VALUE"""),515.87)</f>
        <v>515.87</v>
      </c>
      <c r="F1517" s="2">
        <f>IFERROR(__xludf.DUMMYFUNCTION("""COMPUTED_VALUE"""),3553556.0)</f>
        <v>3553556</v>
      </c>
    </row>
    <row r="1518">
      <c r="A1518" s="3">
        <f>IFERROR(__xludf.DUMMYFUNCTION("""COMPUTED_VALUE"""),39659.645833333336)</f>
        <v>39659.64583</v>
      </c>
      <c r="B1518" s="2">
        <f>IFERROR(__xludf.DUMMYFUNCTION("""COMPUTED_VALUE"""),529.46)</f>
        <v>529.46</v>
      </c>
      <c r="C1518" s="2">
        <f>IFERROR(__xludf.DUMMYFUNCTION("""COMPUTED_VALUE"""),538.38)</f>
        <v>538.38</v>
      </c>
      <c r="D1518" s="2">
        <f>IFERROR(__xludf.DUMMYFUNCTION("""COMPUTED_VALUE"""),520.06)</f>
        <v>520.06</v>
      </c>
      <c r="E1518" s="2">
        <f>IFERROR(__xludf.DUMMYFUNCTION("""COMPUTED_VALUE"""),536.27)</f>
        <v>536.27</v>
      </c>
      <c r="F1518" s="2">
        <f>IFERROR(__xludf.DUMMYFUNCTION("""COMPUTED_VALUE"""),2096377.0)</f>
        <v>2096377</v>
      </c>
    </row>
    <row r="1519">
      <c r="A1519" s="3">
        <f>IFERROR(__xludf.DUMMYFUNCTION("""COMPUTED_VALUE"""),39660.645833333336)</f>
        <v>39660.64583</v>
      </c>
      <c r="B1519" s="2">
        <f>IFERROR(__xludf.DUMMYFUNCTION("""COMPUTED_VALUE"""),548.48)</f>
        <v>548.48</v>
      </c>
      <c r="C1519" s="2">
        <f>IFERROR(__xludf.DUMMYFUNCTION("""COMPUTED_VALUE"""),549.77)</f>
        <v>549.77</v>
      </c>
      <c r="D1519" s="2">
        <f>IFERROR(__xludf.DUMMYFUNCTION("""COMPUTED_VALUE"""),533.73)</f>
        <v>533.73</v>
      </c>
      <c r="E1519" s="2">
        <f>IFERROR(__xludf.DUMMYFUNCTION("""COMPUTED_VALUE"""),546.67)</f>
        <v>546.67</v>
      </c>
      <c r="F1519" s="2">
        <f>IFERROR(__xludf.DUMMYFUNCTION("""COMPUTED_VALUE"""),3253164.0)</f>
        <v>3253164</v>
      </c>
    </row>
    <row r="1520">
      <c r="A1520" s="3">
        <f>IFERROR(__xludf.DUMMYFUNCTION("""COMPUTED_VALUE"""),39661.645833333336)</f>
        <v>39661.64583</v>
      </c>
      <c r="B1520" s="2">
        <f>IFERROR(__xludf.DUMMYFUNCTION("""COMPUTED_VALUE"""),537.4)</f>
        <v>537.4</v>
      </c>
      <c r="C1520" s="2">
        <f>IFERROR(__xludf.DUMMYFUNCTION("""COMPUTED_VALUE"""),572.8)</f>
        <v>572.8</v>
      </c>
      <c r="D1520" s="2">
        <f>IFERROR(__xludf.DUMMYFUNCTION("""COMPUTED_VALUE"""),533.18)</f>
        <v>533.18</v>
      </c>
      <c r="E1520" s="2">
        <f>IFERROR(__xludf.DUMMYFUNCTION("""COMPUTED_VALUE"""),568.99)</f>
        <v>568.99</v>
      </c>
      <c r="F1520" s="2">
        <f>IFERROR(__xludf.DUMMYFUNCTION("""COMPUTED_VALUE"""),3774513.0)</f>
        <v>3774513</v>
      </c>
    </row>
    <row r="1521">
      <c r="A1521" s="3">
        <f>IFERROR(__xludf.DUMMYFUNCTION("""COMPUTED_VALUE"""),39664.645833333336)</f>
        <v>39664.64583</v>
      </c>
      <c r="B1521" s="2">
        <f>IFERROR(__xludf.DUMMYFUNCTION("""COMPUTED_VALUE"""),581.91)</f>
        <v>581.91</v>
      </c>
      <c r="C1521" s="2">
        <f>IFERROR(__xludf.DUMMYFUNCTION("""COMPUTED_VALUE"""),581.91)</f>
        <v>581.91</v>
      </c>
      <c r="D1521" s="2">
        <f>IFERROR(__xludf.DUMMYFUNCTION("""COMPUTED_VALUE"""),552.89)</f>
        <v>552.89</v>
      </c>
      <c r="E1521" s="2">
        <f>IFERROR(__xludf.DUMMYFUNCTION("""COMPUTED_VALUE"""),555.32)</f>
        <v>555.32</v>
      </c>
      <c r="F1521" s="2">
        <f>IFERROR(__xludf.DUMMYFUNCTION("""COMPUTED_VALUE"""),4096186.0)</f>
        <v>4096186</v>
      </c>
    </row>
    <row r="1522">
      <c r="A1522" s="3">
        <f>IFERROR(__xludf.DUMMYFUNCTION("""COMPUTED_VALUE"""),39665.645833333336)</f>
        <v>39665.64583</v>
      </c>
      <c r="B1522" s="2">
        <f>IFERROR(__xludf.DUMMYFUNCTION("""COMPUTED_VALUE"""),558.84)</f>
        <v>558.84</v>
      </c>
      <c r="C1522" s="2">
        <f>IFERROR(__xludf.DUMMYFUNCTION("""COMPUTED_VALUE"""),566.11)</f>
        <v>566.11</v>
      </c>
      <c r="D1522" s="2">
        <f>IFERROR(__xludf.DUMMYFUNCTION("""COMPUTED_VALUE"""),546.05)</f>
        <v>546.05</v>
      </c>
      <c r="E1522" s="2">
        <f>IFERROR(__xludf.DUMMYFUNCTION("""COMPUTED_VALUE"""),563.65)</f>
        <v>563.65</v>
      </c>
      <c r="F1522" s="2">
        <f>IFERROR(__xludf.DUMMYFUNCTION("""COMPUTED_VALUE"""),4797583.0)</f>
        <v>4797583</v>
      </c>
    </row>
    <row r="1523">
      <c r="A1523" s="3">
        <f>IFERROR(__xludf.DUMMYFUNCTION("""COMPUTED_VALUE"""),39666.645833333336)</f>
        <v>39666.64583</v>
      </c>
      <c r="B1523" s="2">
        <f>IFERROR(__xludf.DUMMYFUNCTION("""COMPUTED_VALUE"""),567.1)</f>
        <v>567.1</v>
      </c>
      <c r="C1523" s="2">
        <f>IFERROR(__xludf.DUMMYFUNCTION("""COMPUTED_VALUE"""),581.71)</f>
        <v>581.71</v>
      </c>
      <c r="D1523" s="2">
        <f>IFERROR(__xludf.DUMMYFUNCTION("""COMPUTED_VALUE"""),566.14)</f>
        <v>566.14</v>
      </c>
      <c r="E1523" s="2">
        <f>IFERROR(__xludf.DUMMYFUNCTION("""COMPUTED_VALUE"""),569.23)</f>
        <v>569.23</v>
      </c>
      <c r="F1523" s="2">
        <f>IFERROR(__xludf.DUMMYFUNCTION("""COMPUTED_VALUE"""),4163954.0)</f>
        <v>4163954</v>
      </c>
    </row>
    <row r="1524">
      <c r="A1524" s="3">
        <f>IFERROR(__xludf.DUMMYFUNCTION("""COMPUTED_VALUE"""),39667.645833333336)</f>
        <v>39667.64583</v>
      </c>
      <c r="B1524" s="2">
        <f>IFERROR(__xludf.DUMMYFUNCTION("""COMPUTED_VALUE"""),569.08)</f>
        <v>569.08</v>
      </c>
      <c r="C1524" s="2">
        <f>IFERROR(__xludf.DUMMYFUNCTION("""COMPUTED_VALUE"""),573.77)</f>
        <v>573.77</v>
      </c>
      <c r="D1524" s="2">
        <f>IFERROR(__xludf.DUMMYFUNCTION("""COMPUTED_VALUE"""),559.74)</f>
        <v>559.74</v>
      </c>
      <c r="E1524" s="2">
        <f>IFERROR(__xludf.DUMMYFUNCTION("""COMPUTED_VALUE"""),562.79)</f>
        <v>562.79</v>
      </c>
      <c r="F1524" s="2">
        <f>IFERROR(__xludf.DUMMYFUNCTION("""COMPUTED_VALUE"""),2806584.0)</f>
        <v>2806584</v>
      </c>
    </row>
    <row r="1525">
      <c r="A1525" s="3">
        <f>IFERROR(__xludf.DUMMYFUNCTION("""COMPUTED_VALUE"""),39668.645833333336)</f>
        <v>39668.64583</v>
      </c>
      <c r="B1525" s="2">
        <f>IFERROR(__xludf.DUMMYFUNCTION("""COMPUTED_VALUE"""),557.12)</f>
        <v>557.12</v>
      </c>
      <c r="C1525" s="2">
        <f>IFERROR(__xludf.DUMMYFUNCTION("""COMPUTED_VALUE"""),565.62)</f>
        <v>565.62</v>
      </c>
      <c r="D1525" s="2">
        <f>IFERROR(__xludf.DUMMYFUNCTION("""COMPUTED_VALUE"""),552.5)</f>
        <v>552.5</v>
      </c>
      <c r="E1525" s="2">
        <f>IFERROR(__xludf.DUMMYFUNCTION("""COMPUTED_VALUE"""),557.64)</f>
        <v>557.64</v>
      </c>
      <c r="F1525" s="2">
        <f>IFERROR(__xludf.DUMMYFUNCTION("""COMPUTED_VALUE"""),3303349.0)</f>
        <v>3303349</v>
      </c>
    </row>
    <row r="1526">
      <c r="A1526" s="3">
        <f>IFERROR(__xludf.DUMMYFUNCTION("""COMPUTED_VALUE"""),39671.645833333336)</f>
        <v>39671.64583</v>
      </c>
      <c r="B1526" s="2">
        <f>IFERROR(__xludf.DUMMYFUNCTION("""COMPUTED_VALUE"""),557.48)</f>
        <v>557.48</v>
      </c>
      <c r="C1526" s="2">
        <f>IFERROR(__xludf.DUMMYFUNCTION("""COMPUTED_VALUE"""),578.5)</f>
        <v>578.5</v>
      </c>
      <c r="D1526" s="2">
        <f>IFERROR(__xludf.DUMMYFUNCTION("""COMPUTED_VALUE"""),557.48)</f>
        <v>557.48</v>
      </c>
      <c r="E1526" s="2">
        <f>IFERROR(__xludf.DUMMYFUNCTION("""COMPUTED_VALUE"""),575.83)</f>
        <v>575.83</v>
      </c>
      <c r="F1526" s="2">
        <f>IFERROR(__xludf.DUMMYFUNCTION("""COMPUTED_VALUE"""),2927085.0)</f>
        <v>2927085</v>
      </c>
    </row>
    <row r="1527">
      <c r="A1527" s="3">
        <f>IFERROR(__xludf.DUMMYFUNCTION("""COMPUTED_VALUE"""),39672.645833333336)</f>
        <v>39672.64583</v>
      </c>
      <c r="B1527" s="2">
        <f>IFERROR(__xludf.DUMMYFUNCTION("""COMPUTED_VALUE"""),579.49)</f>
        <v>579.49</v>
      </c>
      <c r="C1527" s="2">
        <f>IFERROR(__xludf.DUMMYFUNCTION("""COMPUTED_VALUE"""),588.03)</f>
        <v>588.03</v>
      </c>
      <c r="D1527" s="2">
        <f>IFERROR(__xludf.DUMMYFUNCTION("""COMPUTED_VALUE"""),573.32)</f>
        <v>573.32</v>
      </c>
      <c r="E1527" s="2">
        <f>IFERROR(__xludf.DUMMYFUNCTION("""COMPUTED_VALUE"""),581.28)</f>
        <v>581.28</v>
      </c>
      <c r="F1527" s="2">
        <f>IFERROR(__xludf.DUMMYFUNCTION("""COMPUTED_VALUE"""),3758158.0)</f>
        <v>3758158</v>
      </c>
    </row>
    <row r="1528">
      <c r="A1528" s="3">
        <f>IFERROR(__xludf.DUMMYFUNCTION("""COMPUTED_VALUE"""),39673.645833333336)</f>
        <v>39673.64583</v>
      </c>
      <c r="B1528" s="2">
        <f>IFERROR(__xludf.DUMMYFUNCTION("""COMPUTED_VALUE"""),576.96)</f>
        <v>576.96</v>
      </c>
      <c r="C1528" s="2">
        <f>IFERROR(__xludf.DUMMYFUNCTION("""COMPUTED_VALUE"""),588.4)</f>
        <v>588.4</v>
      </c>
      <c r="D1528" s="2">
        <f>IFERROR(__xludf.DUMMYFUNCTION("""COMPUTED_VALUE"""),571.4)</f>
        <v>571.4</v>
      </c>
      <c r="E1528" s="2">
        <f>IFERROR(__xludf.DUMMYFUNCTION("""COMPUTED_VALUE"""),578.71)</f>
        <v>578.71</v>
      </c>
      <c r="F1528" s="2">
        <f>IFERROR(__xludf.DUMMYFUNCTION("""COMPUTED_VALUE"""),3252519.0)</f>
        <v>3252519</v>
      </c>
    </row>
    <row r="1529">
      <c r="A1529" s="3">
        <f>IFERROR(__xludf.DUMMYFUNCTION("""COMPUTED_VALUE"""),39674.645833333336)</f>
        <v>39674.64583</v>
      </c>
      <c r="B1529" s="2">
        <f>IFERROR(__xludf.DUMMYFUNCTION("""COMPUTED_VALUE"""),578.5)</f>
        <v>578.5</v>
      </c>
      <c r="C1529" s="2">
        <f>IFERROR(__xludf.DUMMYFUNCTION("""COMPUTED_VALUE"""),580.72)</f>
        <v>580.72</v>
      </c>
      <c r="D1529" s="2">
        <f>IFERROR(__xludf.DUMMYFUNCTION("""COMPUTED_VALUE"""),560.01)</f>
        <v>560.01</v>
      </c>
      <c r="E1529" s="2">
        <f>IFERROR(__xludf.DUMMYFUNCTION("""COMPUTED_VALUE"""),563.81)</f>
        <v>563.81</v>
      </c>
      <c r="F1529" s="2">
        <f>IFERROR(__xludf.DUMMYFUNCTION("""COMPUTED_VALUE"""),2397678.0)</f>
        <v>2397678</v>
      </c>
    </row>
    <row r="1530">
      <c r="A1530" s="3">
        <f>IFERROR(__xludf.DUMMYFUNCTION("""COMPUTED_VALUE"""),39678.645833333336)</f>
        <v>39678.64583</v>
      </c>
      <c r="B1530" s="2">
        <f>IFERROR(__xludf.DUMMYFUNCTION("""COMPUTED_VALUE"""),567.1)</f>
        <v>567.1</v>
      </c>
      <c r="C1530" s="2">
        <f>IFERROR(__xludf.DUMMYFUNCTION("""COMPUTED_VALUE"""),567.1)</f>
        <v>567.1</v>
      </c>
      <c r="D1530" s="2">
        <f>IFERROR(__xludf.DUMMYFUNCTION("""COMPUTED_VALUE"""),547.34)</f>
        <v>547.34</v>
      </c>
      <c r="E1530" s="2">
        <f>IFERROR(__xludf.DUMMYFUNCTION("""COMPUTED_VALUE"""),550.96)</f>
        <v>550.96</v>
      </c>
      <c r="F1530" s="2">
        <f>IFERROR(__xludf.DUMMYFUNCTION("""COMPUTED_VALUE"""),2513403.0)</f>
        <v>2513403</v>
      </c>
    </row>
    <row r="1531">
      <c r="A1531" s="3">
        <f>IFERROR(__xludf.DUMMYFUNCTION("""COMPUTED_VALUE"""),39679.645833333336)</f>
        <v>39679.64583</v>
      </c>
      <c r="B1531" s="2">
        <f>IFERROR(__xludf.DUMMYFUNCTION("""COMPUTED_VALUE"""),551.01)</f>
        <v>551.01</v>
      </c>
      <c r="C1531" s="2">
        <f>IFERROR(__xludf.DUMMYFUNCTION("""COMPUTED_VALUE"""),553.24)</f>
        <v>553.24</v>
      </c>
      <c r="D1531" s="2">
        <f>IFERROR(__xludf.DUMMYFUNCTION("""COMPUTED_VALUE"""),543.68)</f>
        <v>543.68</v>
      </c>
      <c r="E1531" s="2">
        <f>IFERROR(__xludf.DUMMYFUNCTION("""COMPUTED_VALUE"""),549.67)</f>
        <v>549.67</v>
      </c>
      <c r="F1531" s="2">
        <f>IFERROR(__xludf.DUMMYFUNCTION("""COMPUTED_VALUE"""),2077098.0)</f>
        <v>2077098</v>
      </c>
    </row>
    <row r="1532">
      <c r="A1532" s="3">
        <f>IFERROR(__xludf.DUMMYFUNCTION("""COMPUTED_VALUE"""),39680.645833333336)</f>
        <v>39680.64583</v>
      </c>
      <c r="B1532" s="2">
        <f>IFERROR(__xludf.DUMMYFUNCTION("""COMPUTED_VALUE"""),549.77)</f>
        <v>549.77</v>
      </c>
      <c r="C1532" s="2">
        <f>IFERROR(__xludf.DUMMYFUNCTION("""COMPUTED_VALUE"""),559.67)</f>
        <v>559.67</v>
      </c>
      <c r="D1532" s="2">
        <f>IFERROR(__xludf.DUMMYFUNCTION("""COMPUTED_VALUE"""),549.15)</f>
        <v>549.15</v>
      </c>
      <c r="E1532" s="2">
        <f>IFERROR(__xludf.DUMMYFUNCTION("""COMPUTED_VALUE"""),556.29)</f>
        <v>556.29</v>
      </c>
      <c r="F1532" s="2">
        <f>IFERROR(__xludf.DUMMYFUNCTION("""COMPUTED_VALUE"""),2273633.0)</f>
        <v>2273633</v>
      </c>
    </row>
    <row r="1533">
      <c r="A1533" s="3">
        <f>IFERROR(__xludf.DUMMYFUNCTION("""COMPUTED_VALUE"""),39681.645833333336)</f>
        <v>39681.64583</v>
      </c>
      <c r="B1533" s="2">
        <f>IFERROR(__xludf.DUMMYFUNCTION("""COMPUTED_VALUE"""),559.98)</f>
        <v>559.98</v>
      </c>
      <c r="C1533" s="2">
        <f>IFERROR(__xludf.DUMMYFUNCTION("""COMPUTED_VALUE"""),559.98)</f>
        <v>559.98</v>
      </c>
      <c r="D1533" s="2">
        <f>IFERROR(__xludf.DUMMYFUNCTION("""COMPUTED_VALUE"""),545.45)</f>
        <v>545.45</v>
      </c>
      <c r="E1533" s="2">
        <f>IFERROR(__xludf.DUMMYFUNCTION("""COMPUTED_VALUE"""),547.95)</f>
        <v>547.95</v>
      </c>
      <c r="F1533" s="2">
        <f>IFERROR(__xludf.DUMMYFUNCTION("""COMPUTED_VALUE"""),1954673.0)</f>
        <v>1954673</v>
      </c>
    </row>
    <row r="1534">
      <c r="A1534" s="3">
        <f>IFERROR(__xludf.DUMMYFUNCTION("""COMPUTED_VALUE"""),39682.645833333336)</f>
        <v>39682.64583</v>
      </c>
      <c r="B1534" s="2">
        <f>IFERROR(__xludf.DUMMYFUNCTION("""COMPUTED_VALUE"""),544.69)</f>
        <v>544.69</v>
      </c>
      <c r="C1534" s="2">
        <f>IFERROR(__xludf.DUMMYFUNCTION("""COMPUTED_VALUE"""),559.65)</f>
        <v>559.65</v>
      </c>
      <c r="D1534" s="2">
        <f>IFERROR(__xludf.DUMMYFUNCTION("""COMPUTED_VALUE"""),544.59)</f>
        <v>544.59</v>
      </c>
      <c r="E1534" s="2">
        <f>IFERROR(__xludf.DUMMYFUNCTION("""COMPUTED_VALUE"""),555.91)</f>
        <v>555.91</v>
      </c>
      <c r="F1534" s="2">
        <f>IFERROR(__xludf.DUMMYFUNCTION("""COMPUTED_VALUE"""),2294686.0)</f>
        <v>2294686</v>
      </c>
    </row>
    <row r="1535">
      <c r="A1535" s="3">
        <f>IFERROR(__xludf.DUMMYFUNCTION("""COMPUTED_VALUE"""),39685.645833333336)</f>
        <v>39685.64583</v>
      </c>
      <c r="B1535" s="2">
        <f>IFERROR(__xludf.DUMMYFUNCTION("""COMPUTED_VALUE"""),546.14)</f>
        <v>546.14</v>
      </c>
      <c r="C1535" s="2">
        <f>IFERROR(__xludf.DUMMYFUNCTION("""COMPUTED_VALUE"""),565.87)</f>
        <v>565.87</v>
      </c>
      <c r="D1535" s="2">
        <f>IFERROR(__xludf.DUMMYFUNCTION("""COMPUTED_VALUE"""),546.14)</f>
        <v>546.14</v>
      </c>
      <c r="E1535" s="2">
        <f>IFERROR(__xludf.DUMMYFUNCTION("""COMPUTED_VALUE"""),552.74)</f>
        <v>552.74</v>
      </c>
      <c r="F1535" s="2">
        <f>IFERROR(__xludf.DUMMYFUNCTION("""COMPUTED_VALUE"""),1391259.0)</f>
        <v>1391259</v>
      </c>
    </row>
    <row r="1536">
      <c r="A1536" s="3">
        <f>IFERROR(__xludf.DUMMYFUNCTION("""COMPUTED_VALUE"""),39686.645833333336)</f>
        <v>39686.64583</v>
      </c>
      <c r="B1536" s="2">
        <f>IFERROR(__xludf.DUMMYFUNCTION("""COMPUTED_VALUE"""),549.52)</f>
        <v>549.52</v>
      </c>
      <c r="C1536" s="2">
        <f>IFERROR(__xludf.DUMMYFUNCTION("""COMPUTED_VALUE"""),549.52)</f>
        <v>549.52</v>
      </c>
      <c r="D1536" s="2">
        <f>IFERROR(__xludf.DUMMYFUNCTION("""COMPUTED_VALUE"""),531.6)</f>
        <v>531.6</v>
      </c>
      <c r="E1536" s="2">
        <f>IFERROR(__xludf.DUMMYFUNCTION("""COMPUTED_VALUE"""),539.7)</f>
        <v>539.7</v>
      </c>
      <c r="F1536" s="2">
        <f>IFERROR(__xludf.DUMMYFUNCTION("""COMPUTED_VALUE"""),3475808.0)</f>
        <v>3475808</v>
      </c>
    </row>
    <row r="1537">
      <c r="A1537" s="3">
        <f>IFERROR(__xludf.DUMMYFUNCTION("""COMPUTED_VALUE"""),39687.645833333336)</f>
        <v>39687.64583</v>
      </c>
      <c r="B1537" s="2">
        <f>IFERROR(__xludf.DUMMYFUNCTION("""COMPUTED_VALUE"""),544.79)</f>
        <v>544.79</v>
      </c>
      <c r="C1537" s="2">
        <f>IFERROR(__xludf.DUMMYFUNCTION("""COMPUTED_VALUE"""),544.79)</f>
        <v>544.79</v>
      </c>
      <c r="D1537" s="2">
        <f>IFERROR(__xludf.DUMMYFUNCTION("""COMPUTED_VALUE"""),529.96)</f>
        <v>529.96</v>
      </c>
      <c r="E1537" s="2">
        <f>IFERROR(__xludf.DUMMYFUNCTION("""COMPUTED_VALUE"""),531.94)</f>
        <v>531.94</v>
      </c>
      <c r="F1537" s="2">
        <f>IFERROR(__xludf.DUMMYFUNCTION("""COMPUTED_VALUE"""),3693248.0)</f>
        <v>3693248</v>
      </c>
    </row>
    <row r="1538">
      <c r="A1538" s="3">
        <f>IFERROR(__xludf.DUMMYFUNCTION("""COMPUTED_VALUE"""),39689.645833333336)</f>
        <v>39689.64583</v>
      </c>
      <c r="B1538" s="2">
        <f>IFERROR(__xludf.DUMMYFUNCTION("""COMPUTED_VALUE"""),529.96)</f>
        <v>529.96</v>
      </c>
      <c r="C1538" s="2">
        <f>IFERROR(__xludf.DUMMYFUNCTION("""COMPUTED_VALUE"""),531.91)</f>
        <v>531.91</v>
      </c>
      <c r="D1538" s="2">
        <f>IFERROR(__xludf.DUMMYFUNCTION("""COMPUTED_VALUE"""),519.8)</f>
        <v>519.8</v>
      </c>
      <c r="E1538" s="2">
        <f>IFERROR(__xludf.DUMMYFUNCTION("""COMPUTED_VALUE"""),529.02)</f>
        <v>529.02</v>
      </c>
      <c r="F1538" s="2">
        <f>IFERROR(__xludf.DUMMYFUNCTION("""COMPUTED_VALUE"""),2517428.0)</f>
        <v>2517428</v>
      </c>
    </row>
    <row r="1539">
      <c r="A1539" s="3">
        <f>IFERROR(__xludf.DUMMYFUNCTION("""COMPUTED_VALUE"""),39692.645833333336)</f>
        <v>39692.64583</v>
      </c>
      <c r="B1539" s="2">
        <f>IFERROR(__xludf.DUMMYFUNCTION("""COMPUTED_VALUE"""),525.0)</f>
        <v>525</v>
      </c>
      <c r="C1539" s="2">
        <f>IFERROR(__xludf.DUMMYFUNCTION("""COMPUTED_VALUE"""),536.26)</f>
        <v>536.26</v>
      </c>
      <c r="D1539" s="2">
        <f>IFERROR(__xludf.DUMMYFUNCTION("""COMPUTED_VALUE"""),520.79)</f>
        <v>520.79</v>
      </c>
      <c r="E1539" s="2">
        <f>IFERROR(__xludf.DUMMYFUNCTION("""COMPUTED_VALUE"""),530.37)</f>
        <v>530.37</v>
      </c>
      <c r="F1539" s="2">
        <f>IFERROR(__xludf.DUMMYFUNCTION("""COMPUTED_VALUE"""),2288933.0)</f>
        <v>2288933</v>
      </c>
    </row>
    <row r="1540">
      <c r="A1540" s="3">
        <f>IFERROR(__xludf.DUMMYFUNCTION("""COMPUTED_VALUE"""),39693.645833333336)</f>
        <v>39693.64583</v>
      </c>
      <c r="B1540" s="2">
        <f>IFERROR(__xludf.DUMMYFUNCTION("""COMPUTED_VALUE"""),529.96)</f>
        <v>529.96</v>
      </c>
      <c r="C1540" s="2">
        <f>IFERROR(__xludf.DUMMYFUNCTION("""COMPUTED_VALUE"""),551.01)</f>
        <v>551.01</v>
      </c>
      <c r="D1540" s="2">
        <f>IFERROR(__xludf.DUMMYFUNCTION("""COMPUTED_VALUE"""),526.24)</f>
        <v>526.24</v>
      </c>
      <c r="E1540" s="2">
        <f>IFERROR(__xludf.DUMMYFUNCTION("""COMPUTED_VALUE"""),547.97)</f>
        <v>547.97</v>
      </c>
      <c r="F1540" s="2">
        <f>IFERROR(__xludf.DUMMYFUNCTION("""COMPUTED_VALUE"""),2521424.0)</f>
        <v>2521424</v>
      </c>
    </row>
    <row r="1541">
      <c r="A1541" s="3">
        <f>IFERROR(__xludf.DUMMYFUNCTION("""COMPUTED_VALUE"""),39695.645833333336)</f>
        <v>39695.64583</v>
      </c>
      <c r="B1541" s="2">
        <f>IFERROR(__xludf.DUMMYFUNCTION("""COMPUTED_VALUE"""),557.2)</f>
        <v>557.2</v>
      </c>
      <c r="C1541" s="2">
        <f>IFERROR(__xludf.DUMMYFUNCTION("""COMPUTED_VALUE"""),557.2)</f>
        <v>557.2</v>
      </c>
      <c r="D1541" s="2">
        <f>IFERROR(__xludf.DUMMYFUNCTION("""COMPUTED_VALUE"""),527.98)</f>
        <v>527.98</v>
      </c>
      <c r="E1541" s="2">
        <f>IFERROR(__xludf.DUMMYFUNCTION("""COMPUTED_VALUE"""),532.99)</f>
        <v>532.99</v>
      </c>
      <c r="F1541" s="2">
        <f>IFERROR(__xludf.DUMMYFUNCTION("""COMPUTED_VALUE"""),2663348.0)</f>
        <v>2663348</v>
      </c>
    </row>
    <row r="1542">
      <c r="A1542" s="3">
        <f>IFERROR(__xludf.DUMMYFUNCTION("""COMPUTED_VALUE"""),39696.645833333336)</f>
        <v>39696.64583</v>
      </c>
      <c r="B1542" s="2">
        <f>IFERROR(__xludf.DUMMYFUNCTION("""COMPUTED_VALUE"""),521.29)</f>
        <v>521.29</v>
      </c>
      <c r="C1542" s="2">
        <f>IFERROR(__xludf.DUMMYFUNCTION("""COMPUTED_VALUE"""),521.29)</f>
        <v>521.29</v>
      </c>
      <c r="D1542" s="2">
        <f>IFERROR(__xludf.DUMMYFUNCTION("""COMPUTED_VALUE"""),511.38)</f>
        <v>511.38</v>
      </c>
      <c r="E1542" s="2">
        <f>IFERROR(__xludf.DUMMYFUNCTION("""COMPUTED_VALUE"""),515.32)</f>
        <v>515.32</v>
      </c>
      <c r="F1542" s="2">
        <f>IFERROR(__xludf.DUMMYFUNCTION("""COMPUTED_VALUE"""),3225044.0)</f>
        <v>3225044</v>
      </c>
    </row>
    <row r="1543">
      <c r="A1543" s="3">
        <f>IFERROR(__xludf.DUMMYFUNCTION("""COMPUTED_VALUE"""),39699.645833333336)</f>
        <v>39699.64583</v>
      </c>
      <c r="B1543" s="2">
        <f>IFERROR(__xludf.DUMMYFUNCTION("""COMPUTED_VALUE"""),542.34)</f>
        <v>542.34</v>
      </c>
      <c r="C1543" s="2">
        <f>IFERROR(__xludf.DUMMYFUNCTION("""COMPUTED_VALUE"""),542.34)</f>
        <v>542.34</v>
      </c>
      <c r="D1543" s="2">
        <f>IFERROR(__xludf.DUMMYFUNCTION("""COMPUTED_VALUE"""),526.24)</f>
        <v>526.24</v>
      </c>
      <c r="E1543" s="2">
        <f>IFERROR(__xludf.DUMMYFUNCTION("""COMPUTED_VALUE"""),528.27)</f>
        <v>528.27</v>
      </c>
      <c r="F1543" s="2">
        <f>IFERROR(__xludf.DUMMYFUNCTION("""COMPUTED_VALUE"""),2868523.0)</f>
        <v>2868523</v>
      </c>
    </row>
    <row r="1544">
      <c r="A1544" s="3">
        <f>IFERROR(__xludf.DUMMYFUNCTION("""COMPUTED_VALUE"""),39700.645833333336)</f>
        <v>39700.64583</v>
      </c>
      <c r="B1544" s="2">
        <f>IFERROR(__xludf.DUMMYFUNCTION("""COMPUTED_VALUE"""),531.2)</f>
        <v>531.2</v>
      </c>
      <c r="C1544" s="2">
        <f>IFERROR(__xludf.DUMMYFUNCTION("""COMPUTED_VALUE"""),534.66)</f>
        <v>534.66</v>
      </c>
      <c r="D1544" s="2">
        <f>IFERROR(__xludf.DUMMYFUNCTION("""COMPUTED_VALUE"""),516.72)</f>
        <v>516.72</v>
      </c>
      <c r="E1544" s="2">
        <f>IFERROR(__xludf.DUMMYFUNCTION("""COMPUTED_VALUE"""),530.59)</f>
        <v>530.59</v>
      </c>
      <c r="F1544" s="2">
        <f>IFERROR(__xludf.DUMMYFUNCTION("""COMPUTED_VALUE"""),1970535.0)</f>
        <v>1970535</v>
      </c>
    </row>
    <row r="1545">
      <c r="A1545" s="3">
        <f>IFERROR(__xludf.DUMMYFUNCTION("""COMPUTED_VALUE"""),39701.645833333336)</f>
        <v>39701.64583</v>
      </c>
      <c r="B1545" s="2">
        <f>IFERROR(__xludf.DUMMYFUNCTION("""COMPUTED_VALUE"""),527.47)</f>
        <v>527.47</v>
      </c>
      <c r="C1545" s="2">
        <f>IFERROR(__xludf.DUMMYFUNCTION("""COMPUTED_VALUE"""),528.64)</f>
        <v>528.64</v>
      </c>
      <c r="D1545" s="2">
        <f>IFERROR(__xludf.DUMMYFUNCTION("""COMPUTED_VALUE"""),513.12)</f>
        <v>513.12</v>
      </c>
      <c r="E1545" s="2">
        <f>IFERROR(__xludf.DUMMYFUNCTION("""COMPUTED_VALUE"""),515.75)</f>
        <v>515.75</v>
      </c>
      <c r="F1545" s="2">
        <f>IFERROR(__xludf.DUMMYFUNCTION("""COMPUTED_VALUE"""),3817866.0)</f>
        <v>3817866</v>
      </c>
    </row>
    <row r="1546">
      <c r="A1546" s="3">
        <f>IFERROR(__xludf.DUMMYFUNCTION("""COMPUTED_VALUE"""),39702.645833333336)</f>
        <v>39702.64583</v>
      </c>
      <c r="B1546" s="2">
        <f>IFERROR(__xludf.DUMMYFUNCTION("""COMPUTED_VALUE"""),512.62)</f>
        <v>512.62</v>
      </c>
      <c r="C1546" s="2">
        <f>IFERROR(__xludf.DUMMYFUNCTION("""COMPUTED_VALUE"""),512.62)</f>
        <v>512.62</v>
      </c>
      <c r="D1546" s="2">
        <f>IFERROR(__xludf.DUMMYFUNCTION("""COMPUTED_VALUE"""),490.89)</f>
        <v>490.89</v>
      </c>
      <c r="E1546" s="2">
        <f>IFERROR(__xludf.DUMMYFUNCTION("""COMPUTED_VALUE"""),494.64)</f>
        <v>494.64</v>
      </c>
      <c r="F1546" s="2">
        <f>IFERROR(__xludf.DUMMYFUNCTION("""COMPUTED_VALUE"""),5691958.0)</f>
        <v>5691958</v>
      </c>
    </row>
    <row r="1547">
      <c r="A1547" s="3">
        <f>IFERROR(__xludf.DUMMYFUNCTION("""COMPUTED_VALUE"""),39703.645833333336)</f>
        <v>39703.64583</v>
      </c>
      <c r="B1547" s="2">
        <f>IFERROR(__xludf.DUMMYFUNCTION("""COMPUTED_VALUE"""),502.46)</f>
        <v>502.46</v>
      </c>
      <c r="C1547" s="2">
        <f>IFERROR(__xludf.DUMMYFUNCTION("""COMPUTED_VALUE"""),505.19)</f>
        <v>505.19</v>
      </c>
      <c r="D1547" s="2">
        <f>IFERROR(__xludf.DUMMYFUNCTION("""COMPUTED_VALUE"""),475.4)</f>
        <v>475.4</v>
      </c>
      <c r="E1547" s="2">
        <f>IFERROR(__xludf.DUMMYFUNCTION("""COMPUTED_VALUE"""),478.61)</f>
        <v>478.61</v>
      </c>
      <c r="F1547" s="2">
        <f>IFERROR(__xludf.DUMMYFUNCTION("""COMPUTED_VALUE"""),6817991.0)</f>
        <v>6817991</v>
      </c>
    </row>
    <row r="1548">
      <c r="A1548" s="3">
        <f>IFERROR(__xludf.DUMMYFUNCTION("""COMPUTED_VALUE"""),39706.645833333336)</f>
        <v>39706.64583</v>
      </c>
      <c r="B1548" s="2">
        <f>IFERROR(__xludf.DUMMYFUNCTION("""COMPUTED_VALUE"""),467.97)</f>
        <v>467.97</v>
      </c>
      <c r="C1548" s="2">
        <f>IFERROR(__xludf.DUMMYFUNCTION("""COMPUTED_VALUE"""),470.52)</f>
        <v>470.52</v>
      </c>
      <c r="D1548" s="2">
        <f>IFERROR(__xludf.DUMMYFUNCTION("""COMPUTED_VALUE"""),451.52)</f>
        <v>451.52</v>
      </c>
      <c r="E1548" s="2">
        <f>IFERROR(__xludf.DUMMYFUNCTION("""COMPUTED_VALUE"""),467.29)</f>
        <v>467.29</v>
      </c>
      <c r="F1548" s="2">
        <f>IFERROR(__xludf.DUMMYFUNCTION("""COMPUTED_VALUE"""),5023992.0)</f>
        <v>5023992</v>
      </c>
    </row>
    <row r="1549">
      <c r="A1549" s="3">
        <f>IFERROR(__xludf.DUMMYFUNCTION("""COMPUTED_VALUE"""),39707.645833333336)</f>
        <v>39707.64583</v>
      </c>
      <c r="B1549" s="2">
        <f>IFERROR(__xludf.DUMMYFUNCTION("""COMPUTED_VALUE"""),445.76)</f>
        <v>445.76</v>
      </c>
      <c r="C1549" s="2">
        <f>IFERROR(__xludf.DUMMYFUNCTION("""COMPUTED_VALUE"""),479.19)</f>
        <v>479.19</v>
      </c>
      <c r="D1549" s="2">
        <f>IFERROR(__xludf.DUMMYFUNCTION("""COMPUTED_VALUE"""),445.76)</f>
        <v>445.76</v>
      </c>
      <c r="E1549" s="2">
        <f>IFERROR(__xludf.DUMMYFUNCTION("""COMPUTED_VALUE"""),477.47)</f>
        <v>477.47</v>
      </c>
      <c r="F1549" s="2">
        <f>IFERROR(__xludf.DUMMYFUNCTION("""COMPUTED_VALUE"""),4476452.0)</f>
        <v>4476452</v>
      </c>
    </row>
    <row r="1550">
      <c r="A1550" s="3">
        <f>IFERROR(__xludf.DUMMYFUNCTION("""COMPUTED_VALUE"""),39708.645833333336)</f>
        <v>39708.64583</v>
      </c>
      <c r="B1550" s="2">
        <f>IFERROR(__xludf.DUMMYFUNCTION("""COMPUTED_VALUE"""),485.38)</f>
        <v>485.38</v>
      </c>
      <c r="C1550" s="2">
        <f>IFERROR(__xludf.DUMMYFUNCTION("""COMPUTED_VALUE"""),485.38)</f>
        <v>485.38</v>
      </c>
      <c r="D1550" s="2">
        <f>IFERROR(__xludf.DUMMYFUNCTION("""COMPUTED_VALUE"""),457.77)</f>
        <v>457.77</v>
      </c>
      <c r="E1550" s="2">
        <f>IFERROR(__xludf.DUMMYFUNCTION("""COMPUTED_VALUE"""),464.74)</f>
        <v>464.74</v>
      </c>
      <c r="F1550" s="2">
        <f>IFERROR(__xludf.DUMMYFUNCTION("""COMPUTED_VALUE"""),4034391.0)</f>
        <v>4034391</v>
      </c>
    </row>
    <row r="1551">
      <c r="A1551" s="3">
        <f>IFERROR(__xludf.DUMMYFUNCTION("""COMPUTED_VALUE"""),39709.645833333336)</f>
        <v>39709.64583</v>
      </c>
      <c r="B1551" s="2">
        <f>IFERROR(__xludf.DUMMYFUNCTION("""COMPUTED_VALUE"""),446.25)</f>
        <v>446.25</v>
      </c>
      <c r="C1551" s="2">
        <f>IFERROR(__xludf.DUMMYFUNCTION("""COMPUTED_VALUE"""),482.41)</f>
        <v>482.41</v>
      </c>
      <c r="D1551" s="2">
        <f>IFERROR(__xludf.DUMMYFUNCTION("""COMPUTED_VALUE"""),437.09)</f>
        <v>437.09</v>
      </c>
      <c r="E1551" s="2">
        <f>IFERROR(__xludf.DUMMYFUNCTION("""COMPUTED_VALUE"""),479.99)</f>
        <v>479.99</v>
      </c>
      <c r="F1551" s="2">
        <f>IFERROR(__xludf.DUMMYFUNCTION("""COMPUTED_VALUE"""),8745924.0)</f>
        <v>8745924</v>
      </c>
    </row>
    <row r="1552">
      <c r="A1552" s="3">
        <f>IFERROR(__xludf.DUMMYFUNCTION("""COMPUTED_VALUE"""),39710.645833333336)</f>
        <v>39710.64583</v>
      </c>
      <c r="B1552" s="2">
        <f>IFERROR(__xludf.DUMMYFUNCTION("""COMPUTED_VALUE"""),490.58)</f>
        <v>490.58</v>
      </c>
      <c r="C1552" s="2">
        <f>IFERROR(__xludf.DUMMYFUNCTION("""COMPUTED_VALUE"""),513.1)</f>
        <v>513.1</v>
      </c>
      <c r="D1552" s="2">
        <f>IFERROR(__xludf.DUMMYFUNCTION("""COMPUTED_VALUE"""),485.38)</f>
        <v>485.38</v>
      </c>
      <c r="E1552" s="2">
        <f>IFERROR(__xludf.DUMMYFUNCTION("""COMPUTED_VALUE"""),508.93)</f>
        <v>508.93</v>
      </c>
      <c r="F1552" s="2">
        <f>IFERROR(__xludf.DUMMYFUNCTION("""COMPUTED_VALUE"""),5157010.0)</f>
        <v>5157010</v>
      </c>
    </row>
    <row r="1553">
      <c r="A1553" s="3">
        <f>IFERROR(__xludf.DUMMYFUNCTION("""COMPUTED_VALUE"""),39713.645833333336)</f>
        <v>39713.64583</v>
      </c>
      <c r="B1553" s="2">
        <f>IFERROR(__xludf.DUMMYFUNCTION("""COMPUTED_VALUE"""),520.05)</f>
        <v>520.05</v>
      </c>
      <c r="C1553" s="2">
        <f>IFERROR(__xludf.DUMMYFUNCTION("""COMPUTED_VALUE"""),522.53)</f>
        <v>522.53</v>
      </c>
      <c r="D1553" s="2">
        <f>IFERROR(__xludf.DUMMYFUNCTION("""COMPUTED_VALUE"""),499.32)</f>
        <v>499.32</v>
      </c>
      <c r="E1553" s="2">
        <f>IFERROR(__xludf.DUMMYFUNCTION("""COMPUTED_VALUE"""),504.97)</f>
        <v>504.97</v>
      </c>
      <c r="F1553" s="2">
        <f>IFERROR(__xludf.DUMMYFUNCTION("""COMPUTED_VALUE"""),5798887.0)</f>
        <v>5798887</v>
      </c>
    </row>
    <row r="1554">
      <c r="A1554" s="3">
        <f>IFERROR(__xludf.DUMMYFUNCTION("""COMPUTED_VALUE"""),39714.645833333336)</f>
        <v>39714.64583</v>
      </c>
      <c r="B1554" s="2">
        <f>IFERROR(__xludf.DUMMYFUNCTION("""COMPUTED_VALUE"""),495.29)</f>
        <v>495.29</v>
      </c>
      <c r="C1554" s="2">
        <f>IFERROR(__xludf.DUMMYFUNCTION("""COMPUTED_VALUE"""),519.16)</f>
        <v>519.16</v>
      </c>
      <c r="D1554" s="2">
        <f>IFERROR(__xludf.DUMMYFUNCTION("""COMPUTED_VALUE"""),495.29)</f>
        <v>495.29</v>
      </c>
      <c r="E1554" s="2">
        <f>IFERROR(__xludf.DUMMYFUNCTION("""COMPUTED_VALUE"""),496.88)</f>
        <v>496.88</v>
      </c>
      <c r="F1554" s="2">
        <f>IFERROR(__xludf.DUMMYFUNCTION("""COMPUTED_VALUE"""),5184886.0)</f>
        <v>5184886</v>
      </c>
    </row>
    <row r="1555">
      <c r="A1555" s="3">
        <f>IFERROR(__xludf.DUMMYFUNCTION("""COMPUTED_VALUE"""),39715.645833333336)</f>
        <v>39715.64583</v>
      </c>
      <c r="B1555" s="2">
        <f>IFERROR(__xludf.DUMMYFUNCTION("""COMPUTED_VALUE"""),492.82)</f>
        <v>492.82</v>
      </c>
      <c r="C1555" s="2">
        <f>IFERROR(__xludf.DUMMYFUNCTION("""COMPUTED_VALUE"""),511.37)</f>
        <v>511.37</v>
      </c>
      <c r="D1555" s="2">
        <f>IFERROR(__xludf.DUMMYFUNCTION("""COMPUTED_VALUE"""),492.82)</f>
        <v>492.82</v>
      </c>
      <c r="E1555" s="2">
        <f>IFERROR(__xludf.DUMMYFUNCTION("""COMPUTED_VALUE"""),506.7)</f>
        <v>506.7</v>
      </c>
      <c r="F1555" s="2">
        <f>IFERROR(__xludf.DUMMYFUNCTION("""COMPUTED_VALUE"""),5464106.0)</f>
        <v>5464106</v>
      </c>
    </row>
    <row r="1556">
      <c r="A1556" s="3">
        <f>IFERROR(__xludf.DUMMYFUNCTION("""COMPUTED_VALUE"""),39716.645833333336)</f>
        <v>39716.64583</v>
      </c>
      <c r="B1556" s="2">
        <f>IFERROR(__xludf.DUMMYFUNCTION("""COMPUTED_VALUE"""),505.47)</f>
        <v>505.47</v>
      </c>
      <c r="C1556" s="2">
        <f>IFERROR(__xludf.DUMMYFUNCTION("""COMPUTED_VALUE"""),510.07)</f>
        <v>510.07</v>
      </c>
      <c r="D1556" s="2">
        <f>IFERROR(__xludf.DUMMYFUNCTION("""COMPUTED_VALUE"""),493.55)</f>
        <v>493.55</v>
      </c>
      <c r="E1556" s="2">
        <f>IFERROR(__xludf.DUMMYFUNCTION("""COMPUTED_VALUE"""),501.65)</f>
        <v>501.65</v>
      </c>
      <c r="F1556" s="2">
        <f>IFERROR(__xludf.DUMMYFUNCTION("""COMPUTED_VALUE"""),4918882.0)</f>
        <v>4918882</v>
      </c>
    </row>
    <row r="1557">
      <c r="A1557" s="3">
        <f>IFERROR(__xludf.DUMMYFUNCTION("""COMPUTED_VALUE"""),39717.645833333336)</f>
        <v>39717.64583</v>
      </c>
      <c r="B1557" s="2">
        <f>IFERROR(__xludf.DUMMYFUNCTION("""COMPUTED_VALUE"""),499.74)</f>
        <v>499.74</v>
      </c>
      <c r="C1557" s="2">
        <f>IFERROR(__xludf.DUMMYFUNCTION("""COMPUTED_VALUE"""),503.95)</f>
        <v>503.95</v>
      </c>
      <c r="D1557" s="2">
        <f>IFERROR(__xludf.DUMMYFUNCTION("""COMPUTED_VALUE"""),484.44)</f>
        <v>484.44</v>
      </c>
      <c r="E1557" s="2">
        <f>IFERROR(__xludf.DUMMYFUNCTION("""COMPUTED_VALUE"""),486.17)</f>
        <v>486.17</v>
      </c>
      <c r="F1557" s="2">
        <f>IFERROR(__xludf.DUMMYFUNCTION("""COMPUTED_VALUE"""),3470456.0)</f>
        <v>3470456</v>
      </c>
    </row>
    <row r="1558">
      <c r="A1558" s="3">
        <f>IFERROR(__xludf.DUMMYFUNCTION("""COMPUTED_VALUE"""),39720.645833333336)</f>
        <v>39720.64583</v>
      </c>
      <c r="B1558" s="2">
        <f>IFERROR(__xludf.DUMMYFUNCTION("""COMPUTED_VALUE"""),489.1)</f>
        <v>489.1</v>
      </c>
      <c r="C1558" s="2">
        <f>IFERROR(__xludf.DUMMYFUNCTION("""COMPUTED_VALUE"""),490.33)</f>
        <v>490.33</v>
      </c>
      <c r="D1558" s="2">
        <f>IFERROR(__xludf.DUMMYFUNCTION("""COMPUTED_VALUE"""),465.82)</f>
        <v>465.82</v>
      </c>
      <c r="E1558" s="2">
        <f>IFERROR(__xludf.DUMMYFUNCTION("""COMPUTED_VALUE"""),478.66)</f>
        <v>478.66</v>
      </c>
      <c r="F1558" s="2">
        <f>IFERROR(__xludf.DUMMYFUNCTION("""COMPUTED_VALUE"""),6063788.0)</f>
        <v>6063788</v>
      </c>
    </row>
    <row r="1559">
      <c r="A1559" s="3">
        <f>IFERROR(__xludf.DUMMYFUNCTION("""COMPUTED_VALUE"""),39721.645833333336)</f>
        <v>39721.64583</v>
      </c>
      <c r="B1559" s="2">
        <f>IFERROR(__xludf.DUMMYFUNCTION("""COMPUTED_VALUE"""),468.02)</f>
        <v>468.02</v>
      </c>
      <c r="C1559" s="2">
        <f>IFERROR(__xludf.DUMMYFUNCTION("""COMPUTED_VALUE"""),491.57)</f>
        <v>491.57</v>
      </c>
      <c r="D1559" s="2">
        <f>IFERROR(__xludf.DUMMYFUNCTION("""COMPUTED_VALUE"""),447.1)</f>
        <v>447.1</v>
      </c>
      <c r="E1559" s="2">
        <f>IFERROR(__xludf.DUMMYFUNCTION("""COMPUTED_VALUE"""),482.74)</f>
        <v>482.74</v>
      </c>
      <c r="F1559" s="2">
        <f>IFERROR(__xludf.DUMMYFUNCTION("""COMPUTED_VALUE"""),6794615.0)</f>
        <v>6794615</v>
      </c>
    </row>
    <row r="1560">
      <c r="A1560" s="3">
        <f>IFERROR(__xludf.DUMMYFUNCTION("""COMPUTED_VALUE"""),39722.645833333336)</f>
        <v>39722.64583</v>
      </c>
      <c r="B1560" s="2">
        <f>IFERROR(__xludf.DUMMYFUNCTION("""COMPUTED_VALUE"""),485.38)</f>
        <v>485.38</v>
      </c>
      <c r="C1560" s="2">
        <f>IFERROR(__xludf.DUMMYFUNCTION("""COMPUTED_VALUE"""),486.12)</f>
        <v>486.12</v>
      </c>
      <c r="D1560" s="2">
        <f>IFERROR(__xludf.DUMMYFUNCTION("""COMPUTED_VALUE"""),466.42)</f>
        <v>466.42</v>
      </c>
      <c r="E1560" s="2">
        <f>IFERROR(__xludf.DUMMYFUNCTION("""COMPUTED_VALUE"""),472.18)</f>
        <v>472.18</v>
      </c>
      <c r="F1560" s="2">
        <f>IFERROR(__xludf.DUMMYFUNCTION("""COMPUTED_VALUE"""),3475963.0)</f>
        <v>3475963</v>
      </c>
    </row>
    <row r="1561">
      <c r="A1561" s="3">
        <f>IFERROR(__xludf.DUMMYFUNCTION("""COMPUTED_VALUE"""),39724.645833333336)</f>
        <v>39724.64583</v>
      </c>
      <c r="B1561" s="2">
        <f>IFERROR(__xludf.DUMMYFUNCTION("""COMPUTED_VALUE"""),485.13)</f>
        <v>485.13</v>
      </c>
      <c r="C1561" s="2">
        <f>IFERROR(__xludf.DUMMYFUNCTION("""COMPUTED_VALUE"""),485.13)</f>
        <v>485.13</v>
      </c>
      <c r="D1561" s="2">
        <f>IFERROR(__xludf.DUMMYFUNCTION("""COMPUTED_VALUE"""),432.3)</f>
        <v>432.3</v>
      </c>
      <c r="E1561" s="2">
        <f>IFERROR(__xludf.DUMMYFUNCTION("""COMPUTED_VALUE"""),436.21)</f>
        <v>436.21</v>
      </c>
      <c r="F1561" s="2">
        <f>IFERROR(__xludf.DUMMYFUNCTION("""COMPUTED_VALUE"""),1.0688459E7)</f>
        <v>10688459</v>
      </c>
    </row>
    <row r="1562">
      <c r="A1562" s="3">
        <f>IFERROR(__xludf.DUMMYFUNCTION("""COMPUTED_VALUE"""),39727.645833333336)</f>
        <v>39727.64583</v>
      </c>
      <c r="B1562" s="2">
        <f>IFERROR(__xludf.DUMMYFUNCTION("""COMPUTED_VALUE"""),428.18)</f>
        <v>428.18</v>
      </c>
      <c r="C1562" s="2">
        <f>IFERROR(__xludf.DUMMYFUNCTION("""COMPUTED_VALUE"""),433.13)</f>
        <v>433.13</v>
      </c>
      <c r="D1562" s="2">
        <f>IFERROR(__xludf.DUMMYFUNCTION("""COMPUTED_VALUE"""),404.3)</f>
        <v>404.3</v>
      </c>
      <c r="E1562" s="2">
        <f>IFERROR(__xludf.DUMMYFUNCTION("""COMPUTED_VALUE"""),406.53)</f>
        <v>406.53</v>
      </c>
      <c r="F1562" s="2">
        <f>IFERROR(__xludf.DUMMYFUNCTION("""COMPUTED_VALUE"""),6053146.0)</f>
        <v>6053146</v>
      </c>
    </row>
    <row r="1563">
      <c r="A1563" s="3">
        <f>IFERROR(__xludf.DUMMYFUNCTION("""COMPUTED_VALUE"""),39728.645833333336)</f>
        <v>39728.64583</v>
      </c>
      <c r="B1563" s="2">
        <f>IFERROR(__xludf.DUMMYFUNCTION("""COMPUTED_VALUE"""),411.37)</f>
        <v>411.37</v>
      </c>
      <c r="C1563" s="2">
        <f>IFERROR(__xludf.DUMMYFUNCTION("""COMPUTED_VALUE"""),423.97)</f>
        <v>423.97</v>
      </c>
      <c r="D1563" s="2">
        <f>IFERROR(__xludf.DUMMYFUNCTION("""COMPUTED_VALUE"""),399.57)</f>
        <v>399.57</v>
      </c>
      <c r="E1563" s="2">
        <f>IFERROR(__xludf.DUMMYFUNCTION("""COMPUTED_VALUE"""),414.72)</f>
        <v>414.72</v>
      </c>
      <c r="F1563" s="2">
        <f>IFERROR(__xludf.DUMMYFUNCTION("""COMPUTED_VALUE"""),6456317.0)</f>
        <v>6456317</v>
      </c>
    </row>
    <row r="1564">
      <c r="A1564" s="3">
        <f>IFERROR(__xludf.DUMMYFUNCTION("""COMPUTED_VALUE"""),39729.645833333336)</f>
        <v>39729.64583</v>
      </c>
      <c r="B1564" s="2">
        <f>IFERROR(__xludf.DUMMYFUNCTION("""COMPUTED_VALUE"""),403.66)</f>
        <v>403.66</v>
      </c>
      <c r="C1564" s="2">
        <f>IFERROR(__xludf.DUMMYFUNCTION("""COMPUTED_VALUE"""),412.55)</f>
        <v>412.55</v>
      </c>
      <c r="D1564" s="2">
        <f>IFERROR(__xludf.DUMMYFUNCTION("""COMPUTED_VALUE"""),373.67)</f>
        <v>373.67</v>
      </c>
      <c r="E1564" s="2">
        <f>IFERROR(__xludf.DUMMYFUNCTION("""COMPUTED_VALUE"""),408.25)</f>
        <v>408.25</v>
      </c>
      <c r="F1564" s="2">
        <f>IFERROR(__xludf.DUMMYFUNCTION("""COMPUTED_VALUE"""),7673196.0)</f>
        <v>7673196</v>
      </c>
    </row>
    <row r="1565">
      <c r="A1565" s="3">
        <f>IFERROR(__xludf.DUMMYFUNCTION("""COMPUTED_VALUE"""),39731.645833333336)</f>
        <v>39731.64583</v>
      </c>
      <c r="B1565" s="2">
        <f>IFERROR(__xludf.DUMMYFUNCTION("""COMPUTED_VALUE"""),396.16)</f>
        <v>396.16</v>
      </c>
      <c r="C1565" s="2">
        <f>IFERROR(__xludf.DUMMYFUNCTION("""COMPUTED_VALUE"""),396.16)</f>
        <v>396.16</v>
      </c>
      <c r="D1565" s="2">
        <f>IFERROR(__xludf.DUMMYFUNCTION("""COMPUTED_VALUE"""),365.77)</f>
        <v>365.77</v>
      </c>
      <c r="E1565" s="2">
        <f>IFERROR(__xludf.DUMMYFUNCTION("""COMPUTED_VALUE"""),378.3)</f>
        <v>378.3</v>
      </c>
      <c r="F1565" s="2">
        <f>IFERROR(__xludf.DUMMYFUNCTION("""COMPUTED_VALUE"""),8394546.0)</f>
        <v>8394546</v>
      </c>
    </row>
    <row r="1566">
      <c r="A1566" s="3">
        <f>IFERROR(__xludf.DUMMYFUNCTION("""COMPUTED_VALUE"""),39734.645833333336)</f>
        <v>39734.64583</v>
      </c>
      <c r="B1566" s="2">
        <f>IFERROR(__xludf.DUMMYFUNCTION("""COMPUTED_VALUE"""),385.83)</f>
        <v>385.83</v>
      </c>
      <c r="C1566" s="2">
        <f>IFERROR(__xludf.DUMMYFUNCTION("""COMPUTED_VALUE"""),394.74)</f>
        <v>394.74</v>
      </c>
      <c r="D1566" s="2">
        <f>IFERROR(__xludf.DUMMYFUNCTION("""COMPUTED_VALUE"""),383.9)</f>
        <v>383.9</v>
      </c>
      <c r="E1566" s="2">
        <f>IFERROR(__xludf.DUMMYFUNCTION("""COMPUTED_VALUE"""),389.15)</f>
        <v>389.15</v>
      </c>
      <c r="F1566" s="2">
        <f>IFERROR(__xludf.DUMMYFUNCTION("""COMPUTED_VALUE"""),4466997.0)</f>
        <v>4466997</v>
      </c>
    </row>
    <row r="1567">
      <c r="A1567" s="3">
        <f>IFERROR(__xludf.DUMMYFUNCTION("""COMPUTED_VALUE"""),39735.645833333336)</f>
        <v>39735.64583</v>
      </c>
      <c r="B1567" s="2">
        <f>IFERROR(__xludf.DUMMYFUNCTION("""COMPUTED_VALUE"""),402.42)</f>
        <v>402.42</v>
      </c>
      <c r="C1567" s="2">
        <f>IFERROR(__xludf.DUMMYFUNCTION("""COMPUTED_VALUE"""),413.07)</f>
        <v>413.07</v>
      </c>
      <c r="D1567" s="2">
        <f>IFERROR(__xludf.DUMMYFUNCTION("""COMPUTED_VALUE"""),398.71)</f>
        <v>398.71</v>
      </c>
      <c r="E1567" s="2">
        <f>IFERROR(__xludf.DUMMYFUNCTION("""COMPUTED_VALUE"""),401.44)</f>
        <v>401.44</v>
      </c>
      <c r="F1567" s="2">
        <f>IFERROR(__xludf.DUMMYFUNCTION("""COMPUTED_VALUE"""),4625862.0)</f>
        <v>4625862</v>
      </c>
    </row>
    <row r="1568">
      <c r="A1568" s="3">
        <f>IFERROR(__xludf.DUMMYFUNCTION("""COMPUTED_VALUE"""),39736.645833333336)</f>
        <v>39736.64583</v>
      </c>
      <c r="B1568" s="2">
        <f>IFERROR(__xludf.DUMMYFUNCTION("""COMPUTED_VALUE"""),393.77)</f>
        <v>393.77</v>
      </c>
      <c r="C1568" s="2">
        <f>IFERROR(__xludf.DUMMYFUNCTION("""COMPUTED_VALUE"""),396.16)</f>
        <v>396.16</v>
      </c>
      <c r="D1568" s="2">
        <f>IFERROR(__xludf.DUMMYFUNCTION("""COMPUTED_VALUE"""),373.06)</f>
        <v>373.06</v>
      </c>
      <c r="E1568" s="2">
        <f>IFERROR(__xludf.DUMMYFUNCTION("""COMPUTED_VALUE"""),376.47)</f>
        <v>376.47</v>
      </c>
      <c r="F1568" s="2">
        <f>IFERROR(__xludf.DUMMYFUNCTION("""COMPUTED_VALUE"""),5172738.0)</f>
        <v>5172738</v>
      </c>
    </row>
    <row r="1569">
      <c r="A1569" s="3">
        <f>IFERROR(__xludf.DUMMYFUNCTION("""COMPUTED_VALUE"""),39737.645833333336)</f>
        <v>39737.64583</v>
      </c>
      <c r="B1569" s="2">
        <f>IFERROR(__xludf.DUMMYFUNCTION("""COMPUTED_VALUE"""),359.08)</f>
        <v>359.08</v>
      </c>
      <c r="C1569" s="2">
        <f>IFERROR(__xludf.DUMMYFUNCTION("""COMPUTED_VALUE"""),362.8)</f>
        <v>362.8</v>
      </c>
      <c r="D1569" s="2">
        <f>IFERROR(__xludf.DUMMYFUNCTION("""COMPUTED_VALUE"""),328.13)</f>
        <v>328.13</v>
      </c>
      <c r="E1569" s="2">
        <f>IFERROR(__xludf.DUMMYFUNCTION("""COMPUTED_VALUE"""),344.71)</f>
        <v>344.71</v>
      </c>
      <c r="F1569" s="2">
        <f>IFERROR(__xludf.DUMMYFUNCTION("""COMPUTED_VALUE"""),1.0250021E7)</f>
        <v>10250021</v>
      </c>
    </row>
    <row r="1570">
      <c r="A1570" s="3">
        <f>IFERROR(__xludf.DUMMYFUNCTION("""COMPUTED_VALUE"""),39738.645833333336)</f>
        <v>39738.64583</v>
      </c>
      <c r="B1570" s="2">
        <f>IFERROR(__xludf.DUMMYFUNCTION("""COMPUTED_VALUE"""),346.7)</f>
        <v>346.7</v>
      </c>
      <c r="C1570" s="2">
        <f>IFERROR(__xludf.DUMMYFUNCTION("""COMPUTED_VALUE"""),356.61)</f>
        <v>356.61</v>
      </c>
      <c r="D1570" s="2">
        <f>IFERROR(__xludf.DUMMYFUNCTION("""COMPUTED_VALUE"""),318.67)</f>
        <v>318.67</v>
      </c>
      <c r="E1570" s="2">
        <f>IFERROR(__xludf.DUMMYFUNCTION("""COMPUTED_VALUE"""),323.43)</f>
        <v>323.43</v>
      </c>
      <c r="F1570" s="2">
        <f>IFERROR(__xludf.DUMMYFUNCTION("""COMPUTED_VALUE"""),7155727.0)</f>
        <v>7155727</v>
      </c>
    </row>
    <row r="1571">
      <c r="A1571" s="3">
        <f>IFERROR(__xludf.DUMMYFUNCTION("""COMPUTED_VALUE"""),39741.645833333336)</f>
        <v>39741.64583</v>
      </c>
      <c r="B1571" s="2">
        <f>IFERROR(__xludf.DUMMYFUNCTION("""COMPUTED_VALUE"""),329.35)</f>
        <v>329.35</v>
      </c>
      <c r="C1571" s="2">
        <f>IFERROR(__xludf.DUMMYFUNCTION("""COMPUTED_VALUE"""),341.75)</f>
        <v>341.75</v>
      </c>
      <c r="D1571" s="2">
        <f>IFERROR(__xludf.DUMMYFUNCTION("""COMPUTED_VALUE"""),317.23)</f>
        <v>317.23</v>
      </c>
      <c r="E1571" s="2">
        <f>IFERROR(__xludf.DUMMYFUNCTION("""COMPUTED_VALUE"""),327.11)</f>
        <v>327.11</v>
      </c>
      <c r="F1571" s="2">
        <f>IFERROR(__xludf.DUMMYFUNCTION("""COMPUTED_VALUE"""),7029875.0)</f>
        <v>7029875</v>
      </c>
    </row>
    <row r="1572">
      <c r="A1572" s="3">
        <f>IFERROR(__xludf.DUMMYFUNCTION("""COMPUTED_VALUE"""),39742.645833333336)</f>
        <v>39742.64583</v>
      </c>
      <c r="B1572" s="2">
        <f>IFERROR(__xludf.DUMMYFUNCTION("""COMPUTED_VALUE"""),334.32)</f>
        <v>334.32</v>
      </c>
      <c r="C1572" s="2">
        <f>IFERROR(__xludf.DUMMYFUNCTION("""COMPUTED_VALUE"""),352.89)</f>
        <v>352.89</v>
      </c>
      <c r="D1572" s="2">
        <f>IFERROR(__xludf.DUMMYFUNCTION("""COMPUTED_VALUE"""),327.76)</f>
        <v>327.76</v>
      </c>
      <c r="E1572" s="2">
        <f>IFERROR(__xludf.DUMMYFUNCTION("""COMPUTED_VALUE"""),345.45)</f>
        <v>345.45</v>
      </c>
      <c r="F1572" s="2">
        <f>IFERROR(__xludf.DUMMYFUNCTION("""COMPUTED_VALUE"""),6723686.0)</f>
        <v>6723686</v>
      </c>
    </row>
    <row r="1573">
      <c r="A1573" s="3">
        <f>IFERROR(__xludf.DUMMYFUNCTION("""COMPUTED_VALUE"""),39743.645833333336)</f>
        <v>39743.64583</v>
      </c>
      <c r="B1573" s="2">
        <f>IFERROR(__xludf.DUMMYFUNCTION("""COMPUTED_VALUE"""),339.9)</f>
        <v>339.9</v>
      </c>
      <c r="C1573" s="2">
        <f>IFERROR(__xludf.DUMMYFUNCTION("""COMPUTED_VALUE"""),340.15)</f>
        <v>340.15</v>
      </c>
      <c r="D1573" s="2">
        <f>IFERROR(__xludf.DUMMYFUNCTION("""COMPUTED_VALUE"""),323.3)</f>
        <v>323.3</v>
      </c>
      <c r="E1573" s="2">
        <f>IFERROR(__xludf.DUMMYFUNCTION("""COMPUTED_VALUE"""),326.1)</f>
        <v>326.1</v>
      </c>
      <c r="F1573" s="2">
        <f>IFERROR(__xludf.DUMMYFUNCTION("""COMPUTED_VALUE"""),4467280.0)</f>
        <v>4467280</v>
      </c>
    </row>
    <row r="1574">
      <c r="A1574" s="3">
        <f>IFERROR(__xludf.DUMMYFUNCTION("""COMPUTED_VALUE"""),39744.645833333336)</f>
        <v>39744.64583</v>
      </c>
      <c r="B1574" s="2">
        <f>IFERROR(__xludf.DUMMYFUNCTION("""COMPUTED_VALUE"""),314.75)</f>
        <v>314.75</v>
      </c>
      <c r="C1574" s="2">
        <f>IFERROR(__xludf.DUMMYFUNCTION("""COMPUTED_VALUE"""),321.17)</f>
        <v>321.17</v>
      </c>
      <c r="D1574" s="2">
        <f>IFERROR(__xludf.DUMMYFUNCTION("""COMPUTED_VALUE"""),296.03)</f>
        <v>296.03</v>
      </c>
      <c r="E1574" s="2">
        <f>IFERROR(__xludf.DUMMYFUNCTION("""COMPUTED_VALUE"""),301.54)</f>
        <v>301.54</v>
      </c>
      <c r="F1574" s="2">
        <f>IFERROR(__xludf.DUMMYFUNCTION("""COMPUTED_VALUE"""),7147612.0)</f>
        <v>7147612</v>
      </c>
    </row>
    <row r="1575">
      <c r="A1575" s="3">
        <f>IFERROR(__xludf.DUMMYFUNCTION("""COMPUTED_VALUE"""),39745.645833333336)</f>
        <v>39745.64583</v>
      </c>
      <c r="B1575" s="2">
        <f>IFERROR(__xludf.DUMMYFUNCTION("""COMPUTED_VALUE"""),297.17)</f>
        <v>297.17</v>
      </c>
      <c r="C1575" s="2">
        <f>IFERROR(__xludf.DUMMYFUNCTION("""COMPUTED_VALUE"""),299.6)</f>
        <v>299.6</v>
      </c>
      <c r="D1575" s="2">
        <f>IFERROR(__xludf.DUMMYFUNCTION("""COMPUTED_VALUE"""),245.17)</f>
        <v>245.17</v>
      </c>
      <c r="E1575" s="2">
        <f>IFERROR(__xludf.DUMMYFUNCTION("""COMPUTED_VALUE"""),252.47)</f>
        <v>252.47</v>
      </c>
      <c r="F1575" s="2">
        <f>IFERROR(__xludf.DUMMYFUNCTION("""COMPUTED_VALUE"""),9257453.0)</f>
        <v>9257453</v>
      </c>
    </row>
    <row r="1576">
      <c r="A1576" s="3">
        <f>IFERROR(__xludf.DUMMYFUNCTION("""COMPUTED_VALUE"""),39748.645833333336)</f>
        <v>39748.64583</v>
      </c>
      <c r="B1576" s="2">
        <f>IFERROR(__xludf.DUMMYFUNCTION("""COMPUTED_VALUE"""),254.37)</f>
        <v>254.37</v>
      </c>
      <c r="C1576" s="2">
        <f>IFERROR(__xludf.DUMMYFUNCTION("""COMPUTED_VALUE"""),269.93)</f>
        <v>269.93</v>
      </c>
      <c r="D1576" s="2">
        <f>IFERROR(__xludf.DUMMYFUNCTION("""COMPUTED_VALUE"""),230.31)</f>
        <v>230.31</v>
      </c>
      <c r="E1576" s="2">
        <f>IFERROR(__xludf.DUMMYFUNCTION("""COMPUTED_VALUE"""),266.71)</f>
        <v>266.71</v>
      </c>
      <c r="F1576" s="2">
        <f>IFERROR(__xludf.DUMMYFUNCTION("""COMPUTED_VALUE"""),9895825.0)</f>
        <v>9895825</v>
      </c>
    </row>
    <row r="1577">
      <c r="A1577" s="3">
        <f>IFERROR(__xludf.DUMMYFUNCTION("""COMPUTED_VALUE"""),39750.645833333336)</f>
        <v>39750.64583</v>
      </c>
      <c r="B1577" s="2">
        <f>IFERROR(__xludf.DUMMYFUNCTION("""COMPUTED_VALUE"""),297.17)</f>
        <v>297.17</v>
      </c>
      <c r="C1577" s="2">
        <f>IFERROR(__xludf.DUMMYFUNCTION("""COMPUTED_VALUE"""),301.6)</f>
        <v>301.6</v>
      </c>
      <c r="D1577" s="2">
        <f>IFERROR(__xludf.DUMMYFUNCTION("""COMPUTED_VALUE"""),284.54)</f>
        <v>284.54</v>
      </c>
      <c r="E1577" s="2">
        <f>IFERROR(__xludf.DUMMYFUNCTION("""COMPUTED_VALUE"""),297.61)</f>
        <v>297.61</v>
      </c>
      <c r="F1577" s="2">
        <f>IFERROR(__xludf.DUMMYFUNCTION("""COMPUTED_VALUE"""),7771683.0)</f>
        <v>7771683</v>
      </c>
    </row>
    <row r="1578">
      <c r="A1578" s="3">
        <f>IFERROR(__xludf.DUMMYFUNCTION("""COMPUTED_VALUE"""),39752.645833333336)</f>
        <v>39752.64583</v>
      </c>
      <c r="B1578" s="2">
        <f>IFERROR(__xludf.DUMMYFUNCTION("""COMPUTED_VALUE"""),313.26)</f>
        <v>313.26</v>
      </c>
      <c r="C1578" s="2">
        <f>IFERROR(__xludf.DUMMYFUNCTION("""COMPUTED_VALUE"""),345.45)</f>
        <v>345.45</v>
      </c>
      <c r="D1578" s="2">
        <f>IFERROR(__xludf.DUMMYFUNCTION("""COMPUTED_VALUE"""),305.93)</f>
        <v>305.93</v>
      </c>
      <c r="E1578" s="2">
        <f>IFERROR(__xludf.DUMMYFUNCTION("""COMPUTED_VALUE"""),340.62)</f>
        <v>340.62</v>
      </c>
      <c r="F1578" s="2">
        <f>IFERROR(__xludf.DUMMYFUNCTION("""COMPUTED_VALUE"""),1.0466939E7)</f>
        <v>10466939</v>
      </c>
    </row>
    <row r="1579">
      <c r="A1579" s="3">
        <f>IFERROR(__xludf.DUMMYFUNCTION("""COMPUTED_VALUE"""),39755.645833333336)</f>
        <v>39755.64583</v>
      </c>
      <c r="B1579" s="2">
        <f>IFERROR(__xludf.DUMMYFUNCTION("""COMPUTED_VALUE"""),356.36)</f>
        <v>356.36</v>
      </c>
      <c r="C1579" s="2">
        <f>IFERROR(__xludf.DUMMYFUNCTION("""COMPUTED_VALUE"""),360.32)</f>
        <v>360.32</v>
      </c>
      <c r="D1579" s="2">
        <f>IFERROR(__xludf.DUMMYFUNCTION("""COMPUTED_VALUE"""),345.98)</f>
        <v>345.98</v>
      </c>
      <c r="E1579" s="2">
        <f>IFERROR(__xludf.DUMMYFUNCTION("""COMPUTED_VALUE"""),357.03)</f>
        <v>357.03</v>
      </c>
      <c r="F1579" s="2">
        <f>IFERROR(__xludf.DUMMYFUNCTION("""COMPUTED_VALUE"""),7050582.0)</f>
        <v>7050582</v>
      </c>
    </row>
    <row r="1580">
      <c r="A1580" s="3">
        <f>IFERROR(__xludf.DUMMYFUNCTION("""COMPUTED_VALUE"""),39756.645833333336)</f>
        <v>39756.64583</v>
      </c>
      <c r="B1580" s="2">
        <f>IFERROR(__xludf.DUMMYFUNCTION("""COMPUTED_VALUE"""),359.08)</f>
        <v>359.08</v>
      </c>
      <c r="C1580" s="2">
        <f>IFERROR(__xludf.DUMMYFUNCTION("""COMPUTED_VALUE"""),362.55)</f>
        <v>362.55</v>
      </c>
      <c r="D1580" s="2">
        <f>IFERROR(__xludf.DUMMYFUNCTION("""COMPUTED_VALUE"""),340.56)</f>
        <v>340.56</v>
      </c>
      <c r="E1580" s="2">
        <f>IFERROR(__xludf.DUMMYFUNCTION("""COMPUTED_VALUE"""),359.48)</f>
        <v>359.48</v>
      </c>
      <c r="F1580" s="2">
        <f>IFERROR(__xludf.DUMMYFUNCTION("""COMPUTED_VALUE"""),6263438.0)</f>
        <v>6263438</v>
      </c>
    </row>
    <row r="1581">
      <c r="A1581" s="3">
        <f>IFERROR(__xludf.DUMMYFUNCTION("""COMPUTED_VALUE"""),39757.645833333336)</f>
        <v>39757.64583</v>
      </c>
      <c r="B1581" s="2">
        <f>IFERROR(__xludf.DUMMYFUNCTION("""COMPUTED_VALUE"""),372.75)</f>
        <v>372.75</v>
      </c>
      <c r="C1581" s="2">
        <f>IFERROR(__xludf.DUMMYFUNCTION("""COMPUTED_VALUE"""),372.75)</f>
        <v>372.75</v>
      </c>
      <c r="D1581" s="2">
        <f>IFERROR(__xludf.DUMMYFUNCTION("""COMPUTED_VALUE"""),306.66)</f>
        <v>306.66</v>
      </c>
      <c r="E1581" s="2">
        <f>IFERROR(__xludf.DUMMYFUNCTION("""COMPUTED_VALUE"""),314.27)</f>
        <v>314.27</v>
      </c>
      <c r="F1581" s="2">
        <f>IFERROR(__xludf.DUMMYFUNCTION("""COMPUTED_VALUE"""),1.1704998E7)</f>
        <v>11704998</v>
      </c>
    </row>
    <row r="1582">
      <c r="A1582" s="3">
        <f>IFERROR(__xludf.DUMMYFUNCTION("""COMPUTED_VALUE"""),39758.645833333336)</f>
        <v>39758.64583</v>
      </c>
      <c r="B1582" s="2">
        <f>IFERROR(__xludf.DUMMYFUNCTION("""COMPUTED_VALUE"""),297.1)</f>
        <v>297.1</v>
      </c>
      <c r="C1582" s="2">
        <f>IFERROR(__xludf.DUMMYFUNCTION("""COMPUTED_VALUE"""),305.34)</f>
        <v>305.34</v>
      </c>
      <c r="D1582" s="2">
        <f>IFERROR(__xludf.DUMMYFUNCTION("""COMPUTED_VALUE"""),286.35)</f>
        <v>286.35</v>
      </c>
      <c r="E1582" s="2">
        <f>IFERROR(__xludf.DUMMYFUNCTION("""COMPUTED_VALUE"""),289.88)</f>
        <v>289.88</v>
      </c>
      <c r="F1582" s="2">
        <f>IFERROR(__xludf.DUMMYFUNCTION("""COMPUTED_VALUE"""),9580735.0)</f>
        <v>9580735</v>
      </c>
    </row>
    <row r="1583">
      <c r="A1583" s="3">
        <f>IFERROR(__xludf.DUMMYFUNCTION("""COMPUTED_VALUE"""),39759.645833333336)</f>
        <v>39759.64583</v>
      </c>
      <c r="B1583" s="2">
        <f>IFERROR(__xludf.DUMMYFUNCTION("""COMPUTED_VALUE"""),290.49)</f>
        <v>290.49</v>
      </c>
      <c r="C1583" s="2">
        <f>IFERROR(__xludf.DUMMYFUNCTION("""COMPUTED_VALUE"""),307.03)</f>
        <v>307.03</v>
      </c>
      <c r="D1583" s="2">
        <f>IFERROR(__xludf.DUMMYFUNCTION("""COMPUTED_VALUE"""),285.11)</f>
        <v>285.11</v>
      </c>
      <c r="E1583" s="2">
        <f>IFERROR(__xludf.DUMMYFUNCTION("""COMPUTED_VALUE"""),302.31)</f>
        <v>302.31</v>
      </c>
      <c r="F1583" s="2">
        <f>IFERROR(__xludf.DUMMYFUNCTION("""COMPUTED_VALUE"""),7157451.0)</f>
        <v>7157451</v>
      </c>
    </row>
    <row r="1584">
      <c r="A1584" s="3">
        <f>IFERROR(__xludf.DUMMYFUNCTION("""COMPUTED_VALUE"""),39762.645833333336)</f>
        <v>39762.64583</v>
      </c>
      <c r="B1584" s="2">
        <f>IFERROR(__xludf.DUMMYFUNCTION("""COMPUTED_VALUE"""),309.63)</f>
        <v>309.63</v>
      </c>
      <c r="C1584" s="2">
        <f>IFERROR(__xludf.DUMMYFUNCTION("""COMPUTED_VALUE"""),324.1)</f>
        <v>324.1</v>
      </c>
      <c r="D1584" s="2">
        <f>IFERROR(__xludf.DUMMYFUNCTION("""COMPUTED_VALUE"""),305.84)</f>
        <v>305.84</v>
      </c>
      <c r="E1584" s="2">
        <f>IFERROR(__xludf.DUMMYFUNCTION("""COMPUTED_VALUE"""),322.7)</f>
        <v>322.7</v>
      </c>
      <c r="F1584" s="2">
        <f>IFERROR(__xludf.DUMMYFUNCTION("""COMPUTED_VALUE"""),4959086.0)</f>
        <v>4959086</v>
      </c>
    </row>
    <row r="1585">
      <c r="A1585" s="3">
        <f>IFERROR(__xludf.DUMMYFUNCTION("""COMPUTED_VALUE"""),39763.645833333336)</f>
        <v>39763.64583</v>
      </c>
      <c r="B1585" s="2">
        <f>IFERROR(__xludf.DUMMYFUNCTION("""COMPUTED_VALUE"""),317.01)</f>
        <v>317.01</v>
      </c>
      <c r="C1585" s="2">
        <f>IFERROR(__xludf.DUMMYFUNCTION("""COMPUTED_VALUE"""),319.46)</f>
        <v>319.46</v>
      </c>
      <c r="D1585" s="2">
        <f>IFERROR(__xludf.DUMMYFUNCTION("""COMPUTED_VALUE"""),295.7)</f>
        <v>295.7</v>
      </c>
      <c r="E1585" s="2">
        <f>IFERROR(__xludf.DUMMYFUNCTION("""COMPUTED_VALUE"""),299.08)</f>
        <v>299.08</v>
      </c>
      <c r="F1585" s="2">
        <f>IFERROR(__xludf.DUMMYFUNCTION("""COMPUTED_VALUE"""),6816077.0)</f>
        <v>6816077</v>
      </c>
    </row>
    <row r="1586">
      <c r="A1586" s="3">
        <f>IFERROR(__xludf.DUMMYFUNCTION("""COMPUTED_VALUE"""),39764.645833333336)</f>
        <v>39764.64583</v>
      </c>
      <c r="B1586" s="2">
        <f>IFERROR(__xludf.DUMMYFUNCTION("""COMPUTED_VALUE"""),297.17)</f>
        <v>297.17</v>
      </c>
      <c r="C1586" s="2">
        <f>IFERROR(__xludf.DUMMYFUNCTION("""COMPUTED_VALUE"""),298.81)</f>
        <v>298.81</v>
      </c>
      <c r="D1586" s="2">
        <f>IFERROR(__xludf.DUMMYFUNCTION("""COMPUTED_VALUE"""),282.95)</f>
        <v>282.95</v>
      </c>
      <c r="E1586" s="2">
        <f>IFERROR(__xludf.DUMMYFUNCTION("""COMPUTED_VALUE"""),287.81)</f>
        <v>287.81</v>
      </c>
      <c r="F1586" s="2">
        <f>IFERROR(__xludf.DUMMYFUNCTION("""COMPUTED_VALUE"""),8267192.0)</f>
        <v>8267192</v>
      </c>
    </row>
    <row r="1587">
      <c r="A1587" s="3">
        <f>IFERROR(__xludf.DUMMYFUNCTION("""COMPUTED_VALUE"""),39766.645833333336)</f>
        <v>39766.64583</v>
      </c>
      <c r="B1587" s="2">
        <f>IFERROR(__xludf.DUMMYFUNCTION("""COMPUTED_VALUE"""),294.55)</f>
        <v>294.55</v>
      </c>
      <c r="C1587" s="2">
        <f>IFERROR(__xludf.DUMMYFUNCTION("""COMPUTED_VALUE"""),295.93)</f>
        <v>295.93</v>
      </c>
      <c r="D1587" s="2">
        <f>IFERROR(__xludf.DUMMYFUNCTION("""COMPUTED_VALUE"""),269.28)</f>
        <v>269.28</v>
      </c>
      <c r="E1587" s="2">
        <f>IFERROR(__xludf.DUMMYFUNCTION("""COMPUTED_VALUE"""),283.99)</f>
        <v>283.99</v>
      </c>
      <c r="F1587" s="2">
        <f>IFERROR(__xludf.DUMMYFUNCTION("""COMPUTED_VALUE"""),1.1272905E7)</f>
        <v>11272905</v>
      </c>
    </row>
    <row r="1588">
      <c r="A1588" s="3">
        <f>IFERROR(__xludf.DUMMYFUNCTION("""COMPUTED_VALUE"""),39769.645833333336)</f>
        <v>39769.64583</v>
      </c>
      <c r="B1588" s="2">
        <f>IFERROR(__xludf.DUMMYFUNCTION("""COMPUTED_VALUE"""),284.79)</f>
        <v>284.79</v>
      </c>
      <c r="C1588" s="2">
        <f>IFERROR(__xludf.DUMMYFUNCTION("""COMPUTED_VALUE"""),289.72)</f>
        <v>289.72</v>
      </c>
      <c r="D1588" s="2">
        <f>IFERROR(__xludf.DUMMYFUNCTION("""COMPUTED_VALUE"""),267.05)</f>
        <v>267.05</v>
      </c>
      <c r="E1588" s="2">
        <f>IFERROR(__xludf.DUMMYFUNCTION("""COMPUTED_VALUE"""),282.66)</f>
        <v>282.66</v>
      </c>
      <c r="F1588" s="2">
        <f>IFERROR(__xludf.DUMMYFUNCTION("""COMPUTED_VALUE"""),7437912.0)</f>
        <v>7437912</v>
      </c>
    </row>
    <row r="1589">
      <c r="A1589" s="3">
        <f>IFERROR(__xludf.DUMMYFUNCTION("""COMPUTED_VALUE"""),39770.645833333336)</f>
        <v>39770.64583</v>
      </c>
      <c r="B1589" s="2">
        <f>IFERROR(__xludf.DUMMYFUNCTION("""COMPUTED_VALUE"""),272.92)</f>
        <v>272.92</v>
      </c>
      <c r="C1589" s="2">
        <f>IFERROR(__xludf.DUMMYFUNCTION("""COMPUTED_VALUE"""),285.29)</f>
        <v>285.29</v>
      </c>
      <c r="D1589" s="2">
        <f>IFERROR(__xludf.DUMMYFUNCTION("""COMPUTED_VALUE"""),265.07)</f>
        <v>265.07</v>
      </c>
      <c r="E1589" s="2">
        <f>IFERROR(__xludf.DUMMYFUNCTION("""COMPUTED_VALUE"""),282.3)</f>
        <v>282.3</v>
      </c>
      <c r="F1589" s="2">
        <f>IFERROR(__xludf.DUMMYFUNCTION("""COMPUTED_VALUE"""),7351488.0)</f>
        <v>7351488</v>
      </c>
    </row>
    <row r="1590">
      <c r="A1590" s="3">
        <f>IFERROR(__xludf.DUMMYFUNCTION("""COMPUTED_VALUE"""),39771.645833333336)</f>
        <v>39771.64583</v>
      </c>
      <c r="B1590" s="2">
        <f>IFERROR(__xludf.DUMMYFUNCTION("""COMPUTED_VALUE"""),285.1)</f>
        <v>285.1</v>
      </c>
      <c r="C1590" s="2">
        <f>IFERROR(__xludf.DUMMYFUNCTION("""COMPUTED_VALUE"""),302.58)</f>
        <v>302.58</v>
      </c>
      <c r="D1590" s="2">
        <f>IFERROR(__xludf.DUMMYFUNCTION("""COMPUTED_VALUE"""),276.12)</f>
        <v>276.12</v>
      </c>
      <c r="E1590" s="2">
        <f>IFERROR(__xludf.DUMMYFUNCTION("""COMPUTED_VALUE"""),280.44)</f>
        <v>280.44</v>
      </c>
      <c r="F1590" s="2">
        <f>IFERROR(__xludf.DUMMYFUNCTION("""COMPUTED_VALUE"""),1.0156564E7)</f>
        <v>10156564</v>
      </c>
    </row>
    <row r="1591">
      <c r="A1591" s="3">
        <f>IFERROR(__xludf.DUMMYFUNCTION("""COMPUTED_VALUE"""),39773.645833333336)</f>
        <v>39773.64583</v>
      </c>
      <c r="B1591" s="2">
        <f>IFERROR(__xludf.DUMMYFUNCTION("""COMPUTED_VALUE"""),263.74)</f>
        <v>263.74</v>
      </c>
      <c r="C1591" s="2">
        <f>IFERROR(__xludf.DUMMYFUNCTION("""COMPUTED_VALUE"""),286.28)</f>
        <v>286.28</v>
      </c>
      <c r="D1591" s="2">
        <f>IFERROR(__xludf.DUMMYFUNCTION("""COMPUTED_VALUE"""),255.59)</f>
        <v>255.59</v>
      </c>
      <c r="E1591" s="2">
        <f>IFERROR(__xludf.DUMMYFUNCTION("""COMPUTED_VALUE"""),278.44)</f>
        <v>278.44</v>
      </c>
      <c r="F1591" s="2">
        <f>IFERROR(__xludf.DUMMYFUNCTION("""COMPUTED_VALUE"""),8694181.0)</f>
        <v>8694181</v>
      </c>
    </row>
    <row r="1592">
      <c r="A1592" s="3">
        <f>IFERROR(__xludf.DUMMYFUNCTION("""COMPUTED_VALUE"""),39776.645833333336)</f>
        <v>39776.64583</v>
      </c>
      <c r="B1592" s="2">
        <f>IFERROR(__xludf.DUMMYFUNCTION("""COMPUTED_VALUE"""),291.36)</f>
        <v>291.36</v>
      </c>
      <c r="C1592" s="2">
        <f>IFERROR(__xludf.DUMMYFUNCTION("""COMPUTED_VALUE"""),291.36)</f>
        <v>291.36</v>
      </c>
      <c r="D1592" s="2">
        <f>IFERROR(__xludf.DUMMYFUNCTION("""COMPUTED_VALUE"""),266.22)</f>
        <v>266.22</v>
      </c>
      <c r="E1592" s="2">
        <f>IFERROR(__xludf.DUMMYFUNCTION("""COMPUTED_VALUE"""),283.5)</f>
        <v>283.5</v>
      </c>
      <c r="F1592" s="2">
        <f>IFERROR(__xludf.DUMMYFUNCTION("""COMPUTED_VALUE"""),7481339.0)</f>
        <v>7481339</v>
      </c>
    </row>
    <row r="1593">
      <c r="A1593" s="3">
        <f>IFERROR(__xludf.DUMMYFUNCTION("""COMPUTED_VALUE"""),39777.645833333336)</f>
        <v>39777.64583</v>
      </c>
      <c r="B1593" s="2">
        <f>IFERROR(__xludf.DUMMYFUNCTION("""COMPUTED_VALUE"""),289.74)</f>
        <v>289.74</v>
      </c>
      <c r="C1593" s="2">
        <f>IFERROR(__xludf.DUMMYFUNCTION("""COMPUTED_VALUE"""),294.4)</f>
        <v>294.4</v>
      </c>
      <c r="D1593" s="2">
        <f>IFERROR(__xludf.DUMMYFUNCTION("""COMPUTED_VALUE"""),260.27)</f>
        <v>260.27</v>
      </c>
      <c r="E1593" s="2">
        <f>IFERROR(__xludf.DUMMYFUNCTION("""COMPUTED_VALUE"""),265.42)</f>
        <v>265.42</v>
      </c>
      <c r="F1593" s="2">
        <f>IFERROR(__xludf.DUMMYFUNCTION("""COMPUTED_VALUE"""),7571705.0)</f>
        <v>7571705</v>
      </c>
    </row>
    <row r="1594">
      <c r="A1594" s="3">
        <f>IFERROR(__xludf.DUMMYFUNCTION("""COMPUTED_VALUE"""),39778.645833333336)</f>
        <v>39778.64583</v>
      </c>
      <c r="B1594" s="2">
        <f>IFERROR(__xludf.DUMMYFUNCTION("""COMPUTED_VALUE"""),264.15)</f>
        <v>264.15</v>
      </c>
      <c r="C1594" s="2">
        <f>IFERROR(__xludf.DUMMYFUNCTION("""COMPUTED_VALUE"""),284.05)</f>
        <v>284.05</v>
      </c>
      <c r="D1594" s="2">
        <f>IFERROR(__xludf.DUMMYFUNCTION("""COMPUTED_VALUE"""),264.15)</f>
        <v>264.15</v>
      </c>
      <c r="E1594" s="2">
        <f>IFERROR(__xludf.DUMMYFUNCTION("""COMPUTED_VALUE"""),282.04)</f>
        <v>282.04</v>
      </c>
      <c r="F1594" s="2">
        <f>IFERROR(__xludf.DUMMYFUNCTION("""COMPUTED_VALUE"""),8489033.0)</f>
        <v>8489033</v>
      </c>
    </row>
    <row r="1595">
      <c r="A1595" s="3">
        <f>IFERROR(__xludf.DUMMYFUNCTION("""COMPUTED_VALUE"""),39780.645833333336)</f>
        <v>39780.64583</v>
      </c>
      <c r="B1595" s="2">
        <f>IFERROR(__xludf.DUMMYFUNCTION("""COMPUTED_VALUE"""),277.36)</f>
        <v>277.36</v>
      </c>
      <c r="C1595" s="2">
        <f>IFERROR(__xludf.DUMMYFUNCTION("""COMPUTED_VALUE"""),289.67)</f>
        <v>289.67</v>
      </c>
      <c r="D1595" s="2">
        <f>IFERROR(__xludf.DUMMYFUNCTION("""COMPUTED_VALUE"""),270.18)</f>
        <v>270.18</v>
      </c>
      <c r="E1595" s="2">
        <f>IFERROR(__xludf.DUMMYFUNCTION("""COMPUTED_VALUE"""),280.94)</f>
        <v>280.94</v>
      </c>
      <c r="F1595" s="2">
        <f>IFERROR(__xludf.DUMMYFUNCTION("""COMPUTED_VALUE"""),7291509.0)</f>
        <v>7291509</v>
      </c>
    </row>
    <row r="1596">
      <c r="A1596" s="3">
        <f>IFERROR(__xludf.DUMMYFUNCTION("""COMPUTED_VALUE"""),39783.645833333336)</f>
        <v>39783.64583</v>
      </c>
      <c r="B1596" s="2">
        <f>IFERROR(__xludf.DUMMYFUNCTION("""COMPUTED_VALUE"""),278.67)</f>
        <v>278.67</v>
      </c>
      <c r="C1596" s="2">
        <f>IFERROR(__xludf.DUMMYFUNCTION("""COMPUTED_VALUE"""),292.22)</f>
        <v>292.22</v>
      </c>
      <c r="D1596" s="2">
        <f>IFERROR(__xludf.DUMMYFUNCTION("""COMPUTED_VALUE"""),271.95)</f>
        <v>271.95</v>
      </c>
      <c r="E1596" s="2">
        <f>IFERROR(__xludf.DUMMYFUNCTION("""COMPUTED_VALUE"""),274.74)</f>
        <v>274.74</v>
      </c>
      <c r="F1596" s="2">
        <f>IFERROR(__xludf.DUMMYFUNCTION("""COMPUTED_VALUE"""),6362857.0)</f>
        <v>6362857</v>
      </c>
    </row>
    <row r="1597">
      <c r="A1597" s="3">
        <f>IFERROR(__xludf.DUMMYFUNCTION("""COMPUTED_VALUE"""),39784.645833333336)</f>
        <v>39784.64583</v>
      </c>
      <c r="B1597" s="2">
        <f>IFERROR(__xludf.DUMMYFUNCTION("""COMPUTED_VALUE"""),264.98)</f>
        <v>264.98</v>
      </c>
      <c r="C1597" s="2">
        <f>IFERROR(__xludf.DUMMYFUNCTION("""COMPUTED_VALUE"""),268.37)</f>
        <v>268.37</v>
      </c>
      <c r="D1597" s="2">
        <f>IFERROR(__xludf.DUMMYFUNCTION("""COMPUTED_VALUE"""),253.83)</f>
        <v>253.83</v>
      </c>
      <c r="E1597" s="2">
        <f>IFERROR(__xludf.DUMMYFUNCTION("""COMPUTED_VALUE"""),265.96)</f>
        <v>265.96</v>
      </c>
      <c r="F1597" s="2">
        <f>IFERROR(__xludf.DUMMYFUNCTION("""COMPUTED_VALUE"""),7197583.0)</f>
        <v>7197583</v>
      </c>
    </row>
    <row r="1598">
      <c r="A1598" s="3">
        <f>IFERROR(__xludf.DUMMYFUNCTION("""COMPUTED_VALUE"""),39785.645833333336)</f>
        <v>39785.64583</v>
      </c>
      <c r="B1598" s="2">
        <f>IFERROR(__xludf.DUMMYFUNCTION("""COMPUTED_VALUE"""),272.54)</f>
        <v>272.54</v>
      </c>
      <c r="C1598" s="2">
        <f>IFERROR(__xludf.DUMMYFUNCTION("""COMPUTED_VALUE"""),275.87)</f>
        <v>275.87</v>
      </c>
      <c r="D1598" s="2">
        <f>IFERROR(__xludf.DUMMYFUNCTION("""COMPUTED_VALUE"""),260.03)</f>
        <v>260.03</v>
      </c>
      <c r="E1598" s="2">
        <f>IFERROR(__xludf.DUMMYFUNCTION("""COMPUTED_VALUE"""),264.76)</f>
        <v>264.76</v>
      </c>
      <c r="F1598" s="2">
        <f>IFERROR(__xludf.DUMMYFUNCTION("""COMPUTED_VALUE"""),6566724.0)</f>
        <v>6566724</v>
      </c>
    </row>
    <row r="1599">
      <c r="A1599" s="3">
        <f>IFERROR(__xludf.DUMMYFUNCTION("""COMPUTED_VALUE"""),39786.645833333336)</f>
        <v>39786.64583</v>
      </c>
      <c r="B1599" s="2">
        <f>IFERROR(__xludf.DUMMYFUNCTION("""COMPUTED_VALUE"""),268.45)</f>
        <v>268.45</v>
      </c>
      <c r="C1599" s="2">
        <f>IFERROR(__xludf.DUMMYFUNCTION("""COMPUTED_VALUE"""),289.74)</f>
        <v>289.74</v>
      </c>
      <c r="D1599" s="2">
        <f>IFERROR(__xludf.DUMMYFUNCTION("""COMPUTED_VALUE"""),260.05)</f>
        <v>260.05</v>
      </c>
      <c r="E1599" s="2">
        <f>IFERROR(__xludf.DUMMYFUNCTION("""COMPUTED_VALUE"""),287.04)</f>
        <v>287.04</v>
      </c>
      <c r="F1599" s="2">
        <f>IFERROR(__xludf.DUMMYFUNCTION("""COMPUTED_VALUE"""),9266428.0)</f>
        <v>9266428</v>
      </c>
    </row>
    <row r="1600">
      <c r="A1600" s="3">
        <f>IFERROR(__xludf.DUMMYFUNCTION("""COMPUTED_VALUE"""),39787.645833333336)</f>
        <v>39787.64583</v>
      </c>
      <c r="B1600" s="2">
        <f>IFERROR(__xludf.DUMMYFUNCTION("""COMPUTED_VALUE"""),290.98)</f>
        <v>290.98</v>
      </c>
      <c r="C1600" s="2">
        <f>IFERROR(__xludf.DUMMYFUNCTION("""COMPUTED_VALUE"""),292.71)</f>
        <v>292.71</v>
      </c>
      <c r="D1600" s="2">
        <f>IFERROR(__xludf.DUMMYFUNCTION("""COMPUTED_VALUE"""),273.15)</f>
        <v>273.15</v>
      </c>
      <c r="E1600" s="2">
        <f>IFERROR(__xludf.DUMMYFUNCTION("""COMPUTED_VALUE"""),276.77)</f>
        <v>276.77</v>
      </c>
      <c r="F1600" s="2">
        <f>IFERROR(__xludf.DUMMYFUNCTION("""COMPUTED_VALUE"""),6679613.0)</f>
        <v>6679613</v>
      </c>
    </row>
    <row r="1601">
      <c r="A1601" s="3">
        <f>IFERROR(__xludf.DUMMYFUNCTION("""COMPUTED_VALUE"""),39790.645833333336)</f>
        <v>39790.64583</v>
      </c>
      <c r="B1601" s="2">
        <f>IFERROR(__xludf.DUMMYFUNCTION("""COMPUTED_VALUE"""),285.33)</f>
        <v>285.33</v>
      </c>
      <c r="C1601" s="2">
        <f>IFERROR(__xludf.DUMMYFUNCTION("""COMPUTED_VALUE"""),290.91)</f>
        <v>290.91</v>
      </c>
      <c r="D1601" s="2">
        <f>IFERROR(__xludf.DUMMYFUNCTION("""COMPUTED_VALUE"""),274.14)</f>
        <v>274.14</v>
      </c>
      <c r="E1601" s="2">
        <f>IFERROR(__xludf.DUMMYFUNCTION("""COMPUTED_VALUE"""),277.0)</f>
        <v>277</v>
      </c>
      <c r="F1601" s="2">
        <f>IFERROR(__xludf.DUMMYFUNCTION("""COMPUTED_VALUE"""),6965801.0)</f>
        <v>6965801</v>
      </c>
    </row>
    <row r="1602">
      <c r="A1602" s="3">
        <f>IFERROR(__xludf.DUMMYFUNCTION("""COMPUTED_VALUE"""),39792.645833333336)</f>
        <v>39792.64583</v>
      </c>
      <c r="B1602" s="2">
        <f>IFERROR(__xludf.DUMMYFUNCTION("""COMPUTED_VALUE"""),284.47)</f>
        <v>284.47</v>
      </c>
      <c r="C1602" s="2">
        <f>IFERROR(__xludf.DUMMYFUNCTION("""COMPUTED_VALUE"""),305.59)</f>
        <v>305.59</v>
      </c>
      <c r="D1602" s="2">
        <f>IFERROR(__xludf.DUMMYFUNCTION("""COMPUTED_VALUE"""),281.57)</f>
        <v>281.57</v>
      </c>
      <c r="E1602" s="2">
        <f>IFERROR(__xludf.DUMMYFUNCTION("""COMPUTED_VALUE"""),303.91)</f>
        <v>303.91</v>
      </c>
      <c r="F1602" s="2">
        <f>IFERROR(__xludf.DUMMYFUNCTION("""COMPUTED_VALUE"""),7518930.0)</f>
        <v>7518930</v>
      </c>
    </row>
    <row r="1603">
      <c r="A1603" s="3">
        <f>IFERROR(__xludf.DUMMYFUNCTION("""COMPUTED_VALUE"""),39793.645833333336)</f>
        <v>39793.64583</v>
      </c>
      <c r="B1603" s="2">
        <f>IFERROR(__xludf.DUMMYFUNCTION("""COMPUTED_VALUE"""),309.55)</f>
        <v>309.55</v>
      </c>
      <c r="C1603" s="2">
        <f>IFERROR(__xludf.DUMMYFUNCTION("""COMPUTED_VALUE"""),321.37)</f>
        <v>321.37</v>
      </c>
      <c r="D1603" s="2">
        <f>IFERROR(__xludf.DUMMYFUNCTION("""COMPUTED_VALUE"""),295.51)</f>
        <v>295.51</v>
      </c>
      <c r="E1603" s="2">
        <f>IFERROR(__xludf.DUMMYFUNCTION("""COMPUTED_VALUE"""),311.78)</f>
        <v>311.78</v>
      </c>
      <c r="F1603" s="2">
        <f>IFERROR(__xludf.DUMMYFUNCTION("""COMPUTED_VALUE"""),9088095.0)</f>
        <v>9088095</v>
      </c>
    </row>
    <row r="1604">
      <c r="A1604" s="3">
        <f>IFERROR(__xludf.DUMMYFUNCTION("""COMPUTED_VALUE"""),39794.645833333336)</f>
        <v>39794.64583</v>
      </c>
      <c r="B1604" s="2">
        <f>IFERROR(__xludf.DUMMYFUNCTION("""COMPUTED_VALUE"""),307.08)</f>
        <v>307.08</v>
      </c>
      <c r="C1604" s="2">
        <f>IFERROR(__xludf.DUMMYFUNCTION("""COMPUTED_VALUE"""),327.88)</f>
        <v>327.88</v>
      </c>
      <c r="D1604" s="2">
        <f>IFERROR(__xludf.DUMMYFUNCTION("""COMPUTED_VALUE"""),298.72)</f>
        <v>298.72</v>
      </c>
      <c r="E1604" s="2">
        <f>IFERROR(__xludf.DUMMYFUNCTION("""COMPUTED_VALUE"""),323.69)</f>
        <v>323.69</v>
      </c>
      <c r="F1604" s="2">
        <f>IFERROR(__xludf.DUMMYFUNCTION("""COMPUTED_VALUE"""),9928592.0)</f>
        <v>9928592</v>
      </c>
    </row>
    <row r="1605">
      <c r="A1605" s="3">
        <f>IFERROR(__xludf.DUMMYFUNCTION("""COMPUTED_VALUE"""),39797.645833333336)</f>
        <v>39797.64583</v>
      </c>
      <c r="B1605" s="2">
        <f>IFERROR(__xludf.DUMMYFUNCTION("""COMPUTED_VALUE"""),334.07)</f>
        <v>334.07</v>
      </c>
      <c r="C1605" s="2">
        <f>IFERROR(__xludf.DUMMYFUNCTION("""COMPUTED_VALUE"""),336.55)</f>
        <v>336.55</v>
      </c>
      <c r="D1605" s="2">
        <f>IFERROR(__xludf.DUMMYFUNCTION("""COMPUTED_VALUE"""),315.05)</f>
        <v>315.05</v>
      </c>
      <c r="E1605" s="2">
        <f>IFERROR(__xludf.DUMMYFUNCTION("""COMPUTED_VALUE"""),331.98)</f>
        <v>331.98</v>
      </c>
      <c r="F1605" s="2">
        <f>IFERROR(__xludf.DUMMYFUNCTION("""COMPUTED_VALUE"""),9859348.0)</f>
        <v>9859348</v>
      </c>
    </row>
    <row r="1606">
      <c r="A1606" s="3">
        <f>IFERROR(__xludf.DUMMYFUNCTION("""COMPUTED_VALUE"""),39798.645833333336)</f>
        <v>39798.64583</v>
      </c>
      <c r="B1606" s="2">
        <f>IFERROR(__xludf.DUMMYFUNCTION("""COMPUTED_VALUE"""),334.32)</f>
        <v>334.32</v>
      </c>
      <c r="C1606" s="2">
        <f>IFERROR(__xludf.DUMMYFUNCTION("""COMPUTED_VALUE"""),345.91)</f>
        <v>345.91</v>
      </c>
      <c r="D1606" s="2">
        <f>IFERROR(__xludf.DUMMYFUNCTION("""COMPUTED_VALUE"""),328.29)</f>
        <v>328.29</v>
      </c>
      <c r="E1606" s="2">
        <f>IFERROR(__xludf.DUMMYFUNCTION("""COMPUTED_VALUE"""),343.85)</f>
        <v>343.85</v>
      </c>
      <c r="F1606" s="2">
        <f>IFERROR(__xludf.DUMMYFUNCTION("""COMPUTED_VALUE"""),7748498.0)</f>
        <v>7748498</v>
      </c>
    </row>
    <row r="1607">
      <c r="A1607" s="3">
        <f>IFERROR(__xludf.DUMMYFUNCTION("""COMPUTED_VALUE"""),39799.645833333336)</f>
        <v>39799.64583</v>
      </c>
      <c r="B1607" s="2">
        <f>IFERROR(__xludf.DUMMYFUNCTION("""COMPUTED_VALUE"""),344.22)</f>
        <v>344.22</v>
      </c>
      <c r="C1607" s="2">
        <f>IFERROR(__xludf.DUMMYFUNCTION("""COMPUTED_VALUE"""),348.43)</f>
        <v>348.43</v>
      </c>
      <c r="D1607" s="2">
        <f>IFERROR(__xludf.DUMMYFUNCTION("""COMPUTED_VALUE"""),329.39)</f>
        <v>329.39</v>
      </c>
      <c r="E1607" s="2">
        <f>IFERROR(__xludf.DUMMYFUNCTION("""COMPUTED_VALUE"""),334.67)</f>
        <v>334.67</v>
      </c>
      <c r="F1607" s="2">
        <f>IFERROR(__xludf.DUMMYFUNCTION("""COMPUTED_VALUE"""),8838463.0)</f>
        <v>8838463</v>
      </c>
    </row>
    <row r="1608">
      <c r="A1608" s="3">
        <f>IFERROR(__xludf.DUMMYFUNCTION("""COMPUTED_VALUE"""),39800.645833333336)</f>
        <v>39800.64583</v>
      </c>
      <c r="B1608" s="2">
        <f>IFERROR(__xludf.DUMMYFUNCTION("""COMPUTED_VALUE"""),331.84)</f>
        <v>331.84</v>
      </c>
      <c r="C1608" s="2">
        <f>IFERROR(__xludf.DUMMYFUNCTION("""COMPUTED_VALUE"""),339.77)</f>
        <v>339.77</v>
      </c>
      <c r="D1608" s="2">
        <f>IFERROR(__xludf.DUMMYFUNCTION("""COMPUTED_VALUE"""),317.62)</f>
        <v>317.62</v>
      </c>
      <c r="E1608" s="2">
        <f>IFERROR(__xludf.DUMMYFUNCTION("""COMPUTED_VALUE"""),337.04)</f>
        <v>337.04</v>
      </c>
      <c r="F1608" s="2">
        <f>IFERROR(__xludf.DUMMYFUNCTION("""COMPUTED_VALUE"""),1.0705844E7)</f>
        <v>10705844</v>
      </c>
    </row>
    <row r="1609">
      <c r="A1609" s="3">
        <f>IFERROR(__xludf.DUMMYFUNCTION("""COMPUTED_VALUE"""),39801.645833333336)</f>
        <v>39801.64583</v>
      </c>
      <c r="B1609" s="2">
        <f>IFERROR(__xludf.DUMMYFUNCTION("""COMPUTED_VALUE"""),336.86)</f>
        <v>336.86</v>
      </c>
      <c r="C1609" s="2">
        <f>IFERROR(__xludf.DUMMYFUNCTION("""COMPUTED_VALUE"""),341.13)</f>
        <v>341.13</v>
      </c>
      <c r="D1609" s="2">
        <f>IFERROR(__xludf.DUMMYFUNCTION("""COMPUTED_VALUE"""),327.51)</f>
        <v>327.51</v>
      </c>
      <c r="E1609" s="2">
        <f>IFERROR(__xludf.DUMMYFUNCTION("""COMPUTED_VALUE"""),334.64)</f>
        <v>334.64</v>
      </c>
      <c r="F1609" s="2">
        <f>IFERROR(__xludf.DUMMYFUNCTION("""COMPUTED_VALUE"""),8237002.0)</f>
        <v>8237002</v>
      </c>
    </row>
    <row r="1610">
      <c r="A1610" s="3">
        <f>IFERROR(__xludf.DUMMYFUNCTION("""COMPUTED_VALUE"""),39804.645833333336)</f>
        <v>39804.64583</v>
      </c>
      <c r="B1610" s="2">
        <f>IFERROR(__xludf.DUMMYFUNCTION("""COMPUTED_VALUE"""),323.17)</f>
        <v>323.17</v>
      </c>
      <c r="C1610" s="2">
        <f>IFERROR(__xludf.DUMMYFUNCTION("""COMPUTED_VALUE"""),334.91)</f>
        <v>334.91</v>
      </c>
      <c r="D1610" s="2">
        <f>IFERROR(__xludf.DUMMYFUNCTION("""COMPUTED_VALUE"""),316.74)</f>
        <v>316.74</v>
      </c>
      <c r="E1610" s="2">
        <f>IFERROR(__xludf.DUMMYFUNCTION("""COMPUTED_VALUE"""),318.36)</f>
        <v>318.36</v>
      </c>
      <c r="F1610" s="2">
        <f>IFERROR(__xludf.DUMMYFUNCTION("""COMPUTED_VALUE"""),4876273.0)</f>
        <v>4876273</v>
      </c>
    </row>
    <row r="1611">
      <c r="A1611" s="3">
        <f>IFERROR(__xludf.DUMMYFUNCTION("""COMPUTED_VALUE"""),39805.645833333336)</f>
        <v>39805.64583</v>
      </c>
      <c r="B1611" s="2">
        <f>IFERROR(__xludf.DUMMYFUNCTION("""COMPUTED_VALUE"""),317.23)</f>
        <v>317.23</v>
      </c>
      <c r="C1611" s="2">
        <f>IFERROR(__xludf.DUMMYFUNCTION("""COMPUTED_VALUE"""),317.23)</f>
        <v>317.23</v>
      </c>
      <c r="D1611" s="2">
        <f>IFERROR(__xludf.DUMMYFUNCTION("""COMPUTED_VALUE"""),308.66)</f>
        <v>308.66</v>
      </c>
      <c r="E1611" s="2">
        <f>IFERROR(__xludf.DUMMYFUNCTION("""COMPUTED_VALUE"""),311.97)</f>
        <v>311.97</v>
      </c>
      <c r="F1611" s="2">
        <f>IFERROR(__xludf.DUMMYFUNCTION("""COMPUTED_VALUE"""),3848915.0)</f>
        <v>3848915</v>
      </c>
    </row>
    <row r="1612">
      <c r="A1612" s="3">
        <f>IFERROR(__xludf.DUMMYFUNCTION("""COMPUTED_VALUE"""),39806.645833333336)</f>
        <v>39806.64583</v>
      </c>
      <c r="B1612" s="2">
        <f>IFERROR(__xludf.DUMMYFUNCTION("""COMPUTED_VALUE"""),309.8)</f>
        <v>309.8</v>
      </c>
      <c r="C1612" s="2">
        <f>IFERROR(__xludf.DUMMYFUNCTION("""COMPUTED_VALUE"""),311.29)</f>
        <v>311.29</v>
      </c>
      <c r="D1612" s="2">
        <f>IFERROR(__xludf.DUMMYFUNCTION("""COMPUTED_VALUE"""),304.64)</f>
        <v>304.64</v>
      </c>
      <c r="E1612" s="2">
        <f>IFERROR(__xludf.DUMMYFUNCTION("""COMPUTED_VALUE"""),307.57)</f>
        <v>307.57</v>
      </c>
      <c r="F1612" s="2">
        <f>IFERROR(__xludf.DUMMYFUNCTION("""COMPUTED_VALUE"""),4105712.0)</f>
        <v>4105712</v>
      </c>
    </row>
    <row r="1613">
      <c r="A1613" s="3">
        <f>IFERROR(__xludf.DUMMYFUNCTION("""COMPUTED_VALUE"""),39808.645833333336)</f>
        <v>39808.64583</v>
      </c>
      <c r="B1613" s="2">
        <f>IFERROR(__xludf.DUMMYFUNCTION("""COMPUTED_VALUE"""),309.55)</f>
        <v>309.55</v>
      </c>
      <c r="C1613" s="2">
        <f>IFERROR(__xludf.DUMMYFUNCTION("""COMPUTED_VALUE"""),315.75)</f>
        <v>315.75</v>
      </c>
      <c r="D1613" s="2">
        <f>IFERROR(__xludf.DUMMYFUNCTION("""COMPUTED_VALUE"""),298.16)</f>
        <v>298.16</v>
      </c>
      <c r="E1613" s="2">
        <f>IFERROR(__xludf.DUMMYFUNCTION("""COMPUTED_VALUE"""),299.69)</f>
        <v>299.69</v>
      </c>
      <c r="F1613" s="2">
        <f>IFERROR(__xludf.DUMMYFUNCTION("""COMPUTED_VALUE"""),3172515.0)</f>
        <v>3172515</v>
      </c>
    </row>
    <row r="1614">
      <c r="A1614" s="3">
        <f>IFERROR(__xludf.DUMMYFUNCTION("""COMPUTED_VALUE"""),39811.645833333336)</f>
        <v>39811.64583</v>
      </c>
      <c r="B1614" s="2">
        <f>IFERROR(__xludf.DUMMYFUNCTION("""COMPUTED_VALUE"""),297.17)</f>
        <v>297.17</v>
      </c>
      <c r="C1614" s="2">
        <f>IFERROR(__xludf.DUMMYFUNCTION("""COMPUTED_VALUE"""),310.04)</f>
        <v>310.04</v>
      </c>
      <c r="D1614" s="2">
        <f>IFERROR(__xludf.DUMMYFUNCTION("""COMPUTED_VALUE"""),294.2)</f>
        <v>294.2</v>
      </c>
      <c r="E1614" s="2">
        <f>IFERROR(__xludf.DUMMYFUNCTION("""COMPUTED_VALUE"""),308.64)</f>
        <v>308.64</v>
      </c>
      <c r="F1614" s="2">
        <f>IFERROR(__xludf.DUMMYFUNCTION("""COMPUTED_VALUE"""),5854190.0)</f>
        <v>5854190</v>
      </c>
    </row>
    <row r="1615">
      <c r="A1615" s="3">
        <f>IFERROR(__xludf.DUMMYFUNCTION("""COMPUTED_VALUE"""),39812.645833333336)</f>
        <v>39812.64583</v>
      </c>
      <c r="B1615" s="2">
        <f>IFERROR(__xludf.DUMMYFUNCTION("""COMPUTED_VALUE"""),312.04)</f>
        <v>312.04</v>
      </c>
      <c r="C1615" s="2">
        <f>IFERROR(__xludf.DUMMYFUNCTION("""COMPUTED_VALUE"""),315.25)</f>
        <v>315.25</v>
      </c>
      <c r="D1615" s="2">
        <f>IFERROR(__xludf.DUMMYFUNCTION("""COMPUTED_VALUE"""),304.14)</f>
        <v>304.14</v>
      </c>
      <c r="E1615" s="2">
        <f>IFERROR(__xludf.DUMMYFUNCTION("""COMPUTED_VALUE"""),309.68)</f>
        <v>309.68</v>
      </c>
      <c r="F1615" s="2">
        <f>IFERROR(__xludf.DUMMYFUNCTION("""COMPUTED_VALUE"""),4507295.0)</f>
        <v>4507295</v>
      </c>
    </row>
    <row r="1616">
      <c r="A1616" s="3">
        <f>IFERROR(__xludf.DUMMYFUNCTION("""COMPUTED_VALUE"""),39813.645833333336)</f>
        <v>39813.64583</v>
      </c>
      <c r="B1616" s="2">
        <f>IFERROR(__xludf.DUMMYFUNCTION("""COMPUTED_VALUE"""),310.54)</f>
        <v>310.54</v>
      </c>
      <c r="C1616" s="2">
        <f>IFERROR(__xludf.DUMMYFUNCTION("""COMPUTED_VALUE"""),313.44)</f>
        <v>313.44</v>
      </c>
      <c r="D1616" s="2">
        <f>IFERROR(__xludf.DUMMYFUNCTION("""COMPUTED_VALUE"""),301.13)</f>
        <v>301.13</v>
      </c>
      <c r="E1616" s="2">
        <f>IFERROR(__xludf.DUMMYFUNCTION("""COMPUTED_VALUE"""),305.28)</f>
        <v>305.28</v>
      </c>
      <c r="F1616" s="2">
        <f>IFERROR(__xludf.DUMMYFUNCTION("""COMPUTED_VALUE"""),4931305.0)</f>
        <v>4931305</v>
      </c>
    </row>
    <row r="1617">
      <c r="A1617" s="3">
        <f>IFERROR(__xludf.DUMMYFUNCTION("""COMPUTED_VALUE"""),39814.645833333336)</f>
        <v>39814.64583</v>
      </c>
      <c r="B1617" s="2">
        <f>IFERROR(__xludf.DUMMYFUNCTION("""COMPUTED_VALUE"""),307.08)</f>
        <v>307.08</v>
      </c>
      <c r="C1617" s="2">
        <f>IFERROR(__xludf.DUMMYFUNCTION("""COMPUTED_VALUE"""),312.77)</f>
        <v>312.77</v>
      </c>
      <c r="D1617" s="2">
        <f>IFERROR(__xludf.DUMMYFUNCTION("""COMPUTED_VALUE"""),305.86)</f>
        <v>305.86</v>
      </c>
      <c r="E1617" s="2">
        <f>IFERROR(__xludf.DUMMYFUNCTION("""COMPUTED_VALUE"""),310.71)</f>
        <v>310.71</v>
      </c>
      <c r="F1617" s="2">
        <f>IFERROR(__xludf.DUMMYFUNCTION("""COMPUTED_VALUE"""),2856335.0)</f>
        <v>2856335</v>
      </c>
    </row>
    <row r="1618">
      <c r="A1618" s="3">
        <f>IFERROR(__xludf.DUMMYFUNCTION("""COMPUTED_VALUE"""),39815.645833333336)</f>
        <v>39815.64583</v>
      </c>
      <c r="B1618" s="2">
        <f>IFERROR(__xludf.DUMMYFUNCTION("""COMPUTED_VALUE"""),311.96)</f>
        <v>311.96</v>
      </c>
      <c r="C1618" s="2">
        <f>IFERROR(__xludf.DUMMYFUNCTION("""COMPUTED_VALUE"""),321.91)</f>
        <v>321.91</v>
      </c>
      <c r="D1618" s="2">
        <f>IFERROR(__xludf.DUMMYFUNCTION("""COMPUTED_VALUE"""),310.05)</f>
        <v>310.05</v>
      </c>
      <c r="E1618" s="2">
        <f>IFERROR(__xludf.DUMMYFUNCTION("""COMPUTED_VALUE"""),318.57)</f>
        <v>318.57</v>
      </c>
      <c r="F1618" s="2">
        <f>IFERROR(__xludf.DUMMYFUNCTION("""COMPUTED_VALUE"""),4961862.0)</f>
        <v>4961862</v>
      </c>
    </row>
    <row r="1619">
      <c r="A1619" s="3">
        <f>IFERROR(__xludf.DUMMYFUNCTION("""COMPUTED_VALUE"""),39818.645833333336)</f>
        <v>39818.64583</v>
      </c>
      <c r="B1619" s="2">
        <f>IFERROR(__xludf.DUMMYFUNCTION("""COMPUTED_VALUE"""),321.69)</f>
        <v>321.69</v>
      </c>
      <c r="C1619" s="2">
        <f>IFERROR(__xludf.DUMMYFUNCTION("""COMPUTED_VALUE"""),341.01)</f>
        <v>341.01</v>
      </c>
      <c r="D1619" s="2">
        <f>IFERROR(__xludf.DUMMYFUNCTION("""COMPUTED_VALUE"""),320.72)</f>
        <v>320.72</v>
      </c>
      <c r="E1619" s="2">
        <f>IFERROR(__xludf.DUMMYFUNCTION("""COMPUTED_VALUE"""),338.24)</f>
        <v>338.24</v>
      </c>
      <c r="F1619" s="2">
        <f>IFERROR(__xludf.DUMMYFUNCTION("""COMPUTED_VALUE"""),5506969.0)</f>
        <v>5506969</v>
      </c>
    </row>
    <row r="1620">
      <c r="A1620" s="3">
        <f>IFERROR(__xludf.DUMMYFUNCTION("""COMPUTED_VALUE"""),39819.645833333336)</f>
        <v>39819.64583</v>
      </c>
      <c r="B1620" s="2">
        <f>IFERROR(__xludf.DUMMYFUNCTION("""COMPUTED_VALUE"""),336.8)</f>
        <v>336.8</v>
      </c>
      <c r="C1620" s="2">
        <f>IFERROR(__xludf.DUMMYFUNCTION("""COMPUTED_VALUE"""),344.22)</f>
        <v>344.22</v>
      </c>
      <c r="D1620" s="2">
        <f>IFERROR(__xludf.DUMMYFUNCTION("""COMPUTED_VALUE"""),329.68)</f>
        <v>329.68</v>
      </c>
      <c r="E1620" s="2">
        <f>IFERROR(__xludf.DUMMYFUNCTION("""COMPUTED_VALUE"""),339.49)</f>
        <v>339.49</v>
      </c>
      <c r="F1620" s="2">
        <f>IFERROR(__xludf.DUMMYFUNCTION("""COMPUTED_VALUE"""),6029600.0)</f>
        <v>6029600</v>
      </c>
    </row>
    <row r="1621">
      <c r="A1621" s="3">
        <f>IFERROR(__xludf.DUMMYFUNCTION("""COMPUTED_VALUE"""),39820.645833333336)</f>
        <v>39820.64583</v>
      </c>
      <c r="B1621" s="2">
        <f>IFERROR(__xludf.DUMMYFUNCTION("""COMPUTED_VALUE"""),339.02)</f>
        <v>339.02</v>
      </c>
      <c r="C1621" s="2">
        <f>IFERROR(__xludf.DUMMYFUNCTION("""COMPUTED_VALUE"""),343.23)</f>
        <v>343.23</v>
      </c>
      <c r="D1621" s="2">
        <f>IFERROR(__xludf.DUMMYFUNCTION("""COMPUTED_VALUE"""),290.98)</f>
        <v>290.98</v>
      </c>
      <c r="E1621" s="2">
        <f>IFERROR(__xludf.DUMMYFUNCTION("""COMPUTED_VALUE"""),297.36)</f>
        <v>297.36</v>
      </c>
      <c r="F1621" s="2">
        <f>IFERROR(__xludf.DUMMYFUNCTION("""COMPUTED_VALUE"""),8500550.0)</f>
        <v>8500550</v>
      </c>
    </row>
    <row r="1622">
      <c r="A1622" s="3">
        <f>IFERROR(__xludf.DUMMYFUNCTION("""COMPUTED_VALUE"""),39822.645833333336)</f>
        <v>39822.64583</v>
      </c>
      <c r="B1622" s="2">
        <f>IFERROR(__xludf.DUMMYFUNCTION("""COMPUTED_VALUE"""),299.65)</f>
        <v>299.65</v>
      </c>
      <c r="C1622" s="2">
        <f>IFERROR(__xludf.DUMMYFUNCTION("""COMPUTED_VALUE"""),299.65)</f>
        <v>299.65</v>
      </c>
      <c r="D1622" s="2">
        <f>IFERROR(__xludf.DUMMYFUNCTION("""COMPUTED_VALUE"""),270.84)</f>
        <v>270.84</v>
      </c>
      <c r="E1622" s="2">
        <f>IFERROR(__xludf.DUMMYFUNCTION("""COMPUTED_VALUE"""),285.59)</f>
        <v>285.59</v>
      </c>
      <c r="F1622" s="2">
        <f>IFERROR(__xludf.DUMMYFUNCTION("""COMPUTED_VALUE"""),9488130.0)</f>
        <v>9488130</v>
      </c>
    </row>
    <row r="1623">
      <c r="A1623" s="3">
        <f>IFERROR(__xludf.DUMMYFUNCTION("""COMPUTED_VALUE"""),39825.645833333336)</f>
        <v>39825.64583</v>
      </c>
      <c r="B1623" s="2">
        <f>IFERROR(__xludf.DUMMYFUNCTION("""COMPUTED_VALUE"""),282.24)</f>
        <v>282.24</v>
      </c>
      <c r="C1623" s="2">
        <f>IFERROR(__xludf.DUMMYFUNCTION("""COMPUTED_VALUE"""),283.55)</f>
        <v>283.55</v>
      </c>
      <c r="D1623" s="2">
        <f>IFERROR(__xludf.DUMMYFUNCTION("""COMPUTED_VALUE"""),268.69)</f>
        <v>268.69</v>
      </c>
      <c r="E1623" s="2">
        <f>IFERROR(__xludf.DUMMYFUNCTION("""COMPUTED_VALUE"""),271.89)</f>
        <v>271.89</v>
      </c>
      <c r="F1623" s="2">
        <f>IFERROR(__xludf.DUMMYFUNCTION("""COMPUTED_VALUE"""),7364584.0)</f>
        <v>7364584</v>
      </c>
    </row>
    <row r="1624">
      <c r="A1624" s="3">
        <f>IFERROR(__xludf.DUMMYFUNCTION("""COMPUTED_VALUE"""),39826.645833333336)</f>
        <v>39826.64583</v>
      </c>
      <c r="B1624" s="2">
        <f>IFERROR(__xludf.DUMMYFUNCTION("""COMPUTED_VALUE"""),271.1)</f>
        <v>271.1</v>
      </c>
      <c r="C1624" s="2">
        <f>IFERROR(__xludf.DUMMYFUNCTION("""COMPUTED_VALUE"""),283.8)</f>
        <v>283.8</v>
      </c>
      <c r="D1624" s="2">
        <f>IFERROR(__xludf.DUMMYFUNCTION("""COMPUTED_VALUE"""),263.74)</f>
        <v>263.74</v>
      </c>
      <c r="E1624" s="2">
        <f>IFERROR(__xludf.DUMMYFUNCTION("""COMPUTED_VALUE"""),266.85)</f>
        <v>266.85</v>
      </c>
      <c r="F1624" s="2">
        <f>IFERROR(__xludf.DUMMYFUNCTION("""COMPUTED_VALUE"""),6580241.0)</f>
        <v>6580241</v>
      </c>
    </row>
    <row r="1625">
      <c r="A1625" s="3">
        <f>IFERROR(__xludf.DUMMYFUNCTION("""COMPUTED_VALUE"""),39827.645833333336)</f>
        <v>39827.64583</v>
      </c>
      <c r="B1625" s="2">
        <f>IFERROR(__xludf.DUMMYFUNCTION("""COMPUTED_VALUE"""),270.2)</f>
        <v>270.2</v>
      </c>
      <c r="C1625" s="2">
        <f>IFERROR(__xludf.DUMMYFUNCTION("""COMPUTED_VALUE"""),301.63)</f>
        <v>301.63</v>
      </c>
      <c r="D1625" s="2">
        <f>IFERROR(__xludf.DUMMYFUNCTION("""COMPUTED_VALUE"""),270.2)</f>
        <v>270.2</v>
      </c>
      <c r="E1625" s="2">
        <f>IFERROR(__xludf.DUMMYFUNCTION("""COMPUTED_VALUE"""),292.16)</f>
        <v>292.16</v>
      </c>
      <c r="F1625" s="2">
        <f>IFERROR(__xludf.DUMMYFUNCTION("""COMPUTED_VALUE"""),6550391.0)</f>
        <v>6550391</v>
      </c>
    </row>
    <row r="1626">
      <c r="A1626" s="3">
        <f>IFERROR(__xludf.DUMMYFUNCTION("""COMPUTED_VALUE"""),39828.645833333336)</f>
        <v>39828.64583</v>
      </c>
      <c r="B1626" s="2">
        <f>IFERROR(__xludf.DUMMYFUNCTION("""COMPUTED_VALUE"""),282.76)</f>
        <v>282.76</v>
      </c>
      <c r="C1626" s="2">
        <f>IFERROR(__xludf.DUMMYFUNCTION("""COMPUTED_VALUE"""),287.25)</f>
        <v>287.25</v>
      </c>
      <c r="D1626" s="2">
        <f>IFERROR(__xludf.DUMMYFUNCTION("""COMPUTED_VALUE"""),274.27)</f>
        <v>274.27</v>
      </c>
      <c r="E1626" s="2">
        <f>IFERROR(__xludf.DUMMYFUNCTION("""COMPUTED_VALUE"""),282.9)</f>
        <v>282.9</v>
      </c>
      <c r="F1626" s="2">
        <f>IFERROR(__xludf.DUMMYFUNCTION("""COMPUTED_VALUE"""),6273731.0)</f>
        <v>6273731</v>
      </c>
    </row>
    <row r="1627">
      <c r="A1627" s="3">
        <f>IFERROR(__xludf.DUMMYFUNCTION("""COMPUTED_VALUE"""),39829.645833333336)</f>
        <v>39829.64583</v>
      </c>
      <c r="B1627" s="2">
        <f>IFERROR(__xludf.DUMMYFUNCTION("""COMPUTED_VALUE"""),285.04)</f>
        <v>285.04</v>
      </c>
      <c r="C1627" s="2">
        <f>IFERROR(__xludf.DUMMYFUNCTION("""COMPUTED_VALUE"""),304.85)</f>
        <v>304.85</v>
      </c>
      <c r="D1627" s="2">
        <f>IFERROR(__xludf.DUMMYFUNCTION("""COMPUTED_VALUE"""),282.29)</f>
        <v>282.29</v>
      </c>
      <c r="E1627" s="2">
        <f>IFERROR(__xludf.DUMMYFUNCTION("""COMPUTED_VALUE"""),301.47)</f>
        <v>301.47</v>
      </c>
      <c r="F1627" s="2">
        <f>IFERROR(__xludf.DUMMYFUNCTION("""COMPUTED_VALUE"""),6661824.0)</f>
        <v>6661824</v>
      </c>
    </row>
    <row r="1628">
      <c r="A1628" s="3">
        <f>IFERROR(__xludf.DUMMYFUNCTION("""COMPUTED_VALUE"""),39832.645833333336)</f>
        <v>39832.64583</v>
      </c>
      <c r="B1628" s="2">
        <f>IFERROR(__xludf.DUMMYFUNCTION("""COMPUTED_VALUE"""),303.26)</f>
        <v>303.26</v>
      </c>
      <c r="C1628" s="2">
        <f>IFERROR(__xludf.DUMMYFUNCTION("""COMPUTED_VALUE"""),309.54)</f>
        <v>309.54</v>
      </c>
      <c r="D1628" s="2">
        <f>IFERROR(__xludf.DUMMYFUNCTION("""COMPUTED_VALUE"""),299.15)</f>
        <v>299.15</v>
      </c>
      <c r="E1628" s="2">
        <f>IFERROR(__xludf.DUMMYFUNCTION("""COMPUTED_VALUE"""),304.58)</f>
        <v>304.58</v>
      </c>
      <c r="F1628" s="2">
        <f>IFERROR(__xludf.DUMMYFUNCTION("""COMPUTED_VALUE"""),4245780.0)</f>
        <v>4245780</v>
      </c>
    </row>
    <row r="1629">
      <c r="A1629" s="3">
        <f>IFERROR(__xludf.DUMMYFUNCTION("""COMPUTED_VALUE"""),39833.645833333336)</f>
        <v>39833.64583</v>
      </c>
      <c r="B1629" s="2">
        <f>IFERROR(__xludf.DUMMYFUNCTION("""COMPUTED_VALUE"""),301.33)</f>
        <v>301.33</v>
      </c>
      <c r="C1629" s="2">
        <f>IFERROR(__xludf.DUMMYFUNCTION("""COMPUTED_VALUE"""),301.33)</f>
        <v>301.33</v>
      </c>
      <c r="D1629" s="2">
        <f>IFERROR(__xludf.DUMMYFUNCTION("""COMPUTED_VALUE"""),289.25)</f>
        <v>289.25</v>
      </c>
      <c r="E1629" s="2">
        <f>IFERROR(__xludf.DUMMYFUNCTION("""COMPUTED_VALUE"""),293.12)</f>
        <v>293.12</v>
      </c>
      <c r="F1629" s="2">
        <f>IFERROR(__xludf.DUMMYFUNCTION("""COMPUTED_VALUE"""),4647100.0)</f>
        <v>4647100</v>
      </c>
    </row>
    <row r="1630">
      <c r="A1630" s="3">
        <f>IFERROR(__xludf.DUMMYFUNCTION("""COMPUTED_VALUE"""),39834.645833333336)</f>
        <v>39834.64583</v>
      </c>
      <c r="B1630" s="2">
        <f>IFERROR(__xludf.DUMMYFUNCTION("""COMPUTED_VALUE"""),287.27)</f>
        <v>287.27</v>
      </c>
      <c r="C1630" s="2">
        <f>IFERROR(__xludf.DUMMYFUNCTION("""COMPUTED_VALUE"""),292.94)</f>
        <v>292.94</v>
      </c>
      <c r="D1630" s="2">
        <f>IFERROR(__xludf.DUMMYFUNCTION("""COMPUTED_VALUE"""),274.88)</f>
        <v>274.88</v>
      </c>
      <c r="E1630" s="2">
        <f>IFERROR(__xludf.DUMMYFUNCTION("""COMPUTED_VALUE"""),277.32)</f>
        <v>277.32</v>
      </c>
      <c r="F1630" s="2">
        <f>IFERROR(__xludf.DUMMYFUNCTION("""COMPUTED_VALUE"""),4967385.0)</f>
        <v>4967385</v>
      </c>
    </row>
    <row r="1631">
      <c r="A1631" s="3">
        <f>IFERROR(__xludf.DUMMYFUNCTION("""COMPUTED_VALUE"""),39835.645833333336)</f>
        <v>39835.64583</v>
      </c>
      <c r="B1631" s="2">
        <f>IFERROR(__xludf.DUMMYFUNCTION("""COMPUTED_VALUE"""),284.77)</f>
        <v>284.77</v>
      </c>
      <c r="C1631" s="2">
        <f>IFERROR(__xludf.DUMMYFUNCTION("""COMPUTED_VALUE"""),285.99)</f>
        <v>285.99</v>
      </c>
      <c r="D1631" s="2">
        <f>IFERROR(__xludf.DUMMYFUNCTION("""COMPUTED_VALUE"""),274.17)</f>
        <v>274.17</v>
      </c>
      <c r="E1631" s="2">
        <f>IFERROR(__xludf.DUMMYFUNCTION("""COMPUTED_VALUE"""),281.4)</f>
        <v>281.4</v>
      </c>
      <c r="F1631" s="2">
        <f>IFERROR(__xludf.DUMMYFUNCTION("""COMPUTED_VALUE"""),6995099.0)</f>
        <v>6995099</v>
      </c>
    </row>
    <row r="1632">
      <c r="A1632" s="3">
        <f>IFERROR(__xludf.DUMMYFUNCTION("""COMPUTED_VALUE"""),39836.645833333336)</f>
        <v>39836.64583</v>
      </c>
      <c r="B1632" s="2">
        <f>IFERROR(__xludf.DUMMYFUNCTION("""COMPUTED_VALUE"""),296.68)</f>
        <v>296.68</v>
      </c>
      <c r="C1632" s="2">
        <f>IFERROR(__xludf.DUMMYFUNCTION("""COMPUTED_VALUE"""),330.6)</f>
        <v>330.6</v>
      </c>
      <c r="D1632" s="2">
        <f>IFERROR(__xludf.DUMMYFUNCTION("""COMPUTED_VALUE"""),277.36)</f>
        <v>277.36</v>
      </c>
      <c r="E1632" s="2">
        <f>IFERROR(__xludf.DUMMYFUNCTION("""COMPUTED_VALUE"""),286.31)</f>
        <v>286.31</v>
      </c>
      <c r="F1632" s="2">
        <f>IFERROR(__xludf.DUMMYFUNCTION("""COMPUTED_VALUE"""),8108608.0)</f>
        <v>8108608</v>
      </c>
    </row>
    <row r="1633">
      <c r="A1633" s="3">
        <f>IFERROR(__xludf.DUMMYFUNCTION("""COMPUTED_VALUE"""),39840.645833333336)</f>
        <v>39840.64583</v>
      </c>
      <c r="B1633" s="2">
        <f>IFERROR(__xludf.DUMMYFUNCTION("""COMPUTED_VALUE"""),293.71)</f>
        <v>293.71</v>
      </c>
      <c r="C1633" s="2">
        <f>IFERROR(__xludf.DUMMYFUNCTION("""COMPUTED_VALUE"""),305.46)</f>
        <v>305.46</v>
      </c>
      <c r="D1633" s="2">
        <f>IFERROR(__xludf.DUMMYFUNCTION("""COMPUTED_VALUE"""),289.74)</f>
        <v>289.74</v>
      </c>
      <c r="E1633" s="2">
        <f>IFERROR(__xludf.DUMMYFUNCTION("""COMPUTED_VALUE"""),303.6)</f>
        <v>303.6</v>
      </c>
      <c r="F1633" s="2">
        <f>IFERROR(__xludf.DUMMYFUNCTION("""COMPUTED_VALUE"""),4483385.0)</f>
        <v>4483385</v>
      </c>
    </row>
    <row r="1634">
      <c r="A1634" s="3">
        <f>IFERROR(__xludf.DUMMYFUNCTION("""COMPUTED_VALUE"""),39841.645833333336)</f>
        <v>39841.64583</v>
      </c>
      <c r="B1634" s="2">
        <f>IFERROR(__xludf.DUMMYFUNCTION("""COMPUTED_VALUE"""),309.06)</f>
        <v>309.06</v>
      </c>
      <c r="C1634" s="2">
        <f>IFERROR(__xludf.DUMMYFUNCTION("""COMPUTED_VALUE"""),319.46)</f>
        <v>319.46</v>
      </c>
      <c r="D1634" s="2">
        <f>IFERROR(__xludf.DUMMYFUNCTION("""COMPUTED_VALUE"""),303.71)</f>
        <v>303.71</v>
      </c>
      <c r="E1634" s="2">
        <f>IFERROR(__xludf.DUMMYFUNCTION("""COMPUTED_VALUE"""),315.5)</f>
        <v>315.5</v>
      </c>
      <c r="F1634" s="2">
        <f>IFERROR(__xludf.DUMMYFUNCTION("""COMPUTED_VALUE"""),4592859.0)</f>
        <v>4592859</v>
      </c>
    </row>
    <row r="1635">
      <c r="A1635" s="3">
        <f>IFERROR(__xludf.DUMMYFUNCTION("""COMPUTED_VALUE"""),39843.645833333336)</f>
        <v>39843.64583</v>
      </c>
      <c r="B1635" s="2">
        <f>IFERROR(__xludf.DUMMYFUNCTION("""COMPUTED_VALUE"""),306.58)</f>
        <v>306.58</v>
      </c>
      <c r="C1635" s="2">
        <f>IFERROR(__xludf.DUMMYFUNCTION("""COMPUTED_VALUE"""),329.56)</f>
        <v>329.56</v>
      </c>
      <c r="D1635" s="2">
        <f>IFERROR(__xludf.DUMMYFUNCTION("""COMPUTED_VALUE"""),306.58)</f>
        <v>306.58</v>
      </c>
      <c r="E1635" s="2">
        <f>IFERROR(__xludf.DUMMYFUNCTION("""COMPUTED_VALUE"""),327.78)</f>
        <v>327.78</v>
      </c>
      <c r="F1635" s="2">
        <f>IFERROR(__xludf.DUMMYFUNCTION("""COMPUTED_VALUE"""),5559302.0)</f>
        <v>5559302</v>
      </c>
    </row>
    <row r="1636">
      <c r="A1636" s="3">
        <f>IFERROR(__xludf.DUMMYFUNCTION("""COMPUTED_VALUE"""),39846.645833333336)</f>
        <v>39846.64583</v>
      </c>
      <c r="B1636" s="2">
        <f>IFERROR(__xludf.DUMMYFUNCTION("""COMPUTED_VALUE"""),319.46)</f>
        <v>319.46</v>
      </c>
      <c r="C1636" s="2">
        <f>IFERROR(__xludf.DUMMYFUNCTION("""COMPUTED_VALUE"""),335.01)</f>
        <v>335.01</v>
      </c>
      <c r="D1636" s="2">
        <f>IFERROR(__xludf.DUMMYFUNCTION("""COMPUTED_VALUE"""),315.39)</f>
        <v>315.39</v>
      </c>
      <c r="E1636" s="2">
        <f>IFERROR(__xludf.DUMMYFUNCTION("""COMPUTED_VALUE"""),316.98)</f>
        <v>316.98</v>
      </c>
      <c r="F1636" s="2">
        <f>IFERROR(__xludf.DUMMYFUNCTION("""COMPUTED_VALUE"""),5365466.0)</f>
        <v>5365466</v>
      </c>
    </row>
    <row r="1637">
      <c r="A1637" s="3">
        <f>IFERROR(__xludf.DUMMYFUNCTION("""COMPUTED_VALUE"""),39847.645833333336)</f>
        <v>39847.64583</v>
      </c>
      <c r="B1637" s="2">
        <f>IFERROR(__xludf.DUMMYFUNCTION("""COMPUTED_VALUE"""),319.46)</f>
        <v>319.46</v>
      </c>
      <c r="C1637" s="2">
        <f>IFERROR(__xludf.DUMMYFUNCTION("""COMPUTED_VALUE"""),330.53)</f>
        <v>330.53</v>
      </c>
      <c r="D1637" s="2">
        <f>IFERROR(__xludf.DUMMYFUNCTION("""COMPUTED_VALUE"""),315.26)</f>
        <v>315.26</v>
      </c>
      <c r="E1637" s="2">
        <f>IFERROR(__xludf.DUMMYFUNCTION("""COMPUTED_VALUE"""),323.47)</f>
        <v>323.47</v>
      </c>
      <c r="F1637" s="2">
        <f>IFERROR(__xludf.DUMMYFUNCTION("""COMPUTED_VALUE"""),6910891.0)</f>
        <v>6910891</v>
      </c>
    </row>
    <row r="1638">
      <c r="A1638" s="3">
        <f>IFERROR(__xludf.DUMMYFUNCTION("""COMPUTED_VALUE"""),39848.645833333336)</f>
        <v>39848.64583</v>
      </c>
      <c r="B1638" s="2">
        <f>IFERROR(__xludf.DUMMYFUNCTION("""COMPUTED_VALUE"""),325.65)</f>
        <v>325.65</v>
      </c>
      <c r="C1638" s="2">
        <f>IFERROR(__xludf.DUMMYFUNCTION("""COMPUTED_VALUE"""),331.22)</f>
        <v>331.22</v>
      </c>
      <c r="D1638" s="2">
        <f>IFERROR(__xludf.DUMMYFUNCTION("""COMPUTED_VALUE"""),320.72)</f>
        <v>320.72</v>
      </c>
      <c r="E1638" s="2">
        <f>IFERROR(__xludf.DUMMYFUNCTION("""COMPUTED_VALUE"""),323.79)</f>
        <v>323.79</v>
      </c>
      <c r="F1638" s="2">
        <f>IFERROR(__xludf.DUMMYFUNCTION("""COMPUTED_VALUE"""),3966740.0)</f>
        <v>3966740</v>
      </c>
    </row>
    <row r="1639">
      <c r="A1639" s="3">
        <f>IFERROR(__xludf.DUMMYFUNCTION("""COMPUTED_VALUE"""),39849.645833333336)</f>
        <v>39849.64583</v>
      </c>
      <c r="B1639" s="2">
        <f>IFERROR(__xludf.DUMMYFUNCTION("""COMPUTED_VALUE"""),329.12)</f>
        <v>329.12</v>
      </c>
      <c r="C1639" s="2">
        <f>IFERROR(__xludf.DUMMYFUNCTION("""COMPUTED_VALUE"""),329.12)</f>
        <v>329.12</v>
      </c>
      <c r="D1639" s="2">
        <f>IFERROR(__xludf.DUMMYFUNCTION("""COMPUTED_VALUE"""),314.79)</f>
        <v>314.79</v>
      </c>
      <c r="E1639" s="2">
        <f>IFERROR(__xludf.DUMMYFUNCTION("""COMPUTED_VALUE"""),319.16)</f>
        <v>319.16</v>
      </c>
      <c r="F1639" s="2">
        <f>IFERROR(__xludf.DUMMYFUNCTION("""COMPUTED_VALUE"""),4106585.0)</f>
        <v>4106585</v>
      </c>
    </row>
    <row r="1640">
      <c r="A1640" s="3">
        <f>IFERROR(__xludf.DUMMYFUNCTION("""COMPUTED_VALUE"""),39850.645833333336)</f>
        <v>39850.64583</v>
      </c>
      <c r="B1640" s="2">
        <f>IFERROR(__xludf.DUMMYFUNCTION("""COMPUTED_VALUE"""),321.94)</f>
        <v>321.94</v>
      </c>
      <c r="C1640" s="2">
        <f>IFERROR(__xludf.DUMMYFUNCTION("""COMPUTED_VALUE"""),334.32)</f>
        <v>334.32</v>
      </c>
      <c r="D1640" s="2">
        <f>IFERROR(__xludf.DUMMYFUNCTION("""COMPUTED_VALUE"""),320.85)</f>
        <v>320.85</v>
      </c>
      <c r="E1640" s="2">
        <f>IFERROR(__xludf.DUMMYFUNCTION("""COMPUTED_VALUE"""),333.04)</f>
        <v>333.04</v>
      </c>
      <c r="F1640" s="2">
        <f>IFERROR(__xludf.DUMMYFUNCTION("""COMPUTED_VALUE"""),4341063.0)</f>
        <v>4341063</v>
      </c>
    </row>
    <row r="1641">
      <c r="A1641" s="3">
        <f>IFERROR(__xludf.DUMMYFUNCTION("""COMPUTED_VALUE"""),39853.645833333336)</f>
        <v>39853.64583</v>
      </c>
      <c r="B1641" s="2">
        <f>IFERROR(__xludf.DUMMYFUNCTION("""COMPUTED_VALUE"""),335.56)</f>
        <v>335.56</v>
      </c>
      <c r="C1641" s="2">
        <f>IFERROR(__xludf.DUMMYFUNCTION("""COMPUTED_VALUE"""),346.45)</f>
        <v>346.45</v>
      </c>
      <c r="D1641" s="2">
        <f>IFERROR(__xludf.DUMMYFUNCTION("""COMPUTED_VALUE"""),332.09)</f>
        <v>332.09</v>
      </c>
      <c r="E1641" s="2">
        <f>IFERROR(__xludf.DUMMYFUNCTION("""COMPUTED_VALUE"""),344.15)</f>
        <v>344.15</v>
      </c>
      <c r="F1641" s="2">
        <f>IFERROR(__xludf.DUMMYFUNCTION("""COMPUTED_VALUE"""),4437777.0)</f>
        <v>4437777</v>
      </c>
    </row>
    <row r="1642">
      <c r="A1642" s="3">
        <f>IFERROR(__xludf.DUMMYFUNCTION("""COMPUTED_VALUE"""),39854.645833333336)</f>
        <v>39854.64583</v>
      </c>
      <c r="B1642" s="2">
        <f>IFERROR(__xludf.DUMMYFUNCTION("""COMPUTED_VALUE"""),343.95)</f>
        <v>343.95</v>
      </c>
      <c r="C1642" s="2">
        <f>IFERROR(__xludf.DUMMYFUNCTION("""COMPUTED_VALUE"""),350.19)</f>
        <v>350.19</v>
      </c>
      <c r="D1642" s="2">
        <f>IFERROR(__xludf.DUMMYFUNCTION("""COMPUTED_VALUE"""),339.85)</f>
        <v>339.85</v>
      </c>
      <c r="E1642" s="2">
        <f>IFERROR(__xludf.DUMMYFUNCTION("""COMPUTED_VALUE"""),347.18)</f>
        <v>347.18</v>
      </c>
      <c r="F1642" s="2">
        <f>IFERROR(__xludf.DUMMYFUNCTION("""COMPUTED_VALUE"""),6796751.0)</f>
        <v>6796751</v>
      </c>
    </row>
    <row r="1643">
      <c r="A1643" s="3">
        <f>IFERROR(__xludf.DUMMYFUNCTION("""COMPUTED_VALUE"""),39855.645833333336)</f>
        <v>39855.64583</v>
      </c>
      <c r="B1643" s="2">
        <f>IFERROR(__xludf.DUMMYFUNCTION("""COMPUTED_VALUE"""),338.03)</f>
        <v>338.03</v>
      </c>
      <c r="C1643" s="2">
        <f>IFERROR(__xludf.DUMMYFUNCTION("""COMPUTED_VALUE"""),344.05)</f>
        <v>344.05</v>
      </c>
      <c r="D1643" s="2">
        <f>IFERROR(__xludf.DUMMYFUNCTION("""COMPUTED_VALUE"""),337.04)</f>
        <v>337.04</v>
      </c>
      <c r="E1643" s="2">
        <f>IFERROR(__xludf.DUMMYFUNCTION("""COMPUTED_VALUE"""),342.06)</f>
        <v>342.06</v>
      </c>
      <c r="F1643" s="2">
        <f>IFERROR(__xludf.DUMMYFUNCTION("""COMPUTED_VALUE"""),4205287.0)</f>
        <v>4205287</v>
      </c>
    </row>
    <row r="1644">
      <c r="A1644" s="3">
        <f>IFERROR(__xludf.DUMMYFUNCTION("""COMPUTED_VALUE"""),39856.645833333336)</f>
        <v>39856.64583</v>
      </c>
      <c r="B1644" s="2">
        <f>IFERROR(__xludf.DUMMYFUNCTION("""COMPUTED_VALUE"""),341.43)</f>
        <v>341.43</v>
      </c>
      <c r="C1644" s="2">
        <f>IFERROR(__xludf.DUMMYFUNCTION("""COMPUTED_VALUE"""),341.43)</f>
        <v>341.43</v>
      </c>
      <c r="D1644" s="2">
        <f>IFERROR(__xludf.DUMMYFUNCTION("""COMPUTED_VALUE"""),333.15)</f>
        <v>333.15</v>
      </c>
      <c r="E1644" s="2">
        <f>IFERROR(__xludf.DUMMYFUNCTION("""COMPUTED_VALUE"""),334.7)</f>
        <v>334.7</v>
      </c>
      <c r="F1644" s="2">
        <f>IFERROR(__xludf.DUMMYFUNCTION("""COMPUTED_VALUE"""),3144540.0)</f>
        <v>3144540</v>
      </c>
    </row>
    <row r="1645">
      <c r="A1645" s="3">
        <f>IFERROR(__xludf.DUMMYFUNCTION("""COMPUTED_VALUE"""),39857.645833333336)</f>
        <v>39857.64583</v>
      </c>
      <c r="B1645" s="2">
        <f>IFERROR(__xludf.DUMMYFUNCTION("""COMPUTED_VALUE"""),338.53)</f>
        <v>338.53</v>
      </c>
      <c r="C1645" s="2">
        <f>IFERROR(__xludf.DUMMYFUNCTION("""COMPUTED_VALUE"""),347.69)</f>
        <v>347.69</v>
      </c>
      <c r="D1645" s="2">
        <f>IFERROR(__xludf.DUMMYFUNCTION("""COMPUTED_VALUE"""),337.04)</f>
        <v>337.04</v>
      </c>
      <c r="E1645" s="2">
        <f>IFERROR(__xludf.DUMMYFUNCTION("""COMPUTED_VALUE"""),344.82)</f>
        <v>344.82</v>
      </c>
      <c r="F1645" s="2">
        <f>IFERROR(__xludf.DUMMYFUNCTION("""COMPUTED_VALUE"""),2904652.0)</f>
        <v>2904652</v>
      </c>
    </row>
    <row r="1646">
      <c r="A1646" s="3">
        <f>IFERROR(__xludf.DUMMYFUNCTION("""COMPUTED_VALUE"""),39860.645833333336)</f>
        <v>39860.64583</v>
      </c>
      <c r="B1646" s="2">
        <f>IFERROR(__xludf.DUMMYFUNCTION("""COMPUTED_VALUE"""),342.85)</f>
        <v>342.85</v>
      </c>
      <c r="C1646" s="2">
        <f>IFERROR(__xludf.DUMMYFUNCTION("""COMPUTED_VALUE"""),345.97)</f>
        <v>345.97</v>
      </c>
      <c r="D1646" s="2">
        <f>IFERROR(__xludf.DUMMYFUNCTION("""COMPUTED_VALUE"""),324.69)</f>
        <v>324.69</v>
      </c>
      <c r="E1646" s="2">
        <f>IFERROR(__xludf.DUMMYFUNCTION("""COMPUTED_VALUE"""),326.94)</f>
        <v>326.94</v>
      </c>
      <c r="F1646" s="2">
        <f>IFERROR(__xludf.DUMMYFUNCTION("""COMPUTED_VALUE"""),4594188.0)</f>
        <v>4594188</v>
      </c>
    </row>
    <row r="1647">
      <c r="A1647" s="3">
        <f>IFERROR(__xludf.DUMMYFUNCTION("""COMPUTED_VALUE"""),39861.645833333336)</f>
        <v>39861.64583</v>
      </c>
      <c r="B1647" s="2">
        <f>IFERROR(__xludf.DUMMYFUNCTION("""COMPUTED_VALUE"""),322.22)</f>
        <v>322.22</v>
      </c>
      <c r="C1647" s="2">
        <f>IFERROR(__xludf.DUMMYFUNCTION("""COMPUTED_VALUE"""),323.67)</f>
        <v>323.67</v>
      </c>
      <c r="D1647" s="2">
        <f>IFERROR(__xludf.DUMMYFUNCTION("""COMPUTED_VALUE"""),311.58)</f>
        <v>311.58</v>
      </c>
      <c r="E1647" s="2">
        <f>IFERROR(__xludf.DUMMYFUNCTION("""COMPUTED_VALUE"""),313.84)</f>
        <v>313.84</v>
      </c>
      <c r="F1647" s="2">
        <f>IFERROR(__xludf.DUMMYFUNCTION("""COMPUTED_VALUE"""),3828752.0)</f>
        <v>3828752</v>
      </c>
    </row>
    <row r="1648">
      <c r="A1648" s="3">
        <f>IFERROR(__xludf.DUMMYFUNCTION("""COMPUTED_VALUE"""),39862.645833333336)</f>
        <v>39862.64583</v>
      </c>
      <c r="B1648" s="2">
        <f>IFERROR(__xludf.DUMMYFUNCTION("""COMPUTED_VALUE"""),313.76)</f>
        <v>313.76</v>
      </c>
      <c r="C1648" s="2">
        <f>IFERROR(__xludf.DUMMYFUNCTION("""COMPUTED_VALUE"""),326.34)</f>
        <v>326.34</v>
      </c>
      <c r="D1648" s="2">
        <f>IFERROR(__xludf.DUMMYFUNCTION("""COMPUTED_VALUE"""),307.08)</f>
        <v>307.08</v>
      </c>
      <c r="E1648" s="2">
        <f>IFERROR(__xludf.DUMMYFUNCTION("""COMPUTED_VALUE"""),320.74)</f>
        <v>320.74</v>
      </c>
      <c r="F1648" s="2">
        <f>IFERROR(__xludf.DUMMYFUNCTION("""COMPUTED_VALUE"""),4574188.0)</f>
        <v>4574188</v>
      </c>
    </row>
    <row r="1649">
      <c r="A1649" s="3">
        <f>IFERROR(__xludf.DUMMYFUNCTION("""COMPUTED_VALUE"""),39863.645833333336)</f>
        <v>39863.64583</v>
      </c>
      <c r="B1649" s="2">
        <f>IFERROR(__xludf.DUMMYFUNCTION("""COMPUTED_VALUE"""),319.46)</f>
        <v>319.46</v>
      </c>
      <c r="C1649" s="2">
        <f>IFERROR(__xludf.DUMMYFUNCTION("""COMPUTED_VALUE"""),324.17)</f>
        <v>324.17</v>
      </c>
      <c r="D1649" s="2">
        <f>IFERROR(__xludf.DUMMYFUNCTION("""COMPUTED_VALUE"""),317.5)</f>
        <v>317.5</v>
      </c>
      <c r="E1649" s="2">
        <f>IFERROR(__xludf.DUMMYFUNCTION("""COMPUTED_VALUE"""),320.39)</f>
        <v>320.39</v>
      </c>
      <c r="F1649" s="2">
        <f>IFERROR(__xludf.DUMMYFUNCTION("""COMPUTED_VALUE"""),3004383.0)</f>
        <v>3004383</v>
      </c>
    </row>
    <row r="1650">
      <c r="A1650" s="3">
        <f>IFERROR(__xludf.DUMMYFUNCTION("""COMPUTED_VALUE"""),39864.645833333336)</f>
        <v>39864.64583</v>
      </c>
      <c r="B1650" s="2">
        <f>IFERROR(__xludf.DUMMYFUNCTION("""COMPUTED_VALUE"""),311.05)</f>
        <v>311.05</v>
      </c>
      <c r="C1650" s="2">
        <f>IFERROR(__xludf.DUMMYFUNCTION("""COMPUTED_VALUE"""),317.73)</f>
        <v>317.73</v>
      </c>
      <c r="D1650" s="2">
        <f>IFERROR(__xludf.DUMMYFUNCTION("""COMPUTED_VALUE"""),307.46)</f>
        <v>307.46</v>
      </c>
      <c r="E1650" s="2">
        <f>IFERROR(__xludf.DUMMYFUNCTION("""COMPUTED_VALUE"""),310.4)</f>
        <v>310.4</v>
      </c>
      <c r="F1650" s="2">
        <f>IFERROR(__xludf.DUMMYFUNCTION("""COMPUTED_VALUE"""),3677545.0)</f>
        <v>3677545</v>
      </c>
    </row>
    <row r="1651">
      <c r="A1651" s="3">
        <f>IFERROR(__xludf.DUMMYFUNCTION("""COMPUTED_VALUE"""),39868.645833333336)</f>
        <v>39868.64583</v>
      </c>
      <c r="B1651" s="2">
        <f>IFERROR(__xludf.DUMMYFUNCTION("""COMPUTED_VALUE"""),305.84)</f>
        <v>305.84</v>
      </c>
      <c r="C1651" s="2">
        <f>IFERROR(__xludf.DUMMYFUNCTION("""COMPUTED_VALUE"""),312.92)</f>
        <v>312.92</v>
      </c>
      <c r="D1651" s="2">
        <f>IFERROR(__xludf.DUMMYFUNCTION("""COMPUTED_VALUE"""),297.51)</f>
        <v>297.51</v>
      </c>
      <c r="E1651" s="2">
        <f>IFERROR(__xludf.DUMMYFUNCTION("""COMPUTED_VALUE"""),310.36)</f>
        <v>310.36</v>
      </c>
      <c r="F1651" s="2">
        <f>IFERROR(__xludf.DUMMYFUNCTION("""COMPUTED_VALUE"""),4570169.0)</f>
        <v>4570169</v>
      </c>
    </row>
    <row r="1652">
      <c r="A1652" s="3">
        <f>IFERROR(__xludf.DUMMYFUNCTION("""COMPUTED_VALUE"""),39869.645833333336)</f>
        <v>39869.64583</v>
      </c>
      <c r="B1652" s="2">
        <f>IFERROR(__xludf.DUMMYFUNCTION("""COMPUTED_VALUE"""),313.27)</f>
        <v>313.27</v>
      </c>
      <c r="C1652" s="2">
        <f>IFERROR(__xludf.DUMMYFUNCTION("""COMPUTED_VALUE"""),318.47)</f>
        <v>318.47</v>
      </c>
      <c r="D1652" s="2">
        <f>IFERROR(__xludf.DUMMYFUNCTION("""COMPUTED_VALUE"""),312.66)</f>
        <v>312.66</v>
      </c>
      <c r="E1652" s="2">
        <f>IFERROR(__xludf.DUMMYFUNCTION("""COMPUTED_VALUE"""),313.65)</f>
        <v>313.65</v>
      </c>
      <c r="F1652" s="2">
        <f>IFERROR(__xludf.DUMMYFUNCTION("""COMPUTED_VALUE"""),2954972.0)</f>
        <v>2954972</v>
      </c>
    </row>
    <row r="1653">
      <c r="A1653" s="3">
        <f>IFERROR(__xludf.DUMMYFUNCTION("""COMPUTED_VALUE"""),39870.645833333336)</f>
        <v>39870.64583</v>
      </c>
      <c r="B1653" s="2">
        <f>IFERROR(__xludf.DUMMYFUNCTION("""COMPUTED_VALUE"""),311.54)</f>
        <v>311.54</v>
      </c>
      <c r="C1653" s="2">
        <f>IFERROR(__xludf.DUMMYFUNCTION("""COMPUTED_VALUE"""),321.19)</f>
        <v>321.19</v>
      </c>
      <c r="D1653" s="2">
        <f>IFERROR(__xludf.DUMMYFUNCTION("""COMPUTED_VALUE"""),309.88)</f>
        <v>309.88</v>
      </c>
      <c r="E1653" s="2">
        <f>IFERROR(__xludf.DUMMYFUNCTION("""COMPUTED_VALUE"""),319.66)</f>
        <v>319.66</v>
      </c>
      <c r="F1653" s="2">
        <f>IFERROR(__xludf.DUMMYFUNCTION("""COMPUTED_VALUE"""),3839552.0)</f>
        <v>3839552</v>
      </c>
    </row>
    <row r="1654">
      <c r="A1654" s="3">
        <f>IFERROR(__xludf.DUMMYFUNCTION("""COMPUTED_VALUE"""),39871.645833333336)</f>
        <v>39871.64583</v>
      </c>
      <c r="B1654" s="2">
        <f>IFERROR(__xludf.DUMMYFUNCTION("""COMPUTED_VALUE"""),319.31)</f>
        <v>319.31</v>
      </c>
      <c r="C1654" s="2">
        <f>IFERROR(__xludf.DUMMYFUNCTION("""COMPUTED_VALUE"""),320.2)</f>
        <v>320.2</v>
      </c>
      <c r="D1654" s="2">
        <f>IFERROR(__xludf.DUMMYFUNCTION("""COMPUTED_VALUE"""),308.7)</f>
        <v>308.7</v>
      </c>
      <c r="E1654" s="2">
        <f>IFERROR(__xludf.DUMMYFUNCTION("""COMPUTED_VALUE"""),313.53)</f>
        <v>313.53</v>
      </c>
      <c r="F1654" s="2">
        <f>IFERROR(__xludf.DUMMYFUNCTION("""COMPUTED_VALUE"""),4810161.0)</f>
        <v>4810161</v>
      </c>
    </row>
    <row r="1655">
      <c r="A1655" s="3">
        <f>IFERROR(__xludf.DUMMYFUNCTION("""COMPUTED_VALUE"""),39874.645833333336)</f>
        <v>39874.64583</v>
      </c>
      <c r="B1655" s="2">
        <f>IFERROR(__xludf.DUMMYFUNCTION("""COMPUTED_VALUE"""),304.28)</f>
        <v>304.28</v>
      </c>
      <c r="C1655" s="2">
        <f>IFERROR(__xludf.DUMMYFUNCTION("""COMPUTED_VALUE"""),312.95)</f>
        <v>312.95</v>
      </c>
      <c r="D1655" s="2">
        <f>IFERROR(__xludf.DUMMYFUNCTION("""COMPUTED_VALUE"""),300.89)</f>
        <v>300.89</v>
      </c>
      <c r="E1655" s="2">
        <f>IFERROR(__xludf.DUMMYFUNCTION("""COMPUTED_VALUE"""),303.52)</f>
        <v>303.52</v>
      </c>
      <c r="F1655" s="2">
        <f>IFERROR(__xludf.DUMMYFUNCTION("""COMPUTED_VALUE"""),4937991.0)</f>
        <v>4937991</v>
      </c>
    </row>
    <row r="1656">
      <c r="A1656" s="3">
        <f>IFERROR(__xludf.DUMMYFUNCTION("""COMPUTED_VALUE"""),39875.645833333336)</f>
        <v>39875.64583</v>
      </c>
      <c r="B1656" s="2">
        <f>IFERROR(__xludf.DUMMYFUNCTION("""COMPUTED_VALUE"""),304.6)</f>
        <v>304.6</v>
      </c>
      <c r="C1656" s="2">
        <f>IFERROR(__xludf.DUMMYFUNCTION("""COMPUTED_VALUE"""),310.04)</f>
        <v>310.04</v>
      </c>
      <c r="D1656" s="2">
        <f>IFERROR(__xludf.DUMMYFUNCTION("""COMPUTED_VALUE"""),290.98)</f>
        <v>290.98</v>
      </c>
      <c r="E1656" s="2">
        <f>IFERROR(__xludf.DUMMYFUNCTION("""COMPUTED_VALUE"""),296.39)</f>
        <v>296.39</v>
      </c>
      <c r="F1656" s="2">
        <f>IFERROR(__xludf.DUMMYFUNCTION("""COMPUTED_VALUE"""),5237026.0)</f>
        <v>5237026</v>
      </c>
    </row>
    <row r="1657">
      <c r="A1657" s="3">
        <f>IFERROR(__xludf.DUMMYFUNCTION("""COMPUTED_VALUE"""),39876.645833333336)</f>
        <v>39876.64583</v>
      </c>
      <c r="B1657" s="2">
        <f>IFERROR(__xludf.DUMMYFUNCTION("""COMPUTED_VALUE"""),286.11)</f>
        <v>286.11</v>
      </c>
      <c r="C1657" s="2">
        <f>IFERROR(__xludf.DUMMYFUNCTION("""COMPUTED_VALUE"""),301.56)</f>
        <v>301.56</v>
      </c>
      <c r="D1657" s="2">
        <f>IFERROR(__xludf.DUMMYFUNCTION("""COMPUTED_VALUE"""),286.11)</f>
        <v>286.11</v>
      </c>
      <c r="E1657" s="2">
        <f>IFERROR(__xludf.DUMMYFUNCTION("""COMPUTED_VALUE"""),299.92)</f>
        <v>299.92</v>
      </c>
      <c r="F1657" s="2">
        <f>IFERROR(__xludf.DUMMYFUNCTION("""COMPUTED_VALUE"""),5976700.0)</f>
        <v>5976700</v>
      </c>
    </row>
    <row r="1658">
      <c r="A1658" s="3">
        <f>IFERROR(__xludf.DUMMYFUNCTION("""COMPUTED_VALUE"""),39877.645833333336)</f>
        <v>39877.64583</v>
      </c>
      <c r="B1658" s="2">
        <f>IFERROR(__xludf.DUMMYFUNCTION("""COMPUTED_VALUE"""),299.15)</f>
        <v>299.15</v>
      </c>
      <c r="C1658" s="2">
        <f>IFERROR(__xludf.DUMMYFUNCTION("""COMPUTED_VALUE"""),302.13)</f>
        <v>302.13</v>
      </c>
      <c r="D1658" s="2">
        <f>IFERROR(__xludf.DUMMYFUNCTION("""COMPUTED_VALUE"""),282.87)</f>
        <v>282.87</v>
      </c>
      <c r="E1658" s="2">
        <f>IFERROR(__xludf.DUMMYFUNCTION("""COMPUTED_VALUE"""),284.74)</f>
        <v>284.74</v>
      </c>
      <c r="F1658" s="2">
        <f>IFERROR(__xludf.DUMMYFUNCTION("""COMPUTED_VALUE"""),7117449.0)</f>
        <v>7117449</v>
      </c>
    </row>
    <row r="1659">
      <c r="A1659" s="3">
        <f>IFERROR(__xludf.DUMMYFUNCTION("""COMPUTED_VALUE"""),39878.645833333336)</f>
        <v>39878.64583</v>
      </c>
      <c r="B1659" s="2">
        <f>IFERROR(__xludf.DUMMYFUNCTION("""COMPUTED_VALUE"""),279.84)</f>
        <v>279.84</v>
      </c>
      <c r="C1659" s="2">
        <f>IFERROR(__xludf.DUMMYFUNCTION("""COMPUTED_VALUE"""),291.48)</f>
        <v>291.48</v>
      </c>
      <c r="D1659" s="2">
        <f>IFERROR(__xludf.DUMMYFUNCTION("""COMPUTED_VALUE"""),276.2)</f>
        <v>276.2</v>
      </c>
      <c r="E1659" s="2">
        <f>IFERROR(__xludf.DUMMYFUNCTION("""COMPUTED_VALUE"""),289.72)</f>
        <v>289.72</v>
      </c>
      <c r="F1659" s="2">
        <f>IFERROR(__xludf.DUMMYFUNCTION("""COMPUTED_VALUE"""),4562909.0)</f>
        <v>4562909</v>
      </c>
    </row>
    <row r="1660">
      <c r="A1660" s="3">
        <f>IFERROR(__xludf.DUMMYFUNCTION("""COMPUTED_VALUE"""),39881.645833333336)</f>
        <v>39881.64583</v>
      </c>
      <c r="B1660" s="2">
        <f>IFERROR(__xludf.DUMMYFUNCTION("""COMPUTED_VALUE"""),287.51)</f>
        <v>287.51</v>
      </c>
      <c r="C1660" s="2">
        <f>IFERROR(__xludf.DUMMYFUNCTION("""COMPUTED_VALUE"""),289.25)</f>
        <v>289.25</v>
      </c>
      <c r="D1660" s="2">
        <f>IFERROR(__xludf.DUMMYFUNCTION("""COMPUTED_VALUE"""),281.86)</f>
        <v>281.86</v>
      </c>
      <c r="E1660" s="2">
        <f>IFERROR(__xludf.DUMMYFUNCTION("""COMPUTED_VALUE"""),285.62)</f>
        <v>285.62</v>
      </c>
      <c r="F1660" s="2">
        <f>IFERROR(__xludf.DUMMYFUNCTION("""COMPUTED_VALUE"""),3346831.0)</f>
        <v>3346831</v>
      </c>
    </row>
    <row r="1661">
      <c r="A1661" s="3">
        <f>IFERROR(__xludf.DUMMYFUNCTION("""COMPUTED_VALUE"""),39884.645833333336)</f>
        <v>39884.64583</v>
      </c>
      <c r="B1661" s="2">
        <f>IFERROR(__xludf.DUMMYFUNCTION("""COMPUTED_VALUE"""),292.47)</f>
        <v>292.47</v>
      </c>
      <c r="C1661" s="2">
        <f>IFERROR(__xludf.DUMMYFUNCTION("""COMPUTED_VALUE"""),300.79)</f>
        <v>300.79</v>
      </c>
      <c r="D1661" s="2">
        <f>IFERROR(__xludf.DUMMYFUNCTION("""COMPUTED_VALUE"""),286.77)</f>
        <v>286.77</v>
      </c>
      <c r="E1661" s="2">
        <f>IFERROR(__xludf.DUMMYFUNCTION("""COMPUTED_VALUE"""),297.67)</f>
        <v>297.67</v>
      </c>
      <c r="F1661" s="2">
        <f>IFERROR(__xludf.DUMMYFUNCTION("""COMPUTED_VALUE"""),4864919.0)</f>
        <v>4864919</v>
      </c>
    </row>
    <row r="1662">
      <c r="A1662" s="3">
        <f>IFERROR(__xludf.DUMMYFUNCTION("""COMPUTED_VALUE"""),39885.645833333336)</f>
        <v>39885.64583</v>
      </c>
      <c r="B1662" s="2">
        <f>IFERROR(__xludf.DUMMYFUNCTION("""COMPUTED_VALUE"""),304.58)</f>
        <v>304.58</v>
      </c>
      <c r="C1662" s="2">
        <f>IFERROR(__xludf.DUMMYFUNCTION("""COMPUTED_VALUE"""),320.4)</f>
        <v>320.4</v>
      </c>
      <c r="D1662" s="2">
        <f>IFERROR(__xludf.DUMMYFUNCTION("""COMPUTED_VALUE"""),303.61)</f>
        <v>303.61</v>
      </c>
      <c r="E1662" s="2">
        <f>IFERROR(__xludf.DUMMYFUNCTION("""COMPUTED_VALUE"""),318.04)</f>
        <v>318.04</v>
      </c>
      <c r="F1662" s="2">
        <f>IFERROR(__xludf.DUMMYFUNCTION("""COMPUTED_VALUE"""),4113560.0)</f>
        <v>4113560</v>
      </c>
    </row>
    <row r="1663">
      <c r="A1663" s="3">
        <f>IFERROR(__xludf.DUMMYFUNCTION("""COMPUTED_VALUE"""),39888.645833333336)</f>
        <v>39888.64583</v>
      </c>
      <c r="B1663" s="2">
        <f>IFERROR(__xludf.DUMMYFUNCTION("""COMPUTED_VALUE"""),318.04)</f>
        <v>318.04</v>
      </c>
      <c r="C1663" s="2">
        <f>IFERROR(__xludf.DUMMYFUNCTION("""COMPUTED_VALUE"""),330.36)</f>
        <v>330.36</v>
      </c>
      <c r="D1663" s="2">
        <f>IFERROR(__xludf.DUMMYFUNCTION("""COMPUTED_VALUE"""),314.75)</f>
        <v>314.75</v>
      </c>
      <c r="E1663" s="2">
        <f>IFERROR(__xludf.DUMMYFUNCTION("""COMPUTED_VALUE"""),328.77)</f>
        <v>328.77</v>
      </c>
      <c r="F1663" s="2">
        <f>IFERROR(__xludf.DUMMYFUNCTION("""COMPUTED_VALUE"""),4526883.0)</f>
        <v>4526883</v>
      </c>
    </row>
    <row r="1664">
      <c r="A1664" s="3">
        <f>IFERROR(__xludf.DUMMYFUNCTION("""COMPUTED_VALUE"""),39889.645833333336)</f>
        <v>39889.64583</v>
      </c>
      <c r="B1664" s="2">
        <f>IFERROR(__xludf.DUMMYFUNCTION("""COMPUTED_VALUE"""),329.37)</f>
        <v>329.37</v>
      </c>
      <c r="C1664" s="2">
        <f>IFERROR(__xludf.DUMMYFUNCTION("""COMPUTED_VALUE"""),332.59)</f>
        <v>332.59</v>
      </c>
      <c r="D1664" s="2">
        <f>IFERROR(__xludf.DUMMYFUNCTION("""COMPUTED_VALUE"""),320.24)</f>
        <v>320.24</v>
      </c>
      <c r="E1664" s="2">
        <f>IFERROR(__xludf.DUMMYFUNCTION("""COMPUTED_VALUE"""),321.99)</f>
        <v>321.99</v>
      </c>
      <c r="F1664" s="2">
        <f>IFERROR(__xludf.DUMMYFUNCTION("""COMPUTED_VALUE"""),4755486.0)</f>
        <v>4755486</v>
      </c>
    </row>
    <row r="1665">
      <c r="A1665" s="3">
        <f>IFERROR(__xludf.DUMMYFUNCTION("""COMPUTED_VALUE"""),39890.645833333336)</f>
        <v>39890.64583</v>
      </c>
      <c r="B1665" s="2">
        <f>IFERROR(__xludf.DUMMYFUNCTION("""COMPUTED_VALUE"""),325.68)</f>
        <v>325.68</v>
      </c>
      <c r="C1665" s="2">
        <f>IFERROR(__xludf.DUMMYFUNCTION("""COMPUTED_VALUE"""),337.29)</f>
        <v>337.29</v>
      </c>
      <c r="D1665" s="2">
        <f>IFERROR(__xludf.DUMMYFUNCTION("""COMPUTED_VALUE"""),325.68)</f>
        <v>325.68</v>
      </c>
      <c r="E1665" s="2">
        <f>IFERROR(__xludf.DUMMYFUNCTION("""COMPUTED_VALUE"""),329.71)</f>
        <v>329.71</v>
      </c>
      <c r="F1665" s="2">
        <f>IFERROR(__xludf.DUMMYFUNCTION("""COMPUTED_VALUE"""),4368767.0)</f>
        <v>4368767</v>
      </c>
    </row>
    <row r="1666">
      <c r="A1666" s="3">
        <f>IFERROR(__xludf.DUMMYFUNCTION("""COMPUTED_VALUE"""),39891.645833333336)</f>
        <v>39891.64583</v>
      </c>
      <c r="B1666" s="2">
        <f>IFERROR(__xludf.DUMMYFUNCTION("""COMPUTED_VALUE"""),331.35)</f>
        <v>331.35</v>
      </c>
      <c r="C1666" s="2">
        <f>IFERROR(__xludf.DUMMYFUNCTION("""COMPUTED_VALUE"""),335.27)</f>
        <v>335.27</v>
      </c>
      <c r="D1666" s="2">
        <f>IFERROR(__xludf.DUMMYFUNCTION("""COMPUTED_VALUE"""),326.91)</f>
        <v>326.91</v>
      </c>
      <c r="E1666" s="2">
        <f>IFERROR(__xludf.DUMMYFUNCTION("""COMPUTED_VALUE"""),333.25)</f>
        <v>333.25</v>
      </c>
      <c r="F1666" s="2">
        <f>IFERROR(__xludf.DUMMYFUNCTION("""COMPUTED_VALUE"""),4341169.0)</f>
        <v>4341169</v>
      </c>
    </row>
    <row r="1667">
      <c r="A1667" s="3">
        <f>IFERROR(__xludf.DUMMYFUNCTION("""COMPUTED_VALUE"""),39892.645833333336)</f>
        <v>39892.64583</v>
      </c>
      <c r="B1667" s="2">
        <f>IFERROR(__xludf.DUMMYFUNCTION("""COMPUTED_VALUE"""),331.59)</f>
        <v>331.59</v>
      </c>
      <c r="C1667" s="2">
        <f>IFERROR(__xludf.DUMMYFUNCTION("""COMPUTED_VALUE"""),336.77)</f>
        <v>336.77</v>
      </c>
      <c r="D1667" s="2">
        <f>IFERROR(__xludf.DUMMYFUNCTION("""COMPUTED_VALUE"""),327.38)</f>
        <v>327.38</v>
      </c>
      <c r="E1667" s="2">
        <f>IFERROR(__xludf.DUMMYFUNCTION("""COMPUTED_VALUE"""),331.64)</f>
        <v>331.64</v>
      </c>
      <c r="F1667" s="2">
        <f>IFERROR(__xludf.DUMMYFUNCTION("""COMPUTED_VALUE"""),5105940.0)</f>
        <v>5105940</v>
      </c>
    </row>
    <row r="1668">
      <c r="A1668" s="3">
        <f>IFERROR(__xludf.DUMMYFUNCTION("""COMPUTED_VALUE"""),39895.645833333336)</f>
        <v>39895.64583</v>
      </c>
      <c r="B1668" s="2">
        <f>IFERROR(__xludf.DUMMYFUNCTION("""COMPUTED_VALUE"""),335.31)</f>
        <v>335.31</v>
      </c>
      <c r="C1668" s="2">
        <f>IFERROR(__xludf.DUMMYFUNCTION("""COMPUTED_VALUE"""),359.08)</f>
        <v>359.08</v>
      </c>
      <c r="D1668" s="2">
        <f>IFERROR(__xludf.DUMMYFUNCTION("""COMPUTED_VALUE"""),335.31)</f>
        <v>335.31</v>
      </c>
      <c r="E1668" s="2">
        <f>IFERROR(__xludf.DUMMYFUNCTION("""COMPUTED_VALUE"""),356.22)</f>
        <v>356.22</v>
      </c>
      <c r="F1668" s="2">
        <f>IFERROR(__xludf.DUMMYFUNCTION("""COMPUTED_VALUE"""),4971588.0)</f>
        <v>4971588</v>
      </c>
    </row>
    <row r="1669">
      <c r="A1669" s="3">
        <f>IFERROR(__xludf.DUMMYFUNCTION("""COMPUTED_VALUE"""),39896.645833333336)</f>
        <v>39896.64583</v>
      </c>
      <c r="B1669" s="2">
        <f>IFERROR(__xludf.DUMMYFUNCTION("""COMPUTED_VALUE"""),359.1)</f>
        <v>359.1</v>
      </c>
      <c r="C1669" s="2">
        <f>IFERROR(__xludf.DUMMYFUNCTION("""COMPUTED_VALUE"""),365.27)</f>
        <v>365.27</v>
      </c>
      <c r="D1669" s="2">
        <f>IFERROR(__xludf.DUMMYFUNCTION("""COMPUTED_VALUE"""),356.61)</f>
        <v>356.61</v>
      </c>
      <c r="E1669" s="2">
        <f>IFERROR(__xludf.DUMMYFUNCTION("""COMPUTED_VALUE"""),359.69)</f>
        <v>359.69</v>
      </c>
      <c r="F1669" s="2">
        <f>IFERROR(__xludf.DUMMYFUNCTION("""COMPUTED_VALUE"""),6896741.0)</f>
        <v>6896741</v>
      </c>
    </row>
    <row r="1670">
      <c r="A1670" s="3">
        <f>IFERROR(__xludf.DUMMYFUNCTION("""COMPUTED_VALUE"""),39897.645833333336)</f>
        <v>39897.64583</v>
      </c>
      <c r="B1670" s="2">
        <f>IFERROR(__xludf.DUMMYFUNCTION("""COMPUTED_VALUE"""),359.08)</f>
        <v>359.08</v>
      </c>
      <c r="C1670" s="2">
        <f>IFERROR(__xludf.DUMMYFUNCTION("""COMPUTED_VALUE"""),383.6)</f>
        <v>383.6</v>
      </c>
      <c r="D1670" s="2">
        <f>IFERROR(__xludf.DUMMYFUNCTION("""COMPUTED_VALUE"""),359.08)</f>
        <v>359.08</v>
      </c>
      <c r="E1670" s="2">
        <f>IFERROR(__xludf.DUMMYFUNCTION("""COMPUTED_VALUE"""),379.44)</f>
        <v>379.44</v>
      </c>
      <c r="F1670" s="2">
        <f>IFERROR(__xludf.DUMMYFUNCTION("""COMPUTED_VALUE"""),9567684.0)</f>
        <v>9567684</v>
      </c>
    </row>
    <row r="1671">
      <c r="A1671" s="3">
        <f>IFERROR(__xludf.DUMMYFUNCTION("""COMPUTED_VALUE"""),39898.645833333336)</f>
        <v>39898.64583</v>
      </c>
      <c r="B1671" s="2">
        <f>IFERROR(__xludf.DUMMYFUNCTION("""COMPUTED_VALUE"""),383.77)</f>
        <v>383.77</v>
      </c>
      <c r="C1671" s="2">
        <f>IFERROR(__xludf.DUMMYFUNCTION("""COMPUTED_VALUE"""),391.03)</f>
        <v>391.03</v>
      </c>
      <c r="D1671" s="2">
        <f>IFERROR(__xludf.DUMMYFUNCTION("""COMPUTED_VALUE"""),377.16)</f>
        <v>377.16</v>
      </c>
      <c r="E1671" s="2">
        <f>IFERROR(__xludf.DUMMYFUNCTION("""COMPUTED_VALUE"""),387.69)</f>
        <v>387.69</v>
      </c>
      <c r="F1671" s="2">
        <f>IFERROR(__xludf.DUMMYFUNCTION("""COMPUTED_VALUE"""),8215501.0)</f>
        <v>8215501</v>
      </c>
    </row>
    <row r="1672">
      <c r="A1672" s="3">
        <f>IFERROR(__xludf.DUMMYFUNCTION("""COMPUTED_VALUE"""),39899.645833333336)</f>
        <v>39899.64583</v>
      </c>
      <c r="B1672" s="2">
        <f>IFERROR(__xludf.DUMMYFUNCTION("""COMPUTED_VALUE"""),384.84)</f>
        <v>384.84</v>
      </c>
      <c r="C1672" s="2">
        <f>IFERROR(__xludf.DUMMYFUNCTION("""COMPUTED_VALUE"""),392.12)</f>
        <v>392.12</v>
      </c>
      <c r="D1672" s="2">
        <f>IFERROR(__xludf.DUMMYFUNCTION("""COMPUTED_VALUE"""),380.13)</f>
        <v>380.13</v>
      </c>
      <c r="E1672" s="2">
        <f>IFERROR(__xludf.DUMMYFUNCTION("""COMPUTED_VALUE"""),383.54)</f>
        <v>383.54</v>
      </c>
      <c r="F1672" s="2">
        <f>IFERROR(__xludf.DUMMYFUNCTION("""COMPUTED_VALUE"""),6744638.0)</f>
        <v>6744638</v>
      </c>
    </row>
    <row r="1673">
      <c r="A1673" s="3">
        <f>IFERROR(__xludf.DUMMYFUNCTION("""COMPUTED_VALUE"""),39902.645833333336)</f>
        <v>39902.64583</v>
      </c>
      <c r="B1673" s="2">
        <f>IFERROR(__xludf.DUMMYFUNCTION("""COMPUTED_VALUE"""),376.69)</f>
        <v>376.69</v>
      </c>
      <c r="C1673" s="2">
        <f>IFERROR(__xludf.DUMMYFUNCTION("""COMPUTED_VALUE"""),380.13)</f>
        <v>380.13</v>
      </c>
      <c r="D1673" s="2">
        <f>IFERROR(__xludf.DUMMYFUNCTION("""COMPUTED_VALUE"""),370.23)</f>
        <v>370.23</v>
      </c>
      <c r="E1673" s="2">
        <f>IFERROR(__xludf.DUMMYFUNCTION("""COMPUTED_VALUE"""),375.54)</f>
        <v>375.54</v>
      </c>
      <c r="F1673" s="2">
        <f>IFERROR(__xludf.DUMMYFUNCTION("""COMPUTED_VALUE"""),6871088.0)</f>
        <v>6871088</v>
      </c>
    </row>
    <row r="1674">
      <c r="A1674" s="3">
        <f>IFERROR(__xludf.DUMMYFUNCTION("""COMPUTED_VALUE"""),39903.645833333336)</f>
        <v>39903.64583</v>
      </c>
      <c r="B1674" s="2">
        <f>IFERROR(__xludf.DUMMYFUNCTION("""COMPUTED_VALUE"""),380.13)</f>
        <v>380.13</v>
      </c>
      <c r="C1674" s="2">
        <f>IFERROR(__xludf.DUMMYFUNCTION("""COMPUTED_VALUE"""),384.33)</f>
        <v>384.33</v>
      </c>
      <c r="D1674" s="2">
        <f>IFERROR(__xludf.DUMMYFUNCTION("""COMPUTED_VALUE"""),375.18)</f>
        <v>375.18</v>
      </c>
      <c r="E1674" s="2">
        <f>IFERROR(__xludf.DUMMYFUNCTION("""COMPUTED_VALUE"""),377.59)</f>
        <v>377.59</v>
      </c>
      <c r="F1674" s="2">
        <f>IFERROR(__xludf.DUMMYFUNCTION("""COMPUTED_VALUE"""),5714483.0)</f>
        <v>5714483</v>
      </c>
    </row>
    <row r="1675">
      <c r="A1675" s="3">
        <f>IFERROR(__xludf.DUMMYFUNCTION("""COMPUTED_VALUE"""),39904.645833333336)</f>
        <v>39904.64583</v>
      </c>
      <c r="B1675" s="2">
        <f>IFERROR(__xludf.DUMMYFUNCTION("""COMPUTED_VALUE"""),377.16)</f>
        <v>377.16</v>
      </c>
      <c r="C1675" s="2">
        <f>IFERROR(__xludf.DUMMYFUNCTION("""COMPUTED_VALUE"""),394.74)</f>
        <v>394.74</v>
      </c>
      <c r="D1675" s="2">
        <f>IFERROR(__xludf.DUMMYFUNCTION("""COMPUTED_VALUE"""),370.81)</f>
        <v>370.81</v>
      </c>
      <c r="E1675" s="2">
        <f>IFERROR(__xludf.DUMMYFUNCTION("""COMPUTED_VALUE"""),391.59)</f>
        <v>391.59</v>
      </c>
      <c r="F1675" s="2">
        <f>IFERROR(__xludf.DUMMYFUNCTION("""COMPUTED_VALUE"""),4777855.0)</f>
        <v>4777855</v>
      </c>
    </row>
    <row r="1676">
      <c r="A1676" s="3">
        <f>IFERROR(__xludf.DUMMYFUNCTION("""COMPUTED_VALUE"""),39905.645833333336)</f>
        <v>39905.64583</v>
      </c>
      <c r="B1676" s="2">
        <f>IFERROR(__xludf.DUMMYFUNCTION("""COMPUTED_VALUE"""),398.71)</f>
        <v>398.71</v>
      </c>
      <c r="C1676" s="2">
        <f>IFERROR(__xludf.DUMMYFUNCTION("""COMPUTED_VALUE"""),416.04)</f>
        <v>416.04</v>
      </c>
      <c r="D1676" s="2">
        <f>IFERROR(__xludf.DUMMYFUNCTION("""COMPUTED_VALUE"""),396.79)</f>
        <v>396.79</v>
      </c>
      <c r="E1676" s="2">
        <f>IFERROR(__xludf.DUMMYFUNCTION("""COMPUTED_VALUE"""),411.42)</f>
        <v>411.42</v>
      </c>
      <c r="F1676" s="2">
        <f>IFERROR(__xludf.DUMMYFUNCTION("""COMPUTED_VALUE"""),5489146.0)</f>
        <v>5489146</v>
      </c>
    </row>
    <row r="1677">
      <c r="A1677" s="3">
        <f>IFERROR(__xludf.DUMMYFUNCTION("""COMPUTED_VALUE"""),39909.645833333336)</f>
        <v>39909.64583</v>
      </c>
      <c r="B1677" s="2">
        <f>IFERROR(__xludf.DUMMYFUNCTION("""COMPUTED_VALUE"""),420.99)</f>
        <v>420.99</v>
      </c>
      <c r="C1677" s="2">
        <f>IFERROR(__xludf.DUMMYFUNCTION("""COMPUTED_VALUE"""),431.47)</f>
        <v>431.47</v>
      </c>
      <c r="D1677" s="2">
        <f>IFERROR(__xludf.DUMMYFUNCTION("""COMPUTED_VALUE"""),407.52)</f>
        <v>407.52</v>
      </c>
      <c r="E1677" s="2">
        <f>IFERROR(__xludf.DUMMYFUNCTION("""COMPUTED_VALUE"""),413.96)</f>
        <v>413.96</v>
      </c>
      <c r="F1677" s="2">
        <f>IFERROR(__xludf.DUMMYFUNCTION("""COMPUTED_VALUE"""),5259028.0)</f>
        <v>5259028</v>
      </c>
    </row>
    <row r="1678">
      <c r="A1678" s="3">
        <f>IFERROR(__xludf.DUMMYFUNCTION("""COMPUTED_VALUE"""),39911.645833333336)</f>
        <v>39911.64583</v>
      </c>
      <c r="B1678" s="2">
        <f>IFERROR(__xludf.DUMMYFUNCTION("""COMPUTED_VALUE"""),406.12)</f>
        <v>406.12</v>
      </c>
      <c r="C1678" s="2">
        <f>IFERROR(__xludf.DUMMYFUNCTION("""COMPUTED_VALUE"""),430.65)</f>
        <v>430.65</v>
      </c>
      <c r="D1678" s="2">
        <f>IFERROR(__xludf.DUMMYFUNCTION("""COMPUTED_VALUE"""),397.47)</f>
        <v>397.47</v>
      </c>
      <c r="E1678" s="2">
        <f>IFERROR(__xludf.DUMMYFUNCTION("""COMPUTED_VALUE"""),427.22)</f>
        <v>427.22</v>
      </c>
      <c r="F1678" s="2">
        <f>IFERROR(__xludf.DUMMYFUNCTION("""COMPUTED_VALUE"""),9194966.0)</f>
        <v>9194966</v>
      </c>
    </row>
    <row r="1679">
      <c r="A1679" s="3">
        <f>IFERROR(__xludf.DUMMYFUNCTION("""COMPUTED_VALUE"""),39912.645833333336)</f>
        <v>39912.64583</v>
      </c>
      <c r="B1679" s="2">
        <f>IFERROR(__xludf.DUMMYFUNCTION("""COMPUTED_VALUE"""),433.38)</f>
        <v>433.38</v>
      </c>
      <c r="C1679" s="2">
        <f>IFERROR(__xludf.DUMMYFUNCTION("""COMPUTED_VALUE"""),437.8)</f>
        <v>437.8</v>
      </c>
      <c r="D1679" s="2">
        <f>IFERROR(__xludf.DUMMYFUNCTION("""COMPUTED_VALUE"""),422.29)</f>
        <v>422.29</v>
      </c>
      <c r="E1679" s="2">
        <f>IFERROR(__xludf.DUMMYFUNCTION("""COMPUTED_VALUE"""),429.85)</f>
        <v>429.85</v>
      </c>
      <c r="F1679" s="2">
        <f>IFERROR(__xludf.DUMMYFUNCTION("""COMPUTED_VALUE"""),5193767.0)</f>
        <v>5193767</v>
      </c>
    </row>
    <row r="1680">
      <c r="A1680" s="3">
        <f>IFERROR(__xludf.DUMMYFUNCTION("""COMPUTED_VALUE"""),39916.645833333336)</f>
        <v>39916.64583</v>
      </c>
      <c r="B1680" s="2">
        <f>IFERROR(__xludf.DUMMYFUNCTION("""COMPUTED_VALUE"""),435.84)</f>
        <v>435.84</v>
      </c>
      <c r="C1680" s="2">
        <f>IFERROR(__xludf.DUMMYFUNCTION("""COMPUTED_VALUE"""),443.03)</f>
        <v>443.03</v>
      </c>
      <c r="D1680" s="2">
        <f>IFERROR(__xludf.DUMMYFUNCTION("""COMPUTED_VALUE"""),426.69)</f>
        <v>426.69</v>
      </c>
      <c r="E1680" s="2">
        <f>IFERROR(__xludf.DUMMYFUNCTION("""COMPUTED_VALUE"""),439.21)</f>
        <v>439.21</v>
      </c>
      <c r="F1680" s="2">
        <f>IFERROR(__xludf.DUMMYFUNCTION("""COMPUTED_VALUE"""),3804850.0)</f>
        <v>3804850</v>
      </c>
    </row>
    <row r="1681">
      <c r="A1681" s="3">
        <f>IFERROR(__xludf.DUMMYFUNCTION("""COMPUTED_VALUE"""),39918.645833333336)</f>
        <v>39918.64583</v>
      </c>
      <c r="B1681" s="2">
        <f>IFERROR(__xludf.DUMMYFUNCTION("""COMPUTED_VALUE"""),433.38)</f>
        <v>433.38</v>
      </c>
      <c r="C1681" s="2">
        <f>IFERROR(__xludf.DUMMYFUNCTION("""COMPUTED_VALUE"""),455.59)</f>
        <v>455.59</v>
      </c>
      <c r="D1681" s="2">
        <f>IFERROR(__xludf.DUMMYFUNCTION("""COMPUTED_VALUE"""),429.2)</f>
        <v>429.2</v>
      </c>
      <c r="E1681" s="2">
        <f>IFERROR(__xludf.DUMMYFUNCTION("""COMPUTED_VALUE"""),453.2)</f>
        <v>453.2</v>
      </c>
      <c r="F1681" s="2">
        <f>IFERROR(__xludf.DUMMYFUNCTION("""COMPUTED_VALUE"""),6047211.0)</f>
        <v>6047211</v>
      </c>
    </row>
    <row r="1682">
      <c r="A1682" s="3">
        <f>IFERROR(__xludf.DUMMYFUNCTION("""COMPUTED_VALUE"""),39919.645833333336)</f>
        <v>39919.64583</v>
      </c>
      <c r="B1682" s="2">
        <f>IFERROR(__xludf.DUMMYFUNCTION("""COMPUTED_VALUE"""),448.51)</f>
        <v>448.51</v>
      </c>
      <c r="C1682" s="2">
        <f>IFERROR(__xludf.DUMMYFUNCTION("""COMPUTED_VALUE"""),455.66)</f>
        <v>455.66</v>
      </c>
      <c r="D1682" s="2">
        <f>IFERROR(__xludf.DUMMYFUNCTION("""COMPUTED_VALUE"""),425.54)</f>
        <v>425.54</v>
      </c>
      <c r="E1682" s="2">
        <f>IFERROR(__xludf.DUMMYFUNCTION("""COMPUTED_VALUE"""),429.66)</f>
        <v>429.66</v>
      </c>
      <c r="F1682" s="2">
        <f>IFERROR(__xludf.DUMMYFUNCTION("""COMPUTED_VALUE"""),6619758.0)</f>
        <v>6619758</v>
      </c>
    </row>
    <row r="1683">
      <c r="A1683" s="3">
        <f>IFERROR(__xludf.DUMMYFUNCTION("""COMPUTED_VALUE"""),39920.645833333336)</f>
        <v>39920.64583</v>
      </c>
      <c r="B1683" s="2">
        <f>IFERROR(__xludf.DUMMYFUNCTION("""COMPUTED_VALUE"""),433.4)</f>
        <v>433.4</v>
      </c>
      <c r="C1683" s="2">
        <f>IFERROR(__xludf.DUMMYFUNCTION("""COMPUTED_VALUE"""),440.97)</f>
        <v>440.97</v>
      </c>
      <c r="D1683" s="2">
        <f>IFERROR(__xludf.DUMMYFUNCTION("""COMPUTED_VALUE"""),421.58)</f>
        <v>421.58</v>
      </c>
      <c r="E1683" s="2">
        <f>IFERROR(__xludf.DUMMYFUNCTION("""COMPUTED_VALUE"""),425.19)</f>
        <v>425.19</v>
      </c>
      <c r="F1683" s="2">
        <f>IFERROR(__xludf.DUMMYFUNCTION("""COMPUTED_VALUE"""),6420246.0)</f>
        <v>6420246</v>
      </c>
    </row>
    <row r="1684">
      <c r="A1684" s="3">
        <f>IFERROR(__xludf.DUMMYFUNCTION("""COMPUTED_VALUE"""),39923.645833333336)</f>
        <v>39923.64583</v>
      </c>
      <c r="B1684" s="2">
        <f>IFERROR(__xludf.DUMMYFUNCTION("""COMPUTED_VALUE"""),425.95)</f>
        <v>425.95</v>
      </c>
      <c r="C1684" s="2">
        <f>IFERROR(__xludf.DUMMYFUNCTION("""COMPUTED_VALUE"""),434.54)</f>
        <v>434.54</v>
      </c>
      <c r="D1684" s="2">
        <f>IFERROR(__xludf.DUMMYFUNCTION("""COMPUTED_VALUE"""),418.1)</f>
        <v>418.1</v>
      </c>
      <c r="E1684" s="2">
        <f>IFERROR(__xludf.DUMMYFUNCTION("""COMPUTED_VALUE"""),424.81)</f>
        <v>424.81</v>
      </c>
      <c r="F1684" s="2">
        <f>IFERROR(__xludf.DUMMYFUNCTION("""COMPUTED_VALUE"""),4930249.0)</f>
        <v>4930249</v>
      </c>
    </row>
    <row r="1685">
      <c r="A1685" s="3">
        <f>IFERROR(__xludf.DUMMYFUNCTION("""COMPUTED_VALUE"""),39924.645833333336)</f>
        <v>39924.64583</v>
      </c>
      <c r="B1685" s="2">
        <f>IFERROR(__xludf.DUMMYFUNCTION("""COMPUTED_VALUE"""),419.76)</f>
        <v>419.76</v>
      </c>
      <c r="C1685" s="2">
        <f>IFERROR(__xludf.DUMMYFUNCTION("""COMPUTED_VALUE"""),429.33)</f>
        <v>429.33</v>
      </c>
      <c r="D1685" s="2">
        <f>IFERROR(__xludf.DUMMYFUNCTION("""COMPUTED_VALUE"""),417.2)</f>
        <v>417.2</v>
      </c>
      <c r="E1685" s="2">
        <f>IFERROR(__xludf.DUMMYFUNCTION("""COMPUTED_VALUE"""),422.5)</f>
        <v>422.5</v>
      </c>
      <c r="F1685" s="2">
        <f>IFERROR(__xludf.DUMMYFUNCTION("""COMPUTED_VALUE"""),5002628.0)</f>
        <v>5002628</v>
      </c>
    </row>
    <row r="1686">
      <c r="A1686" s="3">
        <f>IFERROR(__xludf.DUMMYFUNCTION("""COMPUTED_VALUE"""),39925.645833333336)</f>
        <v>39925.64583</v>
      </c>
      <c r="B1686" s="2">
        <f>IFERROR(__xludf.DUMMYFUNCTION("""COMPUTED_VALUE"""),425.95)</f>
        <v>425.95</v>
      </c>
      <c r="C1686" s="2">
        <f>IFERROR(__xludf.DUMMYFUNCTION("""COMPUTED_VALUE"""),429.17)</f>
        <v>429.17</v>
      </c>
      <c r="D1686" s="2">
        <f>IFERROR(__xludf.DUMMYFUNCTION("""COMPUTED_VALUE"""),418.77)</f>
        <v>418.77</v>
      </c>
      <c r="E1686" s="2">
        <f>IFERROR(__xludf.DUMMYFUNCTION("""COMPUTED_VALUE"""),425.45)</f>
        <v>425.45</v>
      </c>
      <c r="F1686" s="2">
        <f>IFERROR(__xludf.DUMMYFUNCTION("""COMPUTED_VALUE"""),4423560.0)</f>
        <v>4423560</v>
      </c>
    </row>
    <row r="1687">
      <c r="A1687" s="3">
        <f>IFERROR(__xludf.DUMMYFUNCTION("""COMPUTED_VALUE"""),39926.645833333336)</f>
        <v>39926.64583</v>
      </c>
      <c r="B1687" s="2">
        <f>IFERROR(__xludf.DUMMYFUNCTION("""COMPUTED_VALUE"""),425.2)</f>
        <v>425.2</v>
      </c>
      <c r="C1687" s="2">
        <f>IFERROR(__xludf.DUMMYFUNCTION("""COMPUTED_VALUE"""),439.54)</f>
        <v>439.54</v>
      </c>
      <c r="D1687" s="2">
        <f>IFERROR(__xludf.DUMMYFUNCTION("""COMPUTED_VALUE"""),420.0)</f>
        <v>420</v>
      </c>
      <c r="E1687" s="2">
        <f>IFERROR(__xludf.DUMMYFUNCTION("""COMPUTED_VALUE"""),436.77)</f>
        <v>436.77</v>
      </c>
      <c r="F1687" s="2">
        <f>IFERROR(__xludf.DUMMYFUNCTION("""COMPUTED_VALUE"""),4239012.0)</f>
        <v>4239012</v>
      </c>
    </row>
    <row r="1688">
      <c r="A1688" s="3">
        <f>IFERROR(__xludf.DUMMYFUNCTION("""COMPUTED_VALUE"""),39927.645833333336)</f>
        <v>39927.64583</v>
      </c>
      <c r="B1688" s="2">
        <f>IFERROR(__xludf.DUMMYFUNCTION("""COMPUTED_VALUE"""),433.38)</f>
        <v>433.38</v>
      </c>
      <c r="C1688" s="2">
        <f>IFERROR(__xludf.DUMMYFUNCTION("""COMPUTED_VALUE"""),446.25)</f>
        <v>446.25</v>
      </c>
      <c r="D1688" s="2">
        <f>IFERROR(__xludf.DUMMYFUNCTION("""COMPUTED_VALUE"""),427.68)</f>
        <v>427.68</v>
      </c>
      <c r="E1688" s="2">
        <f>IFERROR(__xludf.DUMMYFUNCTION("""COMPUTED_VALUE"""),443.0)</f>
        <v>443</v>
      </c>
      <c r="F1688" s="2">
        <f>IFERROR(__xludf.DUMMYFUNCTION("""COMPUTED_VALUE"""),5475144.0)</f>
        <v>5475144</v>
      </c>
    </row>
    <row r="1689">
      <c r="A1689" s="3">
        <f>IFERROR(__xludf.DUMMYFUNCTION("""COMPUTED_VALUE"""),39930.645833333336)</f>
        <v>39930.64583</v>
      </c>
      <c r="B1689" s="2">
        <f>IFERROR(__xludf.DUMMYFUNCTION("""COMPUTED_VALUE"""),443.53)</f>
        <v>443.53</v>
      </c>
      <c r="C1689" s="2">
        <f>IFERROR(__xludf.DUMMYFUNCTION("""COMPUTED_VALUE"""),447.49)</f>
        <v>447.49</v>
      </c>
      <c r="D1689" s="2">
        <f>IFERROR(__xludf.DUMMYFUNCTION("""COMPUTED_VALUE"""),436.1)</f>
        <v>436.1</v>
      </c>
      <c r="E1689" s="2">
        <f>IFERROR(__xludf.DUMMYFUNCTION("""COMPUTED_VALUE"""),442.18)</f>
        <v>442.18</v>
      </c>
      <c r="F1689" s="2">
        <f>IFERROR(__xludf.DUMMYFUNCTION("""COMPUTED_VALUE"""),4197673.0)</f>
        <v>4197673</v>
      </c>
    </row>
    <row r="1690">
      <c r="A1690" s="3">
        <f>IFERROR(__xludf.DUMMYFUNCTION("""COMPUTED_VALUE"""),39931.645833333336)</f>
        <v>39931.64583</v>
      </c>
      <c r="B1690" s="2">
        <f>IFERROR(__xludf.DUMMYFUNCTION("""COMPUTED_VALUE"""),441.05)</f>
        <v>441.05</v>
      </c>
      <c r="C1690" s="2">
        <f>IFERROR(__xludf.DUMMYFUNCTION("""COMPUTED_VALUE"""),443.78)</f>
        <v>443.78</v>
      </c>
      <c r="D1690" s="2">
        <f>IFERROR(__xludf.DUMMYFUNCTION("""COMPUTED_VALUE"""),428.67)</f>
        <v>428.67</v>
      </c>
      <c r="E1690" s="2">
        <f>IFERROR(__xludf.DUMMYFUNCTION("""COMPUTED_VALUE"""),430.19)</f>
        <v>430.19</v>
      </c>
      <c r="F1690" s="2">
        <f>IFERROR(__xludf.DUMMYFUNCTION("""COMPUTED_VALUE"""),4024229.0)</f>
        <v>4024229</v>
      </c>
    </row>
    <row r="1691">
      <c r="A1691" s="3">
        <f>IFERROR(__xludf.DUMMYFUNCTION("""COMPUTED_VALUE"""),39932.645833333336)</f>
        <v>39932.64583</v>
      </c>
      <c r="B1691" s="2">
        <f>IFERROR(__xludf.DUMMYFUNCTION("""COMPUTED_VALUE"""),433.62)</f>
        <v>433.62</v>
      </c>
      <c r="C1691" s="2">
        <f>IFERROR(__xludf.DUMMYFUNCTION("""COMPUTED_VALUE"""),450.71)</f>
        <v>450.71</v>
      </c>
      <c r="D1691" s="2">
        <f>IFERROR(__xludf.DUMMYFUNCTION("""COMPUTED_VALUE"""),432.35)</f>
        <v>432.35</v>
      </c>
      <c r="E1691" s="2">
        <f>IFERROR(__xludf.DUMMYFUNCTION("""COMPUTED_VALUE"""),447.31)</f>
        <v>447.31</v>
      </c>
      <c r="F1691" s="2">
        <f>IFERROR(__xludf.DUMMYFUNCTION("""COMPUTED_VALUE"""),4271409.0)</f>
        <v>4271409</v>
      </c>
    </row>
    <row r="1692">
      <c r="A1692" s="3">
        <f>IFERROR(__xludf.DUMMYFUNCTION("""COMPUTED_VALUE"""),39937.645833333336)</f>
        <v>39937.64583</v>
      </c>
      <c r="B1692" s="2">
        <f>IFERROR(__xludf.DUMMYFUNCTION("""COMPUTED_VALUE"""),458.39)</f>
        <v>458.39</v>
      </c>
      <c r="C1692" s="2">
        <f>IFERROR(__xludf.DUMMYFUNCTION("""COMPUTED_VALUE"""),469.28)</f>
        <v>469.28</v>
      </c>
      <c r="D1692" s="2">
        <f>IFERROR(__xludf.DUMMYFUNCTION("""COMPUTED_VALUE"""),455.74)</f>
        <v>455.74</v>
      </c>
      <c r="E1692" s="2">
        <f>IFERROR(__xludf.DUMMYFUNCTION("""COMPUTED_VALUE"""),467.33)</f>
        <v>467.33</v>
      </c>
      <c r="F1692" s="2">
        <f>IFERROR(__xludf.DUMMYFUNCTION("""COMPUTED_VALUE"""),4285511.0)</f>
        <v>4285511</v>
      </c>
    </row>
    <row r="1693">
      <c r="A1693" s="3">
        <f>IFERROR(__xludf.DUMMYFUNCTION("""COMPUTED_VALUE"""),39938.645833333336)</f>
        <v>39938.64583</v>
      </c>
      <c r="B1693" s="2">
        <f>IFERROR(__xludf.DUMMYFUNCTION("""COMPUTED_VALUE"""),466.81)</f>
        <v>466.81</v>
      </c>
      <c r="C1693" s="2">
        <f>IFERROR(__xludf.DUMMYFUNCTION("""COMPUTED_VALUE"""),469.21)</f>
        <v>469.21</v>
      </c>
      <c r="D1693" s="2">
        <f>IFERROR(__xludf.DUMMYFUNCTION("""COMPUTED_VALUE"""),454.67)</f>
        <v>454.67</v>
      </c>
      <c r="E1693" s="2">
        <f>IFERROR(__xludf.DUMMYFUNCTION("""COMPUTED_VALUE"""),466.47)</f>
        <v>466.47</v>
      </c>
      <c r="F1693" s="2">
        <f>IFERROR(__xludf.DUMMYFUNCTION("""COMPUTED_VALUE"""),4878488.0)</f>
        <v>4878488</v>
      </c>
    </row>
    <row r="1694">
      <c r="A1694" s="3">
        <f>IFERROR(__xludf.DUMMYFUNCTION("""COMPUTED_VALUE"""),39939.645833333336)</f>
        <v>39939.64583</v>
      </c>
      <c r="B1694" s="2">
        <f>IFERROR(__xludf.DUMMYFUNCTION("""COMPUTED_VALUE"""),467.8)</f>
        <v>467.8</v>
      </c>
      <c r="C1694" s="2">
        <f>IFERROR(__xludf.DUMMYFUNCTION("""COMPUTED_VALUE"""),479.96)</f>
        <v>479.96</v>
      </c>
      <c r="D1694" s="2">
        <f>IFERROR(__xludf.DUMMYFUNCTION("""COMPUTED_VALUE"""),460.62)</f>
        <v>460.62</v>
      </c>
      <c r="E1694" s="2">
        <f>IFERROR(__xludf.DUMMYFUNCTION("""COMPUTED_VALUE"""),465.94)</f>
        <v>465.94</v>
      </c>
      <c r="F1694" s="2">
        <f>IFERROR(__xludf.DUMMYFUNCTION("""COMPUTED_VALUE"""),4881911.0)</f>
        <v>4881911</v>
      </c>
    </row>
    <row r="1695">
      <c r="A1695" s="3">
        <f>IFERROR(__xludf.DUMMYFUNCTION("""COMPUTED_VALUE"""),39940.645833333336)</f>
        <v>39940.64583</v>
      </c>
      <c r="B1695" s="2">
        <f>IFERROR(__xludf.DUMMYFUNCTION("""COMPUTED_VALUE"""),458.14)</f>
        <v>458.14</v>
      </c>
      <c r="C1695" s="2">
        <f>IFERROR(__xludf.DUMMYFUNCTION("""COMPUTED_VALUE"""),476.69)</f>
        <v>476.69</v>
      </c>
      <c r="D1695" s="2">
        <f>IFERROR(__xludf.DUMMYFUNCTION("""COMPUTED_VALUE"""),458.14)</f>
        <v>458.14</v>
      </c>
      <c r="E1695" s="2">
        <f>IFERROR(__xludf.DUMMYFUNCTION("""COMPUTED_VALUE"""),474.37)</f>
        <v>474.37</v>
      </c>
      <c r="F1695" s="2">
        <f>IFERROR(__xludf.DUMMYFUNCTION("""COMPUTED_VALUE"""),3674123.0)</f>
        <v>3674123</v>
      </c>
    </row>
    <row r="1696">
      <c r="A1696" s="3">
        <f>IFERROR(__xludf.DUMMYFUNCTION("""COMPUTED_VALUE"""),39941.645833333336)</f>
        <v>39941.64583</v>
      </c>
      <c r="B1696" s="2">
        <f>IFERROR(__xludf.DUMMYFUNCTION("""COMPUTED_VALUE"""),475.48)</f>
        <v>475.48</v>
      </c>
      <c r="C1696" s="2">
        <f>IFERROR(__xludf.DUMMYFUNCTION("""COMPUTED_VALUE"""),478.45)</f>
        <v>478.45</v>
      </c>
      <c r="D1696" s="2">
        <f>IFERROR(__xludf.DUMMYFUNCTION("""COMPUTED_VALUE"""),464.33)</f>
        <v>464.33</v>
      </c>
      <c r="E1696" s="2">
        <f>IFERROR(__xludf.DUMMYFUNCTION("""COMPUTED_VALUE"""),470.6)</f>
        <v>470.6</v>
      </c>
      <c r="F1696" s="2">
        <f>IFERROR(__xludf.DUMMYFUNCTION("""COMPUTED_VALUE"""),3985320.0)</f>
        <v>3985320</v>
      </c>
    </row>
    <row r="1697">
      <c r="A1697" s="3">
        <f>IFERROR(__xludf.DUMMYFUNCTION("""COMPUTED_VALUE"""),39944.645833333336)</f>
        <v>39944.64583</v>
      </c>
      <c r="B1697" s="2">
        <f>IFERROR(__xludf.DUMMYFUNCTION("""COMPUTED_VALUE"""),475.23)</f>
        <v>475.23</v>
      </c>
      <c r="C1697" s="2">
        <f>IFERROR(__xludf.DUMMYFUNCTION("""COMPUTED_VALUE"""),477.46)</f>
        <v>477.46</v>
      </c>
      <c r="D1697" s="2">
        <f>IFERROR(__xludf.DUMMYFUNCTION("""COMPUTED_VALUE"""),458.17)</f>
        <v>458.17</v>
      </c>
      <c r="E1697" s="2">
        <f>IFERROR(__xludf.DUMMYFUNCTION("""COMPUTED_VALUE"""),461.01)</f>
        <v>461.01</v>
      </c>
      <c r="F1697" s="2">
        <f>IFERROR(__xludf.DUMMYFUNCTION("""COMPUTED_VALUE"""),3757600.0)</f>
        <v>3757600</v>
      </c>
    </row>
    <row r="1698">
      <c r="A1698" s="3">
        <f>IFERROR(__xludf.DUMMYFUNCTION("""COMPUTED_VALUE"""),39945.645833333336)</f>
        <v>39945.64583</v>
      </c>
      <c r="B1698" s="2">
        <f>IFERROR(__xludf.DUMMYFUNCTION("""COMPUTED_VALUE"""),458.13)</f>
        <v>458.13</v>
      </c>
      <c r="C1698" s="2">
        <f>IFERROR(__xludf.DUMMYFUNCTION("""COMPUTED_VALUE"""),489.19)</f>
        <v>489.19</v>
      </c>
      <c r="D1698" s="2">
        <f>IFERROR(__xludf.DUMMYFUNCTION("""COMPUTED_VALUE"""),456.41)</f>
        <v>456.41</v>
      </c>
      <c r="E1698" s="2">
        <f>IFERROR(__xludf.DUMMYFUNCTION("""COMPUTED_VALUE"""),485.36)</f>
        <v>485.36</v>
      </c>
      <c r="F1698" s="2">
        <f>IFERROR(__xludf.DUMMYFUNCTION("""COMPUTED_VALUE"""),4585587.0)</f>
        <v>4585587</v>
      </c>
    </row>
    <row r="1699">
      <c r="A1699" s="3">
        <f>IFERROR(__xludf.DUMMYFUNCTION("""COMPUTED_VALUE"""),39946.645833333336)</f>
        <v>39946.64583</v>
      </c>
      <c r="B1699" s="2">
        <f>IFERROR(__xludf.DUMMYFUNCTION("""COMPUTED_VALUE"""),488.41)</f>
        <v>488.41</v>
      </c>
      <c r="C1699" s="2">
        <f>IFERROR(__xludf.DUMMYFUNCTION("""COMPUTED_VALUE"""),489.1)</f>
        <v>489.1</v>
      </c>
      <c r="D1699" s="2">
        <f>IFERROR(__xludf.DUMMYFUNCTION("""COMPUTED_VALUE"""),472.01)</f>
        <v>472.01</v>
      </c>
      <c r="E1699" s="2">
        <f>IFERROR(__xludf.DUMMYFUNCTION("""COMPUTED_VALUE"""),478.69)</f>
        <v>478.69</v>
      </c>
      <c r="F1699" s="2">
        <f>IFERROR(__xludf.DUMMYFUNCTION("""COMPUTED_VALUE"""),5226617.0)</f>
        <v>5226617</v>
      </c>
    </row>
    <row r="1700">
      <c r="A1700" s="3">
        <f>IFERROR(__xludf.DUMMYFUNCTION("""COMPUTED_VALUE"""),39947.645833333336)</f>
        <v>39947.64583</v>
      </c>
      <c r="B1700" s="2">
        <f>IFERROR(__xludf.DUMMYFUNCTION("""COMPUTED_VALUE"""),471.08)</f>
        <v>471.08</v>
      </c>
      <c r="C1700" s="2">
        <f>IFERROR(__xludf.DUMMYFUNCTION("""COMPUTED_VALUE"""),477.33)</f>
        <v>477.33</v>
      </c>
      <c r="D1700" s="2">
        <f>IFERROR(__xludf.DUMMYFUNCTION("""COMPUTED_VALUE"""),465.62)</f>
        <v>465.62</v>
      </c>
      <c r="E1700" s="2">
        <f>IFERROR(__xludf.DUMMYFUNCTION("""COMPUTED_VALUE"""),472.74)</f>
        <v>472.74</v>
      </c>
      <c r="F1700" s="2">
        <f>IFERROR(__xludf.DUMMYFUNCTION("""COMPUTED_VALUE"""),4047066.0)</f>
        <v>4047066</v>
      </c>
    </row>
    <row r="1701">
      <c r="A1701" s="3">
        <f>IFERROR(__xludf.DUMMYFUNCTION("""COMPUTED_VALUE"""),39948.645833333336)</f>
        <v>39948.64583</v>
      </c>
      <c r="B1701" s="2">
        <f>IFERROR(__xludf.DUMMYFUNCTION("""COMPUTED_VALUE"""),474.24)</f>
        <v>474.24</v>
      </c>
      <c r="C1701" s="2">
        <f>IFERROR(__xludf.DUMMYFUNCTION("""COMPUTED_VALUE"""),485.38)</f>
        <v>485.38</v>
      </c>
      <c r="D1701" s="2">
        <f>IFERROR(__xludf.DUMMYFUNCTION("""COMPUTED_VALUE"""),473.41)</f>
        <v>473.41</v>
      </c>
      <c r="E1701" s="2">
        <f>IFERROR(__xludf.DUMMYFUNCTION("""COMPUTED_VALUE"""),483.08)</f>
        <v>483.08</v>
      </c>
      <c r="F1701" s="2">
        <f>IFERROR(__xludf.DUMMYFUNCTION("""COMPUTED_VALUE"""),3153527.0)</f>
        <v>3153527</v>
      </c>
    </row>
    <row r="1702">
      <c r="A1702" s="3">
        <f>IFERROR(__xludf.DUMMYFUNCTION("""COMPUTED_VALUE"""),39951.645833333336)</f>
        <v>39951.64583</v>
      </c>
      <c r="B1702" s="2">
        <f>IFERROR(__xludf.DUMMYFUNCTION("""COMPUTED_VALUE"""),531.69)</f>
        <v>531.69</v>
      </c>
      <c r="C1702" s="2">
        <f>IFERROR(__xludf.DUMMYFUNCTION("""COMPUTED_VALUE"""),627.78)</f>
        <v>627.78</v>
      </c>
      <c r="D1702" s="2">
        <f>IFERROR(__xludf.DUMMYFUNCTION("""COMPUTED_VALUE"""),520.36)</f>
        <v>520.36</v>
      </c>
      <c r="E1702" s="2">
        <f>IFERROR(__xludf.DUMMYFUNCTION("""COMPUTED_VALUE"""),586.31)</f>
        <v>586.31</v>
      </c>
      <c r="F1702" s="2">
        <f>IFERROR(__xludf.DUMMYFUNCTION("""COMPUTED_VALUE"""),52820.0)</f>
        <v>52820</v>
      </c>
    </row>
    <row r="1703">
      <c r="A1703" s="3">
        <f>IFERROR(__xludf.DUMMYFUNCTION("""COMPUTED_VALUE"""),39952.645833333336)</f>
        <v>39952.64583</v>
      </c>
      <c r="B1703" s="2">
        <f>IFERROR(__xludf.DUMMYFUNCTION("""COMPUTED_VALUE"""),606.73)</f>
        <v>606.73</v>
      </c>
      <c r="C1703" s="2">
        <f>IFERROR(__xludf.DUMMYFUNCTION("""COMPUTED_VALUE"""),619.11)</f>
        <v>619.11</v>
      </c>
      <c r="D1703" s="2">
        <f>IFERROR(__xludf.DUMMYFUNCTION("""COMPUTED_VALUE"""),544.82)</f>
        <v>544.82</v>
      </c>
      <c r="E1703" s="2">
        <f>IFERROR(__xludf.DUMMYFUNCTION("""COMPUTED_VALUE"""),552.47)</f>
        <v>552.47</v>
      </c>
      <c r="F1703" s="2">
        <f>IFERROR(__xludf.DUMMYFUNCTION("""COMPUTED_VALUE"""),1.0473822E7)</f>
        <v>10473822</v>
      </c>
    </row>
    <row r="1704">
      <c r="A1704" s="3">
        <f>IFERROR(__xludf.DUMMYFUNCTION("""COMPUTED_VALUE"""),39953.645833333336)</f>
        <v>39953.64583</v>
      </c>
      <c r="B1704" s="2">
        <f>IFERROR(__xludf.DUMMYFUNCTION("""COMPUTED_VALUE"""),544.82)</f>
        <v>544.82</v>
      </c>
      <c r="C1704" s="2">
        <f>IFERROR(__xludf.DUMMYFUNCTION("""COMPUTED_VALUE"""),557.87)</f>
        <v>557.87</v>
      </c>
      <c r="D1704" s="2">
        <f>IFERROR(__xludf.DUMMYFUNCTION("""COMPUTED_VALUE"""),529.02)</f>
        <v>529.02</v>
      </c>
      <c r="E1704" s="2">
        <f>IFERROR(__xludf.DUMMYFUNCTION("""COMPUTED_VALUE"""),533.04)</f>
        <v>533.04</v>
      </c>
      <c r="F1704" s="2">
        <f>IFERROR(__xludf.DUMMYFUNCTION("""COMPUTED_VALUE"""),6746905.0)</f>
        <v>6746905</v>
      </c>
    </row>
    <row r="1705">
      <c r="A1705" s="3">
        <f>IFERROR(__xludf.DUMMYFUNCTION("""COMPUTED_VALUE"""),39954.645833333336)</f>
        <v>39954.64583</v>
      </c>
      <c r="B1705" s="2">
        <f>IFERROR(__xludf.DUMMYFUNCTION("""COMPUTED_VALUE"""),531.2)</f>
        <v>531.2</v>
      </c>
      <c r="C1705" s="2">
        <f>IFERROR(__xludf.DUMMYFUNCTION("""COMPUTED_VALUE"""),539.12)</f>
        <v>539.12</v>
      </c>
      <c r="D1705" s="2">
        <f>IFERROR(__xludf.DUMMYFUNCTION("""COMPUTED_VALUE"""),520.68)</f>
        <v>520.68</v>
      </c>
      <c r="E1705" s="2">
        <f>IFERROR(__xludf.DUMMYFUNCTION("""COMPUTED_VALUE"""),523.88)</f>
        <v>523.88</v>
      </c>
      <c r="F1705" s="2">
        <f>IFERROR(__xludf.DUMMYFUNCTION("""COMPUTED_VALUE"""),3977372.0)</f>
        <v>3977372</v>
      </c>
    </row>
    <row r="1706">
      <c r="A1706" s="3">
        <f>IFERROR(__xludf.DUMMYFUNCTION("""COMPUTED_VALUE"""),39955.645833333336)</f>
        <v>39955.64583</v>
      </c>
      <c r="B1706" s="2">
        <f>IFERROR(__xludf.DUMMYFUNCTION("""COMPUTED_VALUE"""),520.0)</f>
        <v>520</v>
      </c>
      <c r="C1706" s="2">
        <f>IFERROR(__xludf.DUMMYFUNCTION("""COMPUTED_VALUE"""),546.6)</f>
        <v>546.6</v>
      </c>
      <c r="D1706" s="2">
        <f>IFERROR(__xludf.DUMMYFUNCTION("""COMPUTED_VALUE"""),517.82)</f>
        <v>517.82</v>
      </c>
      <c r="E1706" s="2">
        <f>IFERROR(__xludf.DUMMYFUNCTION("""COMPUTED_VALUE"""),541.29)</f>
        <v>541.29</v>
      </c>
      <c r="F1706" s="2">
        <f>IFERROR(__xludf.DUMMYFUNCTION("""COMPUTED_VALUE"""),4446371.0)</f>
        <v>4446371</v>
      </c>
    </row>
    <row r="1707">
      <c r="A1707" s="3">
        <f>IFERROR(__xludf.DUMMYFUNCTION("""COMPUTED_VALUE"""),39958.645833333336)</f>
        <v>39958.64583</v>
      </c>
      <c r="B1707" s="2">
        <f>IFERROR(__xludf.DUMMYFUNCTION("""COMPUTED_VALUE"""),544.82)</f>
        <v>544.82</v>
      </c>
      <c r="C1707" s="2">
        <f>IFERROR(__xludf.DUMMYFUNCTION("""COMPUTED_VALUE"""),548.53)</f>
        <v>548.53</v>
      </c>
      <c r="D1707" s="2">
        <f>IFERROR(__xludf.DUMMYFUNCTION("""COMPUTED_VALUE"""),533.42)</f>
        <v>533.42</v>
      </c>
      <c r="E1707" s="2">
        <f>IFERROR(__xludf.DUMMYFUNCTION("""COMPUTED_VALUE"""),543.52)</f>
        <v>543.52</v>
      </c>
      <c r="F1707" s="2">
        <f>IFERROR(__xludf.DUMMYFUNCTION("""COMPUTED_VALUE"""),3104057.0)</f>
        <v>3104057</v>
      </c>
    </row>
    <row r="1708">
      <c r="A1708" s="3">
        <f>IFERROR(__xludf.DUMMYFUNCTION("""COMPUTED_VALUE"""),39959.645833333336)</f>
        <v>39959.64583</v>
      </c>
      <c r="B1708" s="2">
        <f>IFERROR(__xludf.DUMMYFUNCTION("""COMPUTED_VALUE"""),539.89)</f>
        <v>539.89</v>
      </c>
      <c r="C1708" s="2">
        <f>IFERROR(__xludf.DUMMYFUNCTION("""COMPUTED_VALUE"""),547.04)</f>
        <v>547.04</v>
      </c>
      <c r="D1708" s="2">
        <f>IFERROR(__xludf.DUMMYFUNCTION("""COMPUTED_VALUE"""),527.6)</f>
        <v>527.6</v>
      </c>
      <c r="E1708" s="2">
        <f>IFERROR(__xludf.DUMMYFUNCTION("""COMPUTED_VALUE"""),530.63)</f>
        <v>530.63</v>
      </c>
      <c r="F1708" s="2">
        <f>IFERROR(__xludf.DUMMYFUNCTION("""COMPUTED_VALUE"""),2484080.0)</f>
        <v>2484080</v>
      </c>
    </row>
    <row r="1709">
      <c r="A1709" s="3">
        <f>IFERROR(__xludf.DUMMYFUNCTION("""COMPUTED_VALUE"""),39960.645833333336)</f>
        <v>39960.64583</v>
      </c>
      <c r="B1709" s="2">
        <f>IFERROR(__xludf.DUMMYFUNCTION("""COMPUTED_VALUE"""),537.88)</f>
        <v>537.88</v>
      </c>
      <c r="C1709" s="2">
        <f>IFERROR(__xludf.DUMMYFUNCTION("""COMPUTED_VALUE"""),546.05)</f>
        <v>546.05</v>
      </c>
      <c r="D1709" s="2">
        <f>IFERROR(__xludf.DUMMYFUNCTION("""COMPUTED_VALUE"""),533.04)</f>
        <v>533.04</v>
      </c>
      <c r="E1709" s="2">
        <f>IFERROR(__xludf.DUMMYFUNCTION("""COMPUTED_VALUE"""),541.44)</f>
        <v>541.44</v>
      </c>
      <c r="F1709" s="2">
        <f>IFERROR(__xludf.DUMMYFUNCTION("""COMPUTED_VALUE"""),5225093.0)</f>
        <v>5225093</v>
      </c>
    </row>
    <row r="1710">
      <c r="A1710" s="3">
        <f>IFERROR(__xludf.DUMMYFUNCTION("""COMPUTED_VALUE"""),39961.645833333336)</f>
        <v>39961.64583</v>
      </c>
      <c r="B1710" s="2">
        <f>IFERROR(__xludf.DUMMYFUNCTION("""COMPUTED_VALUE"""),539.86)</f>
        <v>539.86</v>
      </c>
      <c r="C1710" s="2">
        <f>IFERROR(__xludf.DUMMYFUNCTION("""COMPUTED_VALUE"""),556.21)</f>
        <v>556.21</v>
      </c>
      <c r="D1710" s="2">
        <f>IFERROR(__xludf.DUMMYFUNCTION("""COMPUTED_VALUE"""),539.86)</f>
        <v>539.86</v>
      </c>
      <c r="E1710" s="2">
        <f>IFERROR(__xludf.DUMMYFUNCTION("""COMPUTED_VALUE"""),549.9)</f>
        <v>549.9</v>
      </c>
      <c r="F1710" s="2">
        <f>IFERROR(__xludf.DUMMYFUNCTION("""COMPUTED_VALUE"""),4498063.0)</f>
        <v>4498063</v>
      </c>
    </row>
    <row r="1711">
      <c r="A1711" s="3">
        <f>IFERROR(__xludf.DUMMYFUNCTION("""COMPUTED_VALUE"""),39962.645833333336)</f>
        <v>39962.64583</v>
      </c>
      <c r="B1711" s="2">
        <f>IFERROR(__xludf.DUMMYFUNCTION("""COMPUTED_VALUE"""),555.91)</f>
        <v>555.91</v>
      </c>
      <c r="C1711" s="2">
        <f>IFERROR(__xludf.DUMMYFUNCTION("""COMPUTED_VALUE"""),571.49)</f>
        <v>571.49</v>
      </c>
      <c r="D1711" s="2">
        <f>IFERROR(__xludf.DUMMYFUNCTION("""COMPUTED_VALUE"""),548.03)</f>
        <v>548.03</v>
      </c>
      <c r="E1711" s="2">
        <f>IFERROR(__xludf.DUMMYFUNCTION("""COMPUTED_VALUE"""),562.62)</f>
        <v>562.62</v>
      </c>
      <c r="F1711" s="2">
        <f>IFERROR(__xludf.DUMMYFUNCTION("""COMPUTED_VALUE"""),6396695.0)</f>
        <v>6396695</v>
      </c>
    </row>
    <row r="1712">
      <c r="A1712" s="3">
        <f>IFERROR(__xludf.DUMMYFUNCTION("""COMPUTED_VALUE"""),39965.645833333336)</f>
        <v>39965.64583</v>
      </c>
      <c r="B1712" s="2">
        <f>IFERROR(__xludf.DUMMYFUNCTION("""COMPUTED_VALUE"""),577.01)</f>
        <v>577.01</v>
      </c>
      <c r="C1712" s="2">
        <f>IFERROR(__xludf.DUMMYFUNCTION("""COMPUTED_VALUE"""),577.01)</f>
        <v>577.01</v>
      </c>
      <c r="D1712" s="2">
        <f>IFERROR(__xludf.DUMMYFUNCTION("""COMPUTED_VALUE"""),558.72)</f>
        <v>558.72</v>
      </c>
      <c r="E1712" s="2">
        <f>IFERROR(__xludf.DUMMYFUNCTION("""COMPUTED_VALUE"""),565.17)</f>
        <v>565.17</v>
      </c>
      <c r="F1712" s="2">
        <f>IFERROR(__xludf.DUMMYFUNCTION("""COMPUTED_VALUE"""),2977383.0)</f>
        <v>2977383</v>
      </c>
    </row>
    <row r="1713">
      <c r="A1713" s="3">
        <f>IFERROR(__xludf.DUMMYFUNCTION("""COMPUTED_VALUE"""),39966.645833333336)</f>
        <v>39966.64583</v>
      </c>
      <c r="B1713" s="2">
        <f>IFERROR(__xludf.DUMMYFUNCTION("""COMPUTED_VALUE"""),569.6)</f>
        <v>569.6</v>
      </c>
      <c r="C1713" s="2">
        <f>IFERROR(__xludf.DUMMYFUNCTION("""COMPUTED_VALUE"""),571.67)</f>
        <v>571.67</v>
      </c>
      <c r="D1713" s="2">
        <f>IFERROR(__xludf.DUMMYFUNCTION("""COMPUTED_VALUE"""),550.77)</f>
        <v>550.77</v>
      </c>
      <c r="E1713" s="2">
        <f>IFERROR(__xludf.DUMMYFUNCTION("""COMPUTED_VALUE"""),564.43)</f>
        <v>564.43</v>
      </c>
      <c r="F1713" s="2">
        <f>IFERROR(__xludf.DUMMYFUNCTION("""COMPUTED_VALUE"""),3299111.0)</f>
        <v>3299111</v>
      </c>
    </row>
    <row r="1714">
      <c r="A1714" s="3">
        <f>IFERROR(__xludf.DUMMYFUNCTION("""COMPUTED_VALUE"""),39967.645833333336)</f>
        <v>39967.64583</v>
      </c>
      <c r="B1714" s="2">
        <f>IFERROR(__xludf.DUMMYFUNCTION("""COMPUTED_VALUE"""),560.0)</f>
        <v>560</v>
      </c>
      <c r="C1714" s="2">
        <f>IFERROR(__xludf.DUMMYFUNCTION("""COMPUTED_VALUE"""),571.44)</f>
        <v>571.44</v>
      </c>
      <c r="D1714" s="2">
        <f>IFERROR(__xludf.DUMMYFUNCTION("""COMPUTED_VALUE"""),551.13)</f>
        <v>551.13</v>
      </c>
      <c r="E1714" s="2">
        <f>IFERROR(__xludf.DUMMYFUNCTION("""COMPUTED_VALUE"""),556.18)</f>
        <v>556.18</v>
      </c>
      <c r="F1714" s="2">
        <f>IFERROR(__xludf.DUMMYFUNCTION("""COMPUTED_VALUE"""),3438123.0)</f>
        <v>3438123</v>
      </c>
    </row>
    <row r="1715">
      <c r="A1715" s="3">
        <f>IFERROR(__xludf.DUMMYFUNCTION("""COMPUTED_VALUE"""),39968.645833333336)</f>
        <v>39968.64583</v>
      </c>
      <c r="B1715" s="2">
        <f>IFERROR(__xludf.DUMMYFUNCTION("""COMPUTED_VALUE"""),550.96)</f>
        <v>550.96</v>
      </c>
      <c r="C1715" s="2">
        <f>IFERROR(__xludf.DUMMYFUNCTION("""COMPUTED_VALUE"""),561.87)</f>
        <v>561.87</v>
      </c>
      <c r="D1715" s="2">
        <f>IFERROR(__xludf.DUMMYFUNCTION("""COMPUTED_VALUE"""),534.91)</f>
        <v>534.91</v>
      </c>
      <c r="E1715" s="2">
        <f>IFERROR(__xludf.DUMMYFUNCTION("""COMPUTED_VALUE"""),560.11)</f>
        <v>560.11</v>
      </c>
      <c r="F1715" s="2">
        <f>IFERROR(__xludf.DUMMYFUNCTION("""COMPUTED_VALUE"""),3860237.0)</f>
        <v>3860237</v>
      </c>
    </row>
    <row r="1716">
      <c r="A1716" s="3">
        <f>IFERROR(__xludf.DUMMYFUNCTION("""COMPUTED_VALUE"""),39969.645833333336)</f>
        <v>39969.64583</v>
      </c>
      <c r="B1716" s="2">
        <f>IFERROR(__xludf.DUMMYFUNCTION("""COMPUTED_VALUE"""),563.39)</f>
        <v>563.39</v>
      </c>
      <c r="C1716" s="2">
        <f>IFERROR(__xludf.DUMMYFUNCTION("""COMPUTED_VALUE"""),564.87)</f>
        <v>564.87</v>
      </c>
      <c r="D1716" s="2">
        <f>IFERROR(__xludf.DUMMYFUNCTION("""COMPUTED_VALUE"""),542.34)</f>
        <v>542.34</v>
      </c>
      <c r="E1716" s="2">
        <f>IFERROR(__xludf.DUMMYFUNCTION("""COMPUTED_VALUE"""),547.97)</f>
        <v>547.97</v>
      </c>
      <c r="F1716" s="2">
        <f>IFERROR(__xludf.DUMMYFUNCTION("""COMPUTED_VALUE"""),4677671.0)</f>
        <v>4677671</v>
      </c>
    </row>
    <row r="1717">
      <c r="A1717" s="3">
        <f>IFERROR(__xludf.DUMMYFUNCTION("""COMPUTED_VALUE"""),39972.645833333336)</f>
        <v>39972.64583</v>
      </c>
      <c r="B1717" s="2">
        <f>IFERROR(__xludf.DUMMYFUNCTION("""COMPUTED_VALUE"""),546.55)</f>
        <v>546.55</v>
      </c>
      <c r="C1717" s="2">
        <f>IFERROR(__xludf.DUMMYFUNCTION("""COMPUTED_VALUE"""),560.12)</f>
        <v>560.12</v>
      </c>
      <c r="D1717" s="2">
        <f>IFERROR(__xludf.DUMMYFUNCTION("""COMPUTED_VALUE"""),538.87)</f>
        <v>538.87</v>
      </c>
      <c r="E1717" s="2">
        <f>IFERROR(__xludf.DUMMYFUNCTION("""COMPUTED_VALUE"""),543.33)</f>
        <v>543.33</v>
      </c>
      <c r="F1717" s="2">
        <f>IFERROR(__xludf.DUMMYFUNCTION("""COMPUTED_VALUE"""),3778012.0)</f>
        <v>3778012</v>
      </c>
    </row>
    <row r="1718">
      <c r="A1718" s="3">
        <f>IFERROR(__xludf.DUMMYFUNCTION("""COMPUTED_VALUE"""),39973.645833333336)</f>
        <v>39973.64583</v>
      </c>
      <c r="B1718" s="2">
        <f>IFERROR(__xludf.DUMMYFUNCTION("""COMPUTED_VALUE"""),541.84)</f>
        <v>541.84</v>
      </c>
      <c r="C1718" s="2">
        <f>IFERROR(__xludf.DUMMYFUNCTION("""COMPUTED_VALUE"""),567.35)</f>
        <v>567.35</v>
      </c>
      <c r="D1718" s="2">
        <f>IFERROR(__xludf.DUMMYFUNCTION("""COMPUTED_VALUE"""),538.62)</f>
        <v>538.62</v>
      </c>
      <c r="E1718" s="2">
        <f>IFERROR(__xludf.DUMMYFUNCTION("""COMPUTED_VALUE"""),562.68)</f>
        <v>562.68</v>
      </c>
      <c r="F1718" s="2">
        <f>IFERROR(__xludf.DUMMYFUNCTION("""COMPUTED_VALUE"""),4153933.0)</f>
        <v>4153933</v>
      </c>
    </row>
    <row r="1719">
      <c r="A1719" s="3">
        <f>IFERROR(__xludf.DUMMYFUNCTION("""COMPUTED_VALUE"""),39974.645833333336)</f>
        <v>39974.64583</v>
      </c>
      <c r="B1719" s="2">
        <f>IFERROR(__xludf.DUMMYFUNCTION("""COMPUTED_VALUE"""),567.35)</f>
        <v>567.35</v>
      </c>
      <c r="C1719" s="2">
        <f>IFERROR(__xludf.DUMMYFUNCTION("""COMPUTED_VALUE"""),579.46)</f>
        <v>579.46</v>
      </c>
      <c r="D1719" s="2">
        <f>IFERROR(__xludf.DUMMYFUNCTION("""COMPUTED_VALUE"""),566.15)</f>
        <v>566.15</v>
      </c>
      <c r="E1719" s="2">
        <f>IFERROR(__xludf.DUMMYFUNCTION("""COMPUTED_VALUE"""),574.58)</f>
        <v>574.58</v>
      </c>
      <c r="F1719" s="2">
        <f>IFERROR(__xludf.DUMMYFUNCTION("""COMPUTED_VALUE"""),3965233.0)</f>
        <v>3965233</v>
      </c>
    </row>
    <row r="1720">
      <c r="A1720" s="3">
        <f>IFERROR(__xludf.DUMMYFUNCTION("""COMPUTED_VALUE"""),39975.645833333336)</f>
        <v>39975.64583</v>
      </c>
      <c r="B1720" s="2">
        <f>IFERROR(__xludf.DUMMYFUNCTION("""COMPUTED_VALUE"""),574.53)</f>
        <v>574.53</v>
      </c>
      <c r="C1720" s="2">
        <f>IFERROR(__xludf.DUMMYFUNCTION("""COMPUTED_VALUE"""),575.77)</f>
        <v>575.77</v>
      </c>
      <c r="D1720" s="2">
        <f>IFERROR(__xludf.DUMMYFUNCTION("""COMPUTED_VALUE"""),565.25)</f>
        <v>565.25</v>
      </c>
      <c r="E1720" s="2">
        <f>IFERROR(__xludf.DUMMYFUNCTION("""COMPUTED_VALUE"""),570.38)</f>
        <v>570.38</v>
      </c>
      <c r="F1720" s="2">
        <f>IFERROR(__xludf.DUMMYFUNCTION("""COMPUTED_VALUE"""),2541401.0)</f>
        <v>2541401</v>
      </c>
    </row>
    <row r="1721">
      <c r="A1721" s="3">
        <f>IFERROR(__xludf.DUMMYFUNCTION("""COMPUTED_VALUE"""),39976.645833333336)</f>
        <v>39976.64583</v>
      </c>
      <c r="B1721" s="2">
        <f>IFERROR(__xludf.DUMMYFUNCTION("""COMPUTED_VALUE"""),572.06)</f>
        <v>572.06</v>
      </c>
      <c r="C1721" s="2">
        <f>IFERROR(__xludf.DUMMYFUNCTION("""COMPUTED_VALUE"""),589.14)</f>
        <v>589.14</v>
      </c>
      <c r="D1721" s="2">
        <f>IFERROR(__xludf.DUMMYFUNCTION("""COMPUTED_VALUE"""),570.88)</f>
        <v>570.88</v>
      </c>
      <c r="E1721" s="2">
        <f>IFERROR(__xludf.DUMMYFUNCTION("""COMPUTED_VALUE"""),584.96)</f>
        <v>584.96</v>
      </c>
      <c r="F1721" s="2">
        <f>IFERROR(__xludf.DUMMYFUNCTION("""COMPUTED_VALUE"""),4916730.0)</f>
        <v>4916730</v>
      </c>
    </row>
    <row r="1722">
      <c r="A1722" s="3">
        <f>IFERROR(__xludf.DUMMYFUNCTION("""COMPUTED_VALUE"""),39979.645833333336)</f>
        <v>39979.64583</v>
      </c>
      <c r="B1722" s="2">
        <f>IFERROR(__xludf.DUMMYFUNCTION("""COMPUTED_VALUE"""),584.36)</f>
        <v>584.36</v>
      </c>
      <c r="C1722" s="2">
        <f>IFERROR(__xludf.DUMMYFUNCTION("""COMPUTED_VALUE"""),584.36)</f>
        <v>584.36</v>
      </c>
      <c r="D1722" s="2">
        <f>IFERROR(__xludf.DUMMYFUNCTION("""COMPUTED_VALUE"""),536.22)</f>
        <v>536.22</v>
      </c>
      <c r="E1722" s="2">
        <f>IFERROR(__xludf.DUMMYFUNCTION("""COMPUTED_VALUE"""),539.57)</f>
        <v>539.57</v>
      </c>
      <c r="F1722" s="2">
        <f>IFERROR(__xludf.DUMMYFUNCTION("""COMPUTED_VALUE"""),7140962.0)</f>
        <v>7140962</v>
      </c>
    </row>
    <row r="1723">
      <c r="A1723" s="3">
        <f>IFERROR(__xludf.DUMMYFUNCTION("""COMPUTED_VALUE"""),39980.645833333336)</f>
        <v>39980.64583</v>
      </c>
      <c r="B1723" s="2">
        <f>IFERROR(__xludf.DUMMYFUNCTION("""COMPUTED_VALUE"""),532.43)</f>
        <v>532.43</v>
      </c>
      <c r="C1723" s="2">
        <f>IFERROR(__xludf.DUMMYFUNCTION("""COMPUTED_VALUE"""),541.08)</f>
        <v>541.08</v>
      </c>
      <c r="D1723" s="2">
        <f>IFERROR(__xludf.DUMMYFUNCTION("""COMPUTED_VALUE"""),526.64)</f>
        <v>526.64</v>
      </c>
      <c r="E1723" s="2">
        <f>IFERROR(__xludf.DUMMYFUNCTION("""COMPUTED_VALUE"""),530.79)</f>
        <v>530.79</v>
      </c>
      <c r="F1723" s="2">
        <f>IFERROR(__xludf.DUMMYFUNCTION("""COMPUTED_VALUE"""),5128268.0)</f>
        <v>5128268</v>
      </c>
    </row>
    <row r="1724">
      <c r="A1724" s="3">
        <f>IFERROR(__xludf.DUMMYFUNCTION("""COMPUTED_VALUE"""),39981.645833333336)</f>
        <v>39981.64583</v>
      </c>
      <c r="B1724" s="2">
        <f>IFERROR(__xludf.DUMMYFUNCTION("""COMPUTED_VALUE"""),526.44)</f>
        <v>526.44</v>
      </c>
      <c r="C1724" s="2">
        <f>IFERROR(__xludf.DUMMYFUNCTION("""COMPUTED_VALUE"""),539.37)</f>
        <v>539.37</v>
      </c>
      <c r="D1724" s="2">
        <f>IFERROR(__xludf.DUMMYFUNCTION("""COMPUTED_VALUE"""),504.29)</f>
        <v>504.29</v>
      </c>
      <c r="E1724" s="2">
        <f>IFERROR(__xludf.DUMMYFUNCTION("""COMPUTED_VALUE"""),508.0)</f>
        <v>508</v>
      </c>
      <c r="F1724" s="2">
        <f>IFERROR(__xludf.DUMMYFUNCTION("""COMPUTED_VALUE"""),4919878.0)</f>
        <v>4919878</v>
      </c>
    </row>
    <row r="1725">
      <c r="A1725" s="3">
        <f>IFERROR(__xludf.DUMMYFUNCTION("""COMPUTED_VALUE"""),39982.645833333336)</f>
        <v>39982.64583</v>
      </c>
      <c r="B1725" s="2">
        <f>IFERROR(__xludf.DUMMYFUNCTION("""COMPUTED_VALUE"""),509.65)</f>
        <v>509.65</v>
      </c>
      <c r="C1725" s="2">
        <f>IFERROR(__xludf.DUMMYFUNCTION("""COMPUTED_VALUE"""),513.24)</f>
        <v>513.24</v>
      </c>
      <c r="D1725" s="2">
        <f>IFERROR(__xludf.DUMMYFUNCTION("""COMPUTED_VALUE"""),492.84)</f>
        <v>492.84</v>
      </c>
      <c r="E1725" s="2">
        <f>IFERROR(__xludf.DUMMYFUNCTION("""COMPUTED_VALUE"""),501.49)</f>
        <v>501.49</v>
      </c>
      <c r="F1725" s="2">
        <f>IFERROR(__xludf.DUMMYFUNCTION("""COMPUTED_VALUE"""),6207405.0)</f>
        <v>6207405</v>
      </c>
    </row>
    <row r="1726">
      <c r="A1726" s="3">
        <f>IFERROR(__xludf.DUMMYFUNCTION("""COMPUTED_VALUE"""),39983.645833333336)</f>
        <v>39983.64583</v>
      </c>
      <c r="B1726" s="2">
        <f>IFERROR(__xludf.DUMMYFUNCTION("""COMPUTED_VALUE"""),506.43)</f>
        <v>506.43</v>
      </c>
      <c r="C1726" s="2">
        <f>IFERROR(__xludf.DUMMYFUNCTION("""COMPUTED_VALUE"""),510.75)</f>
        <v>510.75</v>
      </c>
      <c r="D1726" s="2">
        <f>IFERROR(__xludf.DUMMYFUNCTION("""COMPUTED_VALUE"""),489.62)</f>
        <v>489.62</v>
      </c>
      <c r="E1726" s="2">
        <f>IFERROR(__xludf.DUMMYFUNCTION("""COMPUTED_VALUE"""),505.56)</f>
        <v>505.56</v>
      </c>
      <c r="F1726" s="2">
        <f>IFERROR(__xludf.DUMMYFUNCTION("""COMPUTED_VALUE"""),4851582.0)</f>
        <v>4851582</v>
      </c>
    </row>
    <row r="1727">
      <c r="A1727" s="3">
        <f>IFERROR(__xludf.DUMMYFUNCTION("""COMPUTED_VALUE"""),39986.645833333336)</f>
        <v>39986.64583</v>
      </c>
      <c r="B1727" s="2">
        <f>IFERROR(__xludf.DUMMYFUNCTION("""COMPUTED_VALUE"""),507.1)</f>
        <v>507.1</v>
      </c>
      <c r="C1727" s="2">
        <f>IFERROR(__xludf.DUMMYFUNCTION("""COMPUTED_VALUE"""),507.67)</f>
        <v>507.67</v>
      </c>
      <c r="D1727" s="2">
        <f>IFERROR(__xludf.DUMMYFUNCTION("""COMPUTED_VALUE"""),478.58)</f>
        <v>478.58</v>
      </c>
      <c r="E1727" s="2">
        <f>IFERROR(__xludf.DUMMYFUNCTION("""COMPUTED_VALUE"""),483.52)</f>
        <v>483.52</v>
      </c>
      <c r="F1727" s="2">
        <f>IFERROR(__xludf.DUMMYFUNCTION("""COMPUTED_VALUE"""),4621154.0)</f>
        <v>4621154</v>
      </c>
    </row>
    <row r="1728">
      <c r="A1728" s="3">
        <f>IFERROR(__xludf.DUMMYFUNCTION("""COMPUTED_VALUE"""),39987.645833333336)</f>
        <v>39987.64583</v>
      </c>
      <c r="B1728" s="2">
        <f>IFERROR(__xludf.DUMMYFUNCTION("""COMPUTED_VALUE"""),470.52)</f>
        <v>470.52</v>
      </c>
      <c r="C1728" s="2">
        <f>IFERROR(__xludf.DUMMYFUNCTION("""COMPUTED_VALUE"""),503.63)</f>
        <v>503.63</v>
      </c>
      <c r="D1728" s="2">
        <f>IFERROR(__xludf.DUMMYFUNCTION("""COMPUTED_VALUE"""),470.52)</f>
        <v>470.52</v>
      </c>
      <c r="E1728" s="2">
        <f>IFERROR(__xludf.DUMMYFUNCTION("""COMPUTED_VALUE"""),499.08)</f>
        <v>499.08</v>
      </c>
      <c r="F1728" s="2">
        <f>IFERROR(__xludf.DUMMYFUNCTION("""COMPUTED_VALUE"""),5946495.0)</f>
        <v>5946495</v>
      </c>
    </row>
    <row r="1729">
      <c r="A1729" s="3">
        <f>IFERROR(__xludf.DUMMYFUNCTION("""COMPUTED_VALUE"""),39988.645833333336)</f>
        <v>39988.64583</v>
      </c>
      <c r="B1729" s="2">
        <f>IFERROR(__xludf.DUMMYFUNCTION("""COMPUTED_VALUE"""),501.48)</f>
        <v>501.48</v>
      </c>
      <c r="C1729" s="2">
        <f>IFERROR(__xludf.DUMMYFUNCTION("""COMPUTED_VALUE"""),504.14)</f>
        <v>504.14</v>
      </c>
      <c r="D1729" s="2">
        <f>IFERROR(__xludf.DUMMYFUNCTION("""COMPUTED_VALUE"""),488.37)</f>
        <v>488.37</v>
      </c>
      <c r="E1729" s="2">
        <f>IFERROR(__xludf.DUMMYFUNCTION("""COMPUTED_VALUE"""),495.87)</f>
        <v>495.87</v>
      </c>
      <c r="F1729" s="2">
        <f>IFERROR(__xludf.DUMMYFUNCTION("""COMPUTED_VALUE"""),4710244.0)</f>
        <v>4710244</v>
      </c>
    </row>
    <row r="1730">
      <c r="A1730" s="3">
        <f>IFERROR(__xludf.DUMMYFUNCTION("""COMPUTED_VALUE"""),39989.645833333336)</f>
        <v>39989.64583</v>
      </c>
      <c r="B1730" s="2">
        <f>IFERROR(__xludf.DUMMYFUNCTION("""COMPUTED_VALUE"""),495.58)</f>
        <v>495.58</v>
      </c>
      <c r="C1730" s="2">
        <f>IFERROR(__xludf.DUMMYFUNCTION("""COMPUTED_VALUE"""),501.23)</f>
        <v>501.23</v>
      </c>
      <c r="D1730" s="2">
        <f>IFERROR(__xludf.DUMMYFUNCTION("""COMPUTED_VALUE"""),481.04)</f>
        <v>481.04</v>
      </c>
      <c r="E1730" s="2">
        <f>IFERROR(__xludf.DUMMYFUNCTION("""COMPUTED_VALUE"""),484.91)</f>
        <v>484.91</v>
      </c>
      <c r="F1730" s="2">
        <f>IFERROR(__xludf.DUMMYFUNCTION("""COMPUTED_VALUE"""),5335839.0)</f>
        <v>5335839</v>
      </c>
    </row>
    <row r="1731">
      <c r="A1731" s="3">
        <f>IFERROR(__xludf.DUMMYFUNCTION("""COMPUTED_VALUE"""),39990.645833333336)</f>
        <v>39990.64583</v>
      </c>
      <c r="B1731" s="2">
        <f>IFERROR(__xludf.DUMMYFUNCTION("""COMPUTED_VALUE"""),486.9)</f>
        <v>486.9</v>
      </c>
      <c r="C1731" s="2">
        <f>IFERROR(__xludf.DUMMYFUNCTION("""COMPUTED_VALUE"""),504.45)</f>
        <v>504.45</v>
      </c>
      <c r="D1731" s="2">
        <f>IFERROR(__xludf.DUMMYFUNCTION("""COMPUTED_VALUE"""),486.11)</f>
        <v>486.11</v>
      </c>
      <c r="E1731" s="2">
        <f>IFERROR(__xludf.DUMMYFUNCTION("""COMPUTED_VALUE"""),502.52)</f>
        <v>502.52</v>
      </c>
      <c r="F1731" s="2">
        <f>IFERROR(__xludf.DUMMYFUNCTION("""COMPUTED_VALUE"""),3979065.0)</f>
        <v>3979065</v>
      </c>
    </row>
    <row r="1732">
      <c r="A1732" s="3">
        <f>IFERROR(__xludf.DUMMYFUNCTION("""COMPUTED_VALUE"""),39993.645833333336)</f>
        <v>39993.64583</v>
      </c>
      <c r="B1732" s="2">
        <f>IFERROR(__xludf.DUMMYFUNCTION("""COMPUTED_VALUE"""),501.73)</f>
        <v>501.73</v>
      </c>
      <c r="C1732" s="2">
        <f>IFERROR(__xludf.DUMMYFUNCTION("""COMPUTED_VALUE"""),523.25)</f>
        <v>523.25</v>
      </c>
      <c r="D1732" s="2">
        <f>IFERROR(__xludf.DUMMYFUNCTION("""COMPUTED_VALUE"""),496.46)</f>
        <v>496.46</v>
      </c>
      <c r="E1732" s="2">
        <f>IFERROR(__xludf.DUMMYFUNCTION("""COMPUTED_VALUE"""),516.83)</f>
        <v>516.83</v>
      </c>
      <c r="F1732" s="2">
        <f>IFERROR(__xludf.DUMMYFUNCTION("""COMPUTED_VALUE"""),3726361.0)</f>
        <v>3726361</v>
      </c>
    </row>
    <row r="1733">
      <c r="A1733" s="3">
        <f>IFERROR(__xludf.DUMMYFUNCTION("""COMPUTED_VALUE"""),39994.645833333336)</f>
        <v>39994.64583</v>
      </c>
      <c r="B1733" s="2">
        <f>IFERROR(__xludf.DUMMYFUNCTION("""COMPUTED_VALUE"""),520.05)</f>
        <v>520.05</v>
      </c>
      <c r="C1733" s="2">
        <f>IFERROR(__xludf.DUMMYFUNCTION("""COMPUTED_VALUE"""),522.35)</f>
        <v>522.35</v>
      </c>
      <c r="D1733" s="2">
        <f>IFERROR(__xludf.DUMMYFUNCTION("""COMPUTED_VALUE"""),497.91)</f>
        <v>497.91</v>
      </c>
      <c r="E1733" s="2">
        <f>IFERROR(__xludf.DUMMYFUNCTION("""COMPUTED_VALUE"""),501.08)</f>
        <v>501.08</v>
      </c>
      <c r="F1733" s="2">
        <f>IFERROR(__xludf.DUMMYFUNCTION("""COMPUTED_VALUE"""),2981288.0)</f>
        <v>2981288</v>
      </c>
    </row>
    <row r="1734">
      <c r="A1734" s="3">
        <f>IFERROR(__xludf.DUMMYFUNCTION("""COMPUTED_VALUE"""),39995.645833333336)</f>
        <v>39995.64583</v>
      </c>
      <c r="B1734" s="2">
        <f>IFERROR(__xludf.DUMMYFUNCTION("""COMPUTED_VALUE"""),502.69)</f>
        <v>502.69</v>
      </c>
      <c r="C1734" s="2">
        <f>IFERROR(__xludf.DUMMYFUNCTION("""COMPUTED_VALUE"""),516.34)</f>
        <v>516.34</v>
      </c>
      <c r="D1734" s="2">
        <f>IFERROR(__xludf.DUMMYFUNCTION("""COMPUTED_VALUE"""),492.32)</f>
        <v>492.32</v>
      </c>
      <c r="E1734" s="2">
        <f>IFERROR(__xludf.DUMMYFUNCTION("""COMPUTED_VALUE"""),509.85)</f>
        <v>509.85</v>
      </c>
      <c r="F1734" s="2">
        <f>IFERROR(__xludf.DUMMYFUNCTION("""COMPUTED_VALUE"""),3718079.0)</f>
        <v>3718079</v>
      </c>
    </row>
    <row r="1735">
      <c r="A1735" s="3">
        <f>IFERROR(__xludf.DUMMYFUNCTION("""COMPUTED_VALUE"""),39996.645833333336)</f>
        <v>39996.64583</v>
      </c>
      <c r="B1735" s="2">
        <f>IFERROR(__xludf.DUMMYFUNCTION("""COMPUTED_VALUE"""),540.61)</f>
        <v>540.61</v>
      </c>
      <c r="C1735" s="2">
        <f>IFERROR(__xludf.DUMMYFUNCTION("""COMPUTED_VALUE"""),540.61)</f>
        <v>540.61</v>
      </c>
      <c r="D1735" s="2">
        <f>IFERROR(__xludf.DUMMYFUNCTION("""COMPUTED_VALUE"""),494.14)</f>
        <v>494.14</v>
      </c>
      <c r="E1735" s="2">
        <f>IFERROR(__xludf.DUMMYFUNCTION("""COMPUTED_VALUE"""),498.1)</f>
        <v>498.1</v>
      </c>
      <c r="F1735" s="2">
        <f>IFERROR(__xludf.DUMMYFUNCTION("""COMPUTED_VALUE"""),3850061.0)</f>
        <v>3850061</v>
      </c>
    </row>
    <row r="1736">
      <c r="A1736" s="3">
        <f>IFERROR(__xludf.DUMMYFUNCTION("""COMPUTED_VALUE"""),39997.645833333336)</f>
        <v>39997.64583</v>
      </c>
      <c r="B1736" s="2">
        <f>IFERROR(__xludf.DUMMYFUNCTION("""COMPUTED_VALUE"""),495.29)</f>
        <v>495.29</v>
      </c>
      <c r="C1736" s="2">
        <f>IFERROR(__xludf.DUMMYFUNCTION("""COMPUTED_VALUE"""),503.98)</f>
        <v>503.98</v>
      </c>
      <c r="D1736" s="2">
        <f>IFERROR(__xludf.DUMMYFUNCTION("""COMPUTED_VALUE"""),490.33)</f>
        <v>490.33</v>
      </c>
      <c r="E1736" s="2">
        <f>IFERROR(__xludf.DUMMYFUNCTION("""COMPUTED_VALUE"""),502.13)</f>
        <v>502.13</v>
      </c>
      <c r="F1736" s="2">
        <f>IFERROR(__xludf.DUMMYFUNCTION("""COMPUTED_VALUE"""),4332698.0)</f>
        <v>4332698</v>
      </c>
    </row>
    <row r="1737">
      <c r="A1737" s="3">
        <f>IFERROR(__xludf.DUMMYFUNCTION("""COMPUTED_VALUE"""),40000.645833333336)</f>
        <v>40000.64583</v>
      </c>
      <c r="B1737" s="2">
        <f>IFERROR(__xludf.DUMMYFUNCTION("""COMPUTED_VALUE"""),507.17)</f>
        <v>507.17</v>
      </c>
      <c r="C1737" s="2">
        <f>IFERROR(__xludf.DUMMYFUNCTION("""COMPUTED_VALUE"""),508.16)</f>
        <v>508.16</v>
      </c>
      <c r="D1737" s="2">
        <f>IFERROR(__xludf.DUMMYFUNCTION("""COMPUTED_VALUE"""),460.88)</f>
        <v>460.88</v>
      </c>
      <c r="E1737" s="2">
        <f>IFERROR(__xludf.DUMMYFUNCTION("""COMPUTED_VALUE"""),468.83)</f>
        <v>468.83</v>
      </c>
      <c r="F1737" s="2">
        <f>IFERROR(__xludf.DUMMYFUNCTION("""COMPUTED_VALUE"""),5923485.0)</f>
        <v>5923485</v>
      </c>
    </row>
    <row r="1738">
      <c r="A1738" s="3">
        <f>IFERROR(__xludf.DUMMYFUNCTION("""COMPUTED_VALUE"""),40001.645833333336)</f>
        <v>40001.64583</v>
      </c>
      <c r="B1738" s="2">
        <f>IFERROR(__xludf.DUMMYFUNCTION("""COMPUTED_VALUE"""),470.77)</f>
        <v>470.77</v>
      </c>
      <c r="C1738" s="2">
        <f>IFERROR(__xludf.DUMMYFUNCTION("""COMPUTED_VALUE"""),473.74)</f>
        <v>473.74</v>
      </c>
      <c r="D1738" s="2">
        <f>IFERROR(__xludf.DUMMYFUNCTION("""COMPUTED_VALUE"""),452.0)</f>
        <v>452</v>
      </c>
      <c r="E1738" s="2">
        <f>IFERROR(__xludf.DUMMYFUNCTION("""COMPUTED_VALUE"""),459.49)</f>
        <v>459.49</v>
      </c>
      <c r="F1738" s="2">
        <f>IFERROR(__xludf.DUMMYFUNCTION("""COMPUTED_VALUE"""),5835396.0)</f>
        <v>5835396</v>
      </c>
    </row>
    <row r="1739">
      <c r="A1739" s="3">
        <f>IFERROR(__xludf.DUMMYFUNCTION("""COMPUTED_VALUE"""),40002.645833333336)</f>
        <v>40002.64583</v>
      </c>
      <c r="B1739" s="2">
        <f>IFERROR(__xludf.DUMMYFUNCTION("""COMPUTED_VALUE"""),459.49)</f>
        <v>459.49</v>
      </c>
      <c r="C1739" s="2">
        <f>IFERROR(__xludf.DUMMYFUNCTION("""COMPUTED_VALUE"""),468.05)</f>
        <v>468.05</v>
      </c>
      <c r="D1739" s="2">
        <f>IFERROR(__xludf.DUMMYFUNCTION("""COMPUTED_VALUE"""),445.09)</f>
        <v>445.09</v>
      </c>
      <c r="E1739" s="2">
        <f>IFERROR(__xludf.DUMMYFUNCTION("""COMPUTED_VALUE"""),453.1)</f>
        <v>453.1</v>
      </c>
      <c r="F1739" s="2">
        <f>IFERROR(__xludf.DUMMYFUNCTION("""COMPUTED_VALUE"""),5771172.0)</f>
        <v>5771172</v>
      </c>
    </row>
    <row r="1740">
      <c r="A1740" s="3">
        <f>IFERROR(__xludf.DUMMYFUNCTION("""COMPUTED_VALUE"""),40003.645833333336)</f>
        <v>40003.64583</v>
      </c>
      <c r="B1740" s="2">
        <f>IFERROR(__xludf.DUMMYFUNCTION("""COMPUTED_VALUE"""),454.43)</f>
        <v>454.43</v>
      </c>
      <c r="C1740" s="2">
        <f>IFERROR(__xludf.DUMMYFUNCTION("""COMPUTED_VALUE"""),464.31)</f>
        <v>464.31</v>
      </c>
      <c r="D1740" s="2">
        <f>IFERROR(__xludf.DUMMYFUNCTION("""COMPUTED_VALUE"""),453.21)</f>
        <v>453.21</v>
      </c>
      <c r="E1740" s="2">
        <f>IFERROR(__xludf.DUMMYFUNCTION("""COMPUTED_VALUE"""),458.98)</f>
        <v>458.98</v>
      </c>
      <c r="F1740" s="2">
        <f>IFERROR(__xludf.DUMMYFUNCTION("""COMPUTED_VALUE"""),3688001.0)</f>
        <v>3688001</v>
      </c>
    </row>
    <row r="1741">
      <c r="A1741" s="3">
        <f>IFERROR(__xludf.DUMMYFUNCTION("""COMPUTED_VALUE"""),40004.645833333336)</f>
        <v>40004.64583</v>
      </c>
      <c r="B1741" s="2">
        <f>IFERROR(__xludf.DUMMYFUNCTION("""COMPUTED_VALUE"""),458.88)</f>
        <v>458.88</v>
      </c>
      <c r="C1741" s="2">
        <f>IFERROR(__xludf.DUMMYFUNCTION("""COMPUTED_VALUE"""),462.34)</f>
        <v>462.34</v>
      </c>
      <c r="D1741" s="2">
        <f>IFERROR(__xludf.DUMMYFUNCTION("""COMPUTED_VALUE"""),432.14)</f>
        <v>432.14</v>
      </c>
      <c r="E1741" s="2">
        <f>IFERROR(__xludf.DUMMYFUNCTION("""COMPUTED_VALUE"""),439.6)</f>
        <v>439.6</v>
      </c>
      <c r="F1741" s="2">
        <f>IFERROR(__xludf.DUMMYFUNCTION("""COMPUTED_VALUE"""),4201235.0)</f>
        <v>4201235</v>
      </c>
    </row>
    <row r="1742">
      <c r="A1742" s="3">
        <f>IFERROR(__xludf.DUMMYFUNCTION("""COMPUTED_VALUE"""),40007.645833333336)</f>
        <v>40007.64583</v>
      </c>
      <c r="B1742" s="2">
        <f>IFERROR(__xludf.DUMMYFUNCTION("""COMPUTED_VALUE"""),433.3)</f>
        <v>433.3</v>
      </c>
      <c r="C1742" s="2">
        <f>IFERROR(__xludf.DUMMYFUNCTION("""COMPUTED_VALUE"""),437.96)</f>
        <v>437.96</v>
      </c>
      <c r="D1742" s="2">
        <f>IFERROR(__xludf.DUMMYFUNCTION("""COMPUTED_VALUE"""),425.23)</f>
        <v>425.23</v>
      </c>
      <c r="E1742" s="2">
        <f>IFERROR(__xludf.DUMMYFUNCTION("""COMPUTED_VALUE"""),433.61)</f>
        <v>433.61</v>
      </c>
      <c r="F1742" s="2">
        <f>IFERROR(__xludf.DUMMYFUNCTION("""COMPUTED_VALUE"""),4149470.0)</f>
        <v>4149470</v>
      </c>
    </row>
    <row r="1743">
      <c r="A1743" s="3">
        <f>IFERROR(__xludf.DUMMYFUNCTION("""COMPUTED_VALUE"""),40008.645833333336)</f>
        <v>40008.64583</v>
      </c>
      <c r="B1743" s="2">
        <f>IFERROR(__xludf.DUMMYFUNCTION("""COMPUTED_VALUE"""),439.32)</f>
        <v>439.32</v>
      </c>
      <c r="C1743" s="2">
        <f>IFERROR(__xludf.DUMMYFUNCTION("""COMPUTED_VALUE"""),451.95)</f>
        <v>451.95</v>
      </c>
      <c r="D1743" s="2">
        <f>IFERROR(__xludf.DUMMYFUNCTION("""COMPUTED_VALUE"""),437.34)</f>
        <v>437.34</v>
      </c>
      <c r="E1743" s="2">
        <f>IFERROR(__xludf.DUMMYFUNCTION("""COMPUTED_VALUE"""),449.24)</f>
        <v>449.24</v>
      </c>
      <c r="F1743" s="2">
        <f>IFERROR(__xludf.DUMMYFUNCTION("""COMPUTED_VALUE"""),3699051.0)</f>
        <v>3699051</v>
      </c>
    </row>
    <row r="1744">
      <c r="A1744" s="3">
        <f>IFERROR(__xludf.DUMMYFUNCTION("""COMPUTED_VALUE"""),40009.645833333336)</f>
        <v>40009.64583</v>
      </c>
      <c r="B1744" s="2">
        <f>IFERROR(__xludf.DUMMYFUNCTION("""COMPUTED_VALUE"""),458.14)</f>
        <v>458.14</v>
      </c>
      <c r="C1744" s="2">
        <f>IFERROR(__xludf.DUMMYFUNCTION("""COMPUTED_VALUE"""),468.05)</f>
        <v>468.05</v>
      </c>
      <c r="D1744" s="2">
        <f>IFERROR(__xludf.DUMMYFUNCTION("""COMPUTED_VALUE"""),447.38)</f>
        <v>447.38</v>
      </c>
      <c r="E1744" s="2">
        <f>IFERROR(__xludf.DUMMYFUNCTION("""COMPUTED_VALUE"""),464.65)</f>
        <v>464.65</v>
      </c>
      <c r="F1744" s="2">
        <f>IFERROR(__xludf.DUMMYFUNCTION("""COMPUTED_VALUE"""),3173993.0)</f>
        <v>3173993</v>
      </c>
    </row>
    <row r="1745">
      <c r="A1745" s="3">
        <f>IFERROR(__xludf.DUMMYFUNCTION("""COMPUTED_VALUE"""),40010.645833333336)</f>
        <v>40010.64583</v>
      </c>
      <c r="B1745" s="2">
        <f>IFERROR(__xludf.DUMMYFUNCTION("""COMPUTED_VALUE"""),470.77)</f>
        <v>470.77</v>
      </c>
      <c r="C1745" s="2">
        <f>IFERROR(__xludf.DUMMYFUNCTION("""COMPUTED_VALUE"""),487.46)</f>
        <v>487.46</v>
      </c>
      <c r="D1745" s="2">
        <f>IFERROR(__xludf.DUMMYFUNCTION("""COMPUTED_VALUE"""),465.57)</f>
        <v>465.57</v>
      </c>
      <c r="E1745" s="2">
        <f>IFERROR(__xludf.DUMMYFUNCTION("""COMPUTED_VALUE"""),479.29)</f>
        <v>479.29</v>
      </c>
      <c r="F1745" s="2">
        <f>IFERROR(__xludf.DUMMYFUNCTION("""COMPUTED_VALUE"""),5526846.0)</f>
        <v>5526846</v>
      </c>
    </row>
    <row r="1746">
      <c r="A1746" s="3">
        <f>IFERROR(__xludf.DUMMYFUNCTION("""COMPUTED_VALUE"""),40011.645833333336)</f>
        <v>40011.64583</v>
      </c>
      <c r="B1746" s="2">
        <f>IFERROR(__xludf.DUMMYFUNCTION("""COMPUTED_VALUE"""),481.69)</f>
        <v>481.69</v>
      </c>
      <c r="C1746" s="2">
        <f>IFERROR(__xludf.DUMMYFUNCTION("""COMPUTED_VALUE"""),486.87)</f>
        <v>486.87</v>
      </c>
      <c r="D1746" s="2">
        <f>IFERROR(__xludf.DUMMYFUNCTION("""COMPUTED_VALUE"""),476.79)</f>
        <v>476.79</v>
      </c>
      <c r="E1746" s="2">
        <f>IFERROR(__xludf.DUMMYFUNCTION("""COMPUTED_VALUE"""),479.7)</f>
        <v>479.7</v>
      </c>
      <c r="F1746" s="2">
        <f>IFERROR(__xludf.DUMMYFUNCTION("""COMPUTED_VALUE"""),3305062.0)</f>
        <v>3305062</v>
      </c>
    </row>
    <row r="1747">
      <c r="A1747" s="3">
        <f>IFERROR(__xludf.DUMMYFUNCTION("""COMPUTED_VALUE"""),40014.645833333336)</f>
        <v>40014.64583</v>
      </c>
      <c r="B1747" s="2">
        <f>IFERROR(__xludf.DUMMYFUNCTION("""COMPUTED_VALUE"""),485.38)</f>
        <v>485.38</v>
      </c>
      <c r="C1747" s="2">
        <f>IFERROR(__xludf.DUMMYFUNCTION("""COMPUTED_VALUE"""),504.94)</f>
        <v>504.94</v>
      </c>
      <c r="D1747" s="2">
        <f>IFERROR(__xludf.DUMMYFUNCTION("""COMPUTED_VALUE"""),482.9)</f>
        <v>482.9</v>
      </c>
      <c r="E1747" s="2">
        <f>IFERROR(__xludf.DUMMYFUNCTION("""COMPUTED_VALUE"""),503.53)</f>
        <v>503.53</v>
      </c>
      <c r="F1747" s="2">
        <f>IFERROR(__xludf.DUMMYFUNCTION("""COMPUTED_VALUE"""),4118480.0)</f>
        <v>4118480</v>
      </c>
    </row>
    <row r="1748">
      <c r="A1748" s="3">
        <f>IFERROR(__xludf.DUMMYFUNCTION("""COMPUTED_VALUE"""),40015.645833333336)</f>
        <v>40015.64583</v>
      </c>
      <c r="B1748" s="2">
        <f>IFERROR(__xludf.DUMMYFUNCTION("""COMPUTED_VALUE"""),517.25)</f>
        <v>517.25</v>
      </c>
      <c r="C1748" s="2">
        <f>IFERROR(__xludf.DUMMYFUNCTION("""COMPUTED_VALUE"""),517.25)</f>
        <v>517.25</v>
      </c>
      <c r="D1748" s="2">
        <f>IFERROR(__xludf.DUMMYFUNCTION("""COMPUTED_VALUE"""),497.11)</f>
        <v>497.11</v>
      </c>
      <c r="E1748" s="2">
        <f>IFERROR(__xludf.DUMMYFUNCTION("""COMPUTED_VALUE"""),499.91)</f>
        <v>499.91</v>
      </c>
      <c r="F1748" s="2">
        <f>IFERROR(__xludf.DUMMYFUNCTION("""COMPUTED_VALUE"""),3083413.0)</f>
        <v>3083413</v>
      </c>
    </row>
    <row r="1749">
      <c r="A1749" s="3">
        <f>IFERROR(__xludf.DUMMYFUNCTION("""COMPUTED_VALUE"""),40016.645833333336)</f>
        <v>40016.64583</v>
      </c>
      <c r="B1749" s="2">
        <f>IFERROR(__xludf.DUMMYFUNCTION("""COMPUTED_VALUE"""),501.48)</f>
        <v>501.48</v>
      </c>
      <c r="C1749" s="2">
        <f>IFERROR(__xludf.DUMMYFUNCTION("""COMPUTED_VALUE"""),509.55)</f>
        <v>509.55</v>
      </c>
      <c r="D1749" s="2">
        <f>IFERROR(__xludf.DUMMYFUNCTION("""COMPUTED_VALUE"""),486.03)</f>
        <v>486.03</v>
      </c>
      <c r="E1749" s="2">
        <f>IFERROR(__xludf.DUMMYFUNCTION("""COMPUTED_VALUE"""),489.27)</f>
        <v>489.27</v>
      </c>
      <c r="F1749" s="2">
        <f>IFERROR(__xludf.DUMMYFUNCTION("""COMPUTED_VALUE"""),3145153.0)</f>
        <v>3145153</v>
      </c>
    </row>
    <row r="1750">
      <c r="A1750" s="3">
        <f>IFERROR(__xludf.DUMMYFUNCTION("""COMPUTED_VALUE"""),40017.645833333336)</f>
        <v>40017.64583</v>
      </c>
      <c r="B1750" s="2">
        <f>IFERROR(__xludf.DUMMYFUNCTION("""COMPUTED_VALUE"""),492.81)</f>
        <v>492.81</v>
      </c>
      <c r="C1750" s="2">
        <f>IFERROR(__xludf.DUMMYFUNCTION("""COMPUTED_VALUE"""),508.61)</f>
        <v>508.61</v>
      </c>
      <c r="D1750" s="2">
        <f>IFERROR(__xludf.DUMMYFUNCTION("""COMPUTED_VALUE"""),492.07)</f>
        <v>492.07</v>
      </c>
      <c r="E1750" s="2">
        <f>IFERROR(__xludf.DUMMYFUNCTION("""COMPUTED_VALUE"""),505.58)</f>
        <v>505.58</v>
      </c>
      <c r="F1750" s="2">
        <f>IFERROR(__xludf.DUMMYFUNCTION("""COMPUTED_VALUE"""),2965247.0)</f>
        <v>2965247</v>
      </c>
    </row>
    <row r="1751">
      <c r="A1751" s="3">
        <f>IFERROR(__xludf.DUMMYFUNCTION("""COMPUTED_VALUE"""),40018.645833333336)</f>
        <v>40018.64583</v>
      </c>
      <c r="B1751" s="2">
        <f>IFERROR(__xludf.DUMMYFUNCTION("""COMPUTED_VALUE"""),507.67)</f>
        <v>507.67</v>
      </c>
      <c r="C1751" s="2">
        <f>IFERROR(__xludf.DUMMYFUNCTION("""COMPUTED_VALUE"""),511.98)</f>
        <v>511.98</v>
      </c>
      <c r="D1751" s="2">
        <f>IFERROR(__xludf.DUMMYFUNCTION("""COMPUTED_VALUE"""),491.84)</f>
        <v>491.84</v>
      </c>
      <c r="E1751" s="2">
        <f>IFERROR(__xludf.DUMMYFUNCTION("""COMPUTED_VALUE"""),499.46)</f>
        <v>499.46</v>
      </c>
      <c r="F1751" s="2">
        <f>IFERROR(__xludf.DUMMYFUNCTION("""COMPUTED_VALUE"""),4238518.0)</f>
        <v>4238518</v>
      </c>
    </row>
    <row r="1752">
      <c r="A1752" s="3">
        <f>IFERROR(__xludf.DUMMYFUNCTION("""COMPUTED_VALUE"""),40021.645833333336)</f>
        <v>40021.64583</v>
      </c>
      <c r="B1752" s="2">
        <f>IFERROR(__xludf.DUMMYFUNCTION("""COMPUTED_VALUE"""),482.9)</f>
        <v>482.9</v>
      </c>
      <c r="C1752" s="2">
        <f>IFERROR(__xludf.DUMMYFUNCTION("""COMPUTED_VALUE"""),494.05)</f>
        <v>494.05</v>
      </c>
      <c r="D1752" s="2">
        <f>IFERROR(__xludf.DUMMYFUNCTION("""COMPUTED_VALUE"""),472.17)</f>
        <v>472.17</v>
      </c>
      <c r="E1752" s="2">
        <f>IFERROR(__xludf.DUMMYFUNCTION("""COMPUTED_VALUE"""),480.59)</f>
        <v>480.59</v>
      </c>
      <c r="F1752" s="2">
        <f>IFERROR(__xludf.DUMMYFUNCTION("""COMPUTED_VALUE"""),6017644.0)</f>
        <v>6017644</v>
      </c>
    </row>
    <row r="1753">
      <c r="A1753" s="3">
        <f>IFERROR(__xludf.DUMMYFUNCTION("""COMPUTED_VALUE"""),40022.645833333336)</f>
        <v>40022.64583</v>
      </c>
      <c r="B1753" s="2">
        <f>IFERROR(__xludf.DUMMYFUNCTION("""COMPUTED_VALUE"""),482.16)</f>
        <v>482.16</v>
      </c>
      <c r="C1753" s="2">
        <f>IFERROR(__xludf.DUMMYFUNCTION("""COMPUTED_VALUE"""),485.31)</f>
        <v>485.31</v>
      </c>
      <c r="D1753" s="2">
        <f>IFERROR(__xludf.DUMMYFUNCTION("""COMPUTED_VALUE"""),466.96)</f>
        <v>466.96</v>
      </c>
      <c r="E1753" s="2">
        <f>IFERROR(__xludf.DUMMYFUNCTION("""COMPUTED_VALUE"""),472.4)</f>
        <v>472.4</v>
      </c>
      <c r="F1753" s="2">
        <f>IFERROR(__xludf.DUMMYFUNCTION("""COMPUTED_VALUE"""),5756294.0)</f>
        <v>5756294</v>
      </c>
    </row>
    <row r="1754">
      <c r="A1754" s="3">
        <f>IFERROR(__xludf.DUMMYFUNCTION("""COMPUTED_VALUE"""),40023.645833333336)</f>
        <v>40023.64583</v>
      </c>
      <c r="B1754" s="2">
        <f>IFERROR(__xludf.DUMMYFUNCTION("""COMPUTED_VALUE"""),470.52)</f>
        <v>470.52</v>
      </c>
      <c r="C1754" s="2">
        <f>IFERROR(__xludf.DUMMYFUNCTION("""COMPUTED_VALUE"""),479.93)</f>
        <v>479.93</v>
      </c>
      <c r="D1754" s="2">
        <f>IFERROR(__xludf.DUMMYFUNCTION("""COMPUTED_VALUE"""),463.34)</f>
        <v>463.34</v>
      </c>
      <c r="E1754" s="2">
        <f>IFERROR(__xludf.DUMMYFUNCTION("""COMPUTED_VALUE"""),478.05)</f>
        <v>478.05</v>
      </c>
      <c r="F1754" s="2">
        <f>IFERROR(__xludf.DUMMYFUNCTION("""COMPUTED_VALUE"""),4766525.0)</f>
        <v>4766525</v>
      </c>
    </row>
    <row r="1755">
      <c r="A1755" s="3">
        <f>IFERROR(__xludf.DUMMYFUNCTION("""COMPUTED_VALUE"""),40024.645833333336)</f>
        <v>40024.64583</v>
      </c>
      <c r="B1755" s="2">
        <f>IFERROR(__xludf.DUMMYFUNCTION("""COMPUTED_VALUE"""),475.48)</f>
        <v>475.48</v>
      </c>
      <c r="C1755" s="2">
        <f>IFERROR(__xludf.DUMMYFUNCTION("""COMPUTED_VALUE"""),476.81)</f>
        <v>476.81</v>
      </c>
      <c r="D1755" s="2">
        <f>IFERROR(__xludf.DUMMYFUNCTION("""COMPUTED_VALUE"""),467.8)</f>
        <v>467.8</v>
      </c>
      <c r="E1755" s="2">
        <f>IFERROR(__xludf.DUMMYFUNCTION("""COMPUTED_VALUE"""),470.6)</f>
        <v>470.6</v>
      </c>
      <c r="F1755" s="2">
        <f>IFERROR(__xludf.DUMMYFUNCTION("""COMPUTED_VALUE"""),3079359.0)</f>
        <v>3079359</v>
      </c>
    </row>
    <row r="1756">
      <c r="A1756" s="3">
        <f>IFERROR(__xludf.DUMMYFUNCTION("""COMPUTED_VALUE"""),40025.645833333336)</f>
        <v>40025.64583</v>
      </c>
      <c r="B1756" s="2">
        <f>IFERROR(__xludf.DUMMYFUNCTION("""COMPUTED_VALUE"""),474.24)</f>
        <v>474.24</v>
      </c>
      <c r="C1756" s="2">
        <f>IFERROR(__xludf.DUMMYFUNCTION("""COMPUTED_VALUE"""),489.07)</f>
        <v>489.07</v>
      </c>
      <c r="D1756" s="2">
        <f>IFERROR(__xludf.DUMMYFUNCTION("""COMPUTED_VALUE"""),473.31)</f>
        <v>473.31</v>
      </c>
      <c r="E1756" s="2">
        <f>IFERROR(__xludf.DUMMYFUNCTION("""COMPUTED_VALUE"""),484.24)</f>
        <v>484.24</v>
      </c>
      <c r="F1756" s="2">
        <f>IFERROR(__xludf.DUMMYFUNCTION("""COMPUTED_VALUE"""),3491976.0)</f>
        <v>3491976</v>
      </c>
    </row>
    <row r="1757">
      <c r="A1757" s="3">
        <f>IFERROR(__xludf.DUMMYFUNCTION("""COMPUTED_VALUE"""),40028.645833333336)</f>
        <v>40028.64583</v>
      </c>
      <c r="B1757" s="2">
        <f>IFERROR(__xludf.DUMMYFUNCTION("""COMPUTED_VALUE"""),487.59)</f>
        <v>487.59</v>
      </c>
      <c r="C1757" s="2">
        <f>IFERROR(__xludf.DUMMYFUNCTION("""COMPUTED_VALUE"""),502.96)</f>
        <v>502.96</v>
      </c>
      <c r="D1757" s="2">
        <f>IFERROR(__xludf.DUMMYFUNCTION("""COMPUTED_VALUE"""),484.91)</f>
        <v>484.91</v>
      </c>
      <c r="E1757" s="2">
        <f>IFERROR(__xludf.DUMMYFUNCTION("""COMPUTED_VALUE"""),499.5)</f>
        <v>499.5</v>
      </c>
      <c r="F1757" s="2">
        <f>IFERROR(__xludf.DUMMYFUNCTION("""COMPUTED_VALUE"""),2737892.0)</f>
        <v>2737892</v>
      </c>
    </row>
    <row r="1758">
      <c r="A1758" s="3">
        <f>IFERROR(__xludf.DUMMYFUNCTION("""COMPUTED_VALUE"""),40029.645833333336)</f>
        <v>40029.64583</v>
      </c>
      <c r="B1758" s="2">
        <f>IFERROR(__xludf.DUMMYFUNCTION("""COMPUTED_VALUE"""),503.46)</f>
        <v>503.46</v>
      </c>
      <c r="C1758" s="2">
        <f>IFERROR(__xludf.DUMMYFUNCTION("""COMPUTED_VALUE"""),508.41)</f>
        <v>508.41</v>
      </c>
      <c r="D1758" s="2">
        <f>IFERROR(__xludf.DUMMYFUNCTION("""COMPUTED_VALUE"""),495.91)</f>
        <v>495.91</v>
      </c>
      <c r="E1758" s="2">
        <f>IFERROR(__xludf.DUMMYFUNCTION("""COMPUTED_VALUE"""),505.13)</f>
        <v>505.13</v>
      </c>
      <c r="F1758" s="2">
        <f>IFERROR(__xludf.DUMMYFUNCTION("""COMPUTED_VALUE"""),3837378.0)</f>
        <v>3837378</v>
      </c>
    </row>
    <row r="1759">
      <c r="A1759" s="3">
        <f>IFERROR(__xludf.DUMMYFUNCTION("""COMPUTED_VALUE"""),40030.645833333336)</f>
        <v>40030.64583</v>
      </c>
      <c r="B1759" s="2">
        <f>IFERROR(__xludf.DUMMYFUNCTION("""COMPUTED_VALUE"""),503.95)</f>
        <v>503.95</v>
      </c>
      <c r="C1759" s="2">
        <f>IFERROR(__xludf.DUMMYFUNCTION("""COMPUTED_VALUE"""),516.09)</f>
        <v>516.09</v>
      </c>
      <c r="D1759" s="2">
        <f>IFERROR(__xludf.DUMMYFUNCTION("""COMPUTED_VALUE"""),503.11)</f>
        <v>503.11</v>
      </c>
      <c r="E1759" s="2">
        <f>IFERROR(__xludf.DUMMYFUNCTION("""COMPUTED_VALUE"""),514.21)</f>
        <v>514.21</v>
      </c>
      <c r="F1759" s="2">
        <f>IFERROR(__xludf.DUMMYFUNCTION("""COMPUTED_VALUE"""),3804751.0)</f>
        <v>3804751</v>
      </c>
    </row>
    <row r="1760">
      <c r="A1760" s="3">
        <f>IFERROR(__xludf.DUMMYFUNCTION("""COMPUTED_VALUE"""),40031.645833333336)</f>
        <v>40031.64583</v>
      </c>
      <c r="B1760" s="2">
        <f>IFERROR(__xludf.DUMMYFUNCTION("""COMPUTED_VALUE"""),506.1)</f>
        <v>506.1</v>
      </c>
      <c r="C1760" s="2">
        <f>IFERROR(__xludf.DUMMYFUNCTION("""COMPUTED_VALUE"""),526.24)</f>
        <v>526.24</v>
      </c>
      <c r="D1760" s="2">
        <f>IFERROR(__xludf.DUMMYFUNCTION("""COMPUTED_VALUE"""),501.81)</f>
        <v>501.81</v>
      </c>
      <c r="E1760" s="2">
        <f>IFERROR(__xludf.DUMMYFUNCTION("""COMPUTED_VALUE"""),506.88)</f>
        <v>506.88</v>
      </c>
      <c r="F1760" s="2">
        <f>IFERROR(__xludf.DUMMYFUNCTION("""COMPUTED_VALUE"""),4917080.0)</f>
        <v>4917080</v>
      </c>
    </row>
    <row r="1761">
      <c r="A1761" s="3">
        <f>IFERROR(__xludf.DUMMYFUNCTION("""COMPUTED_VALUE"""),40032.645833333336)</f>
        <v>40032.64583</v>
      </c>
      <c r="B1761" s="2">
        <f>IFERROR(__xludf.DUMMYFUNCTION("""COMPUTED_VALUE"""),504.33)</f>
        <v>504.33</v>
      </c>
      <c r="C1761" s="2">
        <f>IFERROR(__xludf.DUMMYFUNCTION("""COMPUTED_VALUE"""),511.14)</f>
        <v>511.14</v>
      </c>
      <c r="D1761" s="2">
        <f>IFERROR(__xludf.DUMMYFUNCTION("""COMPUTED_VALUE"""),492.86)</f>
        <v>492.86</v>
      </c>
      <c r="E1761" s="2">
        <f>IFERROR(__xludf.DUMMYFUNCTION("""COMPUTED_VALUE"""),494.73)</f>
        <v>494.73</v>
      </c>
      <c r="F1761" s="2">
        <f>IFERROR(__xludf.DUMMYFUNCTION("""COMPUTED_VALUE"""),3999933.0)</f>
        <v>3999933</v>
      </c>
    </row>
    <row r="1762">
      <c r="A1762" s="3">
        <f>IFERROR(__xludf.DUMMYFUNCTION("""COMPUTED_VALUE"""),40035.645833333336)</f>
        <v>40035.64583</v>
      </c>
      <c r="B1762" s="2">
        <f>IFERROR(__xludf.DUMMYFUNCTION("""COMPUTED_VALUE"""),502.83)</f>
        <v>502.83</v>
      </c>
      <c r="C1762" s="2">
        <f>IFERROR(__xludf.DUMMYFUNCTION("""COMPUTED_VALUE"""),503.89)</f>
        <v>503.89</v>
      </c>
      <c r="D1762" s="2">
        <f>IFERROR(__xludf.DUMMYFUNCTION("""COMPUTED_VALUE"""),488.6)</f>
        <v>488.6</v>
      </c>
      <c r="E1762" s="2">
        <f>IFERROR(__xludf.DUMMYFUNCTION("""COMPUTED_VALUE"""),492.34)</f>
        <v>492.34</v>
      </c>
      <c r="F1762" s="2">
        <f>IFERROR(__xludf.DUMMYFUNCTION("""COMPUTED_VALUE"""),3013118.0)</f>
        <v>3013118</v>
      </c>
    </row>
    <row r="1763">
      <c r="A1763" s="3">
        <f>IFERROR(__xludf.DUMMYFUNCTION("""COMPUTED_VALUE"""),40036.645833333336)</f>
        <v>40036.64583</v>
      </c>
      <c r="B1763" s="2">
        <f>IFERROR(__xludf.DUMMYFUNCTION("""COMPUTED_VALUE"""),493.55)</f>
        <v>493.55</v>
      </c>
      <c r="C1763" s="2">
        <f>IFERROR(__xludf.DUMMYFUNCTION("""COMPUTED_VALUE"""),507.19)</f>
        <v>507.19</v>
      </c>
      <c r="D1763" s="2">
        <f>IFERROR(__xludf.DUMMYFUNCTION("""COMPUTED_VALUE"""),490.09)</f>
        <v>490.09</v>
      </c>
      <c r="E1763" s="2">
        <f>IFERROR(__xludf.DUMMYFUNCTION("""COMPUTED_VALUE"""),495.39)</f>
        <v>495.39</v>
      </c>
      <c r="F1763" s="2">
        <f>IFERROR(__xludf.DUMMYFUNCTION("""COMPUTED_VALUE"""),3140057.0)</f>
        <v>3140057</v>
      </c>
    </row>
    <row r="1764">
      <c r="A1764" s="3">
        <f>IFERROR(__xludf.DUMMYFUNCTION("""COMPUTED_VALUE"""),40037.645833333336)</f>
        <v>40037.64583</v>
      </c>
      <c r="B1764" s="2">
        <f>IFERROR(__xludf.DUMMYFUNCTION("""COMPUTED_VALUE"""),489.08)</f>
        <v>489.08</v>
      </c>
      <c r="C1764" s="2">
        <f>IFERROR(__xludf.DUMMYFUNCTION("""COMPUTED_VALUE"""),495.29)</f>
        <v>495.29</v>
      </c>
      <c r="D1764" s="2">
        <f>IFERROR(__xludf.DUMMYFUNCTION("""COMPUTED_VALUE"""),481.25)</f>
        <v>481.25</v>
      </c>
      <c r="E1764" s="2">
        <f>IFERROR(__xludf.DUMMYFUNCTION("""COMPUTED_VALUE"""),492.98)</f>
        <v>492.98</v>
      </c>
      <c r="F1764" s="2">
        <f>IFERROR(__xludf.DUMMYFUNCTION("""COMPUTED_VALUE"""),3424032.0)</f>
        <v>3424032</v>
      </c>
    </row>
    <row r="1765">
      <c r="A1765" s="3">
        <f>IFERROR(__xludf.DUMMYFUNCTION("""COMPUTED_VALUE"""),40038.645833333336)</f>
        <v>40038.64583</v>
      </c>
      <c r="B1765" s="2">
        <f>IFERROR(__xludf.DUMMYFUNCTION("""COMPUTED_VALUE"""),501.48)</f>
        <v>501.48</v>
      </c>
      <c r="C1765" s="2">
        <f>IFERROR(__xludf.DUMMYFUNCTION("""COMPUTED_VALUE"""),506.21)</f>
        <v>506.21</v>
      </c>
      <c r="D1765" s="2">
        <f>IFERROR(__xludf.DUMMYFUNCTION("""COMPUTED_VALUE"""),494.54)</f>
        <v>494.54</v>
      </c>
      <c r="E1765" s="2">
        <f>IFERROR(__xludf.DUMMYFUNCTION("""COMPUTED_VALUE"""),501.3)</f>
        <v>501.3</v>
      </c>
      <c r="F1765" s="2">
        <f>IFERROR(__xludf.DUMMYFUNCTION("""COMPUTED_VALUE"""),3031487.0)</f>
        <v>3031487</v>
      </c>
    </row>
    <row r="1766">
      <c r="A1766" s="3">
        <f>IFERROR(__xludf.DUMMYFUNCTION("""COMPUTED_VALUE"""),40039.645833333336)</f>
        <v>40039.64583</v>
      </c>
      <c r="B1766" s="2">
        <f>IFERROR(__xludf.DUMMYFUNCTION("""COMPUTED_VALUE"""),501.97)</f>
        <v>501.97</v>
      </c>
      <c r="C1766" s="2">
        <f>IFERROR(__xludf.DUMMYFUNCTION("""COMPUTED_VALUE"""),511.14)</f>
        <v>511.14</v>
      </c>
      <c r="D1766" s="2">
        <f>IFERROR(__xludf.DUMMYFUNCTION("""COMPUTED_VALUE"""),497.02)</f>
        <v>497.02</v>
      </c>
      <c r="E1766" s="2">
        <f>IFERROR(__xludf.DUMMYFUNCTION("""COMPUTED_VALUE"""),504.31)</f>
        <v>504.31</v>
      </c>
      <c r="F1766" s="2">
        <f>IFERROR(__xludf.DUMMYFUNCTION("""COMPUTED_VALUE"""),3344427.0)</f>
        <v>3344427</v>
      </c>
    </row>
    <row r="1767">
      <c r="A1767" s="3">
        <f>IFERROR(__xludf.DUMMYFUNCTION("""COMPUTED_VALUE"""),40042.645833333336)</f>
        <v>40042.64583</v>
      </c>
      <c r="B1767" s="2">
        <f>IFERROR(__xludf.DUMMYFUNCTION("""COMPUTED_VALUE"""),497.52)</f>
        <v>497.52</v>
      </c>
      <c r="C1767" s="2">
        <f>IFERROR(__xludf.DUMMYFUNCTION("""COMPUTED_VALUE"""),497.76)</f>
        <v>497.76</v>
      </c>
      <c r="D1767" s="2">
        <f>IFERROR(__xludf.DUMMYFUNCTION("""COMPUTED_VALUE"""),476.71)</f>
        <v>476.71</v>
      </c>
      <c r="E1767" s="2">
        <f>IFERROR(__xludf.DUMMYFUNCTION("""COMPUTED_VALUE"""),480.91)</f>
        <v>480.91</v>
      </c>
      <c r="F1767" s="2">
        <f>IFERROR(__xludf.DUMMYFUNCTION("""COMPUTED_VALUE"""),3433349.0)</f>
        <v>3433349</v>
      </c>
    </row>
    <row r="1768">
      <c r="A1768" s="3">
        <f>IFERROR(__xludf.DUMMYFUNCTION("""COMPUTED_VALUE"""),40043.645833333336)</f>
        <v>40043.64583</v>
      </c>
      <c r="B1768" s="2">
        <f>IFERROR(__xludf.DUMMYFUNCTION("""COMPUTED_VALUE"""),476.39)</f>
        <v>476.39</v>
      </c>
      <c r="C1768" s="2">
        <f>IFERROR(__xludf.DUMMYFUNCTION("""COMPUTED_VALUE"""),484.44)</f>
        <v>484.44</v>
      </c>
      <c r="D1768" s="2">
        <f>IFERROR(__xludf.DUMMYFUNCTION("""COMPUTED_VALUE"""),475.51)</f>
        <v>475.51</v>
      </c>
      <c r="E1768" s="2">
        <f>IFERROR(__xludf.DUMMYFUNCTION("""COMPUTED_VALUE"""),480.73)</f>
        <v>480.73</v>
      </c>
      <c r="F1768" s="2">
        <f>IFERROR(__xludf.DUMMYFUNCTION("""COMPUTED_VALUE"""),2973261.0)</f>
        <v>2973261</v>
      </c>
    </row>
    <row r="1769">
      <c r="A1769" s="3">
        <f>IFERROR(__xludf.DUMMYFUNCTION("""COMPUTED_VALUE"""),40044.645833333336)</f>
        <v>40044.64583</v>
      </c>
      <c r="B1769" s="2">
        <f>IFERROR(__xludf.DUMMYFUNCTION("""COMPUTED_VALUE"""),480.43)</f>
        <v>480.43</v>
      </c>
      <c r="C1769" s="2">
        <f>IFERROR(__xludf.DUMMYFUNCTION("""COMPUTED_VALUE"""),482.88)</f>
        <v>482.88</v>
      </c>
      <c r="D1769" s="2">
        <f>IFERROR(__xludf.DUMMYFUNCTION("""COMPUTED_VALUE"""),463.34)</f>
        <v>463.34</v>
      </c>
      <c r="E1769" s="2">
        <f>IFERROR(__xludf.DUMMYFUNCTION("""COMPUTED_VALUE"""),467.02)</f>
        <v>467.02</v>
      </c>
      <c r="F1769" s="2">
        <f>IFERROR(__xludf.DUMMYFUNCTION("""COMPUTED_VALUE"""),3331420.0)</f>
        <v>3331420</v>
      </c>
    </row>
    <row r="1770">
      <c r="A1770" s="3">
        <f>IFERROR(__xludf.DUMMYFUNCTION("""COMPUTED_VALUE"""),40045.645833333336)</f>
        <v>40045.64583</v>
      </c>
      <c r="B1770" s="2">
        <f>IFERROR(__xludf.DUMMYFUNCTION("""COMPUTED_VALUE"""),470.52)</f>
        <v>470.52</v>
      </c>
      <c r="C1770" s="2">
        <f>IFERROR(__xludf.DUMMYFUNCTION("""COMPUTED_VALUE"""),477.7)</f>
        <v>477.7</v>
      </c>
      <c r="D1770" s="2">
        <f>IFERROR(__xludf.DUMMYFUNCTION("""COMPUTED_VALUE"""),467.69)</f>
        <v>467.69</v>
      </c>
      <c r="E1770" s="2">
        <f>IFERROR(__xludf.DUMMYFUNCTION("""COMPUTED_VALUE"""),470.13)</f>
        <v>470.13</v>
      </c>
      <c r="F1770" s="2">
        <f>IFERROR(__xludf.DUMMYFUNCTION("""COMPUTED_VALUE"""),2352019.0)</f>
        <v>2352019</v>
      </c>
    </row>
    <row r="1771">
      <c r="A1771" s="3">
        <f>IFERROR(__xludf.DUMMYFUNCTION("""COMPUTED_VALUE"""),40046.645833333336)</f>
        <v>40046.64583</v>
      </c>
      <c r="B1771" s="2">
        <f>IFERROR(__xludf.DUMMYFUNCTION("""COMPUTED_VALUE"""),467.55)</f>
        <v>467.55</v>
      </c>
      <c r="C1771" s="2">
        <f>IFERROR(__xludf.DUMMYFUNCTION("""COMPUTED_VALUE"""),479.19)</f>
        <v>479.19</v>
      </c>
      <c r="D1771" s="2">
        <f>IFERROR(__xludf.DUMMYFUNCTION("""COMPUTED_VALUE"""),462.5)</f>
        <v>462.5</v>
      </c>
      <c r="E1771" s="2">
        <f>IFERROR(__xludf.DUMMYFUNCTION("""COMPUTED_VALUE"""),477.65)</f>
        <v>477.65</v>
      </c>
      <c r="F1771" s="2">
        <f>IFERROR(__xludf.DUMMYFUNCTION("""COMPUTED_VALUE"""),3010806.0)</f>
        <v>3010806</v>
      </c>
    </row>
    <row r="1772">
      <c r="A1772" s="3">
        <f>IFERROR(__xludf.DUMMYFUNCTION("""COMPUTED_VALUE"""),40049.645833333336)</f>
        <v>40049.64583</v>
      </c>
      <c r="B1772" s="2">
        <f>IFERROR(__xludf.DUMMYFUNCTION("""COMPUTED_VALUE"""),485.38)</f>
        <v>485.38</v>
      </c>
      <c r="C1772" s="2">
        <f>IFERROR(__xludf.DUMMYFUNCTION("""COMPUTED_VALUE"""),490.56)</f>
        <v>490.56</v>
      </c>
      <c r="D1772" s="2">
        <f>IFERROR(__xludf.DUMMYFUNCTION("""COMPUTED_VALUE"""),482.56)</f>
        <v>482.56</v>
      </c>
      <c r="E1772" s="2">
        <f>IFERROR(__xludf.DUMMYFUNCTION("""COMPUTED_VALUE"""),488.92)</f>
        <v>488.92</v>
      </c>
      <c r="F1772" s="2">
        <f>IFERROR(__xludf.DUMMYFUNCTION("""COMPUTED_VALUE"""),2530517.0)</f>
        <v>2530517</v>
      </c>
    </row>
    <row r="1773">
      <c r="A1773" s="3">
        <f>IFERROR(__xludf.DUMMYFUNCTION("""COMPUTED_VALUE"""),40050.645833333336)</f>
        <v>40050.64583</v>
      </c>
      <c r="B1773" s="2">
        <f>IFERROR(__xludf.DUMMYFUNCTION("""COMPUTED_VALUE"""),486.67)</f>
        <v>486.67</v>
      </c>
      <c r="C1773" s="2">
        <f>IFERROR(__xludf.DUMMYFUNCTION("""COMPUTED_VALUE"""),503.46)</f>
        <v>503.46</v>
      </c>
      <c r="D1773" s="2">
        <f>IFERROR(__xludf.DUMMYFUNCTION("""COMPUTED_VALUE"""),484.28)</f>
        <v>484.28</v>
      </c>
      <c r="E1773" s="2">
        <f>IFERROR(__xludf.DUMMYFUNCTION("""COMPUTED_VALUE"""),501.64)</f>
        <v>501.64</v>
      </c>
      <c r="F1773" s="2">
        <f>IFERROR(__xludf.DUMMYFUNCTION("""COMPUTED_VALUE"""),3250116.0)</f>
        <v>3250116</v>
      </c>
    </row>
    <row r="1774">
      <c r="A1774" s="3">
        <f>IFERROR(__xludf.DUMMYFUNCTION("""COMPUTED_VALUE"""),40051.645833333336)</f>
        <v>40051.64583</v>
      </c>
      <c r="B1774" s="2">
        <f>IFERROR(__xludf.DUMMYFUNCTION("""COMPUTED_VALUE"""),501.74)</f>
        <v>501.74</v>
      </c>
      <c r="C1774" s="2">
        <f>IFERROR(__xludf.DUMMYFUNCTION("""COMPUTED_VALUE"""),506.85)</f>
        <v>506.85</v>
      </c>
      <c r="D1774" s="2">
        <f>IFERROR(__xludf.DUMMYFUNCTION("""COMPUTED_VALUE"""),498.07)</f>
        <v>498.07</v>
      </c>
      <c r="E1774" s="2">
        <f>IFERROR(__xludf.DUMMYFUNCTION("""COMPUTED_VALUE"""),505.23)</f>
        <v>505.23</v>
      </c>
      <c r="F1774" s="2">
        <f>IFERROR(__xludf.DUMMYFUNCTION("""COMPUTED_VALUE"""),2513686.0)</f>
        <v>2513686</v>
      </c>
    </row>
    <row r="1775">
      <c r="A1775" s="3">
        <f>IFERROR(__xludf.DUMMYFUNCTION("""COMPUTED_VALUE"""),40052.645833333336)</f>
        <v>40052.64583</v>
      </c>
      <c r="B1775" s="2">
        <f>IFERROR(__xludf.DUMMYFUNCTION("""COMPUTED_VALUE"""),503.71)</f>
        <v>503.71</v>
      </c>
      <c r="C1775" s="2">
        <f>IFERROR(__xludf.DUMMYFUNCTION("""COMPUTED_VALUE"""),509.9)</f>
        <v>509.9</v>
      </c>
      <c r="D1775" s="2">
        <f>IFERROR(__xludf.DUMMYFUNCTION("""COMPUTED_VALUE"""),500.24)</f>
        <v>500.24</v>
      </c>
      <c r="E1775" s="2">
        <f>IFERROR(__xludf.DUMMYFUNCTION("""COMPUTED_VALUE"""),505.77)</f>
        <v>505.77</v>
      </c>
      <c r="F1775" s="2">
        <f>IFERROR(__xludf.DUMMYFUNCTION("""COMPUTED_VALUE"""),2934592.0)</f>
        <v>2934592</v>
      </c>
    </row>
    <row r="1776">
      <c r="A1776" s="3">
        <f>IFERROR(__xludf.DUMMYFUNCTION("""COMPUTED_VALUE"""),40053.645833333336)</f>
        <v>40053.64583</v>
      </c>
      <c r="B1776" s="2">
        <f>IFERROR(__xludf.DUMMYFUNCTION("""COMPUTED_VALUE"""),507.67)</f>
        <v>507.67</v>
      </c>
      <c r="C1776" s="2">
        <f>IFERROR(__xludf.DUMMYFUNCTION("""COMPUTED_VALUE"""),515.1)</f>
        <v>515.1</v>
      </c>
      <c r="D1776" s="2">
        <f>IFERROR(__xludf.DUMMYFUNCTION("""COMPUTED_VALUE"""),501.61)</f>
        <v>501.61</v>
      </c>
      <c r="E1776" s="2">
        <f>IFERROR(__xludf.DUMMYFUNCTION("""COMPUTED_VALUE"""),513.64)</f>
        <v>513.64</v>
      </c>
      <c r="F1776" s="2">
        <f>IFERROR(__xludf.DUMMYFUNCTION("""COMPUTED_VALUE"""),2500430.0)</f>
        <v>2500430</v>
      </c>
    </row>
    <row r="1777">
      <c r="A1777" s="3">
        <f>IFERROR(__xludf.DUMMYFUNCTION("""COMPUTED_VALUE"""),40056.645833333336)</f>
        <v>40056.64583</v>
      </c>
      <c r="B1777" s="2">
        <f>IFERROR(__xludf.DUMMYFUNCTION("""COMPUTED_VALUE"""),511.14)</f>
        <v>511.14</v>
      </c>
      <c r="C1777" s="2">
        <f>IFERROR(__xludf.DUMMYFUNCTION("""COMPUTED_VALUE"""),511.14)</f>
        <v>511.14</v>
      </c>
      <c r="D1777" s="2">
        <f>IFERROR(__xludf.DUMMYFUNCTION("""COMPUTED_VALUE"""),494.05)</f>
        <v>494.05</v>
      </c>
      <c r="E1777" s="2">
        <f>IFERROR(__xludf.DUMMYFUNCTION("""COMPUTED_VALUE"""),496.55)</f>
        <v>496.55</v>
      </c>
      <c r="F1777" s="2">
        <f>IFERROR(__xludf.DUMMYFUNCTION("""COMPUTED_VALUE"""),3604830.0)</f>
        <v>3604830</v>
      </c>
    </row>
    <row r="1778">
      <c r="A1778" s="3">
        <f>IFERROR(__xludf.DUMMYFUNCTION("""COMPUTED_VALUE"""),40057.645833333336)</f>
        <v>40057.64583</v>
      </c>
      <c r="B1778" s="2">
        <f>IFERROR(__xludf.DUMMYFUNCTION("""COMPUTED_VALUE"""),501.43)</f>
        <v>501.43</v>
      </c>
      <c r="C1778" s="2">
        <f>IFERROR(__xludf.DUMMYFUNCTION("""COMPUTED_VALUE"""),505.69)</f>
        <v>505.69</v>
      </c>
      <c r="D1778" s="2">
        <f>IFERROR(__xludf.DUMMYFUNCTION("""COMPUTED_VALUE"""),486.72)</f>
        <v>486.72</v>
      </c>
      <c r="E1778" s="2">
        <f>IFERROR(__xludf.DUMMYFUNCTION("""COMPUTED_VALUE"""),490.54)</f>
        <v>490.54</v>
      </c>
      <c r="F1778" s="2">
        <f>IFERROR(__xludf.DUMMYFUNCTION("""COMPUTED_VALUE"""),2598213.0)</f>
        <v>2598213</v>
      </c>
    </row>
    <row r="1779">
      <c r="A1779" s="3">
        <f>IFERROR(__xludf.DUMMYFUNCTION("""COMPUTED_VALUE"""),40058.645833333336)</f>
        <v>40058.64583</v>
      </c>
      <c r="B1779" s="2">
        <f>IFERROR(__xludf.DUMMYFUNCTION("""COMPUTED_VALUE"""),487.61)</f>
        <v>487.61</v>
      </c>
      <c r="C1779" s="2">
        <f>IFERROR(__xludf.DUMMYFUNCTION("""COMPUTED_VALUE"""),494.77)</f>
        <v>494.77</v>
      </c>
      <c r="D1779" s="2">
        <f>IFERROR(__xludf.DUMMYFUNCTION("""COMPUTED_VALUE"""),485.38)</f>
        <v>485.38</v>
      </c>
      <c r="E1779" s="2">
        <f>IFERROR(__xludf.DUMMYFUNCTION("""COMPUTED_VALUE"""),488.14)</f>
        <v>488.14</v>
      </c>
      <c r="F1779" s="2">
        <f>IFERROR(__xludf.DUMMYFUNCTION("""COMPUTED_VALUE"""),2725762.0)</f>
        <v>2725762</v>
      </c>
    </row>
    <row r="1780">
      <c r="A1780" s="3">
        <f>IFERROR(__xludf.DUMMYFUNCTION("""COMPUTED_VALUE"""),40059.645833333336)</f>
        <v>40059.64583</v>
      </c>
      <c r="B1780" s="2">
        <f>IFERROR(__xludf.DUMMYFUNCTION("""COMPUTED_VALUE"""),490.33)</f>
        <v>490.33</v>
      </c>
      <c r="C1780" s="2">
        <f>IFERROR(__xludf.DUMMYFUNCTION("""COMPUTED_VALUE"""),492.12)</f>
        <v>492.12</v>
      </c>
      <c r="D1780" s="2">
        <f>IFERROR(__xludf.DUMMYFUNCTION("""COMPUTED_VALUE"""),476.29)</f>
        <v>476.29</v>
      </c>
      <c r="E1780" s="2">
        <f>IFERROR(__xludf.DUMMYFUNCTION("""COMPUTED_VALUE"""),478.15)</f>
        <v>478.15</v>
      </c>
      <c r="F1780" s="2">
        <f>IFERROR(__xludf.DUMMYFUNCTION("""COMPUTED_VALUE"""),3022616.0)</f>
        <v>3022616</v>
      </c>
    </row>
    <row r="1781">
      <c r="A1781" s="3">
        <f>IFERROR(__xludf.DUMMYFUNCTION("""COMPUTED_VALUE"""),40060.645833333336)</f>
        <v>40060.64583</v>
      </c>
      <c r="B1781" s="2">
        <f>IFERROR(__xludf.DUMMYFUNCTION("""COMPUTED_VALUE"""),479.93)</f>
        <v>479.93</v>
      </c>
      <c r="C1781" s="2">
        <f>IFERROR(__xludf.DUMMYFUNCTION("""COMPUTED_VALUE"""),493.8)</f>
        <v>493.8</v>
      </c>
      <c r="D1781" s="2">
        <f>IFERROR(__xludf.DUMMYFUNCTION("""COMPUTED_VALUE"""),479.19)</f>
        <v>479.19</v>
      </c>
      <c r="E1781" s="2">
        <f>IFERROR(__xludf.DUMMYFUNCTION("""COMPUTED_VALUE"""),490.62)</f>
        <v>490.62</v>
      </c>
      <c r="F1781" s="2">
        <f>IFERROR(__xludf.DUMMYFUNCTION("""COMPUTED_VALUE"""),2898625.0)</f>
        <v>2898625</v>
      </c>
    </row>
    <row r="1782">
      <c r="A1782" s="3">
        <f>IFERROR(__xludf.DUMMYFUNCTION("""COMPUTED_VALUE"""),40063.645833333336)</f>
        <v>40063.64583</v>
      </c>
      <c r="B1782" s="2">
        <f>IFERROR(__xludf.DUMMYFUNCTION("""COMPUTED_VALUE"""),491.57)</f>
        <v>491.57</v>
      </c>
      <c r="C1782" s="2">
        <f>IFERROR(__xludf.DUMMYFUNCTION("""COMPUTED_VALUE"""),497.5)</f>
        <v>497.5</v>
      </c>
      <c r="D1782" s="2">
        <f>IFERROR(__xludf.DUMMYFUNCTION("""COMPUTED_VALUE"""),489.47)</f>
        <v>489.47</v>
      </c>
      <c r="E1782" s="2">
        <f>IFERROR(__xludf.DUMMYFUNCTION("""COMPUTED_VALUE"""),495.99)</f>
        <v>495.99</v>
      </c>
      <c r="F1782" s="2">
        <f>IFERROR(__xludf.DUMMYFUNCTION("""COMPUTED_VALUE"""),2580500.0)</f>
        <v>2580500</v>
      </c>
    </row>
    <row r="1783">
      <c r="A1783" s="3">
        <f>IFERROR(__xludf.DUMMYFUNCTION("""COMPUTED_VALUE"""),40064.645833333336)</f>
        <v>40064.64583</v>
      </c>
      <c r="B1783" s="2">
        <f>IFERROR(__xludf.DUMMYFUNCTION("""COMPUTED_VALUE"""),499.0)</f>
        <v>499</v>
      </c>
      <c r="C1783" s="2">
        <f>IFERROR(__xludf.DUMMYFUNCTION("""COMPUTED_VALUE"""),518.66)</f>
        <v>518.66</v>
      </c>
      <c r="D1783" s="2">
        <f>IFERROR(__xludf.DUMMYFUNCTION("""COMPUTED_VALUE"""),496.61)</f>
        <v>496.61</v>
      </c>
      <c r="E1783" s="2">
        <f>IFERROR(__xludf.DUMMYFUNCTION("""COMPUTED_VALUE"""),514.01)</f>
        <v>514.01</v>
      </c>
      <c r="F1783" s="2">
        <f>IFERROR(__xludf.DUMMYFUNCTION("""COMPUTED_VALUE"""),5949983.0)</f>
        <v>5949983</v>
      </c>
    </row>
    <row r="1784">
      <c r="A1784" s="3">
        <f>IFERROR(__xludf.DUMMYFUNCTION("""COMPUTED_VALUE"""),40065.645833333336)</f>
        <v>40065.64583</v>
      </c>
      <c r="B1784" s="2">
        <f>IFERROR(__xludf.DUMMYFUNCTION("""COMPUTED_VALUE"""),513.86)</f>
        <v>513.86</v>
      </c>
      <c r="C1784" s="2">
        <f>IFERROR(__xludf.DUMMYFUNCTION("""COMPUTED_VALUE"""),538.5)</f>
        <v>538.5</v>
      </c>
      <c r="D1784" s="2">
        <f>IFERROR(__xludf.DUMMYFUNCTION("""COMPUTED_VALUE"""),510.64)</f>
        <v>510.64</v>
      </c>
      <c r="E1784" s="2">
        <f>IFERROR(__xludf.DUMMYFUNCTION("""COMPUTED_VALUE"""),537.0)</f>
        <v>537</v>
      </c>
      <c r="F1784" s="2">
        <f>IFERROR(__xludf.DUMMYFUNCTION("""COMPUTED_VALUE"""),6009262.0)</f>
        <v>6009262</v>
      </c>
    </row>
    <row r="1785">
      <c r="A1785" s="3">
        <f>IFERROR(__xludf.DUMMYFUNCTION("""COMPUTED_VALUE"""),40066.645833333336)</f>
        <v>40066.64583</v>
      </c>
      <c r="B1785" s="2">
        <f>IFERROR(__xludf.DUMMYFUNCTION("""COMPUTED_VALUE"""),542.35)</f>
        <v>542.35</v>
      </c>
      <c r="C1785" s="2">
        <f>IFERROR(__xludf.DUMMYFUNCTION("""COMPUTED_VALUE"""),554.7)</f>
        <v>554.7</v>
      </c>
      <c r="D1785" s="2">
        <f>IFERROR(__xludf.DUMMYFUNCTION("""COMPUTED_VALUE"""),528.12)</f>
        <v>528.12</v>
      </c>
      <c r="E1785" s="2">
        <f>IFERROR(__xludf.DUMMYFUNCTION("""COMPUTED_VALUE"""),531.8)</f>
        <v>531.8</v>
      </c>
      <c r="F1785" s="2">
        <f>IFERROR(__xludf.DUMMYFUNCTION("""COMPUTED_VALUE"""),4076750.0)</f>
        <v>4076750</v>
      </c>
    </row>
    <row r="1786">
      <c r="A1786" s="3">
        <f>IFERROR(__xludf.DUMMYFUNCTION("""COMPUTED_VALUE"""),40067.645833333336)</f>
        <v>40067.64583</v>
      </c>
      <c r="B1786" s="2">
        <f>IFERROR(__xludf.DUMMYFUNCTION("""COMPUTED_VALUE"""),536.15)</f>
        <v>536.15</v>
      </c>
      <c r="C1786" s="2">
        <f>IFERROR(__xludf.DUMMYFUNCTION("""COMPUTED_VALUE"""),537.71)</f>
        <v>537.71</v>
      </c>
      <c r="D1786" s="2">
        <f>IFERROR(__xludf.DUMMYFUNCTION("""COMPUTED_VALUE"""),521.29)</f>
        <v>521.29</v>
      </c>
      <c r="E1786" s="2">
        <f>IFERROR(__xludf.DUMMYFUNCTION("""COMPUTED_VALUE"""),530.17)</f>
        <v>530.17</v>
      </c>
      <c r="F1786" s="2">
        <f>IFERROR(__xludf.DUMMYFUNCTION("""COMPUTED_VALUE"""),3585424.0)</f>
        <v>3585424</v>
      </c>
    </row>
    <row r="1787">
      <c r="A1787" s="3">
        <f>IFERROR(__xludf.DUMMYFUNCTION("""COMPUTED_VALUE"""),40070.645833333336)</f>
        <v>40070.64583</v>
      </c>
      <c r="B1787" s="2">
        <f>IFERROR(__xludf.DUMMYFUNCTION("""COMPUTED_VALUE"""),528.72)</f>
        <v>528.72</v>
      </c>
      <c r="C1787" s="2">
        <f>IFERROR(__xludf.DUMMYFUNCTION("""COMPUTED_VALUE"""),534.69)</f>
        <v>534.69</v>
      </c>
      <c r="D1787" s="2">
        <f>IFERROR(__xludf.DUMMYFUNCTION("""COMPUTED_VALUE"""),522.9)</f>
        <v>522.9</v>
      </c>
      <c r="E1787" s="2">
        <f>IFERROR(__xludf.DUMMYFUNCTION("""COMPUTED_VALUE"""),529.83)</f>
        <v>529.83</v>
      </c>
      <c r="F1787" s="2">
        <f>IFERROR(__xludf.DUMMYFUNCTION("""COMPUTED_VALUE"""),2176986.0)</f>
        <v>2176986</v>
      </c>
    </row>
    <row r="1788">
      <c r="A1788" s="3">
        <f>IFERROR(__xludf.DUMMYFUNCTION("""COMPUTED_VALUE"""),40071.645833333336)</f>
        <v>40071.64583</v>
      </c>
      <c r="B1788" s="2">
        <f>IFERROR(__xludf.DUMMYFUNCTION("""COMPUTED_VALUE"""),530.45)</f>
        <v>530.45</v>
      </c>
      <c r="C1788" s="2">
        <f>IFERROR(__xludf.DUMMYFUNCTION("""COMPUTED_VALUE"""),540.85)</f>
        <v>540.85</v>
      </c>
      <c r="D1788" s="2">
        <f>IFERROR(__xludf.DUMMYFUNCTION("""COMPUTED_VALUE"""),530.45)</f>
        <v>530.45</v>
      </c>
      <c r="E1788" s="2">
        <f>IFERROR(__xludf.DUMMYFUNCTION("""COMPUTED_VALUE"""),540.09)</f>
        <v>540.09</v>
      </c>
      <c r="F1788" s="2">
        <f>IFERROR(__xludf.DUMMYFUNCTION("""COMPUTED_VALUE"""),2157020.0)</f>
        <v>2157020</v>
      </c>
    </row>
    <row r="1789">
      <c r="A1789" s="3">
        <f>IFERROR(__xludf.DUMMYFUNCTION("""COMPUTED_VALUE"""),40072.645833333336)</f>
        <v>40072.64583</v>
      </c>
      <c r="B1789" s="2">
        <f>IFERROR(__xludf.DUMMYFUNCTION("""COMPUTED_VALUE"""),543.83)</f>
        <v>543.83</v>
      </c>
      <c r="C1789" s="2">
        <f>IFERROR(__xludf.DUMMYFUNCTION("""COMPUTED_VALUE"""),549.45)</f>
        <v>549.45</v>
      </c>
      <c r="D1789" s="2">
        <f>IFERROR(__xludf.DUMMYFUNCTION("""COMPUTED_VALUE"""),535.8)</f>
        <v>535.8</v>
      </c>
      <c r="E1789" s="2">
        <f>IFERROR(__xludf.DUMMYFUNCTION("""COMPUTED_VALUE"""),540.85)</f>
        <v>540.85</v>
      </c>
      <c r="F1789" s="2">
        <f>IFERROR(__xludf.DUMMYFUNCTION("""COMPUTED_VALUE"""),2215286.0)</f>
        <v>2215286</v>
      </c>
    </row>
    <row r="1790">
      <c r="A1790" s="3">
        <f>IFERROR(__xludf.DUMMYFUNCTION("""COMPUTED_VALUE"""),40073.645833333336)</f>
        <v>40073.64583</v>
      </c>
      <c r="B1790" s="2">
        <f>IFERROR(__xludf.DUMMYFUNCTION("""COMPUTED_VALUE"""),541.1)</f>
        <v>541.1</v>
      </c>
      <c r="C1790" s="2">
        <f>IFERROR(__xludf.DUMMYFUNCTION("""COMPUTED_VALUE"""),544.82)</f>
        <v>544.82</v>
      </c>
      <c r="D1790" s="2">
        <f>IFERROR(__xludf.DUMMYFUNCTION("""COMPUTED_VALUE"""),512.87)</f>
        <v>512.87</v>
      </c>
      <c r="E1790" s="2">
        <f>IFERROR(__xludf.DUMMYFUNCTION("""COMPUTED_VALUE"""),516.62)</f>
        <v>516.62</v>
      </c>
      <c r="F1790" s="2">
        <f>IFERROR(__xludf.DUMMYFUNCTION("""COMPUTED_VALUE"""),1.6579451E7)</f>
        <v>16579451</v>
      </c>
    </row>
    <row r="1791">
      <c r="A1791" s="3">
        <f>IFERROR(__xludf.DUMMYFUNCTION("""COMPUTED_VALUE"""),40074.645833333336)</f>
        <v>40074.64583</v>
      </c>
      <c r="B1791" s="2">
        <f>IFERROR(__xludf.DUMMYFUNCTION("""COMPUTED_VALUE"""),515.1)</f>
        <v>515.1</v>
      </c>
      <c r="C1791" s="2">
        <f>IFERROR(__xludf.DUMMYFUNCTION("""COMPUTED_VALUE"""),523.27)</f>
        <v>523.27</v>
      </c>
      <c r="D1791" s="2">
        <f>IFERROR(__xludf.DUMMYFUNCTION("""COMPUTED_VALUE"""),513.88)</f>
        <v>513.88</v>
      </c>
      <c r="E1791" s="2">
        <f>IFERROR(__xludf.DUMMYFUNCTION("""COMPUTED_VALUE"""),520.68)</f>
        <v>520.68</v>
      </c>
      <c r="F1791" s="2">
        <f>IFERROR(__xludf.DUMMYFUNCTION("""COMPUTED_VALUE"""),2938873.0)</f>
        <v>2938873</v>
      </c>
    </row>
    <row r="1792">
      <c r="A1792" s="3">
        <f>IFERROR(__xludf.DUMMYFUNCTION("""COMPUTED_VALUE"""),40078.645833333336)</f>
        <v>40078.64583</v>
      </c>
      <c r="B1792" s="2">
        <f>IFERROR(__xludf.DUMMYFUNCTION("""COMPUTED_VALUE"""),527.16)</f>
        <v>527.16</v>
      </c>
      <c r="C1792" s="2">
        <f>IFERROR(__xludf.DUMMYFUNCTION("""COMPUTED_VALUE"""),529.88)</f>
        <v>529.88</v>
      </c>
      <c r="D1792" s="2">
        <f>IFERROR(__xludf.DUMMYFUNCTION("""COMPUTED_VALUE"""),517.1)</f>
        <v>517.1</v>
      </c>
      <c r="E1792" s="2">
        <f>IFERROR(__xludf.DUMMYFUNCTION("""COMPUTED_VALUE"""),519.54)</f>
        <v>519.54</v>
      </c>
      <c r="F1792" s="2">
        <f>IFERROR(__xludf.DUMMYFUNCTION("""COMPUTED_VALUE"""),2629983.0)</f>
        <v>2629983</v>
      </c>
    </row>
    <row r="1793">
      <c r="A1793" s="3">
        <f>IFERROR(__xludf.DUMMYFUNCTION("""COMPUTED_VALUE"""),40079.645833333336)</f>
        <v>40079.64583</v>
      </c>
      <c r="B1793" s="2">
        <f>IFERROR(__xludf.DUMMYFUNCTION("""COMPUTED_VALUE"""),519.31)</f>
        <v>519.31</v>
      </c>
      <c r="C1793" s="2">
        <f>IFERROR(__xludf.DUMMYFUNCTION("""COMPUTED_VALUE"""),526.24)</f>
        <v>526.24</v>
      </c>
      <c r="D1793" s="2">
        <f>IFERROR(__xludf.DUMMYFUNCTION("""COMPUTED_VALUE"""),517.57)</f>
        <v>517.57</v>
      </c>
      <c r="E1793" s="2">
        <f>IFERROR(__xludf.DUMMYFUNCTION("""COMPUTED_VALUE"""),520.47)</f>
        <v>520.47</v>
      </c>
      <c r="F1793" s="2">
        <f>IFERROR(__xludf.DUMMYFUNCTION("""COMPUTED_VALUE"""),2784741.0)</f>
        <v>2784741</v>
      </c>
    </row>
    <row r="1794">
      <c r="A1794" s="3">
        <f>IFERROR(__xludf.DUMMYFUNCTION("""COMPUTED_VALUE"""),40080.645833333336)</f>
        <v>40080.64583</v>
      </c>
      <c r="B1794" s="2">
        <f>IFERROR(__xludf.DUMMYFUNCTION("""COMPUTED_VALUE"""),517.57)</f>
        <v>517.57</v>
      </c>
      <c r="C1794" s="2">
        <f>IFERROR(__xludf.DUMMYFUNCTION("""COMPUTED_VALUE"""),527.48)</f>
        <v>527.48</v>
      </c>
      <c r="D1794" s="2">
        <f>IFERROR(__xludf.DUMMYFUNCTION("""COMPUTED_VALUE"""),509.65)</f>
        <v>509.65</v>
      </c>
      <c r="E1794" s="2">
        <f>IFERROR(__xludf.DUMMYFUNCTION("""COMPUTED_VALUE"""),520.29)</f>
        <v>520.29</v>
      </c>
      <c r="F1794" s="2">
        <f>IFERROR(__xludf.DUMMYFUNCTION("""COMPUTED_VALUE"""),4761898.0)</f>
        <v>4761898</v>
      </c>
    </row>
    <row r="1795">
      <c r="A1795" s="3">
        <f>IFERROR(__xludf.DUMMYFUNCTION("""COMPUTED_VALUE"""),40081.645833333336)</f>
        <v>40081.64583</v>
      </c>
      <c r="B1795" s="2">
        <f>IFERROR(__xludf.DUMMYFUNCTION("""COMPUTED_VALUE"""),516.19)</f>
        <v>516.19</v>
      </c>
      <c r="C1795" s="2">
        <f>IFERROR(__xludf.DUMMYFUNCTION("""COMPUTED_VALUE"""),531.91)</f>
        <v>531.91</v>
      </c>
      <c r="D1795" s="2">
        <f>IFERROR(__xludf.DUMMYFUNCTION("""COMPUTED_VALUE"""),513.88)</f>
        <v>513.88</v>
      </c>
      <c r="E1795" s="2">
        <f>IFERROR(__xludf.DUMMYFUNCTION("""COMPUTED_VALUE"""),528.72)</f>
        <v>528.72</v>
      </c>
      <c r="F1795" s="2">
        <f>IFERROR(__xludf.DUMMYFUNCTION("""COMPUTED_VALUE"""),3566397.0)</f>
        <v>3566397</v>
      </c>
    </row>
    <row r="1796">
      <c r="A1796" s="3">
        <f>IFERROR(__xludf.DUMMYFUNCTION("""COMPUTED_VALUE"""),40085.645833333336)</f>
        <v>40085.64583</v>
      </c>
      <c r="B1796" s="2">
        <f>IFERROR(__xludf.DUMMYFUNCTION("""COMPUTED_VALUE"""),531.32)</f>
        <v>531.32</v>
      </c>
      <c r="C1796" s="2">
        <f>IFERROR(__xludf.DUMMYFUNCTION("""COMPUTED_VALUE"""),540.26)</f>
        <v>540.26</v>
      </c>
      <c r="D1796" s="2">
        <f>IFERROR(__xludf.DUMMYFUNCTION("""COMPUTED_VALUE"""),529.96)</f>
        <v>529.96</v>
      </c>
      <c r="E1796" s="2">
        <f>IFERROR(__xludf.DUMMYFUNCTION("""COMPUTED_VALUE"""),537.65)</f>
        <v>537.65</v>
      </c>
      <c r="F1796" s="2">
        <f>IFERROR(__xludf.DUMMYFUNCTION("""COMPUTED_VALUE"""),4600745.0)</f>
        <v>4600745</v>
      </c>
    </row>
    <row r="1797">
      <c r="A1797" s="3">
        <f>IFERROR(__xludf.DUMMYFUNCTION("""COMPUTED_VALUE"""),40086.645833333336)</f>
        <v>40086.64583</v>
      </c>
      <c r="B1797" s="2">
        <f>IFERROR(__xludf.DUMMYFUNCTION("""COMPUTED_VALUE"""),540.85)</f>
        <v>540.85</v>
      </c>
      <c r="C1797" s="2">
        <f>IFERROR(__xludf.DUMMYFUNCTION("""COMPUTED_VALUE"""),548.01)</f>
        <v>548.01</v>
      </c>
      <c r="D1797" s="2">
        <f>IFERROR(__xludf.DUMMYFUNCTION("""COMPUTED_VALUE"""),536.15)</f>
        <v>536.15</v>
      </c>
      <c r="E1797" s="2">
        <f>IFERROR(__xludf.DUMMYFUNCTION("""COMPUTED_VALUE"""),545.22)</f>
        <v>545.22</v>
      </c>
      <c r="F1797" s="2">
        <f>IFERROR(__xludf.DUMMYFUNCTION("""COMPUTED_VALUE"""),4222636.0)</f>
        <v>4222636</v>
      </c>
    </row>
    <row r="1798">
      <c r="A1798" s="3">
        <f>IFERROR(__xludf.DUMMYFUNCTION("""COMPUTED_VALUE"""),40087.645833333336)</f>
        <v>40087.64583</v>
      </c>
      <c r="B1798" s="2">
        <f>IFERROR(__xludf.DUMMYFUNCTION("""COMPUTED_VALUE"""),544.79)</f>
        <v>544.79</v>
      </c>
      <c r="C1798" s="2">
        <f>IFERROR(__xludf.DUMMYFUNCTION("""COMPUTED_VALUE"""),544.79)</f>
        <v>544.79</v>
      </c>
      <c r="D1798" s="2">
        <f>IFERROR(__xludf.DUMMYFUNCTION("""COMPUTED_VALUE"""),533.42)</f>
        <v>533.42</v>
      </c>
      <c r="E1798" s="2">
        <f>IFERROR(__xludf.DUMMYFUNCTION("""COMPUTED_VALUE"""),538.46)</f>
        <v>538.46</v>
      </c>
      <c r="F1798" s="2">
        <f>IFERROR(__xludf.DUMMYFUNCTION("""COMPUTED_VALUE"""),3010715.0)</f>
        <v>3010715</v>
      </c>
    </row>
    <row r="1799">
      <c r="A1799" s="3">
        <f>IFERROR(__xludf.DUMMYFUNCTION("""COMPUTED_VALUE"""),40091.645833333336)</f>
        <v>40091.64583</v>
      </c>
      <c r="B1799" s="2">
        <f>IFERROR(__xludf.DUMMYFUNCTION("""COMPUTED_VALUE"""),534.89)</f>
        <v>534.89</v>
      </c>
      <c r="C1799" s="2">
        <f>IFERROR(__xludf.DUMMYFUNCTION("""COMPUTED_VALUE"""),537.88)</f>
        <v>537.88</v>
      </c>
      <c r="D1799" s="2">
        <f>IFERROR(__xludf.DUMMYFUNCTION("""COMPUTED_VALUE"""),525.33)</f>
        <v>525.33</v>
      </c>
      <c r="E1799" s="2">
        <f>IFERROR(__xludf.DUMMYFUNCTION("""COMPUTED_VALUE"""),529.73)</f>
        <v>529.73</v>
      </c>
      <c r="F1799" s="2">
        <f>IFERROR(__xludf.DUMMYFUNCTION("""COMPUTED_VALUE"""),2961545.0)</f>
        <v>2961545</v>
      </c>
    </row>
    <row r="1800">
      <c r="A1800" s="3">
        <f>IFERROR(__xludf.DUMMYFUNCTION("""COMPUTED_VALUE"""),40092.645833333336)</f>
        <v>40092.64583</v>
      </c>
      <c r="B1800" s="2">
        <f>IFERROR(__xludf.DUMMYFUNCTION("""COMPUTED_VALUE"""),534.9)</f>
        <v>534.9</v>
      </c>
      <c r="C1800" s="2">
        <f>IFERROR(__xludf.DUMMYFUNCTION("""COMPUTED_VALUE"""),534.9)</f>
        <v>534.9</v>
      </c>
      <c r="D1800" s="2">
        <f>IFERROR(__xludf.DUMMYFUNCTION("""COMPUTED_VALUE"""),520.55)</f>
        <v>520.55</v>
      </c>
      <c r="E1800" s="2">
        <f>IFERROR(__xludf.DUMMYFUNCTION("""COMPUTED_VALUE"""),528.5)</f>
        <v>528.5</v>
      </c>
      <c r="F1800" s="2">
        <f>IFERROR(__xludf.DUMMYFUNCTION("""COMPUTED_VALUE"""),3669459.0)</f>
        <v>3669459</v>
      </c>
    </row>
    <row r="1801">
      <c r="A1801" s="3">
        <f>IFERROR(__xludf.DUMMYFUNCTION("""COMPUTED_VALUE"""),40093.645833333336)</f>
        <v>40093.64583</v>
      </c>
      <c r="B1801" s="2">
        <f>IFERROR(__xludf.DUMMYFUNCTION("""COMPUTED_VALUE"""),532.31)</f>
        <v>532.31</v>
      </c>
      <c r="C1801" s="2">
        <f>IFERROR(__xludf.DUMMYFUNCTION("""COMPUTED_VALUE"""),534.41)</f>
        <v>534.41</v>
      </c>
      <c r="D1801" s="2">
        <f>IFERROR(__xludf.DUMMYFUNCTION("""COMPUTED_VALUE"""),516.11)</f>
        <v>516.11</v>
      </c>
      <c r="E1801" s="2">
        <f>IFERROR(__xludf.DUMMYFUNCTION("""COMPUTED_VALUE"""),520.37)</f>
        <v>520.37</v>
      </c>
      <c r="F1801" s="2">
        <f>IFERROR(__xludf.DUMMYFUNCTION("""COMPUTED_VALUE"""),3100036.0)</f>
        <v>3100036</v>
      </c>
    </row>
    <row r="1802">
      <c r="A1802" s="3">
        <f>IFERROR(__xludf.DUMMYFUNCTION("""COMPUTED_VALUE"""),40094.645833333336)</f>
        <v>40094.64583</v>
      </c>
      <c r="B1802" s="2">
        <f>IFERROR(__xludf.DUMMYFUNCTION("""COMPUTED_VALUE"""),544.82)</f>
        <v>544.82</v>
      </c>
      <c r="C1802" s="2">
        <f>IFERROR(__xludf.DUMMYFUNCTION("""COMPUTED_VALUE"""),553.61)</f>
        <v>553.61</v>
      </c>
      <c r="D1802" s="2">
        <f>IFERROR(__xludf.DUMMYFUNCTION("""COMPUTED_VALUE"""),520.05)</f>
        <v>520.05</v>
      </c>
      <c r="E1802" s="2">
        <f>IFERROR(__xludf.DUMMYFUNCTION("""COMPUTED_VALUE"""),524.92)</f>
        <v>524.92</v>
      </c>
      <c r="F1802" s="2">
        <f>IFERROR(__xludf.DUMMYFUNCTION("""COMPUTED_VALUE"""),7026835.0)</f>
        <v>7026835</v>
      </c>
    </row>
    <row r="1803">
      <c r="A1803" s="3">
        <f>IFERROR(__xludf.DUMMYFUNCTION("""COMPUTED_VALUE"""),40095.645833333336)</f>
        <v>40095.64583</v>
      </c>
      <c r="B1803" s="2">
        <f>IFERROR(__xludf.DUMMYFUNCTION("""COMPUTED_VALUE"""),527.15)</f>
        <v>527.15</v>
      </c>
      <c r="C1803" s="2">
        <f>IFERROR(__xludf.DUMMYFUNCTION("""COMPUTED_VALUE"""),527.88)</f>
        <v>527.88</v>
      </c>
      <c r="D1803" s="2">
        <f>IFERROR(__xludf.DUMMYFUNCTION("""COMPUTED_VALUE"""),517.57)</f>
        <v>517.57</v>
      </c>
      <c r="E1803" s="2">
        <f>IFERROR(__xludf.DUMMYFUNCTION("""COMPUTED_VALUE"""),519.99)</f>
        <v>519.99</v>
      </c>
      <c r="F1803" s="2">
        <f>IFERROR(__xludf.DUMMYFUNCTION("""COMPUTED_VALUE"""),3162237.0)</f>
        <v>3162237</v>
      </c>
    </row>
    <row r="1804">
      <c r="A1804" s="3">
        <f>IFERROR(__xludf.DUMMYFUNCTION("""COMPUTED_VALUE"""),40098.645833333336)</f>
        <v>40098.64583</v>
      </c>
      <c r="B1804" s="2">
        <f>IFERROR(__xludf.DUMMYFUNCTION("""COMPUTED_VALUE"""),525.0)</f>
        <v>525</v>
      </c>
      <c r="C1804" s="2">
        <f>IFERROR(__xludf.DUMMYFUNCTION("""COMPUTED_VALUE"""),541.35)</f>
        <v>541.35</v>
      </c>
      <c r="D1804" s="2">
        <f>IFERROR(__xludf.DUMMYFUNCTION("""COMPUTED_VALUE"""),525.0)</f>
        <v>525</v>
      </c>
      <c r="E1804" s="2">
        <f>IFERROR(__xludf.DUMMYFUNCTION("""COMPUTED_VALUE"""),537.15)</f>
        <v>537.15</v>
      </c>
      <c r="F1804" s="2">
        <f>IFERROR(__xludf.DUMMYFUNCTION("""COMPUTED_VALUE"""),4496196.0)</f>
        <v>4496196</v>
      </c>
    </row>
    <row r="1805">
      <c r="A1805" s="3">
        <f>IFERROR(__xludf.DUMMYFUNCTION("""COMPUTED_VALUE"""),40100.645833333336)</f>
        <v>40100.64583</v>
      </c>
      <c r="B1805" s="2">
        <f>IFERROR(__xludf.DUMMYFUNCTION("""COMPUTED_VALUE"""),538.62)</f>
        <v>538.62</v>
      </c>
      <c r="C1805" s="2">
        <f>IFERROR(__xludf.DUMMYFUNCTION("""COMPUTED_VALUE"""),544.2)</f>
        <v>544.2</v>
      </c>
      <c r="D1805" s="2">
        <f>IFERROR(__xludf.DUMMYFUNCTION("""COMPUTED_VALUE"""),533.09)</f>
        <v>533.09</v>
      </c>
      <c r="E1805" s="2">
        <f>IFERROR(__xludf.DUMMYFUNCTION("""COMPUTED_VALUE"""),540.9)</f>
        <v>540.9</v>
      </c>
      <c r="F1805" s="2">
        <f>IFERROR(__xludf.DUMMYFUNCTION("""COMPUTED_VALUE"""),3335821.0)</f>
        <v>3335821</v>
      </c>
    </row>
    <row r="1806">
      <c r="A1806" s="3">
        <f>IFERROR(__xludf.DUMMYFUNCTION("""COMPUTED_VALUE"""),40101.645833333336)</f>
        <v>40101.64583</v>
      </c>
      <c r="B1806" s="2">
        <f>IFERROR(__xludf.DUMMYFUNCTION("""COMPUTED_VALUE"""),544.57)</f>
        <v>544.57</v>
      </c>
      <c r="C1806" s="2">
        <f>IFERROR(__xludf.DUMMYFUNCTION("""COMPUTED_VALUE"""),550.21)</f>
        <v>550.21</v>
      </c>
      <c r="D1806" s="2">
        <f>IFERROR(__xludf.DUMMYFUNCTION("""COMPUTED_VALUE"""),536.15)</f>
        <v>536.15</v>
      </c>
      <c r="E1806" s="2">
        <f>IFERROR(__xludf.DUMMYFUNCTION("""COMPUTED_VALUE"""),537.76)</f>
        <v>537.76</v>
      </c>
      <c r="F1806" s="2">
        <f>IFERROR(__xludf.DUMMYFUNCTION("""COMPUTED_VALUE"""),3250759.0)</f>
        <v>3250759</v>
      </c>
    </row>
    <row r="1807">
      <c r="A1807" s="3">
        <f>IFERROR(__xludf.DUMMYFUNCTION("""COMPUTED_VALUE"""),40102.645833333336)</f>
        <v>40102.64583</v>
      </c>
      <c r="B1807" s="2">
        <f>IFERROR(__xludf.DUMMYFUNCTION("""COMPUTED_VALUE"""),537.39)</f>
        <v>537.39</v>
      </c>
      <c r="C1807" s="2">
        <f>IFERROR(__xludf.DUMMYFUNCTION("""COMPUTED_VALUE"""),551.25)</f>
        <v>551.25</v>
      </c>
      <c r="D1807" s="2">
        <f>IFERROR(__xludf.DUMMYFUNCTION("""COMPUTED_VALUE"""),535.16)</f>
        <v>535.16</v>
      </c>
      <c r="E1807" s="2">
        <f>IFERROR(__xludf.DUMMYFUNCTION("""COMPUTED_VALUE"""),549.46)</f>
        <v>549.46</v>
      </c>
      <c r="F1807" s="2">
        <f>IFERROR(__xludf.DUMMYFUNCTION("""COMPUTED_VALUE"""),3357818.0)</f>
        <v>3357818</v>
      </c>
    </row>
    <row r="1808">
      <c r="A1808" s="3">
        <f>IFERROR(__xludf.DUMMYFUNCTION("""COMPUTED_VALUE"""),40106.645833333336)</f>
        <v>40106.64583</v>
      </c>
      <c r="B1808" s="2">
        <f>IFERROR(__xludf.DUMMYFUNCTION("""COMPUTED_VALUE"""),555.96)</f>
        <v>555.96</v>
      </c>
      <c r="C1808" s="2">
        <f>IFERROR(__xludf.DUMMYFUNCTION("""COMPUTED_VALUE"""),565.44)</f>
        <v>565.44</v>
      </c>
      <c r="D1808" s="2">
        <f>IFERROR(__xludf.DUMMYFUNCTION("""COMPUTED_VALUE"""),539.33)</f>
        <v>539.33</v>
      </c>
      <c r="E1808" s="2">
        <f>IFERROR(__xludf.DUMMYFUNCTION("""COMPUTED_VALUE"""),540.99)</f>
        <v>540.99</v>
      </c>
      <c r="F1808" s="2">
        <f>IFERROR(__xludf.DUMMYFUNCTION("""COMPUTED_VALUE"""),3161589.0)</f>
        <v>3161589</v>
      </c>
    </row>
    <row r="1809">
      <c r="A1809" s="3">
        <f>IFERROR(__xludf.DUMMYFUNCTION("""COMPUTED_VALUE"""),40107.645833333336)</f>
        <v>40107.64583</v>
      </c>
      <c r="B1809" s="2">
        <f>IFERROR(__xludf.DUMMYFUNCTION("""COMPUTED_VALUE"""),539.62)</f>
        <v>539.62</v>
      </c>
      <c r="C1809" s="2">
        <f>IFERROR(__xludf.DUMMYFUNCTION("""COMPUTED_VALUE"""),547.04)</f>
        <v>547.04</v>
      </c>
      <c r="D1809" s="2">
        <f>IFERROR(__xludf.DUMMYFUNCTION("""COMPUTED_VALUE"""),537.05)</f>
        <v>537.05</v>
      </c>
      <c r="E1809" s="2">
        <f>IFERROR(__xludf.DUMMYFUNCTION("""COMPUTED_VALUE"""),540.41)</f>
        <v>540.41</v>
      </c>
      <c r="F1809" s="2">
        <f>IFERROR(__xludf.DUMMYFUNCTION("""COMPUTED_VALUE"""),2549442.0)</f>
        <v>2549442</v>
      </c>
    </row>
    <row r="1810">
      <c r="A1810" s="3">
        <f>IFERROR(__xludf.DUMMYFUNCTION("""COMPUTED_VALUE"""),40108.645833333336)</f>
        <v>40108.64583</v>
      </c>
      <c r="B1810" s="2">
        <f>IFERROR(__xludf.DUMMYFUNCTION("""COMPUTED_VALUE"""),540.36)</f>
        <v>540.36</v>
      </c>
      <c r="C1810" s="2">
        <f>IFERROR(__xludf.DUMMYFUNCTION("""COMPUTED_VALUE"""),540.36)</f>
        <v>540.36</v>
      </c>
      <c r="D1810" s="2">
        <f>IFERROR(__xludf.DUMMYFUNCTION("""COMPUTED_VALUE"""),525.25)</f>
        <v>525.25</v>
      </c>
      <c r="E1810" s="2">
        <f>IFERROR(__xludf.DUMMYFUNCTION("""COMPUTED_VALUE"""),528.77)</f>
        <v>528.77</v>
      </c>
      <c r="F1810" s="2">
        <f>IFERROR(__xludf.DUMMYFUNCTION("""COMPUTED_VALUE"""),2310668.0)</f>
        <v>2310668</v>
      </c>
    </row>
    <row r="1811">
      <c r="A1811" s="3">
        <f>IFERROR(__xludf.DUMMYFUNCTION("""COMPUTED_VALUE"""),40109.645833333336)</f>
        <v>40109.64583</v>
      </c>
      <c r="B1811" s="2">
        <f>IFERROR(__xludf.DUMMYFUNCTION("""COMPUTED_VALUE"""),531.49)</f>
        <v>531.49</v>
      </c>
      <c r="C1811" s="2">
        <f>IFERROR(__xludf.DUMMYFUNCTION("""COMPUTED_VALUE"""),533.5)</f>
        <v>533.5</v>
      </c>
      <c r="D1811" s="2">
        <f>IFERROR(__xludf.DUMMYFUNCTION("""COMPUTED_VALUE"""),504.6)</f>
        <v>504.6</v>
      </c>
      <c r="E1811" s="2">
        <f>IFERROR(__xludf.DUMMYFUNCTION("""COMPUTED_VALUE"""),507.01)</f>
        <v>507.01</v>
      </c>
      <c r="F1811" s="2">
        <f>IFERROR(__xludf.DUMMYFUNCTION("""COMPUTED_VALUE"""),5039726.0)</f>
        <v>5039726</v>
      </c>
    </row>
    <row r="1812">
      <c r="A1812" s="3">
        <f>IFERROR(__xludf.DUMMYFUNCTION("""COMPUTED_VALUE"""),40112.645833333336)</f>
        <v>40112.64583</v>
      </c>
      <c r="B1812" s="2">
        <f>IFERROR(__xludf.DUMMYFUNCTION("""COMPUTED_VALUE"""),507.67)</f>
        <v>507.67</v>
      </c>
      <c r="C1812" s="2">
        <f>IFERROR(__xludf.DUMMYFUNCTION("""COMPUTED_VALUE"""),512.13)</f>
        <v>512.13</v>
      </c>
      <c r="D1812" s="2">
        <f>IFERROR(__xludf.DUMMYFUNCTION("""COMPUTED_VALUE"""),496.28)</f>
        <v>496.28</v>
      </c>
      <c r="E1812" s="2">
        <f>IFERROR(__xludf.DUMMYFUNCTION("""COMPUTED_VALUE"""),499.09)</f>
        <v>499.09</v>
      </c>
      <c r="F1812" s="2">
        <f>IFERROR(__xludf.DUMMYFUNCTION("""COMPUTED_VALUE"""),3170009.0)</f>
        <v>3170009</v>
      </c>
    </row>
    <row r="1813">
      <c r="A1813" s="3">
        <f>IFERROR(__xludf.DUMMYFUNCTION("""COMPUTED_VALUE"""),40113.645833333336)</f>
        <v>40113.64583</v>
      </c>
      <c r="B1813" s="2">
        <f>IFERROR(__xludf.DUMMYFUNCTION("""COMPUTED_VALUE"""),495.78)</f>
        <v>495.78</v>
      </c>
      <c r="C1813" s="2">
        <f>IFERROR(__xludf.DUMMYFUNCTION("""COMPUTED_VALUE"""),497.76)</f>
        <v>497.76</v>
      </c>
      <c r="D1813" s="2">
        <f>IFERROR(__xludf.DUMMYFUNCTION("""COMPUTED_VALUE"""),489.1)</f>
        <v>489.1</v>
      </c>
      <c r="E1813" s="2">
        <f>IFERROR(__xludf.DUMMYFUNCTION("""COMPUTED_VALUE"""),493.06)</f>
        <v>493.06</v>
      </c>
      <c r="F1813" s="2">
        <f>IFERROR(__xludf.DUMMYFUNCTION("""COMPUTED_VALUE"""),3535555.0)</f>
        <v>3535555</v>
      </c>
    </row>
    <row r="1814">
      <c r="A1814" s="3">
        <f>IFERROR(__xludf.DUMMYFUNCTION("""COMPUTED_VALUE"""),40114.645833333336)</f>
        <v>40114.64583</v>
      </c>
      <c r="B1814" s="2">
        <f>IFERROR(__xludf.DUMMYFUNCTION("""COMPUTED_VALUE"""),491.58)</f>
        <v>491.58</v>
      </c>
      <c r="C1814" s="2">
        <f>IFERROR(__xludf.DUMMYFUNCTION("""COMPUTED_VALUE"""),506.02)</f>
        <v>506.02</v>
      </c>
      <c r="D1814" s="2">
        <f>IFERROR(__xludf.DUMMYFUNCTION("""COMPUTED_VALUE"""),491.58)</f>
        <v>491.58</v>
      </c>
      <c r="E1814" s="2">
        <f>IFERROR(__xludf.DUMMYFUNCTION("""COMPUTED_VALUE"""),503.74)</f>
        <v>503.74</v>
      </c>
      <c r="F1814" s="2">
        <f>IFERROR(__xludf.DUMMYFUNCTION("""COMPUTED_VALUE"""),2949900.0)</f>
        <v>2949900</v>
      </c>
    </row>
    <row r="1815">
      <c r="A1815" s="3">
        <f>IFERROR(__xludf.DUMMYFUNCTION("""COMPUTED_VALUE"""),40115.645833333336)</f>
        <v>40115.64583</v>
      </c>
      <c r="B1815" s="2">
        <f>IFERROR(__xludf.DUMMYFUNCTION("""COMPUTED_VALUE"""),495.53)</f>
        <v>495.53</v>
      </c>
      <c r="C1815" s="2">
        <f>IFERROR(__xludf.DUMMYFUNCTION("""COMPUTED_VALUE"""),506.16)</f>
        <v>506.16</v>
      </c>
      <c r="D1815" s="2">
        <f>IFERROR(__xludf.DUMMYFUNCTION("""COMPUTED_VALUE"""),490.43)</f>
        <v>490.43</v>
      </c>
      <c r="E1815" s="2">
        <f>IFERROR(__xludf.DUMMYFUNCTION("""COMPUTED_VALUE"""),495.14)</f>
        <v>495.14</v>
      </c>
      <c r="F1815" s="2">
        <f>IFERROR(__xludf.DUMMYFUNCTION("""COMPUTED_VALUE"""),3530103.0)</f>
        <v>3530103</v>
      </c>
    </row>
    <row r="1816">
      <c r="A1816" s="3">
        <f>IFERROR(__xludf.DUMMYFUNCTION("""COMPUTED_VALUE"""),40116.645833333336)</f>
        <v>40116.64583</v>
      </c>
      <c r="B1816" s="2">
        <f>IFERROR(__xludf.DUMMYFUNCTION("""COMPUTED_VALUE"""),495.55)</f>
        <v>495.55</v>
      </c>
      <c r="C1816" s="2">
        <f>IFERROR(__xludf.DUMMYFUNCTION("""COMPUTED_VALUE"""),503.95)</f>
        <v>503.95</v>
      </c>
      <c r="D1816" s="2">
        <f>IFERROR(__xludf.DUMMYFUNCTION("""COMPUTED_VALUE"""),475.97)</f>
        <v>475.97</v>
      </c>
      <c r="E1816" s="2">
        <f>IFERROR(__xludf.DUMMYFUNCTION("""COMPUTED_VALUE"""),478.24)</f>
        <v>478.24</v>
      </c>
      <c r="F1816" s="2">
        <f>IFERROR(__xludf.DUMMYFUNCTION("""COMPUTED_VALUE"""),4981242.0)</f>
        <v>4981242</v>
      </c>
    </row>
    <row r="1817">
      <c r="A1817" s="3">
        <f>IFERROR(__xludf.DUMMYFUNCTION("""COMPUTED_VALUE"""),40120.645833333336)</f>
        <v>40120.64583</v>
      </c>
      <c r="B1817" s="2">
        <f>IFERROR(__xludf.DUMMYFUNCTION("""COMPUTED_VALUE"""),475.49)</f>
        <v>475.49</v>
      </c>
      <c r="C1817" s="2">
        <f>IFERROR(__xludf.DUMMYFUNCTION("""COMPUTED_VALUE"""),476.66)</f>
        <v>476.66</v>
      </c>
      <c r="D1817" s="2">
        <f>IFERROR(__xludf.DUMMYFUNCTION("""COMPUTED_VALUE"""),446.32)</f>
        <v>446.32</v>
      </c>
      <c r="E1817" s="2">
        <f>IFERROR(__xludf.DUMMYFUNCTION("""COMPUTED_VALUE"""),450.35)</f>
        <v>450.35</v>
      </c>
      <c r="F1817" s="2">
        <f>IFERROR(__xludf.DUMMYFUNCTION("""COMPUTED_VALUE"""),4898276.0)</f>
        <v>4898276</v>
      </c>
    </row>
    <row r="1818">
      <c r="A1818" s="3">
        <f>IFERROR(__xludf.DUMMYFUNCTION("""COMPUTED_VALUE"""),40121.645833333336)</f>
        <v>40121.64583</v>
      </c>
      <c r="B1818" s="2">
        <f>IFERROR(__xludf.DUMMYFUNCTION("""COMPUTED_VALUE"""),458.14)</f>
        <v>458.14</v>
      </c>
      <c r="C1818" s="2">
        <f>IFERROR(__xludf.DUMMYFUNCTION("""COMPUTED_VALUE"""),477.46)</f>
        <v>477.46</v>
      </c>
      <c r="D1818" s="2">
        <f>IFERROR(__xludf.DUMMYFUNCTION("""COMPUTED_VALUE"""),453.86)</f>
        <v>453.86</v>
      </c>
      <c r="E1818" s="2">
        <f>IFERROR(__xludf.DUMMYFUNCTION("""COMPUTED_VALUE"""),475.65)</f>
        <v>475.65</v>
      </c>
      <c r="F1818" s="2">
        <f>IFERROR(__xludf.DUMMYFUNCTION("""COMPUTED_VALUE"""),4567661.0)</f>
        <v>4567661</v>
      </c>
    </row>
    <row r="1819">
      <c r="A1819" s="3">
        <f>IFERROR(__xludf.DUMMYFUNCTION("""COMPUTED_VALUE"""),40122.645833333336)</f>
        <v>40122.64583</v>
      </c>
      <c r="B1819" s="2">
        <f>IFERROR(__xludf.DUMMYFUNCTION("""COMPUTED_VALUE"""),472.79)</f>
        <v>472.79</v>
      </c>
      <c r="C1819" s="2">
        <f>IFERROR(__xludf.DUMMYFUNCTION("""COMPUTED_VALUE"""),482.41)</f>
        <v>482.41</v>
      </c>
      <c r="D1819" s="2">
        <f>IFERROR(__xludf.DUMMYFUNCTION("""COMPUTED_VALUE"""),458.39)</f>
        <v>458.39</v>
      </c>
      <c r="E1819" s="2">
        <f>IFERROR(__xludf.DUMMYFUNCTION("""COMPUTED_VALUE"""),480.71)</f>
        <v>480.71</v>
      </c>
      <c r="F1819" s="2">
        <f>IFERROR(__xludf.DUMMYFUNCTION("""COMPUTED_VALUE"""),3438724.0)</f>
        <v>3438724</v>
      </c>
    </row>
    <row r="1820">
      <c r="A1820" s="3">
        <f>IFERROR(__xludf.DUMMYFUNCTION("""COMPUTED_VALUE"""),40123.645833333336)</f>
        <v>40123.64583</v>
      </c>
      <c r="B1820" s="2">
        <f>IFERROR(__xludf.DUMMYFUNCTION("""COMPUTED_VALUE"""),477.95)</f>
        <v>477.95</v>
      </c>
      <c r="C1820" s="2">
        <f>IFERROR(__xludf.DUMMYFUNCTION("""COMPUTED_VALUE"""),489.07)</f>
        <v>489.07</v>
      </c>
      <c r="D1820" s="2">
        <f>IFERROR(__xludf.DUMMYFUNCTION("""COMPUTED_VALUE"""),477.95)</f>
        <v>477.95</v>
      </c>
      <c r="E1820" s="2">
        <f>IFERROR(__xludf.DUMMYFUNCTION("""COMPUTED_VALUE"""),484.76)</f>
        <v>484.76</v>
      </c>
      <c r="F1820" s="2">
        <f>IFERROR(__xludf.DUMMYFUNCTION("""COMPUTED_VALUE"""),3498033.0)</f>
        <v>3498033</v>
      </c>
    </row>
    <row r="1821">
      <c r="A1821" s="3">
        <f>IFERROR(__xludf.DUMMYFUNCTION("""COMPUTED_VALUE"""),40126.645833333336)</f>
        <v>40126.64583</v>
      </c>
      <c r="B1821" s="2">
        <f>IFERROR(__xludf.DUMMYFUNCTION("""COMPUTED_VALUE"""),489.1)</f>
        <v>489.1</v>
      </c>
      <c r="C1821" s="2">
        <f>IFERROR(__xludf.DUMMYFUNCTION("""COMPUTED_VALUE"""),503.21)</f>
        <v>503.21</v>
      </c>
      <c r="D1821" s="2">
        <f>IFERROR(__xludf.DUMMYFUNCTION("""COMPUTED_VALUE"""),485.78)</f>
        <v>485.78</v>
      </c>
      <c r="E1821" s="2">
        <f>IFERROR(__xludf.DUMMYFUNCTION("""COMPUTED_VALUE"""),501.33)</f>
        <v>501.33</v>
      </c>
      <c r="F1821" s="2">
        <f>IFERROR(__xludf.DUMMYFUNCTION("""COMPUTED_VALUE"""),3278186.0)</f>
        <v>3278186</v>
      </c>
    </row>
    <row r="1822">
      <c r="A1822" s="3">
        <f>IFERROR(__xludf.DUMMYFUNCTION("""COMPUTED_VALUE"""),40127.645833333336)</f>
        <v>40127.64583</v>
      </c>
      <c r="B1822" s="2">
        <f>IFERROR(__xludf.DUMMYFUNCTION("""COMPUTED_VALUE"""),505.19)</f>
        <v>505.19</v>
      </c>
      <c r="C1822" s="2">
        <f>IFERROR(__xludf.DUMMYFUNCTION("""COMPUTED_VALUE"""),520.66)</f>
        <v>520.66</v>
      </c>
      <c r="D1822" s="2">
        <f>IFERROR(__xludf.DUMMYFUNCTION("""COMPUTED_VALUE"""),496.53)</f>
        <v>496.53</v>
      </c>
      <c r="E1822" s="2">
        <f>IFERROR(__xludf.DUMMYFUNCTION("""COMPUTED_VALUE"""),508.78)</f>
        <v>508.78</v>
      </c>
      <c r="F1822" s="2">
        <f>IFERROR(__xludf.DUMMYFUNCTION("""COMPUTED_VALUE"""),6326351.0)</f>
        <v>6326351</v>
      </c>
    </row>
    <row r="1823">
      <c r="A1823" s="3">
        <f>IFERROR(__xludf.DUMMYFUNCTION("""COMPUTED_VALUE"""),40128.645833333336)</f>
        <v>40128.64583</v>
      </c>
      <c r="B1823" s="2">
        <f>IFERROR(__xludf.DUMMYFUNCTION("""COMPUTED_VALUE"""),512.13)</f>
        <v>512.13</v>
      </c>
      <c r="C1823" s="2">
        <f>IFERROR(__xludf.DUMMYFUNCTION("""COMPUTED_VALUE"""),527.58)</f>
        <v>527.58</v>
      </c>
      <c r="D1823" s="2">
        <f>IFERROR(__xludf.DUMMYFUNCTION("""COMPUTED_VALUE"""),504.12)</f>
        <v>504.12</v>
      </c>
      <c r="E1823" s="2">
        <f>IFERROR(__xludf.DUMMYFUNCTION("""COMPUTED_VALUE"""),523.52)</f>
        <v>523.52</v>
      </c>
      <c r="F1823" s="2">
        <f>IFERROR(__xludf.DUMMYFUNCTION("""COMPUTED_VALUE"""),4183569.0)</f>
        <v>4183569</v>
      </c>
    </row>
    <row r="1824">
      <c r="A1824" s="3">
        <f>IFERROR(__xludf.DUMMYFUNCTION("""COMPUTED_VALUE"""),40129.645833333336)</f>
        <v>40129.64583</v>
      </c>
      <c r="B1824" s="2">
        <f>IFERROR(__xludf.DUMMYFUNCTION("""COMPUTED_VALUE"""),526.24)</f>
        <v>526.24</v>
      </c>
      <c r="C1824" s="2">
        <f>IFERROR(__xludf.DUMMYFUNCTION("""COMPUTED_VALUE"""),531.44)</f>
        <v>531.44</v>
      </c>
      <c r="D1824" s="2">
        <f>IFERROR(__xludf.DUMMYFUNCTION("""COMPUTED_VALUE"""),516.09)</f>
        <v>516.09</v>
      </c>
      <c r="E1824" s="2">
        <f>IFERROR(__xludf.DUMMYFUNCTION("""COMPUTED_VALUE"""),520.36)</f>
        <v>520.36</v>
      </c>
      <c r="F1824" s="2">
        <f>IFERROR(__xludf.DUMMYFUNCTION("""COMPUTED_VALUE"""),3808929.0)</f>
        <v>3808929</v>
      </c>
    </row>
    <row r="1825">
      <c r="A1825" s="3">
        <f>IFERROR(__xludf.DUMMYFUNCTION("""COMPUTED_VALUE"""),40130.645833333336)</f>
        <v>40130.64583</v>
      </c>
      <c r="B1825" s="2">
        <f>IFERROR(__xludf.DUMMYFUNCTION("""COMPUTED_VALUE"""),517.57)</f>
        <v>517.57</v>
      </c>
      <c r="C1825" s="2">
        <f>IFERROR(__xludf.DUMMYFUNCTION("""COMPUTED_VALUE"""),527.23)</f>
        <v>527.23</v>
      </c>
      <c r="D1825" s="2">
        <f>IFERROR(__xludf.DUMMYFUNCTION("""COMPUTED_VALUE"""),516.11)</f>
        <v>516.11</v>
      </c>
      <c r="E1825" s="2">
        <f>IFERROR(__xludf.DUMMYFUNCTION("""COMPUTED_VALUE"""),524.88)</f>
        <v>524.88</v>
      </c>
      <c r="F1825" s="2">
        <f>IFERROR(__xludf.DUMMYFUNCTION("""COMPUTED_VALUE"""),2557890.0)</f>
        <v>2557890</v>
      </c>
    </row>
    <row r="1826">
      <c r="A1826" s="3">
        <f>IFERROR(__xludf.DUMMYFUNCTION("""COMPUTED_VALUE"""),40133.645833333336)</f>
        <v>40133.64583</v>
      </c>
      <c r="B1826" s="2">
        <f>IFERROR(__xludf.DUMMYFUNCTION("""COMPUTED_VALUE"""),532.19)</f>
        <v>532.19</v>
      </c>
      <c r="C1826" s="2">
        <f>IFERROR(__xludf.DUMMYFUNCTION("""COMPUTED_VALUE"""),535.38)</f>
        <v>535.38</v>
      </c>
      <c r="D1826" s="2">
        <f>IFERROR(__xludf.DUMMYFUNCTION("""COMPUTED_VALUE"""),527.89)</f>
        <v>527.89</v>
      </c>
      <c r="E1826" s="2">
        <f>IFERROR(__xludf.DUMMYFUNCTION("""COMPUTED_VALUE"""),533.32)</f>
        <v>533.32</v>
      </c>
      <c r="F1826" s="2">
        <f>IFERROR(__xludf.DUMMYFUNCTION("""COMPUTED_VALUE"""),2067266.0)</f>
        <v>2067266</v>
      </c>
    </row>
    <row r="1827">
      <c r="A1827" s="3">
        <f>IFERROR(__xludf.DUMMYFUNCTION("""COMPUTED_VALUE"""),40134.645833333336)</f>
        <v>40134.64583</v>
      </c>
      <c r="B1827" s="2">
        <f>IFERROR(__xludf.DUMMYFUNCTION("""COMPUTED_VALUE"""),534.91)</f>
        <v>534.91</v>
      </c>
      <c r="C1827" s="2">
        <f>IFERROR(__xludf.DUMMYFUNCTION("""COMPUTED_VALUE"""),535.33)</f>
        <v>535.33</v>
      </c>
      <c r="D1827" s="2">
        <f>IFERROR(__xludf.DUMMYFUNCTION("""COMPUTED_VALUE"""),521.78)</f>
        <v>521.78</v>
      </c>
      <c r="E1827" s="2">
        <f>IFERROR(__xludf.DUMMYFUNCTION("""COMPUTED_VALUE"""),528.06)</f>
        <v>528.06</v>
      </c>
      <c r="F1827" s="2">
        <f>IFERROR(__xludf.DUMMYFUNCTION("""COMPUTED_VALUE"""),3005633.0)</f>
        <v>3005633</v>
      </c>
    </row>
    <row r="1828">
      <c r="A1828" s="3">
        <f>IFERROR(__xludf.DUMMYFUNCTION("""COMPUTED_VALUE"""),40135.645833333336)</f>
        <v>40135.64583</v>
      </c>
      <c r="B1828" s="2">
        <f>IFERROR(__xludf.DUMMYFUNCTION("""COMPUTED_VALUE"""),535.41)</f>
        <v>535.41</v>
      </c>
      <c r="C1828" s="2">
        <f>IFERROR(__xludf.DUMMYFUNCTION("""COMPUTED_VALUE"""),535.41)</f>
        <v>535.41</v>
      </c>
      <c r="D1828" s="2">
        <f>IFERROR(__xludf.DUMMYFUNCTION("""COMPUTED_VALUE"""),518.59)</f>
        <v>518.59</v>
      </c>
      <c r="E1828" s="2">
        <f>IFERROR(__xludf.DUMMYFUNCTION("""COMPUTED_VALUE"""),520.06)</f>
        <v>520.06</v>
      </c>
      <c r="F1828" s="2">
        <f>IFERROR(__xludf.DUMMYFUNCTION("""COMPUTED_VALUE"""),3907563.0)</f>
        <v>3907563</v>
      </c>
    </row>
    <row r="1829">
      <c r="A1829" s="3">
        <f>IFERROR(__xludf.DUMMYFUNCTION("""COMPUTED_VALUE"""),40136.645833333336)</f>
        <v>40136.64583</v>
      </c>
      <c r="B1829" s="2">
        <f>IFERROR(__xludf.DUMMYFUNCTION("""COMPUTED_VALUE"""),519.74)</f>
        <v>519.74</v>
      </c>
      <c r="C1829" s="2">
        <f>IFERROR(__xludf.DUMMYFUNCTION("""COMPUTED_VALUE"""),522.5)</f>
        <v>522.5</v>
      </c>
      <c r="D1829" s="2">
        <f>IFERROR(__xludf.DUMMYFUNCTION("""COMPUTED_VALUE"""),513.34)</f>
        <v>513.34</v>
      </c>
      <c r="E1829" s="2">
        <f>IFERROR(__xludf.DUMMYFUNCTION("""COMPUTED_VALUE"""),516.04)</f>
        <v>516.04</v>
      </c>
      <c r="F1829" s="2">
        <f>IFERROR(__xludf.DUMMYFUNCTION("""COMPUTED_VALUE"""),2313331.0)</f>
        <v>2313331</v>
      </c>
    </row>
    <row r="1830">
      <c r="A1830" s="3">
        <f>IFERROR(__xludf.DUMMYFUNCTION("""COMPUTED_VALUE"""),40137.645833333336)</f>
        <v>40137.64583</v>
      </c>
      <c r="B1830" s="2">
        <f>IFERROR(__xludf.DUMMYFUNCTION("""COMPUTED_VALUE"""),515.1)</f>
        <v>515.1</v>
      </c>
      <c r="C1830" s="2">
        <f>IFERROR(__xludf.DUMMYFUNCTION("""COMPUTED_VALUE"""),528.71)</f>
        <v>528.71</v>
      </c>
      <c r="D1830" s="2">
        <f>IFERROR(__xludf.DUMMYFUNCTION("""COMPUTED_VALUE"""),511.38)</f>
        <v>511.38</v>
      </c>
      <c r="E1830" s="2">
        <f>IFERROR(__xludf.DUMMYFUNCTION("""COMPUTED_VALUE"""),525.82)</f>
        <v>525.82</v>
      </c>
      <c r="F1830" s="2">
        <f>IFERROR(__xludf.DUMMYFUNCTION("""COMPUTED_VALUE"""),3088581.0)</f>
        <v>3088581</v>
      </c>
    </row>
    <row r="1831">
      <c r="A1831" s="3">
        <f>IFERROR(__xludf.DUMMYFUNCTION("""COMPUTED_VALUE"""),40140.645833333336)</f>
        <v>40140.64583</v>
      </c>
      <c r="B1831" s="2">
        <f>IFERROR(__xludf.DUMMYFUNCTION("""COMPUTED_VALUE"""),534.91)</f>
        <v>534.91</v>
      </c>
      <c r="C1831" s="2">
        <f>IFERROR(__xludf.DUMMYFUNCTION("""COMPUTED_VALUE"""),546.73)</f>
        <v>546.73</v>
      </c>
      <c r="D1831" s="2">
        <f>IFERROR(__xludf.DUMMYFUNCTION("""COMPUTED_VALUE"""),528.24)</f>
        <v>528.24</v>
      </c>
      <c r="E1831" s="2">
        <f>IFERROR(__xludf.DUMMYFUNCTION("""COMPUTED_VALUE"""),543.56)</f>
        <v>543.56</v>
      </c>
      <c r="F1831" s="2">
        <f>IFERROR(__xludf.DUMMYFUNCTION("""COMPUTED_VALUE"""),5528258.0)</f>
        <v>5528258</v>
      </c>
    </row>
    <row r="1832">
      <c r="A1832" s="3">
        <f>IFERROR(__xludf.DUMMYFUNCTION("""COMPUTED_VALUE"""),40141.645833333336)</f>
        <v>40141.64583</v>
      </c>
      <c r="B1832" s="2">
        <f>IFERROR(__xludf.DUMMYFUNCTION("""COMPUTED_VALUE"""),542.83)</f>
        <v>542.83</v>
      </c>
      <c r="C1832" s="2">
        <f>IFERROR(__xludf.DUMMYFUNCTION("""COMPUTED_VALUE"""),546.05)</f>
        <v>546.05</v>
      </c>
      <c r="D1832" s="2">
        <f>IFERROR(__xludf.DUMMYFUNCTION("""COMPUTED_VALUE"""),536.92)</f>
        <v>536.92</v>
      </c>
      <c r="E1832" s="2">
        <f>IFERROR(__xludf.DUMMYFUNCTION("""COMPUTED_VALUE"""),539.17)</f>
        <v>539.17</v>
      </c>
      <c r="F1832" s="2">
        <f>IFERROR(__xludf.DUMMYFUNCTION("""COMPUTED_VALUE"""),3472510.0)</f>
        <v>3472510</v>
      </c>
    </row>
    <row r="1833">
      <c r="A1833" s="3">
        <f>IFERROR(__xludf.DUMMYFUNCTION("""COMPUTED_VALUE"""),40142.645833333336)</f>
        <v>40142.64583</v>
      </c>
      <c r="B1833" s="2">
        <f>IFERROR(__xludf.DUMMYFUNCTION("""COMPUTED_VALUE"""),541.29)</f>
        <v>541.29</v>
      </c>
      <c r="C1833" s="2">
        <f>IFERROR(__xludf.DUMMYFUNCTION("""COMPUTED_VALUE"""),551.23)</f>
        <v>551.23</v>
      </c>
      <c r="D1833" s="2">
        <f>IFERROR(__xludf.DUMMYFUNCTION("""COMPUTED_VALUE"""),537.36)</f>
        <v>537.36</v>
      </c>
      <c r="E1833" s="2">
        <f>IFERROR(__xludf.DUMMYFUNCTION("""COMPUTED_VALUE"""),543.5)</f>
        <v>543.5</v>
      </c>
      <c r="F1833" s="2">
        <f>IFERROR(__xludf.DUMMYFUNCTION("""COMPUTED_VALUE"""),4152810.0)</f>
        <v>4152810</v>
      </c>
    </row>
    <row r="1834">
      <c r="A1834" s="3">
        <f>IFERROR(__xludf.DUMMYFUNCTION("""COMPUTED_VALUE"""),40143.645833333336)</f>
        <v>40143.64583</v>
      </c>
      <c r="B1834" s="2">
        <f>IFERROR(__xludf.DUMMYFUNCTION("""COMPUTED_VALUE"""),550.26)</f>
        <v>550.26</v>
      </c>
      <c r="C1834" s="2">
        <f>IFERROR(__xludf.DUMMYFUNCTION("""COMPUTED_VALUE"""),550.26)</f>
        <v>550.26</v>
      </c>
      <c r="D1834" s="2">
        <f>IFERROR(__xludf.DUMMYFUNCTION("""COMPUTED_VALUE"""),521.69)</f>
        <v>521.69</v>
      </c>
      <c r="E1834" s="2">
        <f>IFERROR(__xludf.DUMMYFUNCTION("""COMPUTED_VALUE"""),526.86)</f>
        <v>526.86</v>
      </c>
      <c r="F1834" s="2">
        <f>IFERROR(__xludf.DUMMYFUNCTION("""COMPUTED_VALUE"""),5079362.0)</f>
        <v>5079362</v>
      </c>
    </row>
    <row r="1835">
      <c r="A1835" s="3">
        <f>IFERROR(__xludf.DUMMYFUNCTION("""COMPUTED_VALUE"""),40144.645833333336)</f>
        <v>40144.64583</v>
      </c>
      <c r="B1835" s="2">
        <f>IFERROR(__xludf.DUMMYFUNCTION("""COMPUTED_VALUE"""),520.05)</f>
        <v>520.05</v>
      </c>
      <c r="C1835" s="2">
        <f>IFERROR(__xludf.DUMMYFUNCTION("""COMPUTED_VALUE"""),524.01)</f>
        <v>524.01</v>
      </c>
      <c r="D1835" s="2">
        <f>IFERROR(__xludf.DUMMYFUNCTION("""COMPUTED_VALUE"""),500.74)</f>
        <v>500.74</v>
      </c>
      <c r="E1835" s="2">
        <f>IFERROR(__xludf.DUMMYFUNCTION("""COMPUTED_VALUE"""),518.05)</f>
        <v>518.05</v>
      </c>
      <c r="F1835" s="2">
        <f>IFERROR(__xludf.DUMMYFUNCTION("""COMPUTED_VALUE"""),5821983.0)</f>
        <v>5821983</v>
      </c>
    </row>
    <row r="1836">
      <c r="A1836" s="3">
        <f>IFERROR(__xludf.DUMMYFUNCTION("""COMPUTED_VALUE"""),40147.645833333336)</f>
        <v>40147.64583</v>
      </c>
      <c r="B1836" s="2">
        <f>IFERROR(__xludf.DUMMYFUNCTION("""COMPUTED_VALUE"""),526.24)</f>
        <v>526.24</v>
      </c>
      <c r="C1836" s="2">
        <f>IFERROR(__xludf.DUMMYFUNCTION("""COMPUTED_VALUE"""),534.37)</f>
        <v>534.37</v>
      </c>
      <c r="D1836" s="2">
        <f>IFERROR(__xludf.DUMMYFUNCTION("""COMPUTED_VALUE"""),522.03)</f>
        <v>522.03</v>
      </c>
      <c r="E1836" s="2">
        <f>IFERROR(__xludf.DUMMYFUNCTION("""COMPUTED_VALUE"""),526.74)</f>
        <v>526.74</v>
      </c>
      <c r="F1836" s="2">
        <f>IFERROR(__xludf.DUMMYFUNCTION("""COMPUTED_VALUE"""),4130831.0)</f>
        <v>4130831</v>
      </c>
    </row>
    <row r="1837">
      <c r="A1837" s="3">
        <f>IFERROR(__xludf.DUMMYFUNCTION("""COMPUTED_VALUE"""),40148.645833333336)</f>
        <v>40148.64583</v>
      </c>
      <c r="B1837" s="2">
        <f>IFERROR(__xludf.DUMMYFUNCTION("""COMPUTED_VALUE"""),532.43)</f>
        <v>532.43</v>
      </c>
      <c r="C1837" s="2">
        <f>IFERROR(__xludf.DUMMYFUNCTION("""COMPUTED_VALUE"""),544.82)</f>
        <v>544.82</v>
      </c>
      <c r="D1837" s="2">
        <f>IFERROR(__xludf.DUMMYFUNCTION("""COMPUTED_VALUE"""),528.57)</f>
        <v>528.57</v>
      </c>
      <c r="E1837" s="2">
        <f>IFERROR(__xludf.DUMMYFUNCTION("""COMPUTED_VALUE"""),543.83)</f>
        <v>543.83</v>
      </c>
      <c r="F1837" s="2">
        <f>IFERROR(__xludf.DUMMYFUNCTION("""COMPUTED_VALUE"""),2859884.0)</f>
        <v>2859884</v>
      </c>
    </row>
    <row r="1838">
      <c r="A1838" s="3">
        <f>IFERROR(__xludf.DUMMYFUNCTION("""COMPUTED_VALUE"""),40149.645833333336)</f>
        <v>40149.64583</v>
      </c>
      <c r="B1838" s="2">
        <f>IFERROR(__xludf.DUMMYFUNCTION("""COMPUTED_VALUE"""),547.42)</f>
        <v>547.42</v>
      </c>
      <c r="C1838" s="2">
        <f>IFERROR(__xludf.DUMMYFUNCTION("""COMPUTED_VALUE"""),554.05)</f>
        <v>554.05</v>
      </c>
      <c r="D1838" s="2">
        <f>IFERROR(__xludf.DUMMYFUNCTION("""COMPUTED_VALUE"""),540.46)</f>
        <v>540.46</v>
      </c>
      <c r="E1838" s="2">
        <f>IFERROR(__xludf.DUMMYFUNCTION("""COMPUTED_VALUE"""),545.04)</f>
        <v>545.04</v>
      </c>
      <c r="F1838" s="2">
        <f>IFERROR(__xludf.DUMMYFUNCTION("""COMPUTED_VALUE"""),4727337.0)</f>
        <v>4727337</v>
      </c>
    </row>
    <row r="1839">
      <c r="A1839" s="3">
        <f>IFERROR(__xludf.DUMMYFUNCTION("""COMPUTED_VALUE"""),40150.645833333336)</f>
        <v>40150.64583</v>
      </c>
      <c r="B1839" s="2">
        <f>IFERROR(__xludf.DUMMYFUNCTION("""COMPUTED_VALUE"""),547.24)</f>
        <v>547.24</v>
      </c>
      <c r="C1839" s="2">
        <f>IFERROR(__xludf.DUMMYFUNCTION("""COMPUTED_VALUE"""),554.72)</f>
        <v>554.72</v>
      </c>
      <c r="D1839" s="2">
        <f>IFERROR(__xludf.DUMMYFUNCTION("""COMPUTED_VALUE"""),540.9)</f>
        <v>540.9</v>
      </c>
      <c r="E1839" s="2">
        <f>IFERROR(__xludf.DUMMYFUNCTION("""COMPUTED_VALUE"""),544.64)</f>
        <v>544.64</v>
      </c>
      <c r="F1839" s="2">
        <f>IFERROR(__xludf.DUMMYFUNCTION("""COMPUTED_VALUE"""),3980841.0)</f>
        <v>3980841</v>
      </c>
    </row>
    <row r="1840">
      <c r="A1840" s="3">
        <f>IFERROR(__xludf.DUMMYFUNCTION("""COMPUTED_VALUE"""),40151.645833333336)</f>
        <v>40151.64583</v>
      </c>
      <c r="B1840" s="2">
        <f>IFERROR(__xludf.DUMMYFUNCTION("""COMPUTED_VALUE"""),540.36)</f>
        <v>540.36</v>
      </c>
      <c r="C1840" s="2">
        <f>IFERROR(__xludf.DUMMYFUNCTION("""COMPUTED_VALUE"""),548.28)</f>
        <v>548.28</v>
      </c>
      <c r="D1840" s="2">
        <f>IFERROR(__xludf.DUMMYFUNCTION("""COMPUTED_VALUE"""),535.06)</f>
        <v>535.06</v>
      </c>
      <c r="E1840" s="2">
        <f>IFERROR(__xludf.DUMMYFUNCTION("""COMPUTED_VALUE"""),539.07)</f>
        <v>539.07</v>
      </c>
      <c r="F1840" s="2">
        <f>IFERROR(__xludf.DUMMYFUNCTION("""COMPUTED_VALUE"""),3191869.0)</f>
        <v>3191869</v>
      </c>
    </row>
    <row r="1841">
      <c r="A1841" s="3">
        <f>IFERROR(__xludf.DUMMYFUNCTION("""COMPUTED_VALUE"""),40154.645833333336)</f>
        <v>40154.64583</v>
      </c>
      <c r="B1841" s="2">
        <f>IFERROR(__xludf.DUMMYFUNCTION("""COMPUTED_VALUE"""),538.87)</f>
        <v>538.87</v>
      </c>
      <c r="C1841" s="2">
        <f>IFERROR(__xludf.DUMMYFUNCTION("""COMPUTED_VALUE"""),541.89)</f>
        <v>541.89</v>
      </c>
      <c r="D1841" s="2">
        <f>IFERROR(__xludf.DUMMYFUNCTION("""COMPUTED_VALUE"""),520.05)</f>
        <v>520.05</v>
      </c>
      <c r="E1841" s="2">
        <f>IFERROR(__xludf.DUMMYFUNCTION("""COMPUTED_VALUE"""),522.53)</f>
        <v>522.53</v>
      </c>
      <c r="F1841" s="2">
        <f>IFERROR(__xludf.DUMMYFUNCTION("""COMPUTED_VALUE"""),4725251.0)</f>
        <v>4725251</v>
      </c>
    </row>
    <row r="1842">
      <c r="A1842" s="3">
        <f>IFERROR(__xludf.DUMMYFUNCTION("""COMPUTED_VALUE"""),40155.645833333336)</f>
        <v>40155.64583</v>
      </c>
      <c r="B1842" s="2">
        <f>IFERROR(__xludf.DUMMYFUNCTION("""COMPUTED_VALUE"""),525.0)</f>
        <v>525</v>
      </c>
      <c r="C1842" s="2">
        <f>IFERROR(__xludf.DUMMYFUNCTION("""COMPUTED_VALUE"""),537.11)</f>
        <v>537.11</v>
      </c>
      <c r="D1842" s="2">
        <f>IFERROR(__xludf.DUMMYFUNCTION("""COMPUTED_VALUE"""),522.6)</f>
        <v>522.6</v>
      </c>
      <c r="E1842" s="2">
        <f>IFERROR(__xludf.DUMMYFUNCTION("""COMPUTED_VALUE"""),535.08)</f>
        <v>535.08</v>
      </c>
      <c r="F1842" s="2">
        <f>IFERROR(__xludf.DUMMYFUNCTION("""COMPUTED_VALUE"""),4670917.0)</f>
        <v>4670917</v>
      </c>
    </row>
    <row r="1843">
      <c r="A1843" s="3">
        <f>IFERROR(__xludf.DUMMYFUNCTION("""COMPUTED_VALUE"""),40156.645833333336)</f>
        <v>40156.64583</v>
      </c>
      <c r="B1843" s="2">
        <f>IFERROR(__xludf.DUMMYFUNCTION("""COMPUTED_VALUE"""),529.96)</f>
        <v>529.96</v>
      </c>
      <c r="C1843" s="2">
        <f>IFERROR(__xludf.DUMMYFUNCTION("""COMPUTED_VALUE"""),533.92)</f>
        <v>533.92</v>
      </c>
      <c r="D1843" s="2">
        <f>IFERROR(__xludf.DUMMYFUNCTION("""COMPUTED_VALUE"""),526.07)</f>
        <v>526.07</v>
      </c>
      <c r="E1843" s="2">
        <f>IFERROR(__xludf.DUMMYFUNCTION("""COMPUTED_VALUE"""),530.87)</f>
        <v>530.87</v>
      </c>
      <c r="F1843" s="2">
        <f>IFERROR(__xludf.DUMMYFUNCTION("""COMPUTED_VALUE"""),2555542.0)</f>
        <v>2555542</v>
      </c>
    </row>
    <row r="1844">
      <c r="A1844" s="3">
        <f>IFERROR(__xludf.DUMMYFUNCTION("""COMPUTED_VALUE"""),40157.645833333336)</f>
        <v>40157.64583</v>
      </c>
      <c r="B1844" s="2">
        <f>IFERROR(__xludf.DUMMYFUNCTION("""COMPUTED_VALUE"""),531.79)</f>
        <v>531.79</v>
      </c>
      <c r="C1844" s="2">
        <f>IFERROR(__xludf.DUMMYFUNCTION("""COMPUTED_VALUE"""),535.9)</f>
        <v>535.9</v>
      </c>
      <c r="D1844" s="2">
        <f>IFERROR(__xludf.DUMMYFUNCTION("""COMPUTED_VALUE"""),525.99)</f>
        <v>525.99</v>
      </c>
      <c r="E1844" s="2">
        <f>IFERROR(__xludf.DUMMYFUNCTION("""COMPUTED_VALUE"""),530.85)</f>
        <v>530.85</v>
      </c>
      <c r="F1844" s="2">
        <f>IFERROR(__xludf.DUMMYFUNCTION("""COMPUTED_VALUE"""),2958917.0)</f>
        <v>2958917</v>
      </c>
    </row>
    <row r="1845">
      <c r="A1845" s="3">
        <f>IFERROR(__xludf.DUMMYFUNCTION("""COMPUTED_VALUE"""),40158.645833333336)</f>
        <v>40158.64583</v>
      </c>
      <c r="B1845" s="2">
        <f>IFERROR(__xludf.DUMMYFUNCTION("""COMPUTED_VALUE"""),534.91)</f>
        <v>534.91</v>
      </c>
      <c r="C1845" s="2">
        <f>IFERROR(__xludf.DUMMYFUNCTION("""COMPUTED_VALUE"""),538.87)</f>
        <v>538.87</v>
      </c>
      <c r="D1845" s="2">
        <f>IFERROR(__xludf.DUMMYFUNCTION("""COMPUTED_VALUE"""),527.23)</f>
        <v>527.23</v>
      </c>
      <c r="E1845" s="2">
        <f>IFERROR(__xludf.DUMMYFUNCTION("""COMPUTED_VALUE"""),530.58)</f>
        <v>530.58</v>
      </c>
      <c r="F1845" s="2">
        <f>IFERROR(__xludf.DUMMYFUNCTION("""COMPUTED_VALUE"""),3531678.0)</f>
        <v>3531678</v>
      </c>
    </row>
    <row r="1846">
      <c r="A1846" s="3">
        <f>IFERROR(__xludf.DUMMYFUNCTION("""COMPUTED_VALUE"""),40161.645833333336)</f>
        <v>40161.64583</v>
      </c>
      <c r="B1846" s="2">
        <f>IFERROR(__xludf.DUMMYFUNCTION("""COMPUTED_VALUE"""),528.97)</f>
        <v>528.97</v>
      </c>
      <c r="C1846" s="2">
        <f>IFERROR(__xludf.DUMMYFUNCTION("""COMPUTED_VALUE"""),536.89)</f>
        <v>536.89</v>
      </c>
      <c r="D1846" s="2">
        <f>IFERROR(__xludf.DUMMYFUNCTION("""COMPUTED_VALUE"""),526.49)</f>
        <v>526.49</v>
      </c>
      <c r="E1846" s="2">
        <f>IFERROR(__xludf.DUMMYFUNCTION("""COMPUTED_VALUE"""),528.94)</f>
        <v>528.94</v>
      </c>
      <c r="F1846" s="2">
        <f>IFERROR(__xludf.DUMMYFUNCTION("""COMPUTED_VALUE"""),3182678.0)</f>
        <v>3182678</v>
      </c>
    </row>
    <row r="1847">
      <c r="A1847" s="3">
        <f>IFERROR(__xludf.DUMMYFUNCTION("""COMPUTED_VALUE"""),40162.645833333336)</f>
        <v>40162.64583</v>
      </c>
      <c r="B1847" s="2">
        <f>IFERROR(__xludf.DUMMYFUNCTION("""COMPUTED_VALUE"""),528.97)</f>
        <v>528.97</v>
      </c>
      <c r="C1847" s="2">
        <f>IFERROR(__xludf.DUMMYFUNCTION("""COMPUTED_VALUE"""),531.94)</f>
        <v>531.94</v>
      </c>
      <c r="D1847" s="2">
        <f>IFERROR(__xludf.DUMMYFUNCTION("""COMPUTED_VALUE"""),519.06)</f>
        <v>519.06</v>
      </c>
      <c r="E1847" s="2">
        <f>IFERROR(__xludf.DUMMYFUNCTION("""COMPUTED_VALUE"""),520.84)</f>
        <v>520.84</v>
      </c>
      <c r="F1847" s="2">
        <f>IFERROR(__xludf.DUMMYFUNCTION("""COMPUTED_VALUE"""),3354156.0)</f>
        <v>3354156</v>
      </c>
    </row>
    <row r="1848">
      <c r="A1848" s="3">
        <f>IFERROR(__xludf.DUMMYFUNCTION("""COMPUTED_VALUE"""),40163.645833333336)</f>
        <v>40163.64583</v>
      </c>
      <c r="B1848" s="2">
        <f>IFERROR(__xludf.DUMMYFUNCTION("""COMPUTED_VALUE"""),520.0)</f>
        <v>520</v>
      </c>
      <c r="C1848" s="2">
        <f>IFERROR(__xludf.DUMMYFUNCTION("""COMPUTED_VALUE"""),522.53)</f>
        <v>522.53</v>
      </c>
      <c r="D1848" s="2">
        <f>IFERROR(__xludf.DUMMYFUNCTION("""COMPUTED_VALUE"""),514.16)</f>
        <v>514.16</v>
      </c>
      <c r="E1848" s="2">
        <f>IFERROR(__xludf.DUMMYFUNCTION("""COMPUTED_VALUE"""),518.64)</f>
        <v>518.64</v>
      </c>
      <c r="F1848" s="2">
        <f>IFERROR(__xludf.DUMMYFUNCTION("""COMPUTED_VALUE"""),3376882.0)</f>
        <v>3376882</v>
      </c>
    </row>
    <row r="1849">
      <c r="A1849" s="3">
        <f>IFERROR(__xludf.DUMMYFUNCTION("""COMPUTED_VALUE"""),40164.645833333336)</f>
        <v>40164.64583</v>
      </c>
      <c r="B1849" s="2">
        <f>IFERROR(__xludf.DUMMYFUNCTION("""COMPUTED_VALUE"""),522.43)</f>
        <v>522.43</v>
      </c>
      <c r="C1849" s="2">
        <f>IFERROR(__xludf.DUMMYFUNCTION("""COMPUTED_VALUE"""),522.43)</f>
        <v>522.43</v>
      </c>
      <c r="D1849" s="2">
        <f>IFERROR(__xludf.DUMMYFUNCTION("""COMPUTED_VALUE"""),510.15)</f>
        <v>510.15</v>
      </c>
      <c r="E1849" s="2">
        <f>IFERROR(__xludf.DUMMYFUNCTION("""COMPUTED_VALUE"""),512.6)</f>
        <v>512.6</v>
      </c>
      <c r="F1849" s="2">
        <f>IFERROR(__xludf.DUMMYFUNCTION("""COMPUTED_VALUE"""),3245059.0)</f>
        <v>3245059</v>
      </c>
    </row>
    <row r="1850">
      <c r="A1850" s="3">
        <f>IFERROR(__xludf.DUMMYFUNCTION("""COMPUTED_VALUE"""),40165.645833333336)</f>
        <v>40165.64583</v>
      </c>
      <c r="B1850" s="2">
        <f>IFERROR(__xludf.DUMMYFUNCTION("""COMPUTED_VALUE"""),512.62)</f>
        <v>512.62</v>
      </c>
      <c r="C1850" s="2">
        <f>IFERROR(__xludf.DUMMYFUNCTION("""COMPUTED_VALUE"""),512.62)</f>
        <v>512.62</v>
      </c>
      <c r="D1850" s="2">
        <f>IFERROR(__xludf.DUMMYFUNCTION("""COMPUTED_VALUE"""),497.76)</f>
        <v>497.76</v>
      </c>
      <c r="E1850" s="2">
        <f>IFERROR(__xludf.DUMMYFUNCTION("""COMPUTED_VALUE"""),499.08)</f>
        <v>499.08</v>
      </c>
      <c r="F1850" s="2">
        <f>IFERROR(__xludf.DUMMYFUNCTION("""COMPUTED_VALUE"""),5025388.0)</f>
        <v>5025388</v>
      </c>
    </row>
    <row r="1851">
      <c r="A1851" s="3">
        <f>IFERROR(__xludf.DUMMYFUNCTION("""COMPUTED_VALUE"""),40168.645833333336)</f>
        <v>40168.64583</v>
      </c>
      <c r="B1851" s="2">
        <f>IFERROR(__xludf.DUMMYFUNCTION("""COMPUTED_VALUE"""),495.78)</f>
        <v>495.78</v>
      </c>
      <c r="C1851" s="2">
        <f>IFERROR(__xludf.DUMMYFUNCTION("""COMPUTED_VALUE"""),510.54)</f>
        <v>510.54</v>
      </c>
      <c r="D1851" s="2">
        <f>IFERROR(__xludf.DUMMYFUNCTION("""COMPUTED_VALUE"""),490.33)</f>
        <v>490.33</v>
      </c>
      <c r="E1851" s="2">
        <f>IFERROR(__xludf.DUMMYFUNCTION("""COMPUTED_VALUE"""),503.68)</f>
        <v>503.68</v>
      </c>
      <c r="F1851" s="2">
        <f>IFERROR(__xludf.DUMMYFUNCTION("""COMPUTED_VALUE"""),5621862.0)</f>
        <v>5621862</v>
      </c>
    </row>
    <row r="1852">
      <c r="A1852" s="3">
        <f>IFERROR(__xludf.DUMMYFUNCTION("""COMPUTED_VALUE"""),40169.645833333336)</f>
        <v>40169.64583</v>
      </c>
      <c r="B1852" s="2">
        <f>IFERROR(__xludf.DUMMYFUNCTION("""COMPUTED_VALUE"""),504.3)</f>
        <v>504.3</v>
      </c>
      <c r="C1852" s="2">
        <f>IFERROR(__xludf.DUMMYFUNCTION("""COMPUTED_VALUE"""),509.55)</f>
        <v>509.55</v>
      </c>
      <c r="D1852" s="2">
        <f>IFERROR(__xludf.DUMMYFUNCTION("""COMPUTED_VALUE"""),500.88)</f>
        <v>500.88</v>
      </c>
      <c r="E1852" s="2">
        <f>IFERROR(__xludf.DUMMYFUNCTION("""COMPUTED_VALUE"""),504.8)</f>
        <v>504.8</v>
      </c>
      <c r="F1852" s="2">
        <f>IFERROR(__xludf.DUMMYFUNCTION("""COMPUTED_VALUE"""),3186287.0)</f>
        <v>3186287</v>
      </c>
    </row>
    <row r="1853">
      <c r="A1853" s="3">
        <f>IFERROR(__xludf.DUMMYFUNCTION("""COMPUTED_VALUE"""),40170.645833333336)</f>
        <v>40170.64583</v>
      </c>
      <c r="B1853" s="2">
        <f>IFERROR(__xludf.DUMMYFUNCTION("""COMPUTED_VALUE"""),507.67)</f>
        <v>507.67</v>
      </c>
      <c r="C1853" s="2">
        <f>IFERROR(__xludf.DUMMYFUNCTION("""COMPUTED_VALUE"""),528.92)</f>
        <v>528.92</v>
      </c>
      <c r="D1853" s="2">
        <f>IFERROR(__xludf.DUMMYFUNCTION("""COMPUTED_VALUE"""),505.89)</f>
        <v>505.89</v>
      </c>
      <c r="E1853" s="2">
        <f>IFERROR(__xludf.DUMMYFUNCTION("""COMPUTED_VALUE"""),528.07)</f>
        <v>528.07</v>
      </c>
      <c r="F1853" s="2">
        <f>IFERROR(__xludf.DUMMYFUNCTION("""COMPUTED_VALUE"""),4903897.0)</f>
        <v>4903897</v>
      </c>
    </row>
    <row r="1854">
      <c r="A1854" s="3">
        <f>IFERROR(__xludf.DUMMYFUNCTION("""COMPUTED_VALUE"""),40171.645833333336)</f>
        <v>40171.64583</v>
      </c>
      <c r="B1854" s="2">
        <f>IFERROR(__xludf.DUMMYFUNCTION("""COMPUTED_VALUE"""),532.43)</f>
        <v>532.43</v>
      </c>
      <c r="C1854" s="2">
        <f>IFERROR(__xludf.DUMMYFUNCTION("""COMPUTED_VALUE"""),536.79)</f>
        <v>536.79</v>
      </c>
      <c r="D1854" s="2">
        <f>IFERROR(__xludf.DUMMYFUNCTION("""COMPUTED_VALUE"""),524.19)</f>
        <v>524.19</v>
      </c>
      <c r="E1854" s="2">
        <f>IFERROR(__xludf.DUMMYFUNCTION("""COMPUTED_VALUE"""),533.08)</f>
        <v>533.08</v>
      </c>
      <c r="F1854" s="2">
        <f>IFERROR(__xludf.DUMMYFUNCTION("""COMPUTED_VALUE"""),3691064.0)</f>
        <v>3691064</v>
      </c>
    </row>
    <row r="1855">
      <c r="A1855" s="3">
        <f>IFERROR(__xludf.DUMMYFUNCTION("""COMPUTED_VALUE"""),40176.645833333336)</f>
        <v>40176.64583</v>
      </c>
      <c r="B1855" s="2">
        <f>IFERROR(__xludf.DUMMYFUNCTION("""COMPUTED_VALUE"""),534.41)</f>
        <v>534.41</v>
      </c>
      <c r="C1855" s="2">
        <f>IFERROR(__xludf.DUMMYFUNCTION("""COMPUTED_VALUE"""),539.37)</f>
        <v>539.37</v>
      </c>
      <c r="D1855" s="2">
        <f>IFERROR(__xludf.DUMMYFUNCTION("""COMPUTED_VALUE"""),529.96)</f>
        <v>529.96</v>
      </c>
      <c r="E1855" s="2">
        <f>IFERROR(__xludf.DUMMYFUNCTION("""COMPUTED_VALUE"""),535.03)</f>
        <v>535.03</v>
      </c>
      <c r="F1855" s="2">
        <f>IFERROR(__xludf.DUMMYFUNCTION("""COMPUTED_VALUE"""),2782375.0)</f>
        <v>2782375</v>
      </c>
    </row>
    <row r="1856">
      <c r="A1856" s="3">
        <f>IFERROR(__xludf.DUMMYFUNCTION("""COMPUTED_VALUE"""),40177.645833333336)</f>
        <v>40177.64583</v>
      </c>
      <c r="B1856" s="2">
        <f>IFERROR(__xludf.DUMMYFUNCTION("""COMPUTED_VALUE"""),534.81)</f>
        <v>534.81</v>
      </c>
      <c r="C1856" s="2">
        <f>IFERROR(__xludf.DUMMYFUNCTION("""COMPUTED_VALUE"""),537.39)</f>
        <v>537.39</v>
      </c>
      <c r="D1856" s="2">
        <f>IFERROR(__xludf.DUMMYFUNCTION("""COMPUTED_VALUE"""),529.71)</f>
        <v>529.71</v>
      </c>
      <c r="E1856" s="2">
        <f>IFERROR(__xludf.DUMMYFUNCTION("""COMPUTED_VALUE"""),532.95)</f>
        <v>532.95</v>
      </c>
      <c r="F1856" s="2">
        <f>IFERROR(__xludf.DUMMYFUNCTION("""COMPUTED_VALUE"""),2121225.0)</f>
        <v>2121225</v>
      </c>
    </row>
    <row r="1857">
      <c r="A1857" s="3">
        <f>IFERROR(__xludf.DUMMYFUNCTION("""COMPUTED_VALUE"""),40178.645833333336)</f>
        <v>40178.64583</v>
      </c>
      <c r="B1857" s="2">
        <f>IFERROR(__xludf.DUMMYFUNCTION("""COMPUTED_VALUE"""),536.89)</f>
        <v>536.89</v>
      </c>
      <c r="C1857" s="2">
        <f>IFERROR(__xludf.DUMMYFUNCTION("""COMPUTED_VALUE"""),542.83)</f>
        <v>542.83</v>
      </c>
      <c r="D1857" s="2">
        <f>IFERROR(__xludf.DUMMYFUNCTION("""COMPUTED_VALUE"""),535.58)</f>
        <v>535.58</v>
      </c>
      <c r="E1857" s="2">
        <f>IFERROR(__xludf.DUMMYFUNCTION("""COMPUTED_VALUE"""),540.14)</f>
        <v>540.14</v>
      </c>
      <c r="F1857" s="2">
        <f>IFERROR(__xludf.DUMMYFUNCTION("""COMPUTED_VALUE"""),4009836.0)</f>
        <v>4009836</v>
      </c>
    </row>
    <row r="1858">
      <c r="A1858" s="3">
        <f>IFERROR(__xludf.DUMMYFUNCTION("""COMPUTED_VALUE"""),40182.645833333336)</f>
        <v>40182.64583</v>
      </c>
      <c r="B1858" s="2">
        <f>IFERROR(__xludf.DUMMYFUNCTION("""COMPUTED_VALUE"""),540.41)</f>
        <v>540.41</v>
      </c>
      <c r="C1858" s="2">
        <f>IFERROR(__xludf.DUMMYFUNCTION("""COMPUTED_VALUE"""),540.41)</f>
        <v>540.41</v>
      </c>
      <c r="D1858" s="2">
        <f>IFERROR(__xludf.DUMMYFUNCTION("""COMPUTED_VALUE"""),506.11)</f>
        <v>506.11</v>
      </c>
      <c r="E1858" s="2">
        <f>IFERROR(__xludf.DUMMYFUNCTION("""COMPUTED_VALUE"""),532.68)</f>
        <v>532.68</v>
      </c>
      <c r="F1858" s="2">
        <f>IFERROR(__xludf.DUMMYFUNCTION("""COMPUTED_VALUE"""),1.7520006E7)</f>
        <v>17520006</v>
      </c>
    </row>
    <row r="1859">
      <c r="A1859" s="3">
        <f>IFERROR(__xludf.DUMMYFUNCTION("""COMPUTED_VALUE"""),40183.645833333336)</f>
        <v>40183.64583</v>
      </c>
      <c r="B1859" s="2">
        <f>IFERROR(__xludf.DUMMYFUNCTION("""COMPUTED_VALUE"""),569.53)</f>
        <v>569.53</v>
      </c>
      <c r="C1859" s="2">
        <f>IFERROR(__xludf.DUMMYFUNCTION("""COMPUTED_VALUE"""),569.53)</f>
        <v>569.53</v>
      </c>
      <c r="D1859" s="2">
        <f>IFERROR(__xludf.DUMMYFUNCTION("""COMPUTED_VALUE"""),527.68)</f>
        <v>527.68</v>
      </c>
      <c r="E1859" s="2">
        <f>IFERROR(__xludf.DUMMYFUNCTION("""COMPUTED_VALUE"""),530.3)</f>
        <v>530.3</v>
      </c>
      <c r="F1859" s="2">
        <f>IFERROR(__xludf.DUMMYFUNCTION("""COMPUTED_VALUE"""),4890040.0)</f>
        <v>4890040</v>
      </c>
    </row>
    <row r="1860">
      <c r="A1860" s="3">
        <f>IFERROR(__xludf.DUMMYFUNCTION("""COMPUTED_VALUE"""),40184.645833333336)</f>
        <v>40184.64583</v>
      </c>
      <c r="B1860" s="2">
        <f>IFERROR(__xludf.DUMMYFUNCTION("""COMPUTED_VALUE"""),534.86)</f>
        <v>534.86</v>
      </c>
      <c r="C1860" s="2">
        <f>IFERROR(__xludf.DUMMYFUNCTION("""COMPUTED_VALUE"""),542.09)</f>
        <v>542.09</v>
      </c>
      <c r="D1860" s="2">
        <f>IFERROR(__xludf.DUMMYFUNCTION("""COMPUTED_VALUE"""),530.28)</f>
        <v>530.28</v>
      </c>
      <c r="E1860" s="2">
        <f>IFERROR(__xludf.DUMMYFUNCTION("""COMPUTED_VALUE"""),538.87)</f>
        <v>538.87</v>
      </c>
      <c r="F1860" s="2">
        <f>IFERROR(__xludf.DUMMYFUNCTION("""COMPUTED_VALUE"""),5415538.0)</f>
        <v>5415538</v>
      </c>
    </row>
    <row r="1861">
      <c r="A1861" s="3">
        <f>IFERROR(__xludf.DUMMYFUNCTION("""COMPUTED_VALUE"""),40185.645833333336)</f>
        <v>40185.64583</v>
      </c>
      <c r="B1861" s="2">
        <f>IFERROR(__xludf.DUMMYFUNCTION("""COMPUTED_VALUE"""),538.87)</f>
        <v>538.87</v>
      </c>
      <c r="C1861" s="2">
        <f>IFERROR(__xludf.DUMMYFUNCTION("""COMPUTED_VALUE"""),552.24)</f>
        <v>552.24</v>
      </c>
      <c r="D1861" s="2">
        <f>IFERROR(__xludf.DUMMYFUNCTION("""COMPUTED_VALUE"""),533.92)</f>
        <v>533.92</v>
      </c>
      <c r="E1861" s="2">
        <f>IFERROR(__xludf.DUMMYFUNCTION("""COMPUTED_VALUE"""),547.81)</f>
        <v>547.81</v>
      </c>
      <c r="F1861" s="2">
        <f>IFERROR(__xludf.DUMMYFUNCTION("""COMPUTED_VALUE"""),5988404.0)</f>
        <v>5988404</v>
      </c>
    </row>
    <row r="1862">
      <c r="A1862" s="3">
        <f>IFERROR(__xludf.DUMMYFUNCTION("""COMPUTED_VALUE"""),40186.645833333336)</f>
        <v>40186.64583</v>
      </c>
      <c r="B1862" s="2">
        <f>IFERROR(__xludf.DUMMYFUNCTION("""COMPUTED_VALUE"""),548.78)</f>
        <v>548.78</v>
      </c>
      <c r="C1862" s="2">
        <f>IFERROR(__xludf.DUMMYFUNCTION("""COMPUTED_VALUE"""),551.65)</f>
        <v>551.65</v>
      </c>
      <c r="D1862" s="2">
        <f>IFERROR(__xludf.DUMMYFUNCTION("""COMPUTED_VALUE"""),542.83)</f>
        <v>542.83</v>
      </c>
      <c r="E1862" s="2">
        <f>IFERROR(__xludf.DUMMYFUNCTION("""COMPUTED_VALUE"""),546.38)</f>
        <v>546.38</v>
      </c>
      <c r="F1862" s="2">
        <f>IFERROR(__xludf.DUMMYFUNCTION("""COMPUTED_VALUE"""),3453926.0)</f>
        <v>3453926</v>
      </c>
    </row>
    <row r="1863">
      <c r="A1863" s="3">
        <f>IFERROR(__xludf.DUMMYFUNCTION("""COMPUTED_VALUE"""),40189.645833333336)</f>
        <v>40189.64583</v>
      </c>
      <c r="B1863" s="2">
        <f>IFERROR(__xludf.DUMMYFUNCTION("""COMPUTED_VALUE"""),562.0)</f>
        <v>562</v>
      </c>
      <c r="C1863" s="2">
        <f>IFERROR(__xludf.DUMMYFUNCTION("""COMPUTED_VALUE"""),569.43)</f>
        <v>569.43</v>
      </c>
      <c r="D1863" s="2">
        <f>IFERROR(__xludf.DUMMYFUNCTION("""COMPUTED_VALUE"""),520.05)</f>
        <v>520.05</v>
      </c>
      <c r="E1863" s="2">
        <f>IFERROR(__xludf.DUMMYFUNCTION("""COMPUTED_VALUE"""),535.65)</f>
        <v>535.65</v>
      </c>
      <c r="F1863" s="2">
        <f>IFERROR(__xludf.DUMMYFUNCTION("""COMPUTED_VALUE"""),4.3122136E7)</f>
        <v>43122136</v>
      </c>
    </row>
    <row r="1864">
      <c r="A1864" s="3">
        <f>IFERROR(__xludf.DUMMYFUNCTION("""COMPUTED_VALUE"""),40190.645833333336)</f>
        <v>40190.64583</v>
      </c>
      <c r="B1864" s="2">
        <f>IFERROR(__xludf.DUMMYFUNCTION("""COMPUTED_VALUE"""),542.34)</f>
        <v>542.34</v>
      </c>
      <c r="C1864" s="2">
        <f>IFERROR(__xludf.DUMMYFUNCTION("""COMPUTED_VALUE"""),563.29)</f>
        <v>563.29</v>
      </c>
      <c r="D1864" s="2">
        <f>IFERROR(__xludf.DUMMYFUNCTION("""COMPUTED_VALUE"""),533.42)</f>
        <v>533.42</v>
      </c>
      <c r="E1864" s="2">
        <f>IFERROR(__xludf.DUMMYFUNCTION("""COMPUTED_VALUE"""),537.06)</f>
        <v>537.06</v>
      </c>
      <c r="F1864" s="2">
        <f>IFERROR(__xludf.DUMMYFUNCTION("""COMPUTED_VALUE"""),7495359.0)</f>
        <v>7495359</v>
      </c>
    </row>
    <row r="1865">
      <c r="A1865" s="3">
        <f>IFERROR(__xludf.DUMMYFUNCTION("""COMPUTED_VALUE"""),40191.645833333336)</f>
        <v>40191.64583</v>
      </c>
      <c r="B1865" s="2">
        <f>IFERROR(__xludf.DUMMYFUNCTION("""COMPUTED_VALUE"""),538.87)</f>
        <v>538.87</v>
      </c>
      <c r="C1865" s="2">
        <f>IFERROR(__xludf.DUMMYFUNCTION("""COMPUTED_VALUE"""),540.85)</f>
        <v>540.85</v>
      </c>
      <c r="D1865" s="2">
        <f>IFERROR(__xludf.DUMMYFUNCTION("""COMPUTED_VALUE"""),529.26)</f>
        <v>529.26</v>
      </c>
      <c r="E1865" s="2">
        <f>IFERROR(__xludf.DUMMYFUNCTION("""COMPUTED_VALUE"""),539.17)</f>
        <v>539.17</v>
      </c>
      <c r="F1865" s="2">
        <f>IFERROR(__xludf.DUMMYFUNCTION("""COMPUTED_VALUE"""),3511078.0)</f>
        <v>3511078</v>
      </c>
    </row>
    <row r="1866">
      <c r="A1866" s="3">
        <f>IFERROR(__xludf.DUMMYFUNCTION("""COMPUTED_VALUE"""),40192.645833333336)</f>
        <v>40192.64583</v>
      </c>
      <c r="B1866" s="2">
        <f>IFERROR(__xludf.DUMMYFUNCTION("""COMPUTED_VALUE"""),537.88)</f>
        <v>537.88</v>
      </c>
      <c r="C1866" s="2">
        <f>IFERROR(__xludf.DUMMYFUNCTION("""COMPUTED_VALUE"""),557.1)</f>
        <v>557.1</v>
      </c>
      <c r="D1866" s="2">
        <f>IFERROR(__xludf.DUMMYFUNCTION("""COMPUTED_VALUE"""),537.88)</f>
        <v>537.88</v>
      </c>
      <c r="E1866" s="2">
        <f>IFERROR(__xludf.DUMMYFUNCTION("""COMPUTED_VALUE"""),555.56)</f>
        <v>555.56</v>
      </c>
      <c r="F1866" s="2">
        <f>IFERROR(__xludf.DUMMYFUNCTION("""COMPUTED_VALUE"""),5610718.0)</f>
        <v>5610718</v>
      </c>
    </row>
    <row r="1867">
      <c r="A1867" s="3">
        <f>IFERROR(__xludf.DUMMYFUNCTION("""COMPUTED_VALUE"""),40193.645833333336)</f>
        <v>40193.64583</v>
      </c>
      <c r="B1867" s="2">
        <f>IFERROR(__xludf.DUMMYFUNCTION("""COMPUTED_VALUE"""),557.59)</f>
        <v>557.59</v>
      </c>
      <c r="C1867" s="2">
        <f>IFERROR(__xludf.DUMMYFUNCTION("""COMPUTED_VALUE"""),564.08)</f>
        <v>564.08</v>
      </c>
      <c r="D1867" s="2">
        <f>IFERROR(__xludf.DUMMYFUNCTION("""COMPUTED_VALUE"""),547.32)</f>
        <v>547.32</v>
      </c>
      <c r="E1867" s="2">
        <f>IFERROR(__xludf.DUMMYFUNCTION("""COMPUTED_VALUE"""),550.14)</f>
        <v>550.14</v>
      </c>
      <c r="F1867" s="2">
        <f>IFERROR(__xludf.DUMMYFUNCTION("""COMPUTED_VALUE"""),4289733.0)</f>
        <v>4289733</v>
      </c>
    </row>
    <row r="1868">
      <c r="A1868" s="3">
        <f>IFERROR(__xludf.DUMMYFUNCTION("""COMPUTED_VALUE"""),40196.645833333336)</f>
        <v>40196.64583</v>
      </c>
      <c r="B1868" s="2">
        <f>IFERROR(__xludf.DUMMYFUNCTION("""COMPUTED_VALUE"""),548.28)</f>
        <v>548.28</v>
      </c>
      <c r="C1868" s="2">
        <f>IFERROR(__xludf.DUMMYFUNCTION("""COMPUTED_VALUE"""),552.96)</f>
        <v>552.96</v>
      </c>
      <c r="D1868" s="2">
        <f>IFERROR(__xludf.DUMMYFUNCTION("""COMPUTED_VALUE"""),540.83)</f>
        <v>540.83</v>
      </c>
      <c r="E1868" s="2">
        <f>IFERROR(__xludf.DUMMYFUNCTION("""COMPUTED_VALUE"""),544.57)</f>
        <v>544.57</v>
      </c>
      <c r="F1868" s="2">
        <f>IFERROR(__xludf.DUMMYFUNCTION("""COMPUTED_VALUE"""),3239525.0)</f>
        <v>3239525</v>
      </c>
    </row>
    <row r="1869">
      <c r="A1869" s="3">
        <f>IFERROR(__xludf.DUMMYFUNCTION("""COMPUTED_VALUE"""),40197.645833333336)</f>
        <v>40197.64583</v>
      </c>
      <c r="B1869" s="2">
        <f>IFERROR(__xludf.DUMMYFUNCTION("""COMPUTED_VALUE"""),544.82)</f>
        <v>544.82</v>
      </c>
      <c r="C1869" s="2">
        <f>IFERROR(__xludf.DUMMYFUNCTION("""COMPUTED_VALUE"""),547.81)</f>
        <v>547.81</v>
      </c>
      <c r="D1869" s="2">
        <f>IFERROR(__xludf.DUMMYFUNCTION("""COMPUTED_VALUE"""),536.22)</f>
        <v>536.22</v>
      </c>
      <c r="E1869" s="2">
        <f>IFERROR(__xludf.DUMMYFUNCTION("""COMPUTED_VALUE"""),537.39)</f>
        <v>537.39</v>
      </c>
      <c r="F1869" s="2">
        <f>IFERROR(__xludf.DUMMYFUNCTION("""COMPUTED_VALUE"""),2986363.0)</f>
        <v>2986363</v>
      </c>
    </row>
    <row r="1870">
      <c r="A1870" s="3">
        <f>IFERROR(__xludf.DUMMYFUNCTION("""COMPUTED_VALUE"""),40198.645833333336)</f>
        <v>40198.64583</v>
      </c>
      <c r="B1870" s="2">
        <f>IFERROR(__xludf.DUMMYFUNCTION("""COMPUTED_VALUE"""),542.34)</f>
        <v>542.34</v>
      </c>
      <c r="C1870" s="2">
        <f>IFERROR(__xludf.DUMMYFUNCTION("""COMPUTED_VALUE"""),543.38)</f>
        <v>543.38</v>
      </c>
      <c r="D1870" s="2">
        <f>IFERROR(__xludf.DUMMYFUNCTION("""COMPUTED_VALUE"""),530.95)</f>
        <v>530.95</v>
      </c>
      <c r="E1870" s="2">
        <f>IFERROR(__xludf.DUMMYFUNCTION("""COMPUTED_VALUE"""),533.67)</f>
        <v>533.67</v>
      </c>
      <c r="F1870" s="2">
        <f>IFERROR(__xludf.DUMMYFUNCTION("""COMPUTED_VALUE"""),4418747.0)</f>
        <v>4418747</v>
      </c>
    </row>
    <row r="1871">
      <c r="A1871" s="3">
        <f>IFERROR(__xludf.DUMMYFUNCTION("""COMPUTED_VALUE"""),40199.645833333336)</f>
        <v>40199.64583</v>
      </c>
      <c r="B1871" s="2">
        <f>IFERROR(__xludf.DUMMYFUNCTION("""COMPUTED_VALUE"""),532.43)</f>
        <v>532.43</v>
      </c>
      <c r="C1871" s="2">
        <f>IFERROR(__xludf.DUMMYFUNCTION("""COMPUTED_VALUE"""),533.42)</f>
        <v>533.42</v>
      </c>
      <c r="D1871" s="2">
        <f>IFERROR(__xludf.DUMMYFUNCTION("""COMPUTED_VALUE"""),520.18)</f>
        <v>520.18</v>
      </c>
      <c r="E1871" s="2">
        <f>IFERROR(__xludf.DUMMYFUNCTION("""COMPUTED_VALUE"""),522.06)</f>
        <v>522.06</v>
      </c>
      <c r="F1871" s="2">
        <f>IFERROR(__xludf.DUMMYFUNCTION("""COMPUTED_VALUE"""),4254235.0)</f>
        <v>4254235</v>
      </c>
    </row>
    <row r="1872">
      <c r="A1872" s="3">
        <f>IFERROR(__xludf.DUMMYFUNCTION("""COMPUTED_VALUE"""),40200.645833333336)</f>
        <v>40200.64583</v>
      </c>
      <c r="B1872" s="2">
        <f>IFERROR(__xludf.DUMMYFUNCTION("""COMPUTED_VALUE"""),515.59)</f>
        <v>515.59</v>
      </c>
      <c r="C1872" s="2">
        <f>IFERROR(__xludf.DUMMYFUNCTION("""COMPUTED_VALUE"""),530.45)</f>
        <v>530.45</v>
      </c>
      <c r="D1872" s="2">
        <f>IFERROR(__xludf.DUMMYFUNCTION("""COMPUTED_VALUE"""),509.9)</f>
        <v>509.9</v>
      </c>
      <c r="E1872" s="2">
        <f>IFERROR(__xludf.DUMMYFUNCTION("""COMPUTED_VALUE"""),521.96)</f>
        <v>521.96</v>
      </c>
      <c r="F1872" s="2">
        <f>IFERROR(__xludf.DUMMYFUNCTION("""COMPUTED_VALUE"""),9113512.0)</f>
        <v>9113512</v>
      </c>
    </row>
    <row r="1873">
      <c r="A1873" s="3">
        <f>IFERROR(__xludf.DUMMYFUNCTION("""COMPUTED_VALUE"""),40203.645833333336)</f>
        <v>40203.64583</v>
      </c>
      <c r="B1873" s="2">
        <f>IFERROR(__xludf.DUMMYFUNCTION("""COMPUTED_VALUE"""),519.88)</f>
        <v>519.88</v>
      </c>
      <c r="C1873" s="2">
        <f>IFERROR(__xludf.DUMMYFUNCTION("""COMPUTED_VALUE"""),522.23)</f>
        <v>522.23</v>
      </c>
      <c r="D1873" s="2">
        <f>IFERROR(__xludf.DUMMYFUNCTION("""COMPUTED_VALUE"""),513.46)</f>
        <v>513.46</v>
      </c>
      <c r="E1873" s="2">
        <f>IFERROR(__xludf.DUMMYFUNCTION("""COMPUTED_VALUE"""),516.11)</f>
        <v>516.11</v>
      </c>
      <c r="F1873" s="2">
        <f>IFERROR(__xludf.DUMMYFUNCTION("""COMPUTED_VALUE"""),3061478.0)</f>
        <v>3061478</v>
      </c>
    </row>
    <row r="1874">
      <c r="A1874" s="3">
        <f>IFERROR(__xludf.DUMMYFUNCTION("""COMPUTED_VALUE"""),40205.645833333336)</f>
        <v>40205.64583</v>
      </c>
      <c r="B1874" s="2">
        <f>IFERROR(__xludf.DUMMYFUNCTION("""COMPUTED_VALUE"""),512.13)</f>
        <v>512.13</v>
      </c>
      <c r="C1874" s="2">
        <f>IFERROR(__xludf.DUMMYFUNCTION("""COMPUTED_VALUE"""),520.05)</f>
        <v>520.05</v>
      </c>
      <c r="D1874" s="2">
        <f>IFERROR(__xludf.DUMMYFUNCTION("""COMPUTED_VALUE"""),505.19)</f>
        <v>505.19</v>
      </c>
      <c r="E1874" s="2">
        <f>IFERROR(__xludf.DUMMYFUNCTION("""COMPUTED_VALUE"""),508.93)</f>
        <v>508.93</v>
      </c>
      <c r="F1874" s="2">
        <f>IFERROR(__xludf.DUMMYFUNCTION("""COMPUTED_VALUE"""),5678803.0)</f>
        <v>5678803</v>
      </c>
    </row>
    <row r="1875">
      <c r="A1875" s="3">
        <f>IFERROR(__xludf.DUMMYFUNCTION("""COMPUTED_VALUE"""),40206.645833333336)</f>
        <v>40206.64583</v>
      </c>
      <c r="B1875" s="2">
        <f>IFERROR(__xludf.DUMMYFUNCTION("""COMPUTED_VALUE"""),515.1)</f>
        <v>515.1</v>
      </c>
      <c r="C1875" s="2">
        <f>IFERROR(__xludf.DUMMYFUNCTION("""COMPUTED_VALUE"""),518.29)</f>
        <v>518.29</v>
      </c>
      <c r="D1875" s="2">
        <f>IFERROR(__xludf.DUMMYFUNCTION("""COMPUTED_VALUE"""),507.67)</f>
        <v>507.67</v>
      </c>
      <c r="E1875" s="2">
        <f>IFERROR(__xludf.DUMMYFUNCTION("""COMPUTED_VALUE"""),513.69)</f>
        <v>513.69</v>
      </c>
      <c r="F1875" s="2">
        <f>IFERROR(__xludf.DUMMYFUNCTION("""COMPUTED_VALUE"""),7594324.0)</f>
        <v>7594324</v>
      </c>
    </row>
    <row r="1876">
      <c r="A1876" s="3">
        <f>IFERROR(__xludf.DUMMYFUNCTION("""COMPUTED_VALUE"""),40207.645833333336)</f>
        <v>40207.64583</v>
      </c>
      <c r="B1876" s="2">
        <f>IFERROR(__xludf.DUMMYFUNCTION("""COMPUTED_VALUE"""),511.58)</f>
        <v>511.58</v>
      </c>
      <c r="C1876" s="2">
        <f>IFERROR(__xludf.DUMMYFUNCTION("""COMPUTED_VALUE"""),520.94)</f>
        <v>520.94</v>
      </c>
      <c r="D1876" s="2">
        <f>IFERROR(__xludf.DUMMYFUNCTION("""COMPUTED_VALUE"""),504.25)</f>
        <v>504.25</v>
      </c>
      <c r="E1876" s="2">
        <f>IFERROR(__xludf.DUMMYFUNCTION("""COMPUTED_VALUE"""),518.17)</f>
        <v>518.17</v>
      </c>
      <c r="F1876" s="2">
        <f>IFERROR(__xludf.DUMMYFUNCTION("""COMPUTED_VALUE"""),5333541.0)</f>
        <v>5333541</v>
      </c>
    </row>
    <row r="1877">
      <c r="A1877" s="3">
        <f>IFERROR(__xludf.DUMMYFUNCTION("""COMPUTED_VALUE"""),40210.645833333336)</f>
        <v>40210.64583</v>
      </c>
      <c r="B1877" s="2">
        <f>IFERROR(__xludf.DUMMYFUNCTION("""COMPUTED_VALUE"""),513.86)</f>
        <v>513.86</v>
      </c>
      <c r="C1877" s="2">
        <f>IFERROR(__xludf.DUMMYFUNCTION("""COMPUTED_VALUE"""),522.53)</f>
        <v>522.53</v>
      </c>
      <c r="D1877" s="2">
        <f>IFERROR(__xludf.DUMMYFUNCTION("""COMPUTED_VALUE"""),512.89)</f>
        <v>512.89</v>
      </c>
      <c r="E1877" s="2">
        <f>IFERROR(__xludf.DUMMYFUNCTION("""COMPUTED_VALUE"""),517.77)</f>
        <v>517.77</v>
      </c>
      <c r="F1877" s="2">
        <f>IFERROR(__xludf.DUMMYFUNCTION("""COMPUTED_VALUE"""),2773369.0)</f>
        <v>2773369</v>
      </c>
    </row>
    <row r="1878">
      <c r="A1878" s="3">
        <f>IFERROR(__xludf.DUMMYFUNCTION("""COMPUTED_VALUE"""),40211.645833333336)</f>
        <v>40211.64583</v>
      </c>
      <c r="B1878" s="2">
        <f>IFERROR(__xludf.DUMMYFUNCTION("""COMPUTED_VALUE"""),521.04)</f>
        <v>521.04</v>
      </c>
      <c r="C1878" s="2">
        <f>IFERROR(__xludf.DUMMYFUNCTION("""COMPUTED_VALUE"""),523.2)</f>
        <v>523.2</v>
      </c>
      <c r="D1878" s="2">
        <f>IFERROR(__xludf.DUMMYFUNCTION("""COMPUTED_VALUE"""),507.22)</f>
        <v>507.22</v>
      </c>
      <c r="E1878" s="2">
        <f>IFERROR(__xludf.DUMMYFUNCTION("""COMPUTED_VALUE"""),508.81)</f>
        <v>508.81</v>
      </c>
      <c r="F1878" s="2">
        <f>IFERROR(__xludf.DUMMYFUNCTION("""COMPUTED_VALUE"""),3942831.0)</f>
        <v>3942831</v>
      </c>
    </row>
    <row r="1879">
      <c r="A1879" s="3">
        <f>IFERROR(__xludf.DUMMYFUNCTION("""COMPUTED_VALUE"""),40212.645833333336)</f>
        <v>40212.64583</v>
      </c>
      <c r="B1879" s="2">
        <f>IFERROR(__xludf.DUMMYFUNCTION("""COMPUTED_VALUE"""),510.69)</f>
        <v>510.69</v>
      </c>
      <c r="C1879" s="2">
        <f>IFERROR(__xludf.DUMMYFUNCTION("""COMPUTED_VALUE"""),519.26)</f>
        <v>519.26</v>
      </c>
      <c r="D1879" s="2">
        <f>IFERROR(__xludf.DUMMYFUNCTION("""COMPUTED_VALUE"""),510.69)</f>
        <v>510.69</v>
      </c>
      <c r="E1879" s="2">
        <f>IFERROR(__xludf.DUMMYFUNCTION("""COMPUTED_VALUE"""),512.1)</f>
        <v>512.1</v>
      </c>
      <c r="F1879" s="2">
        <f>IFERROR(__xludf.DUMMYFUNCTION("""COMPUTED_VALUE"""),3440695.0)</f>
        <v>3440695</v>
      </c>
    </row>
    <row r="1880">
      <c r="A1880" s="3">
        <f>IFERROR(__xludf.DUMMYFUNCTION("""COMPUTED_VALUE"""),40213.645833333336)</f>
        <v>40213.64583</v>
      </c>
      <c r="B1880" s="2">
        <f>IFERROR(__xludf.DUMMYFUNCTION("""COMPUTED_VALUE"""),514.11)</f>
        <v>514.11</v>
      </c>
      <c r="C1880" s="2">
        <f>IFERROR(__xludf.DUMMYFUNCTION("""COMPUTED_VALUE"""),514.11)</f>
        <v>514.11</v>
      </c>
      <c r="D1880" s="2">
        <f>IFERROR(__xludf.DUMMYFUNCTION("""COMPUTED_VALUE"""),502.22)</f>
        <v>502.22</v>
      </c>
      <c r="E1880" s="2">
        <f>IFERROR(__xludf.DUMMYFUNCTION("""COMPUTED_VALUE"""),504.77)</f>
        <v>504.77</v>
      </c>
      <c r="F1880" s="2">
        <f>IFERROR(__xludf.DUMMYFUNCTION("""COMPUTED_VALUE"""),2737193.0)</f>
        <v>2737193</v>
      </c>
    </row>
    <row r="1881">
      <c r="A1881" s="3">
        <f>IFERROR(__xludf.DUMMYFUNCTION("""COMPUTED_VALUE"""),40214.645833333336)</f>
        <v>40214.64583</v>
      </c>
      <c r="B1881" s="2">
        <f>IFERROR(__xludf.DUMMYFUNCTION("""COMPUTED_VALUE"""),482.9)</f>
        <v>482.9</v>
      </c>
      <c r="C1881" s="2">
        <f>IFERROR(__xludf.DUMMYFUNCTION("""COMPUTED_VALUE"""),499.13)</f>
        <v>499.13</v>
      </c>
      <c r="D1881" s="2">
        <f>IFERROR(__xludf.DUMMYFUNCTION("""COMPUTED_VALUE"""),482.9)</f>
        <v>482.9</v>
      </c>
      <c r="E1881" s="2">
        <f>IFERROR(__xludf.DUMMYFUNCTION("""COMPUTED_VALUE"""),486.22)</f>
        <v>486.22</v>
      </c>
      <c r="F1881" s="2">
        <f>IFERROR(__xludf.DUMMYFUNCTION("""COMPUTED_VALUE"""),6830723.0)</f>
        <v>6830723</v>
      </c>
    </row>
    <row r="1882">
      <c r="A1882" s="3">
        <f>IFERROR(__xludf.DUMMYFUNCTION("""COMPUTED_VALUE"""),40217.645833333336)</f>
        <v>40217.64583</v>
      </c>
      <c r="B1882" s="2">
        <f>IFERROR(__xludf.DUMMYFUNCTION("""COMPUTED_VALUE"""),487.86)</f>
        <v>487.86</v>
      </c>
      <c r="C1882" s="2">
        <f>IFERROR(__xludf.DUMMYFUNCTION("""COMPUTED_VALUE"""),497.44)</f>
        <v>497.44</v>
      </c>
      <c r="D1882" s="2">
        <f>IFERROR(__xludf.DUMMYFUNCTION("""COMPUTED_VALUE"""),482.9)</f>
        <v>482.9</v>
      </c>
      <c r="E1882" s="2">
        <f>IFERROR(__xludf.DUMMYFUNCTION("""COMPUTED_VALUE"""),492.49)</f>
        <v>492.49</v>
      </c>
      <c r="F1882" s="2">
        <f>IFERROR(__xludf.DUMMYFUNCTION("""COMPUTED_VALUE"""),5919146.0)</f>
        <v>5919146</v>
      </c>
    </row>
    <row r="1883">
      <c r="A1883" s="3">
        <f>IFERROR(__xludf.DUMMYFUNCTION("""COMPUTED_VALUE"""),40218.645833333336)</f>
        <v>40218.64583</v>
      </c>
      <c r="B1883" s="2">
        <f>IFERROR(__xludf.DUMMYFUNCTION("""COMPUTED_VALUE"""),492.19)</f>
        <v>492.19</v>
      </c>
      <c r="C1883" s="2">
        <f>IFERROR(__xludf.DUMMYFUNCTION("""COMPUTED_VALUE"""),494.3)</f>
        <v>494.3</v>
      </c>
      <c r="D1883" s="2">
        <f>IFERROR(__xludf.DUMMYFUNCTION("""COMPUTED_VALUE"""),486.72)</f>
        <v>486.72</v>
      </c>
      <c r="E1883" s="2">
        <f>IFERROR(__xludf.DUMMYFUNCTION("""COMPUTED_VALUE"""),491.94)</f>
        <v>491.94</v>
      </c>
      <c r="F1883" s="2">
        <f>IFERROR(__xludf.DUMMYFUNCTION("""COMPUTED_VALUE"""),3266918.0)</f>
        <v>3266918</v>
      </c>
    </row>
    <row r="1884">
      <c r="A1884" s="3">
        <f>IFERROR(__xludf.DUMMYFUNCTION("""COMPUTED_VALUE"""),40219.645833333336)</f>
        <v>40219.64583</v>
      </c>
      <c r="B1884" s="2">
        <f>IFERROR(__xludf.DUMMYFUNCTION("""COMPUTED_VALUE"""),495.24)</f>
        <v>495.24</v>
      </c>
      <c r="C1884" s="2">
        <f>IFERROR(__xludf.DUMMYFUNCTION("""COMPUTED_VALUE"""),495.24)</f>
        <v>495.24</v>
      </c>
      <c r="D1884" s="2">
        <f>IFERROR(__xludf.DUMMYFUNCTION("""COMPUTED_VALUE"""),486.37)</f>
        <v>486.37</v>
      </c>
      <c r="E1884" s="2">
        <f>IFERROR(__xludf.DUMMYFUNCTION("""COMPUTED_VALUE"""),487.91)</f>
        <v>487.91</v>
      </c>
      <c r="F1884" s="2">
        <f>IFERROR(__xludf.DUMMYFUNCTION("""COMPUTED_VALUE"""),4174214.0)</f>
        <v>4174214</v>
      </c>
    </row>
    <row r="1885">
      <c r="A1885" s="3">
        <f>IFERROR(__xludf.DUMMYFUNCTION("""COMPUTED_VALUE"""),40220.645833333336)</f>
        <v>40220.64583</v>
      </c>
      <c r="B1885" s="2">
        <f>IFERROR(__xludf.DUMMYFUNCTION("""COMPUTED_VALUE"""),489.96)</f>
        <v>489.96</v>
      </c>
      <c r="C1885" s="2">
        <f>IFERROR(__xludf.DUMMYFUNCTION("""COMPUTED_VALUE"""),505.09)</f>
        <v>505.09</v>
      </c>
      <c r="D1885" s="2">
        <f>IFERROR(__xludf.DUMMYFUNCTION("""COMPUTED_VALUE"""),489.59)</f>
        <v>489.59</v>
      </c>
      <c r="E1885" s="2">
        <f>IFERROR(__xludf.DUMMYFUNCTION("""COMPUTED_VALUE"""),502.79)</f>
        <v>502.79</v>
      </c>
      <c r="F1885" s="2">
        <f>IFERROR(__xludf.DUMMYFUNCTION("""COMPUTED_VALUE"""),5360299.0)</f>
        <v>5360299</v>
      </c>
    </row>
    <row r="1886">
      <c r="A1886" s="3">
        <f>IFERROR(__xludf.DUMMYFUNCTION("""COMPUTED_VALUE"""),40224.645833333336)</f>
        <v>40224.64583</v>
      </c>
      <c r="B1886" s="2">
        <f>IFERROR(__xludf.DUMMYFUNCTION("""COMPUTED_VALUE"""),508.66)</f>
        <v>508.66</v>
      </c>
      <c r="C1886" s="2">
        <f>IFERROR(__xludf.DUMMYFUNCTION("""COMPUTED_VALUE"""),508.66)</f>
        <v>508.66</v>
      </c>
      <c r="D1886" s="2">
        <f>IFERROR(__xludf.DUMMYFUNCTION("""COMPUTED_VALUE"""),499.05)</f>
        <v>499.05</v>
      </c>
      <c r="E1886" s="2">
        <f>IFERROR(__xludf.DUMMYFUNCTION("""COMPUTED_VALUE"""),500.24)</f>
        <v>500.24</v>
      </c>
      <c r="F1886" s="2">
        <f>IFERROR(__xludf.DUMMYFUNCTION("""COMPUTED_VALUE"""),3085557.0)</f>
        <v>3085557</v>
      </c>
    </row>
    <row r="1887">
      <c r="A1887" s="3">
        <f>IFERROR(__xludf.DUMMYFUNCTION("""COMPUTED_VALUE"""),40225.645833333336)</f>
        <v>40225.64583</v>
      </c>
      <c r="B1887" s="2">
        <f>IFERROR(__xludf.DUMMYFUNCTION("""COMPUTED_VALUE"""),500.29)</f>
        <v>500.29</v>
      </c>
      <c r="C1887" s="2">
        <f>IFERROR(__xludf.DUMMYFUNCTION("""COMPUTED_VALUE"""),505.69)</f>
        <v>505.69</v>
      </c>
      <c r="D1887" s="2">
        <f>IFERROR(__xludf.DUMMYFUNCTION("""COMPUTED_VALUE"""),497.76)</f>
        <v>497.76</v>
      </c>
      <c r="E1887" s="2">
        <f>IFERROR(__xludf.DUMMYFUNCTION("""COMPUTED_VALUE"""),504.08)</f>
        <v>504.08</v>
      </c>
      <c r="F1887" s="2">
        <f>IFERROR(__xludf.DUMMYFUNCTION("""COMPUTED_VALUE"""),2301434.0)</f>
        <v>2301434</v>
      </c>
    </row>
    <row r="1888">
      <c r="A1888" s="3">
        <f>IFERROR(__xludf.DUMMYFUNCTION("""COMPUTED_VALUE"""),40226.645833333336)</f>
        <v>40226.64583</v>
      </c>
      <c r="B1888" s="2">
        <f>IFERROR(__xludf.DUMMYFUNCTION("""COMPUTED_VALUE"""),507.67)</f>
        <v>507.67</v>
      </c>
      <c r="C1888" s="2">
        <f>IFERROR(__xludf.DUMMYFUNCTION("""COMPUTED_VALUE"""),514.01)</f>
        <v>514.01</v>
      </c>
      <c r="D1888" s="2">
        <f>IFERROR(__xludf.DUMMYFUNCTION("""COMPUTED_VALUE"""),506.21)</f>
        <v>506.21</v>
      </c>
      <c r="E1888" s="2">
        <f>IFERROR(__xludf.DUMMYFUNCTION("""COMPUTED_VALUE"""),511.41)</f>
        <v>511.41</v>
      </c>
      <c r="F1888" s="2">
        <f>IFERROR(__xludf.DUMMYFUNCTION("""COMPUTED_VALUE"""),3572783.0)</f>
        <v>3572783</v>
      </c>
    </row>
    <row r="1889">
      <c r="A1889" s="3">
        <f>IFERROR(__xludf.DUMMYFUNCTION("""COMPUTED_VALUE"""),40227.645833333336)</f>
        <v>40227.64583</v>
      </c>
      <c r="B1889" s="2">
        <f>IFERROR(__xludf.DUMMYFUNCTION("""COMPUTED_VALUE"""),510.15)</f>
        <v>510.15</v>
      </c>
      <c r="C1889" s="2">
        <f>IFERROR(__xludf.DUMMYFUNCTION("""COMPUTED_VALUE"""),514.28)</f>
        <v>514.28</v>
      </c>
      <c r="D1889" s="2">
        <f>IFERROR(__xludf.DUMMYFUNCTION("""COMPUTED_VALUE"""),492.81)</f>
        <v>492.81</v>
      </c>
      <c r="E1889" s="2">
        <f>IFERROR(__xludf.DUMMYFUNCTION("""COMPUTED_VALUE"""),494.2)</f>
        <v>494.2</v>
      </c>
      <c r="F1889" s="2">
        <f>IFERROR(__xludf.DUMMYFUNCTION("""COMPUTED_VALUE"""),4533745.0)</f>
        <v>4533745</v>
      </c>
    </row>
    <row r="1890">
      <c r="A1890" s="3">
        <f>IFERROR(__xludf.DUMMYFUNCTION("""COMPUTED_VALUE"""),40228.645833333336)</f>
        <v>40228.64583</v>
      </c>
      <c r="B1890" s="2">
        <f>IFERROR(__xludf.DUMMYFUNCTION("""COMPUTED_VALUE"""),492.81)</f>
        <v>492.81</v>
      </c>
      <c r="C1890" s="2">
        <f>IFERROR(__xludf.DUMMYFUNCTION("""COMPUTED_VALUE"""),492.81)</f>
        <v>492.81</v>
      </c>
      <c r="D1890" s="2">
        <f>IFERROR(__xludf.DUMMYFUNCTION("""COMPUTED_VALUE"""),483.97)</f>
        <v>483.97</v>
      </c>
      <c r="E1890" s="2">
        <f>IFERROR(__xludf.DUMMYFUNCTION("""COMPUTED_VALUE"""),486.97)</f>
        <v>486.97</v>
      </c>
      <c r="F1890" s="2">
        <f>IFERROR(__xludf.DUMMYFUNCTION("""COMPUTED_VALUE"""),4058388.0)</f>
        <v>4058388</v>
      </c>
    </row>
    <row r="1891">
      <c r="A1891" s="3">
        <f>IFERROR(__xludf.DUMMYFUNCTION("""COMPUTED_VALUE"""),40231.645833333336)</f>
        <v>40231.64583</v>
      </c>
      <c r="B1891" s="2">
        <f>IFERROR(__xludf.DUMMYFUNCTION("""COMPUTED_VALUE"""),492.96)</f>
        <v>492.96</v>
      </c>
      <c r="C1891" s="2">
        <f>IFERROR(__xludf.DUMMYFUNCTION("""COMPUTED_VALUE"""),495.29)</f>
        <v>495.29</v>
      </c>
      <c r="D1891" s="2">
        <f>IFERROR(__xludf.DUMMYFUNCTION("""COMPUTED_VALUE"""),480.43)</f>
        <v>480.43</v>
      </c>
      <c r="E1891" s="2">
        <f>IFERROR(__xludf.DUMMYFUNCTION("""COMPUTED_VALUE"""),484.37)</f>
        <v>484.37</v>
      </c>
      <c r="F1891" s="2">
        <f>IFERROR(__xludf.DUMMYFUNCTION("""COMPUTED_VALUE"""),2901188.0)</f>
        <v>2901188</v>
      </c>
    </row>
    <row r="1892">
      <c r="A1892" s="3">
        <f>IFERROR(__xludf.DUMMYFUNCTION("""COMPUTED_VALUE"""),40232.645833333336)</f>
        <v>40232.64583</v>
      </c>
      <c r="B1892" s="2">
        <f>IFERROR(__xludf.DUMMYFUNCTION("""COMPUTED_VALUE"""),482.41)</f>
        <v>482.41</v>
      </c>
      <c r="C1892" s="2">
        <f>IFERROR(__xludf.DUMMYFUNCTION("""COMPUTED_VALUE"""),486.87)</f>
        <v>486.87</v>
      </c>
      <c r="D1892" s="2">
        <f>IFERROR(__xludf.DUMMYFUNCTION("""COMPUTED_VALUE"""),480.43)</f>
        <v>480.43</v>
      </c>
      <c r="E1892" s="2">
        <f>IFERROR(__xludf.DUMMYFUNCTION("""COMPUTED_VALUE"""),483.08)</f>
        <v>483.08</v>
      </c>
      <c r="F1892" s="2">
        <f>IFERROR(__xludf.DUMMYFUNCTION("""COMPUTED_VALUE"""),2966309.0)</f>
        <v>2966309</v>
      </c>
    </row>
    <row r="1893">
      <c r="A1893" s="3">
        <f>IFERROR(__xludf.DUMMYFUNCTION("""COMPUTED_VALUE"""),40233.645833333336)</f>
        <v>40233.64583</v>
      </c>
      <c r="B1893" s="2">
        <f>IFERROR(__xludf.DUMMYFUNCTION("""COMPUTED_VALUE"""),480.43)</f>
        <v>480.43</v>
      </c>
      <c r="C1893" s="2">
        <f>IFERROR(__xludf.DUMMYFUNCTION("""COMPUTED_VALUE"""),488.2)</f>
        <v>488.2</v>
      </c>
      <c r="D1893" s="2">
        <f>IFERROR(__xludf.DUMMYFUNCTION("""COMPUTED_VALUE"""),478.77)</f>
        <v>478.77</v>
      </c>
      <c r="E1893" s="2">
        <f>IFERROR(__xludf.DUMMYFUNCTION("""COMPUTED_VALUE"""),484.79)</f>
        <v>484.79</v>
      </c>
      <c r="F1893" s="2">
        <f>IFERROR(__xludf.DUMMYFUNCTION("""COMPUTED_VALUE"""),2854453.0)</f>
        <v>2854453</v>
      </c>
    </row>
    <row r="1894">
      <c r="A1894" s="3">
        <f>IFERROR(__xludf.DUMMYFUNCTION("""COMPUTED_VALUE"""),40234.645833333336)</f>
        <v>40234.64583</v>
      </c>
      <c r="B1894" s="2">
        <f>IFERROR(__xludf.DUMMYFUNCTION("""COMPUTED_VALUE"""),485.43)</f>
        <v>485.43</v>
      </c>
      <c r="C1894" s="2">
        <f>IFERROR(__xludf.DUMMYFUNCTION("""COMPUTED_VALUE"""),487.86)</f>
        <v>487.86</v>
      </c>
      <c r="D1894" s="2">
        <f>IFERROR(__xludf.DUMMYFUNCTION("""COMPUTED_VALUE"""),475.05)</f>
        <v>475.05</v>
      </c>
      <c r="E1894" s="2">
        <f>IFERROR(__xludf.DUMMYFUNCTION("""COMPUTED_VALUE"""),477.01)</f>
        <v>477.01</v>
      </c>
      <c r="F1894" s="2">
        <f>IFERROR(__xludf.DUMMYFUNCTION("""COMPUTED_VALUE"""),4332580.0)</f>
        <v>4332580</v>
      </c>
    </row>
    <row r="1895">
      <c r="A1895" s="3">
        <f>IFERROR(__xludf.DUMMYFUNCTION("""COMPUTED_VALUE"""),40235.645833333336)</f>
        <v>40235.64583</v>
      </c>
      <c r="B1895" s="2">
        <f>IFERROR(__xludf.DUMMYFUNCTION("""COMPUTED_VALUE"""),479.93)</f>
        <v>479.93</v>
      </c>
      <c r="C1895" s="2">
        <f>IFERROR(__xludf.DUMMYFUNCTION("""COMPUTED_VALUE"""),492.81)</f>
        <v>492.81</v>
      </c>
      <c r="D1895" s="2">
        <f>IFERROR(__xludf.DUMMYFUNCTION("""COMPUTED_VALUE"""),478.57)</f>
        <v>478.57</v>
      </c>
      <c r="E1895" s="2">
        <f>IFERROR(__xludf.DUMMYFUNCTION("""COMPUTED_VALUE"""),484.86)</f>
        <v>484.86</v>
      </c>
      <c r="F1895" s="2">
        <f>IFERROR(__xludf.DUMMYFUNCTION("""COMPUTED_VALUE"""),5161233.0)</f>
        <v>5161233</v>
      </c>
    </row>
    <row r="1896">
      <c r="A1896" s="3">
        <f>IFERROR(__xludf.DUMMYFUNCTION("""COMPUTED_VALUE"""),40239.645833333336)</f>
        <v>40239.64583</v>
      </c>
      <c r="B1896" s="2">
        <f>IFERROR(__xludf.DUMMYFUNCTION("""COMPUTED_VALUE"""),487.86)</f>
        <v>487.86</v>
      </c>
      <c r="C1896" s="2">
        <f>IFERROR(__xludf.DUMMYFUNCTION("""COMPUTED_VALUE"""),494.79)</f>
        <v>494.79</v>
      </c>
      <c r="D1896" s="2">
        <f>IFERROR(__xludf.DUMMYFUNCTION("""COMPUTED_VALUE"""),485.08)</f>
        <v>485.08</v>
      </c>
      <c r="E1896" s="2">
        <f>IFERROR(__xludf.DUMMYFUNCTION("""COMPUTED_VALUE"""),486.97)</f>
        <v>486.97</v>
      </c>
      <c r="F1896" s="2">
        <f>IFERROR(__xludf.DUMMYFUNCTION("""COMPUTED_VALUE"""),4162636.0)</f>
        <v>4162636</v>
      </c>
    </row>
    <row r="1897">
      <c r="A1897" s="3">
        <f>IFERROR(__xludf.DUMMYFUNCTION("""COMPUTED_VALUE"""),40240.645833333336)</f>
        <v>40240.64583</v>
      </c>
      <c r="B1897" s="2">
        <f>IFERROR(__xludf.DUMMYFUNCTION("""COMPUTED_VALUE"""),489.34)</f>
        <v>489.34</v>
      </c>
      <c r="C1897" s="2">
        <f>IFERROR(__xludf.DUMMYFUNCTION("""COMPUTED_VALUE"""),509.15)</f>
        <v>509.15</v>
      </c>
      <c r="D1897" s="2">
        <f>IFERROR(__xludf.DUMMYFUNCTION("""COMPUTED_VALUE"""),489.34)</f>
        <v>489.34</v>
      </c>
      <c r="E1897" s="2">
        <f>IFERROR(__xludf.DUMMYFUNCTION("""COMPUTED_VALUE"""),507.57)</f>
        <v>507.57</v>
      </c>
      <c r="F1897" s="2">
        <f>IFERROR(__xludf.DUMMYFUNCTION("""COMPUTED_VALUE"""),6085791.0)</f>
        <v>6085791</v>
      </c>
    </row>
    <row r="1898">
      <c r="A1898" s="3">
        <f>IFERROR(__xludf.DUMMYFUNCTION("""COMPUTED_VALUE"""),40241.645833333336)</f>
        <v>40241.64583</v>
      </c>
      <c r="B1898" s="2">
        <f>IFERROR(__xludf.DUMMYFUNCTION("""COMPUTED_VALUE"""),515.1)</f>
        <v>515.1</v>
      </c>
      <c r="C1898" s="2">
        <f>IFERROR(__xludf.DUMMYFUNCTION("""COMPUTED_VALUE"""),515.1)</f>
        <v>515.1</v>
      </c>
      <c r="D1898" s="2">
        <f>IFERROR(__xludf.DUMMYFUNCTION("""COMPUTED_VALUE"""),499.25)</f>
        <v>499.25</v>
      </c>
      <c r="E1898" s="2">
        <f>IFERROR(__xludf.DUMMYFUNCTION("""COMPUTED_VALUE"""),502.22)</f>
        <v>502.22</v>
      </c>
      <c r="F1898" s="2">
        <f>IFERROR(__xludf.DUMMYFUNCTION("""COMPUTED_VALUE"""),4750237.0)</f>
        <v>4750237</v>
      </c>
    </row>
    <row r="1899">
      <c r="A1899" s="3">
        <f>IFERROR(__xludf.DUMMYFUNCTION("""COMPUTED_VALUE"""),40242.645833333336)</f>
        <v>40242.64583</v>
      </c>
      <c r="B1899" s="2">
        <f>IFERROR(__xludf.DUMMYFUNCTION("""COMPUTED_VALUE"""),506.18)</f>
        <v>506.18</v>
      </c>
      <c r="C1899" s="2">
        <f>IFERROR(__xludf.DUMMYFUNCTION("""COMPUTED_VALUE"""),508.16)</f>
        <v>508.16</v>
      </c>
      <c r="D1899" s="2">
        <f>IFERROR(__xludf.DUMMYFUNCTION("""COMPUTED_VALUE"""),497.81)</f>
        <v>497.81</v>
      </c>
      <c r="E1899" s="2">
        <f>IFERROR(__xludf.DUMMYFUNCTION("""COMPUTED_VALUE"""),500.14)</f>
        <v>500.14</v>
      </c>
      <c r="F1899" s="2">
        <f>IFERROR(__xludf.DUMMYFUNCTION("""COMPUTED_VALUE"""),2691454.0)</f>
        <v>2691454</v>
      </c>
    </row>
    <row r="1900">
      <c r="A1900" s="3">
        <f>IFERROR(__xludf.DUMMYFUNCTION("""COMPUTED_VALUE"""),40245.645833333336)</f>
        <v>40245.64583</v>
      </c>
      <c r="B1900" s="2">
        <f>IFERROR(__xludf.DUMMYFUNCTION("""COMPUTED_VALUE"""),505.79)</f>
        <v>505.79</v>
      </c>
      <c r="C1900" s="2">
        <f>IFERROR(__xludf.DUMMYFUNCTION("""COMPUTED_VALUE"""),508.66)</f>
        <v>508.66</v>
      </c>
      <c r="D1900" s="2">
        <f>IFERROR(__xludf.DUMMYFUNCTION("""COMPUTED_VALUE"""),496.28)</f>
        <v>496.28</v>
      </c>
      <c r="E1900" s="2">
        <f>IFERROR(__xludf.DUMMYFUNCTION("""COMPUTED_VALUE"""),497.32)</f>
        <v>497.32</v>
      </c>
      <c r="F1900" s="2">
        <f>IFERROR(__xludf.DUMMYFUNCTION("""COMPUTED_VALUE"""),2729580.0)</f>
        <v>2729580</v>
      </c>
    </row>
    <row r="1901">
      <c r="A1901" s="3">
        <f>IFERROR(__xludf.DUMMYFUNCTION("""COMPUTED_VALUE"""),40246.645833333336)</f>
        <v>40246.64583</v>
      </c>
      <c r="B1901" s="2">
        <f>IFERROR(__xludf.DUMMYFUNCTION("""COMPUTED_VALUE"""),498.51)</f>
        <v>498.51</v>
      </c>
      <c r="C1901" s="2">
        <f>IFERROR(__xludf.DUMMYFUNCTION("""COMPUTED_VALUE"""),501.13)</f>
        <v>501.13</v>
      </c>
      <c r="D1901" s="2">
        <f>IFERROR(__xludf.DUMMYFUNCTION("""COMPUTED_VALUE"""),489.37)</f>
        <v>489.37</v>
      </c>
      <c r="E1901" s="2">
        <f>IFERROR(__xludf.DUMMYFUNCTION("""COMPUTED_VALUE"""),490.51)</f>
        <v>490.51</v>
      </c>
      <c r="F1901" s="2">
        <f>IFERROR(__xludf.DUMMYFUNCTION("""COMPUTED_VALUE"""),3990953.0)</f>
        <v>3990953</v>
      </c>
    </row>
    <row r="1902">
      <c r="A1902" s="3">
        <f>IFERROR(__xludf.DUMMYFUNCTION("""COMPUTED_VALUE"""),40247.645833333336)</f>
        <v>40247.64583</v>
      </c>
      <c r="B1902" s="2">
        <f>IFERROR(__xludf.DUMMYFUNCTION("""COMPUTED_VALUE"""),492.81)</f>
        <v>492.81</v>
      </c>
      <c r="C1902" s="2">
        <f>IFERROR(__xludf.DUMMYFUNCTION("""COMPUTED_VALUE"""),504.65)</f>
        <v>504.65</v>
      </c>
      <c r="D1902" s="2">
        <f>IFERROR(__xludf.DUMMYFUNCTION("""COMPUTED_VALUE"""),489.99)</f>
        <v>489.99</v>
      </c>
      <c r="E1902" s="2">
        <f>IFERROR(__xludf.DUMMYFUNCTION("""COMPUTED_VALUE"""),499.62)</f>
        <v>499.62</v>
      </c>
      <c r="F1902" s="2">
        <f>IFERROR(__xludf.DUMMYFUNCTION("""COMPUTED_VALUE"""),5670503.0)</f>
        <v>5670503</v>
      </c>
    </row>
    <row r="1903">
      <c r="A1903" s="3">
        <f>IFERROR(__xludf.DUMMYFUNCTION("""COMPUTED_VALUE"""),40248.645833333336)</f>
        <v>40248.64583</v>
      </c>
      <c r="B1903" s="2">
        <f>IFERROR(__xludf.DUMMYFUNCTION("""COMPUTED_VALUE"""),500.24)</f>
        <v>500.24</v>
      </c>
      <c r="C1903" s="2">
        <f>IFERROR(__xludf.DUMMYFUNCTION("""COMPUTED_VALUE"""),505.19)</f>
        <v>505.19</v>
      </c>
      <c r="D1903" s="2">
        <f>IFERROR(__xludf.DUMMYFUNCTION("""COMPUTED_VALUE"""),498.75)</f>
        <v>498.75</v>
      </c>
      <c r="E1903" s="2">
        <f>IFERROR(__xludf.DUMMYFUNCTION("""COMPUTED_VALUE"""),503.43)</f>
        <v>503.43</v>
      </c>
      <c r="F1903" s="2">
        <f>IFERROR(__xludf.DUMMYFUNCTION("""COMPUTED_VALUE"""),3333605.0)</f>
        <v>3333605</v>
      </c>
    </row>
    <row r="1904">
      <c r="A1904" s="3">
        <f>IFERROR(__xludf.DUMMYFUNCTION("""COMPUTED_VALUE"""),40249.645833333336)</f>
        <v>40249.64583</v>
      </c>
      <c r="B1904" s="2">
        <f>IFERROR(__xludf.DUMMYFUNCTION("""COMPUTED_VALUE"""),502.72)</f>
        <v>502.72</v>
      </c>
      <c r="C1904" s="2">
        <f>IFERROR(__xludf.DUMMYFUNCTION("""COMPUTED_VALUE"""),511.63)</f>
        <v>511.63</v>
      </c>
      <c r="D1904" s="2">
        <f>IFERROR(__xludf.DUMMYFUNCTION("""COMPUTED_VALUE"""),502.22)</f>
        <v>502.22</v>
      </c>
      <c r="E1904" s="2">
        <f>IFERROR(__xludf.DUMMYFUNCTION("""COMPUTED_VALUE"""),505.99)</f>
        <v>505.99</v>
      </c>
      <c r="F1904" s="2">
        <f>IFERROR(__xludf.DUMMYFUNCTION("""COMPUTED_VALUE"""),5105006.0)</f>
        <v>5105006</v>
      </c>
    </row>
    <row r="1905">
      <c r="A1905" s="3">
        <f>IFERROR(__xludf.DUMMYFUNCTION("""COMPUTED_VALUE"""),40252.645833333336)</f>
        <v>40252.64583</v>
      </c>
      <c r="B1905" s="2">
        <f>IFERROR(__xludf.DUMMYFUNCTION("""COMPUTED_VALUE"""),506.18)</f>
        <v>506.18</v>
      </c>
      <c r="C1905" s="2">
        <f>IFERROR(__xludf.DUMMYFUNCTION("""COMPUTED_VALUE"""),511.11)</f>
        <v>511.11</v>
      </c>
      <c r="D1905" s="2">
        <f>IFERROR(__xludf.DUMMYFUNCTION("""COMPUTED_VALUE"""),501.78)</f>
        <v>501.78</v>
      </c>
      <c r="E1905" s="2">
        <f>IFERROR(__xludf.DUMMYFUNCTION("""COMPUTED_VALUE"""),509.18)</f>
        <v>509.18</v>
      </c>
      <c r="F1905" s="2">
        <f>IFERROR(__xludf.DUMMYFUNCTION("""COMPUTED_VALUE"""),4144602.0)</f>
        <v>4144602</v>
      </c>
    </row>
    <row r="1906">
      <c r="A1906" s="3">
        <f>IFERROR(__xludf.DUMMYFUNCTION("""COMPUTED_VALUE"""),40253.645833333336)</f>
        <v>40253.64583</v>
      </c>
      <c r="B1906" s="2">
        <f>IFERROR(__xludf.DUMMYFUNCTION("""COMPUTED_VALUE"""),511.14)</f>
        <v>511.14</v>
      </c>
      <c r="C1906" s="2">
        <f>IFERROR(__xludf.DUMMYFUNCTION("""COMPUTED_VALUE"""),530.85)</f>
        <v>530.85</v>
      </c>
      <c r="D1906" s="2">
        <f>IFERROR(__xludf.DUMMYFUNCTION("""COMPUTED_VALUE"""),509.65)</f>
        <v>509.65</v>
      </c>
      <c r="E1906" s="2">
        <f>IFERROR(__xludf.DUMMYFUNCTION("""COMPUTED_VALUE"""),528.94)</f>
        <v>528.94</v>
      </c>
      <c r="F1906" s="2">
        <f>IFERROR(__xludf.DUMMYFUNCTION("""COMPUTED_VALUE"""),7771535.0)</f>
        <v>7771535</v>
      </c>
    </row>
    <row r="1907">
      <c r="A1907" s="3">
        <f>IFERROR(__xludf.DUMMYFUNCTION("""COMPUTED_VALUE"""),40254.645833333336)</f>
        <v>40254.64583</v>
      </c>
      <c r="B1907" s="2">
        <f>IFERROR(__xludf.DUMMYFUNCTION("""COMPUTED_VALUE"""),532.33)</f>
        <v>532.33</v>
      </c>
      <c r="C1907" s="2">
        <f>IFERROR(__xludf.DUMMYFUNCTION("""COMPUTED_VALUE"""),536.15)</f>
        <v>536.15</v>
      </c>
      <c r="D1907" s="2">
        <f>IFERROR(__xludf.DUMMYFUNCTION("""COMPUTED_VALUE"""),527.88)</f>
        <v>527.88</v>
      </c>
      <c r="E1907" s="2">
        <f>IFERROR(__xludf.DUMMYFUNCTION("""COMPUTED_VALUE"""),529.81)</f>
        <v>529.81</v>
      </c>
      <c r="F1907" s="2">
        <f>IFERROR(__xludf.DUMMYFUNCTION("""COMPUTED_VALUE"""),4937276.0)</f>
        <v>4937276</v>
      </c>
    </row>
    <row r="1908">
      <c r="A1908" s="3">
        <f>IFERROR(__xludf.DUMMYFUNCTION("""COMPUTED_VALUE"""),40255.645833333336)</f>
        <v>40255.64583</v>
      </c>
      <c r="B1908" s="2">
        <f>IFERROR(__xludf.DUMMYFUNCTION("""COMPUTED_VALUE"""),531.94)</f>
        <v>531.94</v>
      </c>
      <c r="C1908" s="2">
        <f>IFERROR(__xludf.DUMMYFUNCTION("""COMPUTED_VALUE"""),535.7)</f>
        <v>535.7</v>
      </c>
      <c r="D1908" s="2">
        <f>IFERROR(__xludf.DUMMYFUNCTION("""COMPUTED_VALUE"""),527.03)</f>
        <v>527.03</v>
      </c>
      <c r="E1908" s="2">
        <f>IFERROR(__xludf.DUMMYFUNCTION("""COMPUTED_VALUE"""),533.4)</f>
        <v>533.4</v>
      </c>
      <c r="F1908" s="2">
        <f>IFERROR(__xludf.DUMMYFUNCTION("""COMPUTED_VALUE"""),3495591.0)</f>
        <v>3495591</v>
      </c>
    </row>
    <row r="1909">
      <c r="A1909" s="3">
        <f>IFERROR(__xludf.DUMMYFUNCTION("""COMPUTED_VALUE"""),40256.645833333336)</f>
        <v>40256.64583</v>
      </c>
      <c r="B1909" s="2">
        <f>IFERROR(__xludf.DUMMYFUNCTION("""COMPUTED_VALUE"""),534.32)</f>
        <v>534.32</v>
      </c>
      <c r="C1909" s="2">
        <f>IFERROR(__xludf.DUMMYFUNCTION("""COMPUTED_VALUE"""),543.08)</f>
        <v>543.08</v>
      </c>
      <c r="D1909" s="2">
        <f>IFERROR(__xludf.DUMMYFUNCTION("""COMPUTED_VALUE"""),530.03)</f>
        <v>530.03</v>
      </c>
      <c r="E1909" s="2">
        <f>IFERROR(__xludf.DUMMYFUNCTION("""COMPUTED_VALUE"""),540.88)</f>
        <v>540.88</v>
      </c>
      <c r="F1909" s="2">
        <f>IFERROR(__xludf.DUMMYFUNCTION("""COMPUTED_VALUE"""),4511717.0)</f>
        <v>4511717</v>
      </c>
    </row>
    <row r="1910">
      <c r="A1910" s="3">
        <f>IFERROR(__xludf.DUMMYFUNCTION("""COMPUTED_VALUE"""),40259.645833333336)</f>
        <v>40259.64583</v>
      </c>
      <c r="B1910" s="2">
        <f>IFERROR(__xludf.DUMMYFUNCTION("""COMPUTED_VALUE"""),525.99)</f>
        <v>525.99</v>
      </c>
      <c r="C1910" s="2">
        <f>IFERROR(__xludf.DUMMYFUNCTION("""COMPUTED_VALUE"""),544.32)</f>
        <v>544.32</v>
      </c>
      <c r="D1910" s="2">
        <f>IFERROR(__xludf.DUMMYFUNCTION("""COMPUTED_VALUE"""),525.99)</f>
        <v>525.99</v>
      </c>
      <c r="E1910" s="2">
        <f>IFERROR(__xludf.DUMMYFUNCTION("""COMPUTED_VALUE"""),531.91)</f>
        <v>531.91</v>
      </c>
      <c r="F1910" s="2">
        <f>IFERROR(__xludf.DUMMYFUNCTION("""COMPUTED_VALUE"""),4678751.0)</f>
        <v>4678751</v>
      </c>
    </row>
    <row r="1911">
      <c r="A1911" s="3">
        <f>IFERROR(__xludf.DUMMYFUNCTION("""COMPUTED_VALUE"""),40260.645833333336)</f>
        <v>40260.64583</v>
      </c>
      <c r="B1911" s="2">
        <f>IFERROR(__xludf.DUMMYFUNCTION("""COMPUTED_VALUE"""),533.89)</f>
        <v>533.89</v>
      </c>
      <c r="C1911" s="2">
        <f>IFERROR(__xludf.DUMMYFUNCTION("""COMPUTED_VALUE"""),541.82)</f>
        <v>541.82</v>
      </c>
      <c r="D1911" s="2">
        <f>IFERROR(__xludf.DUMMYFUNCTION("""COMPUTED_VALUE"""),533.4)</f>
        <v>533.4</v>
      </c>
      <c r="E1911" s="2">
        <f>IFERROR(__xludf.DUMMYFUNCTION("""COMPUTED_VALUE"""),540.56)</f>
        <v>540.56</v>
      </c>
      <c r="F1911" s="2">
        <f>IFERROR(__xludf.DUMMYFUNCTION("""COMPUTED_VALUE"""),4572931.0)</f>
        <v>4572931</v>
      </c>
    </row>
    <row r="1912">
      <c r="A1912" s="3">
        <f>IFERROR(__xludf.DUMMYFUNCTION("""COMPUTED_VALUE"""),40262.645833333336)</f>
        <v>40262.64583</v>
      </c>
      <c r="B1912" s="2">
        <f>IFERROR(__xludf.DUMMYFUNCTION("""COMPUTED_VALUE"""),542.83)</f>
        <v>542.83</v>
      </c>
      <c r="C1912" s="2">
        <f>IFERROR(__xludf.DUMMYFUNCTION("""COMPUTED_VALUE"""),543.33)</f>
        <v>543.33</v>
      </c>
      <c r="D1912" s="2">
        <f>IFERROR(__xludf.DUMMYFUNCTION("""COMPUTED_VALUE"""),533.62)</f>
        <v>533.62</v>
      </c>
      <c r="E1912" s="2">
        <f>IFERROR(__xludf.DUMMYFUNCTION("""COMPUTED_VALUE"""),540.58)</f>
        <v>540.58</v>
      </c>
      <c r="F1912" s="2">
        <f>IFERROR(__xludf.DUMMYFUNCTION("""COMPUTED_VALUE"""),5250073.0)</f>
        <v>5250073</v>
      </c>
    </row>
    <row r="1913">
      <c r="A1913" s="3">
        <f>IFERROR(__xludf.DUMMYFUNCTION("""COMPUTED_VALUE"""),40263.645833333336)</f>
        <v>40263.64583</v>
      </c>
      <c r="B1913" s="2">
        <f>IFERROR(__xludf.DUMMYFUNCTION("""COMPUTED_VALUE"""),543.33)</f>
        <v>543.33</v>
      </c>
      <c r="C1913" s="2">
        <f>IFERROR(__xludf.DUMMYFUNCTION("""COMPUTED_VALUE"""),550.26)</f>
        <v>550.26</v>
      </c>
      <c r="D1913" s="2">
        <f>IFERROR(__xludf.DUMMYFUNCTION("""COMPUTED_VALUE"""),542.41)</f>
        <v>542.41</v>
      </c>
      <c r="E1913" s="2">
        <f>IFERROR(__xludf.DUMMYFUNCTION("""COMPUTED_VALUE"""),545.04)</f>
        <v>545.04</v>
      </c>
      <c r="F1913" s="2">
        <f>IFERROR(__xludf.DUMMYFUNCTION("""COMPUTED_VALUE"""),4131759.0)</f>
        <v>4131759</v>
      </c>
    </row>
    <row r="1914">
      <c r="A1914" s="3">
        <f>IFERROR(__xludf.DUMMYFUNCTION("""COMPUTED_VALUE"""),40266.645833333336)</f>
        <v>40266.64583</v>
      </c>
      <c r="B1914" s="2">
        <f>IFERROR(__xludf.DUMMYFUNCTION("""COMPUTED_VALUE"""),546.65)</f>
        <v>546.65</v>
      </c>
      <c r="C1914" s="2">
        <f>IFERROR(__xludf.DUMMYFUNCTION("""COMPUTED_VALUE"""),549.74)</f>
        <v>549.74</v>
      </c>
      <c r="D1914" s="2">
        <f>IFERROR(__xludf.DUMMYFUNCTION("""COMPUTED_VALUE"""),540.36)</f>
        <v>540.36</v>
      </c>
      <c r="E1914" s="2">
        <f>IFERROR(__xludf.DUMMYFUNCTION("""COMPUTED_VALUE"""),541.5)</f>
        <v>541.5</v>
      </c>
      <c r="F1914" s="2">
        <f>IFERROR(__xludf.DUMMYFUNCTION("""COMPUTED_VALUE"""),4628760.0)</f>
        <v>4628760</v>
      </c>
    </row>
    <row r="1915">
      <c r="A1915" s="3">
        <f>IFERROR(__xludf.DUMMYFUNCTION("""COMPUTED_VALUE"""),40267.645833333336)</f>
        <v>40267.64583</v>
      </c>
      <c r="B1915" s="2">
        <f>IFERROR(__xludf.DUMMYFUNCTION("""COMPUTED_VALUE"""),542.83)</f>
        <v>542.83</v>
      </c>
      <c r="C1915" s="2">
        <f>IFERROR(__xludf.DUMMYFUNCTION("""COMPUTED_VALUE"""),547.64)</f>
        <v>547.64</v>
      </c>
      <c r="D1915" s="2">
        <f>IFERROR(__xludf.DUMMYFUNCTION("""COMPUTED_VALUE"""),536.4)</f>
        <v>536.4</v>
      </c>
      <c r="E1915" s="2">
        <f>IFERROR(__xludf.DUMMYFUNCTION("""COMPUTED_VALUE"""),538.95)</f>
        <v>538.95</v>
      </c>
      <c r="F1915" s="2">
        <f>IFERROR(__xludf.DUMMYFUNCTION("""COMPUTED_VALUE"""),4329090.0)</f>
        <v>4329090</v>
      </c>
    </row>
    <row r="1916">
      <c r="A1916" s="3">
        <f>IFERROR(__xludf.DUMMYFUNCTION("""COMPUTED_VALUE"""),40268.645833333336)</f>
        <v>40268.64583</v>
      </c>
      <c r="B1916" s="2">
        <f>IFERROR(__xludf.DUMMYFUNCTION("""COMPUTED_VALUE"""),541.3)</f>
        <v>541.3</v>
      </c>
      <c r="C1916" s="2">
        <f>IFERROR(__xludf.DUMMYFUNCTION("""COMPUTED_VALUE"""),542.34)</f>
        <v>542.34</v>
      </c>
      <c r="D1916" s="2">
        <f>IFERROR(__xludf.DUMMYFUNCTION("""COMPUTED_VALUE"""),530.6)</f>
        <v>530.6</v>
      </c>
      <c r="E1916" s="2">
        <f>IFERROR(__xludf.DUMMYFUNCTION("""COMPUTED_VALUE"""),532.06)</f>
        <v>532.06</v>
      </c>
      <c r="F1916" s="2">
        <f>IFERROR(__xludf.DUMMYFUNCTION("""COMPUTED_VALUE"""),4948302.0)</f>
        <v>4948302</v>
      </c>
    </row>
    <row r="1917">
      <c r="A1917" s="3">
        <f>IFERROR(__xludf.DUMMYFUNCTION("""COMPUTED_VALUE"""),40269.645833333336)</f>
        <v>40269.64583</v>
      </c>
      <c r="B1917" s="2">
        <f>IFERROR(__xludf.DUMMYFUNCTION("""COMPUTED_VALUE"""),533.92)</f>
        <v>533.92</v>
      </c>
      <c r="C1917" s="2">
        <f>IFERROR(__xludf.DUMMYFUNCTION("""COMPUTED_VALUE"""),544.07)</f>
        <v>544.07</v>
      </c>
      <c r="D1917" s="2">
        <f>IFERROR(__xludf.DUMMYFUNCTION("""COMPUTED_VALUE"""),533.42)</f>
        <v>533.42</v>
      </c>
      <c r="E1917" s="2">
        <f>IFERROR(__xludf.DUMMYFUNCTION("""COMPUTED_VALUE"""),540.88)</f>
        <v>540.88</v>
      </c>
      <c r="F1917" s="2">
        <f>IFERROR(__xludf.DUMMYFUNCTION("""COMPUTED_VALUE"""),2861856.0)</f>
        <v>2861856</v>
      </c>
    </row>
    <row r="1918">
      <c r="A1918" s="3">
        <f>IFERROR(__xludf.DUMMYFUNCTION("""COMPUTED_VALUE"""),40273.645833333336)</f>
        <v>40273.64583</v>
      </c>
      <c r="B1918" s="2">
        <f>IFERROR(__xludf.DUMMYFUNCTION("""COMPUTED_VALUE"""),543.08)</f>
        <v>543.08</v>
      </c>
      <c r="C1918" s="2">
        <f>IFERROR(__xludf.DUMMYFUNCTION("""COMPUTED_VALUE"""),559.5)</f>
        <v>559.5</v>
      </c>
      <c r="D1918" s="2">
        <f>IFERROR(__xludf.DUMMYFUNCTION("""COMPUTED_VALUE"""),543.08)</f>
        <v>543.08</v>
      </c>
      <c r="E1918" s="2">
        <f>IFERROR(__xludf.DUMMYFUNCTION("""COMPUTED_VALUE"""),557.64)</f>
        <v>557.64</v>
      </c>
      <c r="F1918" s="2">
        <f>IFERROR(__xludf.DUMMYFUNCTION("""COMPUTED_VALUE"""),4551762.0)</f>
        <v>4551762</v>
      </c>
    </row>
    <row r="1919">
      <c r="A1919" s="3">
        <f>IFERROR(__xludf.DUMMYFUNCTION("""COMPUTED_VALUE"""),40274.645833333336)</f>
        <v>40274.64583</v>
      </c>
      <c r="B1919" s="2">
        <f>IFERROR(__xludf.DUMMYFUNCTION("""COMPUTED_VALUE"""),558.68)</f>
        <v>558.68</v>
      </c>
      <c r="C1919" s="2">
        <f>IFERROR(__xludf.DUMMYFUNCTION("""COMPUTED_VALUE"""),561.16)</f>
        <v>561.16</v>
      </c>
      <c r="D1919" s="2">
        <f>IFERROR(__xludf.DUMMYFUNCTION("""COMPUTED_VALUE"""),554.82)</f>
        <v>554.82</v>
      </c>
      <c r="E1919" s="2">
        <f>IFERROR(__xludf.DUMMYFUNCTION("""COMPUTED_VALUE"""),556.31)</f>
        <v>556.31</v>
      </c>
      <c r="F1919" s="2">
        <f>IFERROR(__xludf.DUMMYFUNCTION("""COMPUTED_VALUE"""),2853138.0)</f>
        <v>2853138</v>
      </c>
    </row>
    <row r="1920">
      <c r="A1920" s="3">
        <f>IFERROR(__xludf.DUMMYFUNCTION("""COMPUTED_VALUE"""),40275.645833333336)</f>
        <v>40275.64583</v>
      </c>
      <c r="B1920" s="2">
        <f>IFERROR(__xludf.DUMMYFUNCTION("""COMPUTED_VALUE"""),557.2)</f>
        <v>557.2</v>
      </c>
      <c r="C1920" s="2">
        <f>IFERROR(__xludf.DUMMYFUNCTION("""COMPUTED_VALUE"""),569.43)</f>
        <v>569.43</v>
      </c>
      <c r="D1920" s="2">
        <f>IFERROR(__xludf.DUMMYFUNCTION("""COMPUTED_VALUE"""),556.26)</f>
        <v>556.26</v>
      </c>
      <c r="E1920" s="2">
        <f>IFERROR(__xludf.DUMMYFUNCTION("""COMPUTED_VALUE"""),559.53)</f>
        <v>559.53</v>
      </c>
      <c r="F1920" s="2">
        <f>IFERROR(__xludf.DUMMYFUNCTION("""COMPUTED_VALUE"""),4621626.0)</f>
        <v>4621626</v>
      </c>
    </row>
    <row r="1921">
      <c r="A1921" s="3">
        <f>IFERROR(__xludf.DUMMYFUNCTION("""COMPUTED_VALUE"""),40276.645833333336)</f>
        <v>40276.64583</v>
      </c>
      <c r="B1921" s="2">
        <f>IFERROR(__xludf.DUMMYFUNCTION("""COMPUTED_VALUE"""),561.16)</f>
        <v>561.16</v>
      </c>
      <c r="C1921" s="2">
        <f>IFERROR(__xludf.DUMMYFUNCTION("""COMPUTED_VALUE"""),562.89)</f>
        <v>562.89</v>
      </c>
      <c r="D1921" s="2">
        <f>IFERROR(__xludf.DUMMYFUNCTION("""COMPUTED_VALUE"""),545.56)</f>
        <v>545.56</v>
      </c>
      <c r="E1921" s="2">
        <f>IFERROR(__xludf.DUMMYFUNCTION("""COMPUTED_VALUE"""),548.06)</f>
        <v>548.06</v>
      </c>
      <c r="F1921" s="2">
        <f>IFERROR(__xludf.DUMMYFUNCTION("""COMPUTED_VALUE"""),3365528.0)</f>
        <v>3365528</v>
      </c>
    </row>
    <row r="1922">
      <c r="A1922" s="3">
        <f>IFERROR(__xludf.DUMMYFUNCTION("""COMPUTED_VALUE"""),40277.645833333336)</f>
        <v>40277.64583</v>
      </c>
      <c r="B1922" s="2">
        <f>IFERROR(__xludf.DUMMYFUNCTION("""COMPUTED_VALUE"""),548.88)</f>
        <v>548.88</v>
      </c>
      <c r="C1922" s="2">
        <f>IFERROR(__xludf.DUMMYFUNCTION("""COMPUTED_VALUE"""),560.17)</f>
        <v>560.17</v>
      </c>
      <c r="D1922" s="2">
        <f>IFERROR(__xludf.DUMMYFUNCTION("""COMPUTED_VALUE"""),548.88)</f>
        <v>548.88</v>
      </c>
      <c r="E1922" s="2">
        <f>IFERROR(__xludf.DUMMYFUNCTION("""COMPUTED_VALUE"""),557.05)</f>
        <v>557.05</v>
      </c>
      <c r="F1922" s="2">
        <f>IFERROR(__xludf.DUMMYFUNCTION("""COMPUTED_VALUE"""),3846259.0)</f>
        <v>3846259</v>
      </c>
    </row>
    <row r="1923">
      <c r="A1923" s="3">
        <f>IFERROR(__xludf.DUMMYFUNCTION("""COMPUTED_VALUE"""),40280.645833333336)</f>
        <v>40280.64583</v>
      </c>
      <c r="B1923" s="2">
        <f>IFERROR(__xludf.DUMMYFUNCTION("""COMPUTED_VALUE"""),567.1)</f>
        <v>567.1</v>
      </c>
      <c r="C1923" s="2">
        <f>IFERROR(__xludf.DUMMYFUNCTION("""COMPUTED_VALUE"""),567.1)</f>
        <v>567.1</v>
      </c>
      <c r="D1923" s="2">
        <f>IFERROR(__xludf.DUMMYFUNCTION("""COMPUTED_VALUE"""),556.03)</f>
        <v>556.03</v>
      </c>
      <c r="E1923" s="2">
        <f>IFERROR(__xludf.DUMMYFUNCTION("""COMPUTED_VALUE"""),558.36)</f>
        <v>558.36</v>
      </c>
      <c r="F1923" s="2">
        <f>IFERROR(__xludf.DUMMYFUNCTION("""COMPUTED_VALUE"""),2902957.0)</f>
        <v>2902957</v>
      </c>
    </row>
    <row r="1924">
      <c r="A1924" s="3">
        <f>IFERROR(__xludf.DUMMYFUNCTION("""COMPUTED_VALUE"""),40281.645833333336)</f>
        <v>40281.64583</v>
      </c>
      <c r="B1924" s="2">
        <f>IFERROR(__xludf.DUMMYFUNCTION("""COMPUTED_VALUE"""),558.68)</f>
        <v>558.68</v>
      </c>
      <c r="C1924" s="2">
        <f>IFERROR(__xludf.DUMMYFUNCTION("""COMPUTED_VALUE"""),561.66)</f>
        <v>561.66</v>
      </c>
      <c r="D1924" s="2">
        <f>IFERROR(__xludf.DUMMYFUNCTION("""COMPUTED_VALUE"""),550.41)</f>
        <v>550.41</v>
      </c>
      <c r="E1924" s="2">
        <f>IFERROR(__xludf.DUMMYFUNCTION("""COMPUTED_VALUE"""),555.17)</f>
        <v>555.17</v>
      </c>
      <c r="F1924" s="2">
        <f>IFERROR(__xludf.DUMMYFUNCTION("""COMPUTED_VALUE"""),3193600.0)</f>
        <v>3193600</v>
      </c>
    </row>
    <row r="1925">
      <c r="A1925" s="3">
        <f>IFERROR(__xludf.DUMMYFUNCTION("""COMPUTED_VALUE"""),40283.645833333336)</f>
        <v>40283.64583</v>
      </c>
      <c r="B1925" s="2">
        <f>IFERROR(__xludf.DUMMYFUNCTION("""COMPUTED_VALUE"""),557.2)</f>
        <v>557.2</v>
      </c>
      <c r="C1925" s="2">
        <f>IFERROR(__xludf.DUMMYFUNCTION("""COMPUTED_VALUE"""),562.1)</f>
        <v>562.1</v>
      </c>
      <c r="D1925" s="2">
        <f>IFERROR(__xludf.DUMMYFUNCTION("""COMPUTED_VALUE"""),538.4)</f>
        <v>538.4</v>
      </c>
      <c r="E1925" s="2">
        <f>IFERROR(__xludf.DUMMYFUNCTION("""COMPUTED_VALUE"""),540.21)</f>
        <v>540.21</v>
      </c>
      <c r="F1925" s="2">
        <f>IFERROR(__xludf.DUMMYFUNCTION("""COMPUTED_VALUE"""),5551581.0)</f>
        <v>5551581</v>
      </c>
    </row>
    <row r="1926">
      <c r="A1926" s="3">
        <f>IFERROR(__xludf.DUMMYFUNCTION("""COMPUTED_VALUE"""),40284.645833333336)</f>
        <v>40284.64583</v>
      </c>
      <c r="B1926" s="2">
        <f>IFERROR(__xludf.DUMMYFUNCTION("""COMPUTED_VALUE"""),537.93)</f>
        <v>537.93</v>
      </c>
      <c r="C1926" s="2">
        <f>IFERROR(__xludf.DUMMYFUNCTION("""COMPUTED_VALUE"""),542.34)</f>
        <v>542.34</v>
      </c>
      <c r="D1926" s="2">
        <f>IFERROR(__xludf.DUMMYFUNCTION("""COMPUTED_VALUE"""),530.53)</f>
        <v>530.53</v>
      </c>
      <c r="E1926" s="2">
        <f>IFERROR(__xludf.DUMMYFUNCTION("""COMPUTED_VALUE"""),537.01)</f>
        <v>537.01</v>
      </c>
      <c r="F1926" s="2">
        <f>IFERROR(__xludf.DUMMYFUNCTION("""COMPUTED_VALUE"""),4158779.0)</f>
        <v>4158779</v>
      </c>
    </row>
    <row r="1927">
      <c r="A1927" s="3">
        <f>IFERROR(__xludf.DUMMYFUNCTION("""COMPUTED_VALUE"""),40287.645833333336)</f>
        <v>40287.64583</v>
      </c>
      <c r="B1927" s="2">
        <f>IFERROR(__xludf.DUMMYFUNCTION("""COMPUTED_VALUE"""),534.81)</f>
        <v>534.81</v>
      </c>
      <c r="C1927" s="2">
        <f>IFERROR(__xludf.DUMMYFUNCTION("""COMPUTED_VALUE"""),534.81)</f>
        <v>534.81</v>
      </c>
      <c r="D1927" s="2">
        <f>IFERROR(__xludf.DUMMYFUNCTION("""COMPUTED_VALUE"""),520.55)</f>
        <v>520.55</v>
      </c>
      <c r="E1927" s="2">
        <f>IFERROR(__xludf.DUMMYFUNCTION("""COMPUTED_VALUE"""),525.9)</f>
        <v>525.9</v>
      </c>
      <c r="F1927" s="2">
        <f>IFERROR(__xludf.DUMMYFUNCTION("""COMPUTED_VALUE"""),3746293.0)</f>
        <v>3746293</v>
      </c>
    </row>
    <row r="1928">
      <c r="A1928" s="3">
        <f>IFERROR(__xludf.DUMMYFUNCTION("""COMPUTED_VALUE"""),40288.645833333336)</f>
        <v>40288.64583</v>
      </c>
      <c r="B1928" s="2">
        <f>IFERROR(__xludf.DUMMYFUNCTION("""COMPUTED_VALUE"""),529.88)</f>
        <v>529.88</v>
      </c>
      <c r="C1928" s="2">
        <f>IFERROR(__xludf.DUMMYFUNCTION("""COMPUTED_VALUE"""),534.79)</f>
        <v>534.79</v>
      </c>
      <c r="D1928" s="2">
        <f>IFERROR(__xludf.DUMMYFUNCTION("""COMPUTED_VALUE"""),522.21)</f>
        <v>522.21</v>
      </c>
      <c r="E1928" s="2">
        <f>IFERROR(__xludf.DUMMYFUNCTION("""COMPUTED_VALUE"""),526.59)</f>
        <v>526.59</v>
      </c>
      <c r="F1928" s="2">
        <f>IFERROR(__xludf.DUMMYFUNCTION("""COMPUTED_VALUE"""),3828437.0)</f>
        <v>3828437</v>
      </c>
    </row>
    <row r="1929">
      <c r="A1929" s="3">
        <f>IFERROR(__xludf.DUMMYFUNCTION("""COMPUTED_VALUE"""),40289.645833333336)</f>
        <v>40289.64583</v>
      </c>
      <c r="B1929" s="2">
        <f>IFERROR(__xludf.DUMMYFUNCTION("""COMPUTED_VALUE"""),529.96)</f>
        <v>529.96</v>
      </c>
      <c r="C1929" s="2">
        <f>IFERROR(__xludf.DUMMYFUNCTION("""COMPUTED_VALUE"""),531.79)</f>
        <v>531.79</v>
      </c>
      <c r="D1929" s="2">
        <f>IFERROR(__xludf.DUMMYFUNCTION("""COMPUTED_VALUE"""),519.13)</f>
        <v>519.13</v>
      </c>
      <c r="E1929" s="2">
        <f>IFERROR(__xludf.DUMMYFUNCTION("""COMPUTED_VALUE"""),522.08)</f>
        <v>522.08</v>
      </c>
      <c r="F1929" s="2">
        <f>IFERROR(__xludf.DUMMYFUNCTION("""COMPUTED_VALUE"""),4385951.0)</f>
        <v>4385951</v>
      </c>
    </row>
    <row r="1930">
      <c r="A1930" s="3">
        <f>IFERROR(__xludf.DUMMYFUNCTION("""COMPUTED_VALUE"""),40290.645833333336)</f>
        <v>40290.64583</v>
      </c>
      <c r="B1930" s="2">
        <f>IFERROR(__xludf.DUMMYFUNCTION("""COMPUTED_VALUE"""),520.3)</f>
        <v>520.3</v>
      </c>
      <c r="C1930" s="2">
        <f>IFERROR(__xludf.DUMMYFUNCTION("""COMPUTED_VALUE"""),541.79)</f>
        <v>541.79</v>
      </c>
      <c r="D1930" s="2">
        <f>IFERROR(__xludf.DUMMYFUNCTION("""COMPUTED_VALUE"""),520.08)</f>
        <v>520.08</v>
      </c>
      <c r="E1930" s="2">
        <f>IFERROR(__xludf.DUMMYFUNCTION("""COMPUTED_VALUE"""),532.8)</f>
        <v>532.8</v>
      </c>
      <c r="F1930" s="2">
        <f>IFERROR(__xludf.DUMMYFUNCTION("""COMPUTED_VALUE"""),5851352.0)</f>
        <v>5851352</v>
      </c>
    </row>
    <row r="1931">
      <c r="A1931" s="3">
        <f>IFERROR(__xludf.DUMMYFUNCTION("""COMPUTED_VALUE"""),40291.645833333336)</f>
        <v>40291.64583</v>
      </c>
      <c r="B1931" s="2">
        <f>IFERROR(__xludf.DUMMYFUNCTION("""COMPUTED_VALUE"""),534.91)</f>
        <v>534.91</v>
      </c>
      <c r="C1931" s="2">
        <f>IFERROR(__xludf.DUMMYFUNCTION("""COMPUTED_VALUE"""),542.83)</f>
        <v>542.83</v>
      </c>
      <c r="D1931" s="2">
        <f>IFERROR(__xludf.DUMMYFUNCTION("""COMPUTED_VALUE"""),534.91)</f>
        <v>534.91</v>
      </c>
      <c r="E1931" s="2">
        <f>IFERROR(__xludf.DUMMYFUNCTION("""COMPUTED_VALUE"""),538.97)</f>
        <v>538.97</v>
      </c>
      <c r="F1931" s="2">
        <f>IFERROR(__xludf.DUMMYFUNCTION("""COMPUTED_VALUE"""),5311168.0)</f>
        <v>5311168</v>
      </c>
    </row>
    <row r="1932">
      <c r="A1932" s="3">
        <f>IFERROR(__xludf.DUMMYFUNCTION("""COMPUTED_VALUE"""),40294.645833333336)</f>
        <v>40294.64583</v>
      </c>
      <c r="B1932" s="2">
        <f>IFERROR(__xludf.DUMMYFUNCTION("""COMPUTED_VALUE"""),534.91)</f>
        <v>534.91</v>
      </c>
      <c r="C1932" s="2">
        <f>IFERROR(__xludf.DUMMYFUNCTION("""COMPUTED_VALUE"""),543.73)</f>
        <v>543.73</v>
      </c>
      <c r="D1932" s="2">
        <f>IFERROR(__xludf.DUMMYFUNCTION("""COMPUTED_VALUE"""),526.74)</f>
        <v>526.74</v>
      </c>
      <c r="E1932" s="2">
        <f>IFERROR(__xludf.DUMMYFUNCTION("""COMPUTED_VALUE"""),530.58)</f>
        <v>530.58</v>
      </c>
      <c r="F1932" s="2">
        <f>IFERROR(__xludf.DUMMYFUNCTION("""COMPUTED_VALUE"""),3806402.0)</f>
        <v>3806402</v>
      </c>
    </row>
    <row r="1933">
      <c r="A1933" s="3">
        <f>IFERROR(__xludf.DUMMYFUNCTION("""COMPUTED_VALUE"""),40295.645833333336)</f>
        <v>40295.64583</v>
      </c>
      <c r="B1933" s="2">
        <f>IFERROR(__xludf.DUMMYFUNCTION("""COMPUTED_VALUE"""),526.49)</f>
        <v>526.49</v>
      </c>
      <c r="C1933" s="2">
        <f>IFERROR(__xludf.DUMMYFUNCTION("""COMPUTED_VALUE"""),528.97)</f>
        <v>528.97</v>
      </c>
      <c r="D1933" s="2">
        <f>IFERROR(__xludf.DUMMYFUNCTION("""COMPUTED_VALUE"""),522.53)</f>
        <v>522.53</v>
      </c>
      <c r="E1933" s="2">
        <f>IFERROR(__xludf.DUMMYFUNCTION("""COMPUTED_VALUE"""),525.62)</f>
        <v>525.62</v>
      </c>
      <c r="F1933" s="2">
        <f>IFERROR(__xludf.DUMMYFUNCTION("""COMPUTED_VALUE"""),3193352.0)</f>
        <v>3193352</v>
      </c>
    </row>
    <row r="1934">
      <c r="A1934" s="3">
        <f>IFERROR(__xludf.DUMMYFUNCTION("""COMPUTED_VALUE"""),40296.645833333336)</f>
        <v>40296.64583</v>
      </c>
      <c r="B1934" s="2">
        <f>IFERROR(__xludf.DUMMYFUNCTION("""COMPUTED_VALUE"""),522.01)</f>
        <v>522.01</v>
      </c>
      <c r="C1934" s="2">
        <f>IFERROR(__xludf.DUMMYFUNCTION("""COMPUTED_VALUE"""),522.01)</f>
        <v>522.01</v>
      </c>
      <c r="D1934" s="2">
        <f>IFERROR(__xludf.DUMMYFUNCTION("""COMPUTED_VALUE"""),501.23)</f>
        <v>501.23</v>
      </c>
      <c r="E1934" s="2">
        <f>IFERROR(__xludf.DUMMYFUNCTION("""COMPUTED_VALUE"""),503.83)</f>
        <v>503.83</v>
      </c>
      <c r="F1934" s="2">
        <f>IFERROR(__xludf.DUMMYFUNCTION("""COMPUTED_VALUE"""),9168538.0)</f>
        <v>9168538</v>
      </c>
    </row>
    <row r="1935">
      <c r="A1935" s="3">
        <f>IFERROR(__xludf.DUMMYFUNCTION("""COMPUTED_VALUE"""),40297.645833333336)</f>
        <v>40297.64583</v>
      </c>
      <c r="B1935" s="2">
        <f>IFERROR(__xludf.DUMMYFUNCTION("""COMPUTED_VALUE"""),507.17)</f>
        <v>507.17</v>
      </c>
      <c r="C1935" s="2">
        <f>IFERROR(__xludf.DUMMYFUNCTION("""COMPUTED_VALUE"""),515.05)</f>
        <v>515.05</v>
      </c>
      <c r="D1935" s="2">
        <f>IFERROR(__xludf.DUMMYFUNCTION("""COMPUTED_VALUE"""),504.77)</f>
        <v>504.77</v>
      </c>
      <c r="E1935" s="2">
        <f>IFERROR(__xludf.DUMMYFUNCTION("""COMPUTED_VALUE"""),512.65)</f>
        <v>512.65</v>
      </c>
      <c r="F1935" s="2">
        <f>IFERROR(__xludf.DUMMYFUNCTION("""COMPUTED_VALUE"""),5359600.0)</f>
        <v>5359600</v>
      </c>
    </row>
    <row r="1936">
      <c r="A1936" s="3">
        <f>IFERROR(__xludf.DUMMYFUNCTION("""COMPUTED_VALUE"""),40298.645833333336)</f>
        <v>40298.64583</v>
      </c>
      <c r="B1936" s="2">
        <f>IFERROR(__xludf.DUMMYFUNCTION("""COMPUTED_VALUE"""),515.1)</f>
        <v>515.1</v>
      </c>
      <c r="C1936" s="2">
        <f>IFERROR(__xludf.DUMMYFUNCTION("""COMPUTED_VALUE"""),518.66)</f>
        <v>518.66</v>
      </c>
      <c r="D1936" s="2">
        <f>IFERROR(__xludf.DUMMYFUNCTION("""COMPUTED_VALUE"""),510.15)</f>
        <v>510.15</v>
      </c>
      <c r="E1936" s="2">
        <f>IFERROR(__xludf.DUMMYFUNCTION("""COMPUTED_VALUE"""),511.93)</f>
        <v>511.93</v>
      </c>
      <c r="F1936" s="2">
        <f>IFERROR(__xludf.DUMMYFUNCTION("""COMPUTED_VALUE"""),3616419.0)</f>
        <v>3616419</v>
      </c>
    </row>
    <row r="1937">
      <c r="A1937" s="3">
        <f>IFERROR(__xludf.DUMMYFUNCTION("""COMPUTED_VALUE"""),40301.645833333336)</f>
        <v>40301.64583</v>
      </c>
      <c r="B1937" s="2">
        <f>IFERROR(__xludf.DUMMYFUNCTION("""COMPUTED_VALUE"""),508.16)</f>
        <v>508.16</v>
      </c>
      <c r="C1937" s="2">
        <f>IFERROR(__xludf.DUMMYFUNCTION("""COMPUTED_VALUE"""),511.43)</f>
        <v>511.43</v>
      </c>
      <c r="D1937" s="2">
        <f>IFERROR(__xludf.DUMMYFUNCTION("""COMPUTED_VALUE"""),504.25)</f>
        <v>504.25</v>
      </c>
      <c r="E1937" s="2">
        <f>IFERROR(__xludf.DUMMYFUNCTION("""COMPUTED_VALUE"""),507.05)</f>
        <v>507.05</v>
      </c>
      <c r="F1937" s="2">
        <f>IFERROR(__xludf.DUMMYFUNCTION("""COMPUTED_VALUE"""),2865346.0)</f>
        <v>2865346</v>
      </c>
    </row>
    <row r="1938">
      <c r="A1938" s="3">
        <f>IFERROR(__xludf.DUMMYFUNCTION("""COMPUTED_VALUE"""),40302.645833333336)</f>
        <v>40302.64583</v>
      </c>
      <c r="B1938" s="2">
        <f>IFERROR(__xludf.DUMMYFUNCTION("""COMPUTED_VALUE"""),507.27)</f>
        <v>507.27</v>
      </c>
      <c r="C1938" s="2">
        <f>IFERROR(__xludf.DUMMYFUNCTION("""COMPUTED_VALUE"""),514.6)</f>
        <v>514.6</v>
      </c>
      <c r="D1938" s="2">
        <f>IFERROR(__xludf.DUMMYFUNCTION("""COMPUTED_VALUE"""),501.97)</f>
        <v>501.97</v>
      </c>
      <c r="E1938" s="2">
        <f>IFERROR(__xludf.DUMMYFUNCTION("""COMPUTED_VALUE"""),505.76)</f>
        <v>505.76</v>
      </c>
      <c r="F1938" s="2">
        <f>IFERROR(__xludf.DUMMYFUNCTION("""COMPUTED_VALUE"""),3965640.0)</f>
        <v>3965640</v>
      </c>
    </row>
    <row r="1939">
      <c r="A1939" s="3">
        <f>IFERROR(__xludf.DUMMYFUNCTION("""COMPUTED_VALUE"""),40303.645833333336)</f>
        <v>40303.64583</v>
      </c>
      <c r="B1939" s="2">
        <f>IFERROR(__xludf.DUMMYFUNCTION("""COMPUTED_VALUE"""),500.24)</f>
        <v>500.24</v>
      </c>
      <c r="C1939" s="2">
        <f>IFERROR(__xludf.DUMMYFUNCTION("""COMPUTED_VALUE"""),506.95)</f>
        <v>506.95</v>
      </c>
      <c r="D1939" s="2">
        <f>IFERROR(__xludf.DUMMYFUNCTION("""COMPUTED_VALUE"""),496.92)</f>
        <v>496.92</v>
      </c>
      <c r="E1939" s="2">
        <f>IFERROR(__xludf.DUMMYFUNCTION("""COMPUTED_VALUE"""),505.51)</f>
        <v>505.51</v>
      </c>
      <c r="F1939" s="2">
        <f>IFERROR(__xludf.DUMMYFUNCTION("""COMPUTED_VALUE"""),3423392.0)</f>
        <v>3423392</v>
      </c>
    </row>
    <row r="1940">
      <c r="A1940" s="3">
        <f>IFERROR(__xludf.DUMMYFUNCTION("""COMPUTED_VALUE"""),40304.645833333336)</f>
        <v>40304.64583</v>
      </c>
      <c r="B1940" s="2">
        <f>IFERROR(__xludf.DUMMYFUNCTION("""COMPUTED_VALUE"""),505.09)</f>
        <v>505.09</v>
      </c>
      <c r="C1940" s="2">
        <f>IFERROR(__xludf.DUMMYFUNCTION("""COMPUTED_VALUE"""),506.83)</f>
        <v>506.83</v>
      </c>
      <c r="D1940" s="2">
        <f>IFERROR(__xludf.DUMMYFUNCTION("""COMPUTED_VALUE"""),497.27)</f>
        <v>497.27</v>
      </c>
      <c r="E1940" s="2">
        <f>IFERROR(__xludf.DUMMYFUNCTION("""COMPUTED_VALUE"""),499.17)</f>
        <v>499.17</v>
      </c>
      <c r="F1940" s="2">
        <f>IFERROR(__xludf.DUMMYFUNCTION("""COMPUTED_VALUE"""),5454783.0)</f>
        <v>5454783</v>
      </c>
    </row>
    <row r="1941">
      <c r="A1941" s="3">
        <f>IFERROR(__xludf.DUMMYFUNCTION("""COMPUTED_VALUE"""),40305.645833333336)</f>
        <v>40305.64583</v>
      </c>
      <c r="B1941" s="2">
        <f>IFERROR(__xludf.DUMMYFUNCTION("""COMPUTED_VALUE"""),483.4)</f>
        <v>483.4</v>
      </c>
      <c r="C1941" s="2">
        <f>IFERROR(__xludf.DUMMYFUNCTION("""COMPUTED_VALUE"""),525.0)</f>
        <v>525</v>
      </c>
      <c r="D1941" s="2">
        <f>IFERROR(__xludf.DUMMYFUNCTION("""COMPUTED_VALUE"""),483.4)</f>
        <v>483.4</v>
      </c>
      <c r="E1941" s="2">
        <f>IFERROR(__xludf.DUMMYFUNCTION("""COMPUTED_VALUE"""),511.53)</f>
        <v>511.53</v>
      </c>
      <c r="F1941" s="2">
        <f>IFERROR(__xludf.DUMMYFUNCTION("""COMPUTED_VALUE"""),1.6472546E7)</f>
        <v>16472546</v>
      </c>
    </row>
    <row r="1942">
      <c r="A1942" s="3">
        <f>IFERROR(__xludf.DUMMYFUNCTION("""COMPUTED_VALUE"""),40308.645833333336)</f>
        <v>40308.64583</v>
      </c>
      <c r="B1942" s="2">
        <f>IFERROR(__xludf.DUMMYFUNCTION("""COMPUTED_VALUE"""),520.55)</f>
        <v>520.55</v>
      </c>
      <c r="C1942" s="2">
        <f>IFERROR(__xludf.DUMMYFUNCTION("""COMPUTED_VALUE"""),535.9)</f>
        <v>535.9</v>
      </c>
      <c r="D1942" s="2">
        <f>IFERROR(__xludf.DUMMYFUNCTION("""COMPUTED_VALUE"""),515.1)</f>
        <v>515.1</v>
      </c>
      <c r="E1942" s="2">
        <f>IFERROR(__xludf.DUMMYFUNCTION("""COMPUTED_VALUE"""),534.61)</f>
        <v>534.61</v>
      </c>
      <c r="F1942" s="2">
        <f>IFERROR(__xludf.DUMMYFUNCTION("""COMPUTED_VALUE"""),8697783.0)</f>
        <v>8697783</v>
      </c>
    </row>
    <row r="1943">
      <c r="A1943" s="3">
        <f>IFERROR(__xludf.DUMMYFUNCTION("""COMPUTED_VALUE"""),40309.645833333336)</f>
        <v>40309.64583</v>
      </c>
      <c r="B1943" s="2">
        <f>IFERROR(__xludf.DUMMYFUNCTION("""COMPUTED_VALUE"""),539.37)</f>
        <v>539.37</v>
      </c>
      <c r="C1943" s="2">
        <f>IFERROR(__xludf.DUMMYFUNCTION("""COMPUTED_VALUE"""),539.37)</f>
        <v>539.37</v>
      </c>
      <c r="D1943" s="2">
        <f>IFERROR(__xludf.DUMMYFUNCTION("""COMPUTED_VALUE"""),526.66)</f>
        <v>526.66</v>
      </c>
      <c r="E1943" s="2">
        <f>IFERROR(__xludf.DUMMYFUNCTION("""COMPUTED_VALUE"""),528.87)</f>
        <v>528.87</v>
      </c>
      <c r="F1943" s="2">
        <f>IFERROR(__xludf.DUMMYFUNCTION("""COMPUTED_VALUE"""),6017564.0)</f>
        <v>6017564</v>
      </c>
    </row>
    <row r="1944">
      <c r="A1944" s="3">
        <f>IFERROR(__xludf.DUMMYFUNCTION("""COMPUTED_VALUE"""),40310.645833333336)</f>
        <v>40310.64583</v>
      </c>
      <c r="B1944" s="2">
        <f>IFERROR(__xludf.DUMMYFUNCTION("""COMPUTED_VALUE"""),532.95)</f>
        <v>532.95</v>
      </c>
      <c r="C1944" s="2">
        <f>IFERROR(__xludf.DUMMYFUNCTION("""COMPUTED_VALUE"""),539.59)</f>
        <v>539.59</v>
      </c>
      <c r="D1944" s="2">
        <f>IFERROR(__xludf.DUMMYFUNCTION("""COMPUTED_VALUE"""),527.01)</f>
        <v>527.01</v>
      </c>
      <c r="E1944" s="2">
        <f>IFERROR(__xludf.DUMMYFUNCTION("""COMPUTED_VALUE"""),536.37)</f>
        <v>536.37</v>
      </c>
      <c r="F1944" s="2">
        <f>IFERROR(__xludf.DUMMYFUNCTION("""COMPUTED_VALUE"""),3496020.0)</f>
        <v>3496020</v>
      </c>
    </row>
    <row r="1945">
      <c r="A1945" s="3">
        <f>IFERROR(__xludf.DUMMYFUNCTION("""COMPUTED_VALUE"""),40311.645833333336)</f>
        <v>40311.64583</v>
      </c>
      <c r="B1945" s="2">
        <f>IFERROR(__xludf.DUMMYFUNCTION("""COMPUTED_VALUE"""),525.99)</f>
        <v>525.99</v>
      </c>
      <c r="C1945" s="2">
        <f>IFERROR(__xludf.DUMMYFUNCTION("""COMPUTED_VALUE"""),541.55)</f>
        <v>541.55</v>
      </c>
      <c r="D1945" s="2">
        <f>IFERROR(__xludf.DUMMYFUNCTION("""COMPUTED_VALUE"""),525.99)</f>
        <v>525.99</v>
      </c>
      <c r="E1945" s="2">
        <f>IFERROR(__xludf.DUMMYFUNCTION("""COMPUTED_VALUE"""),530.85)</f>
        <v>530.85</v>
      </c>
      <c r="F1945" s="2">
        <f>IFERROR(__xludf.DUMMYFUNCTION("""COMPUTED_VALUE"""),2731043.0)</f>
        <v>2731043</v>
      </c>
    </row>
    <row r="1946">
      <c r="A1946" s="3">
        <f>IFERROR(__xludf.DUMMYFUNCTION("""COMPUTED_VALUE"""),40312.645833333336)</f>
        <v>40312.64583</v>
      </c>
      <c r="B1946" s="2">
        <f>IFERROR(__xludf.DUMMYFUNCTION("""COMPUTED_VALUE"""),528.82)</f>
        <v>528.82</v>
      </c>
      <c r="C1946" s="2">
        <f>IFERROR(__xludf.DUMMYFUNCTION("""COMPUTED_VALUE"""),530.45)</f>
        <v>530.45</v>
      </c>
      <c r="D1946" s="2">
        <f>IFERROR(__xludf.DUMMYFUNCTION("""COMPUTED_VALUE"""),512.62)</f>
        <v>512.62</v>
      </c>
      <c r="E1946" s="2">
        <f>IFERROR(__xludf.DUMMYFUNCTION("""COMPUTED_VALUE"""),516.91)</f>
        <v>516.91</v>
      </c>
      <c r="F1946" s="2">
        <f>IFERROR(__xludf.DUMMYFUNCTION("""COMPUTED_VALUE"""),4151458.0)</f>
        <v>4151458</v>
      </c>
    </row>
    <row r="1947">
      <c r="A1947" s="3">
        <f>IFERROR(__xludf.DUMMYFUNCTION("""COMPUTED_VALUE"""),40315.645833333336)</f>
        <v>40315.64583</v>
      </c>
      <c r="B1947" s="2">
        <f>IFERROR(__xludf.DUMMYFUNCTION("""COMPUTED_VALUE"""),512.47)</f>
        <v>512.47</v>
      </c>
      <c r="C1947" s="2">
        <f>IFERROR(__xludf.DUMMYFUNCTION("""COMPUTED_VALUE"""),512.47)</f>
        <v>512.47</v>
      </c>
      <c r="D1947" s="2">
        <f>IFERROR(__xludf.DUMMYFUNCTION("""COMPUTED_VALUE"""),499.74)</f>
        <v>499.74</v>
      </c>
      <c r="E1947" s="2">
        <f>IFERROR(__xludf.DUMMYFUNCTION("""COMPUTED_VALUE"""),503.48)</f>
        <v>503.48</v>
      </c>
      <c r="F1947" s="2">
        <f>IFERROR(__xludf.DUMMYFUNCTION("""COMPUTED_VALUE"""),4711513.0)</f>
        <v>4711513</v>
      </c>
    </row>
    <row r="1948">
      <c r="A1948" s="3">
        <f>IFERROR(__xludf.DUMMYFUNCTION("""COMPUTED_VALUE"""),40316.645833333336)</f>
        <v>40316.64583</v>
      </c>
      <c r="B1948" s="2">
        <f>IFERROR(__xludf.DUMMYFUNCTION("""COMPUTED_VALUE"""),505.19)</f>
        <v>505.19</v>
      </c>
      <c r="C1948" s="2">
        <f>IFERROR(__xludf.DUMMYFUNCTION("""COMPUTED_VALUE"""),511.85)</f>
        <v>511.85</v>
      </c>
      <c r="D1948" s="2">
        <f>IFERROR(__xludf.DUMMYFUNCTION("""COMPUTED_VALUE"""),499.15)</f>
        <v>499.15</v>
      </c>
      <c r="E1948" s="2">
        <f>IFERROR(__xludf.DUMMYFUNCTION("""COMPUTED_VALUE"""),505.49)</f>
        <v>505.49</v>
      </c>
      <c r="F1948" s="2">
        <f>IFERROR(__xludf.DUMMYFUNCTION("""COMPUTED_VALUE"""),3530511.0)</f>
        <v>3530511</v>
      </c>
    </row>
    <row r="1949">
      <c r="A1949" s="3">
        <f>IFERROR(__xludf.DUMMYFUNCTION("""COMPUTED_VALUE"""),40317.645833333336)</f>
        <v>40317.64583</v>
      </c>
      <c r="B1949" s="2">
        <f>IFERROR(__xludf.DUMMYFUNCTION("""COMPUTED_VALUE"""),503.71)</f>
        <v>503.71</v>
      </c>
      <c r="C1949" s="2">
        <f>IFERROR(__xludf.DUMMYFUNCTION("""COMPUTED_VALUE"""),504.08)</f>
        <v>504.08</v>
      </c>
      <c r="D1949" s="2">
        <f>IFERROR(__xludf.DUMMYFUNCTION("""COMPUTED_VALUE"""),492.86)</f>
        <v>492.86</v>
      </c>
      <c r="E1949" s="2">
        <f>IFERROR(__xludf.DUMMYFUNCTION("""COMPUTED_VALUE"""),494.62)</f>
        <v>494.62</v>
      </c>
      <c r="F1949" s="2">
        <f>IFERROR(__xludf.DUMMYFUNCTION("""COMPUTED_VALUE"""),5965445.0)</f>
        <v>5965445</v>
      </c>
    </row>
    <row r="1950">
      <c r="A1950" s="3">
        <f>IFERROR(__xludf.DUMMYFUNCTION("""COMPUTED_VALUE"""),40318.645833333336)</f>
        <v>40318.64583</v>
      </c>
      <c r="B1950" s="2">
        <f>IFERROR(__xludf.DUMMYFUNCTION("""COMPUTED_VALUE"""),495.78)</f>
        <v>495.78</v>
      </c>
      <c r="C1950" s="2">
        <f>IFERROR(__xludf.DUMMYFUNCTION("""COMPUTED_VALUE"""),501.73)</f>
        <v>501.73</v>
      </c>
      <c r="D1950" s="2">
        <f>IFERROR(__xludf.DUMMYFUNCTION("""COMPUTED_VALUE"""),492.19)</f>
        <v>492.19</v>
      </c>
      <c r="E1950" s="2">
        <f>IFERROR(__xludf.DUMMYFUNCTION("""COMPUTED_VALUE"""),495.26)</f>
        <v>495.26</v>
      </c>
      <c r="F1950" s="2">
        <f>IFERROR(__xludf.DUMMYFUNCTION("""COMPUTED_VALUE"""),4246454.0)</f>
        <v>4246454</v>
      </c>
    </row>
    <row r="1951">
      <c r="A1951" s="3">
        <f>IFERROR(__xludf.DUMMYFUNCTION("""COMPUTED_VALUE"""),40319.645833333336)</f>
        <v>40319.64583</v>
      </c>
      <c r="B1951" s="2">
        <f>IFERROR(__xludf.DUMMYFUNCTION("""COMPUTED_VALUE"""),490.28)</f>
        <v>490.28</v>
      </c>
      <c r="C1951" s="2">
        <f>IFERROR(__xludf.DUMMYFUNCTION("""COMPUTED_VALUE"""),495.21)</f>
        <v>495.21</v>
      </c>
      <c r="D1951" s="2">
        <f>IFERROR(__xludf.DUMMYFUNCTION("""COMPUTED_VALUE"""),483.45)</f>
        <v>483.45</v>
      </c>
      <c r="E1951" s="2">
        <f>IFERROR(__xludf.DUMMYFUNCTION("""COMPUTED_VALUE"""),493.08)</f>
        <v>493.08</v>
      </c>
      <c r="F1951" s="2">
        <f>IFERROR(__xludf.DUMMYFUNCTION("""COMPUTED_VALUE"""),4381347.0)</f>
        <v>4381347</v>
      </c>
    </row>
    <row r="1952">
      <c r="A1952" s="3">
        <f>IFERROR(__xludf.DUMMYFUNCTION("""COMPUTED_VALUE"""),40322.645833333336)</f>
        <v>40322.64583</v>
      </c>
      <c r="B1952" s="2">
        <f>IFERROR(__xludf.DUMMYFUNCTION("""COMPUTED_VALUE"""),504.2)</f>
        <v>504.2</v>
      </c>
      <c r="C1952" s="2">
        <f>IFERROR(__xludf.DUMMYFUNCTION("""COMPUTED_VALUE"""),519.53)</f>
        <v>519.53</v>
      </c>
      <c r="D1952" s="2">
        <f>IFERROR(__xludf.DUMMYFUNCTION("""COMPUTED_VALUE"""),503.43)</f>
        <v>503.43</v>
      </c>
      <c r="E1952" s="2">
        <f>IFERROR(__xludf.DUMMYFUNCTION("""COMPUTED_VALUE"""),506.51)</f>
        <v>506.51</v>
      </c>
      <c r="F1952" s="2">
        <f>IFERROR(__xludf.DUMMYFUNCTION("""COMPUTED_VALUE"""),5652017.0)</f>
        <v>5652017</v>
      </c>
    </row>
    <row r="1953">
      <c r="A1953" s="3">
        <f>IFERROR(__xludf.DUMMYFUNCTION("""COMPUTED_VALUE"""),40323.645833333336)</f>
        <v>40323.64583</v>
      </c>
      <c r="B1953" s="2">
        <f>IFERROR(__xludf.DUMMYFUNCTION("""COMPUTED_VALUE"""),507.67)</f>
        <v>507.67</v>
      </c>
      <c r="C1953" s="2">
        <f>IFERROR(__xludf.DUMMYFUNCTION("""COMPUTED_VALUE"""),507.67)</f>
        <v>507.67</v>
      </c>
      <c r="D1953" s="2">
        <f>IFERROR(__xludf.DUMMYFUNCTION("""COMPUTED_VALUE"""),486.74)</f>
        <v>486.74</v>
      </c>
      <c r="E1953" s="2">
        <f>IFERROR(__xludf.DUMMYFUNCTION("""COMPUTED_VALUE"""),488.18)</f>
        <v>488.18</v>
      </c>
      <c r="F1953" s="2">
        <f>IFERROR(__xludf.DUMMYFUNCTION("""COMPUTED_VALUE"""),5770796.0)</f>
        <v>5770796</v>
      </c>
    </row>
    <row r="1954">
      <c r="A1954" s="3">
        <f>IFERROR(__xludf.DUMMYFUNCTION("""COMPUTED_VALUE"""),40324.645833333336)</f>
        <v>40324.64583</v>
      </c>
      <c r="B1954" s="2">
        <f>IFERROR(__xludf.DUMMYFUNCTION("""COMPUTED_VALUE"""),492.76)</f>
        <v>492.76</v>
      </c>
      <c r="C1954" s="2">
        <f>IFERROR(__xludf.DUMMYFUNCTION("""COMPUTED_VALUE"""),500.24)</f>
        <v>500.24</v>
      </c>
      <c r="D1954" s="2">
        <f>IFERROR(__xludf.DUMMYFUNCTION("""COMPUTED_VALUE"""),490.83)</f>
        <v>490.83</v>
      </c>
      <c r="E1954" s="2">
        <f>IFERROR(__xludf.DUMMYFUNCTION("""COMPUTED_VALUE"""),499.27)</f>
        <v>499.27</v>
      </c>
      <c r="F1954" s="2">
        <f>IFERROR(__xludf.DUMMYFUNCTION("""COMPUTED_VALUE"""),3137663.0)</f>
        <v>3137663</v>
      </c>
    </row>
    <row r="1955">
      <c r="A1955" s="3">
        <f>IFERROR(__xludf.DUMMYFUNCTION("""COMPUTED_VALUE"""),40325.645833333336)</f>
        <v>40325.64583</v>
      </c>
      <c r="B1955" s="2">
        <f>IFERROR(__xludf.DUMMYFUNCTION("""COMPUTED_VALUE"""),500.74)</f>
        <v>500.74</v>
      </c>
      <c r="C1955" s="2">
        <f>IFERROR(__xludf.DUMMYFUNCTION("""COMPUTED_VALUE"""),509.01)</f>
        <v>509.01</v>
      </c>
      <c r="D1955" s="2">
        <f>IFERROR(__xludf.DUMMYFUNCTION("""COMPUTED_VALUE"""),496.08)</f>
        <v>496.08</v>
      </c>
      <c r="E1955" s="2">
        <f>IFERROR(__xludf.DUMMYFUNCTION("""COMPUTED_VALUE"""),506.31)</f>
        <v>506.31</v>
      </c>
      <c r="F1955" s="2">
        <f>IFERROR(__xludf.DUMMYFUNCTION("""COMPUTED_VALUE"""),6264345.0)</f>
        <v>6264345</v>
      </c>
    </row>
    <row r="1956">
      <c r="A1956" s="3">
        <f>IFERROR(__xludf.DUMMYFUNCTION("""COMPUTED_VALUE"""),40326.645833333336)</f>
        <v>40326.64583</v>
      </c>
      <c r="B1956" s="2">
        <f>IFERROR(__xludf.DUMMYFUNCTION("""COMPUTED_VALUE"""),510.12)</f>
        <v>510.12</v>
      </c>
      <c r="C1956" s="2">
        <f>IFERROR(__xludf.DUMMYFUNCTION("""COMPUTED_VALUE"""),514.6)</f>
        <v>514.6</v>
      </c>
      <c r="D1956" s="2">
        <f>IFERROR(__xludf.DUMMYFUNCTION("""COMPUTED_VALUE"""),502.47)</f>
        <v>502.47</v>
      </c>
      <c r="E1956" s="2">
        <f>IFERROR(__xludf.DUMMYFUNCTION("""COMPUTED_VALUE"""),513.44)</f>
        <v>513.44</v>
      </c>
      <c r="F1956" s="2">
        <f>IFERROR(__xludf.DUMMYFUNCTION("""COMPUTED_VALUE"""),4008272.0)</f>
        <v>4008272</v>
      </c>
    </row>
    <row r="1957">
      <c r="A1957" s="3">
        <f>IFERROR(__xludf.DUMMYFUNCTION("""COMPUTED_VALUE"""),40329.645833333336)</f>
        <v>40329.64583</v>
      </c>
      <c r="B1957" s="2">
        <f>IFERROR(__xludf.DUMMYFUNCTION("""COMPUTED_VALUE"""),510.22)</f>
        <v>510.22</v>
      </c>
      <c r="C1957" s="2">
        <f>IFERROR(__xludf.DUMMYFUNCTION("""COMPUTED_VALUE"""),519.31)</f>
        <v>519.31</v>
      </c>
      <c r="D1957" s="2">
        <f>IFERROR(__xludf.DUMMYFUNCTION("""COMPUTED_VALUE"""),509.53)</f>
        <v>509.53</v>
      </c>
      <c r="E1957" s="2">
        <f>IFERROR(__xludf.DUMMYFUNCTION("""COMPUTED_VALUE"""),517.87)</f>
        <v>517.87</v>
      </c>
      <c r="F1957" s="2">
        <f>IFERROR(__xludf.DUMMYFUNCTION("""COMPUTED_VALUE"""),3782780.0)</f>
        <v>3782780</v>
      </c>
    </row>
    <row r="1958">
      <c r="A1958" s="3">
        <f>IFERROR(__xludf.DUMMYFUNCTION("""COMPUTED_VALUE"""),40330.645833333336)</f>
        <v>40330.64583</v>
      </c>
      <c r="B1958" s="2">
        <f>IFERROR(__xludf.DUMMYFUNCTION("""COMPUTED_VALUE"""),516.73)</f>
        <v>516.73</v>
      </c>
      <c r="C1958" s="2">
        <f>IFERROR(__xludf.DUMMYFUNCTION("""COMPUTED_VALUE"""),517.57)</f>
        <v>517.57</v>
      </c>
      <c r="D1958" s="2">
        <f>IFERROR(__xludf.DUMMYFUNCTION("""COMPUTED_VALUE"""),497.32)</f>
        <v>497.32</v>
      </c>
      <c r="E1958" s="2">
        <f>IFERROR(__xludf.DUMMYFUNCTION("""COMPUTED_VALUE"""),500.51)</f>
        <v>500.51</v>
      </c>
      <c r="F1958" s="2">
        <f>IFERROR(__xludf.DUMMYFUNCTION("""COMPUTED_VALUE"""),4449630.0)</f>
        <v>4449630</v>
      </c>
    </row>
    <row r="1959">
      <c r="A1959" s="3">
        <f>IFERROR(__xludf.DUMMYFUNCTION("""COMPUTED_VALUE"""),40331.645833333336)</f>
        <v>40331.64583</v>
      </c>
      <c r="B1959" s="2">
        <f>IFERROR(__xludf.DUMMYFUNCTION("""COMPUTED_VALUE"""),502.72)</f>
        <v>502.72</v>
      </c>
      <c r="C1959" s="2">
        <f>IFERROR(__xludf.DUMMYFUNCTION("""COMPUTED_VALUE"""),505.69)</f>
        <v>505.69</v>
      </c>
      <c r="D1959" s="2">
        <f>IFERROR(__xludf.DUMMYFUNCTION("""COMPUTED_VALUE"""),496.95)</f>
        <v>496.95</v>
      </c>
      <c r="E1959" s="2">
        <f>IFERROR(__xludf.DUMMYFUNCTION("""COMPUTED_VALUE"""),500.76)</f>
        <v>500.76</v>
      </c>
      <c r="F1959" s="2">
        <f>IFERROR(__xludf.DUMMYFUNCTION("""COMPUTED_VALUE"""),4509546.0)</f>
        <v>4509546</v>
      </c>
    </row>
    <row r="1960">
      <c r="A1960" s="3">
        <f>IFERROR(__xludf.DUMMYFUNCTION("""COMPUTED_VALUE"""),40332.645833333336)</f>
        <v>40332.64583</v>
      </c>
      <c r="B1960" s="2">
        <f>IFERROR(__xludf.DUMMYFUNCTION("""COMPUTED_VALUE"""),505.14)</f>
        <v>505.14</v>
      </c>
      <c r="C1960" s="2">
        <f>IFERROR(__xludf.DUMMYFUNCTION("""COMPUTED_VALUE"""),514.11)</f>
        <v>514.11</v>
      </c>
      <c r="D1960" s="2">
        <f>IFERROR(__xludf.DUMMYFUNCTION("""COMPUTED_VALUE"""),505.14)</f>
        <v>505.14</v>
      </c>
      <c r="E1960" s="2">
        <f>IFERROR(__xludf.DUMMYFUNCTION("""COMPUTED_VALUE"""),510.54)</f>
        <v>510.54</v>
      </c>
      <c r="F1960" s="2">
        <f>IFERROR(__xludf.DUMMYFUNCTION("""COMPUTED_VALUE"""),3910363.0)</f>
        <v>3910363</v>
      </c>
    </row>
    <row r="1961">
      <c r="A1961" s="3">
        <f>IFERROR(__xludf.DUMMYFUNCTION("""COMPUTED_VALUE"""),40333.645833333336)</f>
        <v>40333.64583</v>
      </c>
      <c r="B1961" s="2">
        <f>IFERROR(__xludf.DUMMYFUNCTION("""COMPUTED_VALUE"""),510.64)</f>
        <v>510.64</v>
      </c>
      <c r="C1961" s="2">
        <f>IFERROR(__xludf.DUMMYFUNCTION("""COMPUTED_VALUE"""),513.12)</f>
        <v>513.12</v>
      </c>
      <c r="D1961" s="2">
        <f>IFERROR(__xludf.DUMMYFUNCTION("""COMPUTED_VALUE"""),506.41)</f>
        <v>506.41</v>
      </c>
      <c r="E1961" s="2">
        <f>IFERROR(__xludf.DUMMYFUNCTION("""COMPUTED_VALUE"""),510.74)</f>
        <v>510.74</v>
      </c>
      <c r="F1961" s="2">
        <f>IFERROR(__xludf.DUMMYFUNCTION("""COMPUTED_VALUE"""),3220285.0)</f>
        <v>3220285</v>
      </c>
    </row>
    <row r="1962">
      <c r="A1962" s="3">
        <f>IFERROR(__xludf.DUMMYFUNCTION("""COMPUTED_VALUE"""),40336.645833333336)</f>
        <v>40336.64583</v>
      </c>
      <c r="B1962" s="2">
        <f>IFERROR(__xludf.DUMMYFUNCTION("""COMPUTED_VALUE"""),502.72)</f>
        <v>502.72</v>
      </c>
      <c r="C1962" s="2">
        <f>IFERROR(__xludf.DUMMYFUNCTION("""COMPUTED_VALUE"""),502.72)</f>
        <v>502.72</v>
      </c>
      <c r="D1962" s="2">
        <f>IFERROR(__xludf.DUMMYFUNCTION("""COMPUTED_VALUE"""),495.29)</f>
        <v>495.29</v>
      </c>
      <c r="E1962" s="2">
        <f>IFERROR(__xludf.DUMMYFUNCTION("""COMPUTED_VALUE"""),499.13)</f>
        <v>499.13</v>
      </c>
      <c r="F1962" s="2">
        <f>IFERROR(__xludf.DUMMYFUNCTION("""COMPUTED_VALUE"""),3086645.0)</f>
        <v>3086645</v>
      </c>
    </row>
    <row r="1963">
      <c r="A1963" s="3">
        <f>IFERROR(__xludf.DUMMYFUNCTION("""COMPUTED_VALUE"""),40337.645833333336)</f>
        <v>40337.64583</v>
      </c>
      <c r="B1963" s="2">
        <f>IFERROR(__xludf.DUMMYFUNCTION("""COMPUTED_VALUE"""),500.09)</f>
        <v>500.09</v>
      </c>
      <c r="C1963" s="2">
        <f>IFERROR(__xludf.DUMMYFUNCTION("""COMPUTED_VALUE"""),501.58)</f>
        <v>501.58</v>
      </c>
      <c r="D1963" s="2">
        <f>IFERROR(__xludf.DUMMYFUNCTION("""COMPUTED_VALUE"""),492.86)</f>
        <v>492.86</v>
      </c>
      <c r="E1963" s="2">
        <f>IFERROR(__xludf.DUMMYFUNCTION("""COMPUTED_VALUE"""),493.5)</f>
        <v>493.5</v>
      </c>
      <c r="F1963" s="2">
        <f>IFERROR(__xludf.DUMMYFUNCTION("""COMPUTED_VALUE"""),3480569.0)</f>
        <v>3480569</v>
      </c>
    </row>
    <row r="1964">
      <c r="A1964" s="3">
        <f>IFERROR(__xludf.DUMMYFUNCTION("""COMPUTED_VALUE"""),40338.645833333336)</f>
        <v>40338.64583</v>
      </c>
      <c r="B1964" s="2">
        <f>IFERROR(__xludf.DUMMYFUNCTION("""COMPUTED_VALUE"""),495.39)</f>
        <v>495.39</v>
      </c>
      <c r="C1964" s="2">
        <f>IFERROR(__xludf.DUMMYFUNCTION("""COMPUTED_VALUE"""),502.72)</f>
        <v>502.72</v>
      </c>
      <c r="D1964" s="2">
        <f>IFERROR(__xludf.DUMMYFUNCTION("""COMPUTED_VALUE"""),495.29)</f>
        <v>495.29</v>
      </c>
      <c r="E1964" s="2">
        <f>IFERROR(__xludf.DUMMYFUNCTION("""COMPUTED_VALUE"""),498.78)</f>
        <v>498.78</v>
      </c>
      <c r="F1964" s="2">
        <f>IFERROR(__xludf.DUMMYFUNCTION("""COMPUTED_VALUE"""),3484176.0)</f>
        <v>3484176</v>
      </c>
    </row>
    <row r="1965">
      <c r="A1965" s="3">
        <f>IFERROR(__xludf.DUMMYFUNCTION("""COMPUTED_VALUE"""),40339.645833333336)</f>
        <v>40339.64583</v>
      </c>
      <c r="B1965" s="2">
        <f>IFERROR(__xludf.DUMMYFUNCTION("""COMPUTED_VALUE"""),500.24)</f>
        <v>500.24</v>
      </c>
      <c r="C1965" s="2">
        <f>IFERROR(__xludf.DUMMYFUNCTION("""COMPUTED_VALUE"""),503.93)</f>
        <v>503.93</v>
      </c>
      <c r="D1965" s="2">
        <f>IFERROR(__xludf.DUMMYFUNCTION("""COMPUTED_VALUE"""),498.83)</f>
        <v>498.83</v>
      </c>
      <c r="E1965" s="2">
        <f>IFERROR(__xludf.DUMMYFUNCTION("""COMPUTED_VALUE"""),502.89)</f>
        <v>502.89</v>
      </c>
      <c r="F1965" s="2">
        <f>IFERROR(__xludf.DUMMYFUNCTION("""COMPUTED_VALUE"""),3191686.0)</f>
        <v>3191686</v>
      </c>
    </row>
    <row r="1966">
      <c r="A1966" s="3">
        <f>IFERROR(__xludf.DUMMYFUNCTION("""COMPUTED_VALUE"""),40340.645833333336)</f>
        <v>40340.64583</v>
      </c>
      <c r="B1966" s="2">
        <f>IFERROR(__xludf.DUMMYFUNCTION("""COMPUTED_VALUE"""),507.67)</f>
        <v>507.67</v>
      </c>
      <c r="C1966" s="2">
        <f>IFERROR(__xludf.DUMMYFUNCTION("""COMPUTED_VALUE"""),520.47)</f>
        <v>520.47</v>
      </c>
      <c r="D1966" s="2">
        <f>IFERROR(__xludf.DUMMYFUNCTION("""COMPUTED_VALUE"""),505.69)</f>
        <v>505.69</v>
      </c>
      <c r="E1966" s="2">
        <f>IFERROR(__xludf.DUMMYFUNCTION("""COMPUTED_VALUE"""),518.27)</f>
        <v>518.27</v>
      </c>
      <c r="F1966" s="2">
        <f>IFERROR(__xludf.DUMMYFUNCTION("""COMPUTED_VALUE"""),5327604.0)</f>
        <v>5327604</v>
      </c>
    </row>
    <row r="1967">
      <c r="A1967" s="3">
        <f>IFERROR(__xludf.DUMMYFUNCTION("""COMPUTED_VALUE"""),40343.645833333336)</f>
        <v>40343.64583</v>
      </c>
      <c r="B1967" s="2">
        <f>IFERROR(__xludf.DUMMYFUNCTION("""COMPUTED_VALUE"""),522.48)</f>
        <v>522.48</v>
      </c>
      <c r="C1967" s="2">
        <f>IFERROR(__xludf.DUMMYFUNCTION("""COMPUTED_VALUE"""),529.96)</f>
        <v>529.96</v>
      </c>
      <c r="D1967" s="2">
        <f>IFERROR(__xludf.DUMMYFUNCTION("""COMPUTED_VALUE"""),519.61)</f>
        <v>519.61</v>
      </c>
      <c r="E1967" s="2">
        <f>IFERROR(__xludf.DUMMYFUNCTION("""COMPUTED_VALUE"""),526.74)</f>
        <v>526.74</v>
      </c>
      <c r="F1967" s="2">
        <f>IFERROR(__xludf.DUMMYFUNCTION("""COMPUTED_VALUE"""),3632863.0)</f>
        <v>3632863</v>
      </c>
    </row>
    <row r="1968">
      <c r="A1968" s="3">
        <f>IFERROR(__xludf.DUMMYFUNCTION("""COMPUTED_VALUE"""),40344.645833333336)</f>
        <v>40344.64583</v>
      </c>
      <c r="B1968" s="2">
        <f>IFERROR(__xludf.DUMMYFUNCTION("""COMPUTED_VALUE"""),527.58)</f>
        <v>527.58</v>
      </c>
      <c r="C1968" s="2">
        <f>IFERROR(__xludf.DUMMYFUNCTION("""COMPUTED_VALUE"""),529.91)</f>
        <v>529.91</v>
      </c>
      <c r="D1968" s="2">
        <f>IFERROR(__xludf.DUMMYFUNCTION("""COMPUTED_VALUE"""),520.1)</f>
        <v>520.1</v>
      </c>
      <c r="E1968" s="2">
        <f>IFERROR(__xludf.DUMMYFUNCTION("""COMPUTED_VALUE"""),528.03)</f>
        <v>528.03</v>
      </c>
      <c r="F1968" s="2">
        <f>IFERROR(__xludf.DUMMYFUNCTION("""COMPUTED_VALUE"""),4341443.0)</f>
        <v>4341443</v>
      </c>
    </row>
    <row r="1969">
      <c r="A1969" s="3">
        <f>IFERROR(__xludf.DUMMYFUNCTION("""COMPUTED_VALUE"""),40345.645833333336)</f>
        <v>40345.64583</v>
      </c>
      <c r="B1969" s="2">
        <f>IFERROR(__xludf.DUMMYFUNCTION("""COMPUTED_VALUE"""),529.96)</f>
        <v>529.96</v>
      </c>
      <c r="C1969" s="2">
        <f>IFERROR(__xludf.DUMMYFUNCTION("""COMPUTED_VALUE"""),531.27)</f>
        <v>531.27</v>
      </c>
      <c r="D1969" s="2">
        <f>IFERROR(__xludf.DUMMYFUNCTION("""COMPUTED_VALUE"""),522.58)</f>
        <v>522.58</v>
      </c>
      <c r="E1969" s="2">
        <f>IFERROR(__xludf.DUMMYFUNCTION("""COMPUTED_VALUE"""),523.99)</f>
        <v>523.99</v>
      </c>
      <c r="F1969" s="2">
        <f>IFERROR(__xludf.DUMMYFUNCTION("""COMPUTED_VALUE"""),2704841.0)</f>
        <v>2704841</v>
      </c>
    </row>
    <row r="1970">
      <c r="A1970" s="3">
        <f>IFERROR(__xludf.DUMMYFUNCTION("""COMPUTED_VALUE"""),40346.645833333336)</f>
        <v>40346.64583</v>
      </c>
      <c r="B1970" s="2">
        <f>IFERROR(__xludf.DUMMYFUNCTION("""COMPUTED_VALUE"""),526.64)</f>
        <v>526.64</v>
      </c>
      <c r="C1970" s="2">
        <f>IFERROR(__xludf.DUMMYFUNCTION("""COMPUTED_VALUE"""),533.42)</f>
        <v>533.42</v>
      </c>
      <c r="D1970" s="2">
        <f>IFERROR(__xludf.DUMMYFUNCTION("""COMPUTED_VALUE"""),524.16)</f>
        <v>524.16</v>
      </c>
      <c r="E1970" s="2">
        <f>IFERROR(__xludf.DUMMYFUNCTION("""COMPUTED_VALUE"""),530.65)</f>
        <v>530.65</v>
      </c>
      <c r="F1970" s="2">
        <f>IFERROR(__xludf.DUMMYFUNCTION("""COMPUTED_VALUE"""),4811174.0)</f>
        <v>4811174</v>
      </c>
    </row>
    <row r="1971">
      <c r="A1971" s="3">
        <f>IFERROR(__xludf.DUMMYFUNCTION("""COMPUTED_VALUE"""),40347.645833333336)</f>
        <v>40347.64583</v>
      </c>
      <c r="B1971" s="2">
        <f>IFERROR(__xludf.DUMMYFUNCTION("""COMPUTED_VALUE"""),535.01)</f>
        <v>535.01</v>
      </c>
      <c r="C1971" s="2">
        <f>IFERROR(__xludf.DUMMYFUNCTION("""COMPUTED_VALUE"""),539.76)</f>
        <v>539.76</v>
      </c>
      <c r="D1971" s="2">
        <f>IFERROR(__xludf.DUMMYFUNCTION("""COMPUTED_VALUE"""),520.32)</f>
        <v>520.32</v>
      </c>
      <c r="E1971" s="2">
        <f>IFERROR(__xludf.DUMMYFUNCTION("""COMPUTED_VALUE"""),522.21)</f>
        <v>522.21</v>
      </c>
      <c r="F1971" s="2">
        <f>IFERROR(__xludf.DUMMYFUNCTION("""COMPUTED_VALUE"""),8749692.0)</f>
        <v>8749692</v>
      </c>
    </row>
    <row r="1972">
      <c r="A1972" s="3">
        <f>IFERROR(__xludf.DUMMYFUNCTION("""COMPUTED_VALUE"""),40350.645833333336)</f>
        <v>40350.64583</v>
      </c>
      <c r="B1972" s="2">
        <f>IFERROR(__xludf.DUMMYFUNCTION("""COMPUTED_VALUE"""),525.5)</f>
        <v>525.5</v>
      </c>
      <c r="C1972" s="2">
        <f>IFERROR(__xludf.DUMMYFUNCTION("""COMPUTED_VALUE"""),530.8)</f>
        <v>530.8</v>
      </c>
      <c r="D1972" s="2">
        <f>IFERROR(__xludf.DUMMYFUNCTION("""COMPUTED_VALUE"""),525.5)</f>
        <v>525.5</v>
      </c>
      <c r="E1972" s="2">
        <f>IFERROR(__xludf.DUMMYFUNCTION("""COMPUTED_VALUE"""),527.8)</f>
        <v>527.8</v>
      </c>
      <c r="F1972" s="2">
        <f>IFERROR(__xludf.DUMMYFUNCTION("""COMPUTED_VALUE"""),2695660.0)</f>
        <v>2695660</v>
      </c>
    </row>
    <row r="1973">
      <c r="A1973" s="3">
        <f>IFERROR(__xludf.DUMMYFUNCTION("""COMPUTED_VALUE"""),40351.645833333336)</f>
        <v>40351.64583</v>
      </c>
      <c r="B1973" s="2">
        <f>IFERROR(__xludf.DUMMYFUNCTION("""COMPUTED_VALUE"""),526.49)</f>
        <v>526.49</v>
      </c>
      <c r="C1973" s="2">
        <f>IFERROR(__xludf.DUMMYFUNCTION("""COMPUTED_VALUE"""),532.33)</f>
        <v>532.33</v>
      </c>
      <c r="D1973" s="2">
        <f>IFERROR(__xludf.DUMMYFUNCTION("""COMPUTED_VALUE"""),523.49)</f>
        <v>523.49</v>
      </c>
      <c r="E1973" s="2">
        <f>IFERROR(__xludf.DUMMYFUNCTION("""COMPUTED_VALUE"""),526.89)</f>
        <v>526.89</v>
      </c>
      <c r="F1973" s="2">
        <f>IFERROR(__xludf.DUMMYFUNCTION("""COMPUTED_VALUE"""),2950749.0)</f>
        <v>2950749</v>
      </c>
    </row>
    <row r="1974">
      <c r="A1974" s="3">
        <f>IFERROR(__xludf.DUMMYFUNCTION("""COMPUTED_VALUE"""),40352.645833333336)</f>
        <v>40352.64583</v>
      </c>
      <c r="B1974" s="2">
        <f>IFERROR(__xludf.DUMMYFUNCTION("""COMPUTED_VALUE"""),524.86)</f>
        <v>524.86</v>
      </c>
      <c r="C1974" s="2">
        <f>IFERROR(__xludf.DUMMYFUNCTION("""COMPUTED_VALUE"""),528.72)</f>
        <v>528.72</v>
      </c>
      <c r="D1974" s="2">
        <f>IFERROR(__xludf.DUMMYFUNCTION("""COMPUTED_VALUE"""),522.03)</f>
        <v>522.03</v>
      </c>
      <c r="E1974" s="2">
        <f>IFERROR(__xludf.DUMMYFUNCTION("""COMPUTED_VALUE"""),524.36)</f>
        <v>524.36</v>
      </c>
      <c r="F1974" s="2">
        <f>IFERROR(__xludf.DUMMYFUNCTION("""COMPUTED_VALUE"""),2665095.0)</f>
        <v>2665095</v>
      </c>
    </row>
    <row r="1975">
      <c r="A1975" s="3">
        <f>IFERROR(__xludf.DUMMYFUNCTION("""COMPUTED_VALUE"""),40353.645833333336)</f>
        <v>40353.64583</v>
      </c>
      <c r="B1975" s="2">
        <f>IFERROR(__xludf.DUMMYFUNCTION("""COMPUTED_VALUE"""),524.51)</f>
        <v>524.51</v>
      </c>
      <c r="C1975" s="2">
        <f>IFERROR(__xludf.DUMMYFUNCTION("""COMPUTED_VALUE"""),527.88)</f>
        <v>527.88</v>
      </c>
      <c r="D1975" s="2">
        <f>IFERROR(__xludf.DUMMYFUNCTION("""COMPUTED_VALUE"""),518.71)</f>
        <v>518.71</v>
      </c>
      <c r="E1975" s="2">
        <f>IFERROR(__xludf.DUMMYFUNCTION("""COMPUTED_VALUE"""),521.07)</f>
        <v>521.07</v>
      </c>
      <c r="F1975" s="2">
        <f>IFERROR(__xludf.DUMMYFUNCTION("""COMPUTED_VALUE"""),4298567.0)</f>
        <v>4298567</v>
      </c>
    </row>
    <row r="1976">
      <c r="A1976" s="3">
        <f>IFERROR(__xludf.DUMMYFUNCTION("""COMPUTED_VALUE"""),40354.645833333336)</f>
        <v>40354.64583</v>
      </c>
      <c r="B1976" s="2">
        <f>IFERROR(__xludf.DUMMYFUNCTION("""COMPUTED_VALUE"""),520.05)</f>
        <v>520.05</v>
      </c>
      <c r="C1976" s="2">
        <f>IFERROR(__xludf.DUMMYFUNCTION("""COMPUTED_VALUE"""),528.97)</f>
        <v>528.97</v>
      </c>
      <c r="D1976" s="2">
        <f>IFERROR(__xludf.DUMMYFUNCTION("""COMPUTED_VALUE"""),516.58)</f>
        <v>516.58</v>
      </c>
      <c r="E1976" s="2">
        <f>IFERROR(__xludf.DUMMYFUNCTION("""COMPUTED_VALUE"""),526.47)</f>
        <v>526.47</v>
      </c>
      <c r="F1976" s="2">
        <f>IFERROR(__xludf.DUMMYFUNCTION("""COMPUTED_VALUE"""),4646050.0)</f>
        <v>4646050</v>
      </c>
    </row>
    <row r="1977">
      <c r="A1977" s="3">
        <f>IFERROR(__xludf.DUMMYFUNCTION("""COMPUTED_VALUE"""),40357.645833333336)</f>
        <v>40357.64583</v>
      </c>
      <c r="B1977" s="2">
        <f>IFERROR(__xludf.DUMMYFUNCTION("""COMPUTED_VALUE"""),531.94)</f>
        <v>531.94</v>
      </c>
      <c r="C1977" s="2">
        <f>IFERROR(__xludf.DUMMYFUNCTION("""COMPUTED_VALUE"""),540.85)</f>
        <v>540.85</v>
      </c>
      <c r="D1977" s="2">
        <f>IFERROR(__xludf.DUMMYFUNCTION("""COMPUTED_VALUE"""),527.55)</f>
        <v>527.55</v>
      </c>
      <c r="E1977" s="2">
        <f>IFERROR(__xludf.DUMMYFUNCTION("""COMPUTED_VALUE"""),539.94)</f>
        <v>539.94</v>
      </c>
      <c r="F1977" s="2">
        <f>IFERROR(__xludf.DUMMYFUNCTION("""COMPUTED_VALUE"""),7194118.0)</f>
        <v>7194118</v>
      </c>
    </row>
    <row r="1978">
      <c r="A1978" s="3">
        <f>IFERROR(__xludf.DUMMYFUNCTION("""COMPUTED_VALUE"""),40358.645833333336)</f>
        <v>40358.64583</v>
      </c>
      <c r="B1978" s="2">
        <f>IFERROR(__xludf.DUMMYFUNCTION("""COMPUTED_VALUE"""),540.36)</f>
        <v>540.36</v>
      </c>
      <c r="C1978" s="2">
        <f>IFERROR(__xludf.DUMMYFUNCTION("""COMPUTED_VALUE"""),540.36)</f>
        <v>540.36</v>
      </c>
      <c r="D1978" s="2">
        <f>IFERROR(__xludf.DUMMYFUNCTION("""COMPUTED_VALUE"""),527.08)</f>
        <v>527.08</v>
      </c>
      <c r="E1978" s="2">
        <f>IFERROR(__xludf.DUMMYFUNCTION("""COMPUTED_VALUE"""),528.69)</f>
        <v>528.69</v>
      </c>
      <c r="F1978" s="2">
        <f>IFERROR(__xludf.DUMMYFUNCTION("""COMPUTED_VALUE"""),3249076.0)</f>
        <v>3249076</v>
      </c>
    </row>
    <row r="1979">
      <c r="A1979" s="3">
        <f>IFERROR(__xludf.DUMMYFUNCTION("""COMPUTED_VALUE"""),40359.645833333336)</f>
        <v>40359.64583</v>
      </c>
      <c r="B1979" s="2">
        <f>IFERROR(__xludf.DUMMYFUNCTION("""COMPUTED_VALUE"""),525.0)</f>
        <v>525</v>
      </c>
      <c r="C1979" s="2">
        <f>IFERROR(__xludf.DUMMYFUNCTION("""COMPUTED_VALUE"""),541.82)</f>
        <v>541.82</v>
      </c>
      <c r="D1979" s="2">
        <f>IFERROR(__xludf.DUMMYFUNCTION("""COMPUTED_VALUE"""),523.77)</f>
        <v>523.77</v>
      </c>
      <c r="E1979" s="2">
        <f>IFERROR(__xludf.DUMMYFUNCTION("""COMPUTED_VALUE"""),539.79)</f>
        <v>539.79</v>
      </c>
      <c r="F1979" s="2">
        <f>IFERROR(__xludf.DUMMYFUNCTION("""COMPUTED_VALUE"""),6088910.0)</f>
        <v>6088910</v>
      </c>
    </row>
    <row r="1980">
      <c r="A1980" s="3">
        <f>IFERROR(__xludf.DUMMYFUNCTION("""COMPUTED_VALUE"""),40360.645833333336)</f>
        <v>40360.64583</v>
      </c>
      <c r="B1980" s="2">
        <f>IFERROR(__xludf.DUMMYFUNCTION("""COMPUTED_VALUE"""),536.89)</f>
        <v>536.89</v>
      </c>
      <c r="C1980" s="2">
        <f>IFERROR(__xludf.DUMMYFUNCTION("""COMPUTED_VALUE"""),538.05)</f>
        <v>538.05</v>
      </c>
      <c r="D1980" s="2">
        <f>IFERROR(__xludf.DUMMYFUNCTION("""COMPUTED_VALUE"""),528.22)</f>
        <v>528.22</v>
      </c>
      <c r="E1980" s="2">
        <f>IFERROR(__xludf.DUMMYFUNCTION("""COMPUTED_VALUE"""),533.05)</f>
        <v>533.05</v>
      </c>
      <c r="F1980" s="2">
        <f>IFERROR(__xludf.DUMMYFUNCTION("""COMPUTED_VALUE"""),3042649.0)</f>
        <v>3042649</v>
      </c>
    </row>
    <row r="1981">
      <c r="A1981" s="3">
        <f>IFERROR(__xludf.DUMMYFUNCTION("""COMPUTED_VALUE"""),40361.645833333336)</f>
        <v>40361.64583</v>
      </c>
      <c r="B1981" s="2">
        <f>IFERROR(__xludf.DUMMYFUNCTION("""COMPUTED_VALUE"""),532.93)</f>
        <v>532.93</v>
      </c>
      <c r="C1981" s="2">
        <f>IFERROR(__xludf.DUMMYFUNCTION("""COMPUTED_VALUE"""),536.87)</f>
        <v>536.87</v>
      </c>
      <c r="D1981" s="2">
        <f>IFERROR(__xludf.DUMMYFUNCTION("""COMPUTED_VALUE"""),527.63)</f>
        <v>527.63</v>
      </c>
      <c r="E1981" s="2">
        <f>IFERROR(__xludf.DUMMYFUNCTION("""COMPUTED_VALUE"""),529.44)</f>
        <v>529.44</v>
      </c>
      <c r="F1981" s="2">
        <f>IFERROR(__xludf.DUMMYFUNCTION("""COMPUTED_VALUE"""),2502708.0)</f>
        <v>2502708</v>
      </c>
    </row>
    <row r="1982">
      <c r="A1982" s="3">
        <f>IFERROR(__xludf.DUMMYFUNCTION("""COMPUTED_VALUE"""),40364.645833333336)</f>
        <v>40364.64583</v>
      </c>
      <c r="B1982" s="2">
        <f>IFERROR(__xludf.DUMMYFUNCTION("""COMPUTED_VALUE"""),529.96)</f>
        <v>529.96</v>
      </c>
      <c r="C1982" s="2">
        <f>IFERROR(__xludf.DUMMYFUNCTION("""COMPUTED_VALUE"""),531.52)</f>
        <v>531.52</v>
      </c>
      <c r="D1982" s="2">
        <f>IFERROR(__xludf.DUMMYFUNCTION("""COMPUTED_VALUE"""),526.34)</f>
        <v>526.34</v>
      </c>
      <c r="E1982" s="2">
        <f>IFERROR(__xludf.DUMMYFUNCTION("""COMPUTED_VALUE"""),529.11)</f>
        <v>529.11</v>
      </c>
      <c r="F1982" s="2">
        <f>IFERROR(__xludf.DUMMYFUNCTION("""COMPUTED_VALUE"""),1462821.0)</f>
        <v>1462821</v>
      </c>
    </row>
    <row r="1983">
      <c r="A1983" s="3">
        <f>IFERROR(__xludf.DUMMYFUNCTION("""COMPUTED_VALUE"""),40365.645833333336)</f>
        <v>40365.64583</v>
      </c>
      <c r="B1983" s="2">
        <f>IFERROR(__xludf.DUMMYFUNCTION("""COMPUTED_VALUE"""),527.73)</f>
        <v>527.73</v>
      </c>
      <c r="C1983" s="2">
        <f>IFERROR(__xludf.DUMMYFUNCTION("""COMPUTED_VALUE"""),535.85)</f>
        <v>535.85</v>
      </c>
      <c r="D1983" s="2">
        <f>IFERROR(__xludf.DUMMYFUNCTION("""COMPUTED_VALUE"""),527.73)</f>
        <v>527.73</v>
      </c>
      <c r="E1983" s="2">
        <f>IFERROR(__xludf.DUMMYFUNCTION("""COMPUTED_VALUE"""),531.89)</f>
        <v>531.89</v>
      </c>
      <c r="F1983" s="2">
        <f>IFERROR(__xludf.DUMMYFUNCTION("""COMPUTED_VALUE"""),2115540.0)</f>
        <v>2115540</v>
      </c>
    </row>
    <row r="1984">
      <c r="A1984" s="3">
        <f>IFERROR(__xludf.DUMMYFUNCTION("""COMPUTED_VALUE"""),40366.645833333336)</f>
        <v>40366.64583</v>
      </c>
      <c r="B1984" s="2">
        <f>IFERROR(__xludf.DUMMYFUNCTION("""COMPUTED_VALUE"""),531.94)</f>
        <v>531.94</v>
      </c>
      <c r="C1984" s="2">
        <f>IFERROR(__xludf.DUMMYFUNCTION("""COMPUTED_VALUE"""),532.33)</f>
        <v>532.33</v>
      </c>
      <c r="D1984" s="2">
        <f>IFERROR(__xludf.DUMMYFUNCTION("""COMPUTED_VALUE"""),520.55)</f>
        <v>520.55</v>
      </c>
      <c r="E1984" s="2">
        <f>IFERROR(__xludf.DUMMYFUNCTION("""COMPUTED_VALUE"""),521.81)</f>
        <v>521.81</v>
      </c>
      <c r="F1984" s="2">
        <f>IFERROR(__xludf.DUMMYFUNCTION("""COMPUTED_VALUE"""),3140408.0)</f>
        <v>3140408</v>
      </c>
    </row>
    <row r="1985">
      <c r="A1985" s="3">
        <f>IFERROR(__xludf.DUMMYFUNCTION("""COMPUTED_VALUE"""),40367.645833333336)</f>
        <v>40367.64583</v>
      </c>
      <c r="B1985" s="2">
        <f>IFERROR(__xludf.DUMMYFUNCTION("""COMPUTED_VALUE"""),525.0)</f>
        <v>525</v>
      </c>
      <c r="C1985" s="2">
        <f>IFERROR(__xludf.DUMMYFUNCTION("""COMPUTED_VALUE"""),529.73)</f>
        <v>529.73</v>
      </c>
      <c r="D1985" s="2">
        <f>IFERROR(__xludf.DUMMYFUNCTION("""COMPUTED_VALUE"""),522.65)</f>
        <v>522.65</v>
      </c>
      <c r="E1985" s="2">
        <f>IFERROR(__xludf.DUMMYFUNCTION("""COMPUTED_VALUE"""),523.57)</f>
        <v>523.57</v>
      </c>
      <c r="F1985" s="2">
        <f>IFERROR(__xludf.DUMMYFUNCTION("""COMPUTED_VALUE"""),2737949.0)</f>
        <v>2737949</v>
      </c>
    </row>
    <row r="1986">
      <c r="A1986" s="3">
        <f>IFERROR(__xludf.DUMMYFUNCTION("""COMPUTED_VALUE"""),40368.645833333336)</f>
        <v>40368.64583</v>
      </c>
      <c r="B1986" s="2">
        <f>IFERROR(__xludf.DUMMYFUNCTION("""COMPUTED_VALUE"""),526.96)</f>
        <v>526.96</v>
      </c>
      <c r="C1986" s="2">
        <f>IFERROR(__xludf.DUMMYFUNCTION("""COMPUTED_VALUE"""),527.98)</f>
        <v>527.98</v>
      </c>
      <c r="D1986" s="2">
        <f>IFERROR(__xludf.DUMMYFUNCTION("""COMPUTED_VALUE"""),521.81)</f>
        <v>521.81</v>
      </c>
      <c r="E1986" s="2">
        <f>IFERROR(__xludf.DUMMYFUNCTION("""COMPUTED_VALUE"""),523.84)</f>
        <v>523.84</v>
      </c>
      <c r="F1986" s="2">
        <f>IFERROR(__xludf.DUMMYFUNCTION("""COMPUTED_VALUE"""),2965846.0)</f>
        <v>2965846</v>
      </c>
    </row>
    <row r="1987">
      <c r="A1987" s="3">
        <f>IFERROR(__xludf.DUMMYFUNCTION("""COMPUTED_VALUE"""),40371.645833333336)</f>
        <v>40371.64583</v>
      </c>
      <c r="B1987" s="2">
        <f>IFERROR(__xludf.DUMMYFUNCTION("""COMPUTED_VALUE"""),525.0)</f>
        <v>525</v>
      </c>
      <c r="C1987" s="2">
        <f>IFERROR(__xludf.DUMMYFUNCTION("""COMPUTED_VALUE"""),528.94)</f>
        <v>528.94</v>
      </c>
      <c r="D1987" s="2">
        <f>IFERROR(__xludf.DUMMYFUNCTION("""COMPUTED_VALUE"""),521.07)</f>
        <v>521.07</v>
      </c>
      <c r="E1987" s="2">
        <f>IFERROR(__xludf.DUMMYFUNCTION("""COMPUTED_VALUE"""),523.15)</f>
        <v>523.15</v>
      </c>
      <c r="F1987" s="2">
        <f>IFERROR(__xludf.DUMMYFUNCTION("""COMPUTED_VALUE"""),2871831.0)</f>
        <v>2871831</v>
      </c>
    </row>
    <row r="1988">
      <c r="A1988" s="3">
        <f>IFERROR(__xludf.DUMMYFUNCTION("""COMPUTED_VALUE"""),40372.645833333336)</f>
        <v>40372.64583</v>
      </c>
      <c r="B1988" s="2">
        <f>IFERROR(__xludf.DUMMYFUNCTION("""COMPUTED_VALUE"""),523.64)</f>
        <v>523.64</v>
      </c>
      <c r="C1988" s="2">
        <f>IFERROR(__xludf.DUMMYFUNCTION("""COMPUTED_VALUE"""),533.8)</f>
        <v>533.8</v>
      </c>
      <c r="D1988" s="2">
        <f>IFERROR(__xludf.DUMMYFUNCTION("""COMPUTED_VALUE"""),523.64)</f>
        <v>523.64</v>
      </c>
      <c r="E1988" s="2">
        <f>IFERROR(__xludf.DUMMYFUNCTION("""COMPUTED_VALUE"""),532.09)</f>
        <v>532.09</v>
      </c>
      <c r="F1988" s="2">
        <f>IFERROR(__xludf.DUMMYFUNCTION("""COMPUTED_VALUE"""),3438642.0)</f>
        <v>3438642</v>
      </c>
    </row>
    <row r="1989">
      <c r="A1989" s="3">
        <f>IFERROR(__xludf.DUMMYFUNCTION("""COMPUTED_VALUE"""),40373.645833333336)</f>
        <v>40373.64583</v>
      </c>
      <c r="B1989" s="2">
        <f>IFERROR(__xludf.DUMMYFUNCTION("""COMPUTED_VALUE"""),534.91)</f>
        <v>534.91</v>
      </c>
      <c r="C1989" s="2">
        <f>IFERROR(__xludf.DUMMYFUNCTION("""COMPUTED_VALUE"""),542.07)</f>
        <v>542.07</v>
      </c>
      <c r="D1989" s="2">
        <f>IFERROR(__xludf.DUMMYFUNCTION("""COMPUTED_VALUE"""),528.59)</f>
        <v>528.59</v>
      </c>
      <c r="E1989" s="2">
        <f>IFERROR(__xludf.DUMMYFUNCTION("""COMPUTED_VALUE"""),530.18)</f>
        <v>530.18</v>
      </c>
      <c r="F1989" s="2">
        <f>IFERROR(__xludf.DUMMYFUNCTION("""COMPUTED_VALUE"""),3650519.0)</f>
        <v>3650519</v>
      </c>
    </row>
    <row r="1990">
      <c r="A1990" s="3">
        <f>IFERROR(__xludf.DUMMYFUNCTION("""COMPUTED_VALUE"""),40374.645833333336)</f>
        <v>40374.64583</v>
      </c>
      <c r="B1990" s="2">
        <f>IFERROR(__xludf.DUMMYFUNCTION("""COMPUTED_VALUE"""),530.92)</f>
        <v>530.92</v>
      </c>
      <c r="C1990" s="2">
        <f>IFERROR(__xludf.DUMMYFUNCTION("""COMPUTED_VALUE"""),535.36)</f>
        <v>535.36</v>
      </c>
      <c r="D1990" s="2">
        <f>IFERROR(__xludf.DUMMYFUNCTION("""COMPUTED_VALUE"""),529.02)</f>
        <v>529.02</v>
      </c>
      <c r="E1990" s="2">
        <f>IFERROR(__xludf.DUMMYFUNCTION("""COMPUTED_VALUE"""),531.67)</f>
        <v>531.67</v>
      </c>
      <c r="F1990" s="2">
        <f>IFERROR(__xludf.DUMMYFUNCTION("""COMPUTED_VALUE"""),3172106.0)</f>
        <v>3172106</v>
      </c>
    </row>
    <row r="1991">
      <c r="A1991" s="3">
        <f>IFERROR(__xludf.DUMMYFUNCTION("""COMPUTED_VALUE"""),40375.645833333336)</f>
        <v>40375.64583</v>
      </c>
      <c r="B1991" s="2">
        <f>IFERROR(__xludf.DUMMYFUNCTION("""COMPUTED_VALUE"""),530.48)</f>
        <v>530.48</v>
      </c>
      <c r="C1991" s="2">
        <f>IFERROR(__xludf.DUMMYFUNCTION("""COMPUTED_VALUE"""),531.94)</f>
        <v>531.94</v>
      </c>
      <c r="D1991" s="2">
        <f>IFERROR(__xludf.DUMMYFUNCTION("""COMPUTED_VALUE"""),525.0)</f>
        <v>525</v>
      </c>
      <c r="E1991" s="2">
        <f>IFERROR(__xludf.DUMMYFUNCTION("""COMPUTED_VALUE"""),526.47)</f>
        <v>526.47</v>
      </c>
      <c r="F1991" s="2">
        <f>IFERROR(__xludf.DUMMYFUNCTION("""COMPUTED_VALUE"""),2006855.0)</f>
        <v>2006855</v>
      </c>
    </row>
    <row r="1992">
      <c r="A1992" s="3">
        <f>IFERROR(__xludf.DUMMYFUNCTION("""COMPUTED_VALUE"""),40378.645833333336)</f>
        <v>40378.64583</v>
      </c>
      <c r="B1992" s="2">
        <f>IFERROR(__xludf.DUMMYFUNCTION("""COMPUTED_VALUE"""),524.06)</f>
        <v>524.06</v>
      </c>
      <c r="C1992" s="2">
        <f>IFERROR(__xludf.DUMMYFUNCTION("""COMPUTED_VALUE"""),527.93)</f>
        <v>527.93</v>
      </c>
      <c r="D1992" s="2">
        <f>IFERROR(__xludf.DUMMYFUNCTION("""COMPUTED_VALUE"""),521.93)</f>
        <v>521.93</v>
      </c>
      <c r="E1992" s="2">
        <f>IFERROR(__xludf.DUMMYFUNCTION("""COMPUTED_VALUE"""),523.05)</f>
        <v>523.05</v>
      </c>
      <c r="F1992" s="2">
        <f>IFERROR(__xludf.DUMMYFUNCTION("""COMPUTED_VALUE"""),2242066.0)</f>
        <v>2242066</v>
      </c>
    </row>
    <row r="1993">
      <c r="A1993" s="3">
        <f>IFERROR(__xludf.DUMMYFUNCTION("""COMPUTED_VALUE"""),40379.645833333336)</f>
        <v>40379.64583</v>
      </c>
      <c r="B1993" s="2">
        <f>IFERROR(__xludf.DUMMYFUNCTION("""COMPUTED_VALUE"""),523.52)</f>
        <v>523.52</v>
      </c>
      <c r="C1993" s="2">
        <f>IFERROR(__xludf.DUMMYFUNCTION("""COMPUTED_VALUE"""),527.93)</f>
        <v>527.93</v>
      </c>
      <c r="D1993" s="2">
        <f>IFERROR(__xludf.DUMMYFUNCTION("""COMPUTED_VALUE"""),519.61)</f>
        <v>519.61</v>
      </c>
      <c r="E1993" s="2">
        <f>IFERROR(__xludf.DUMMYFUNCTION("""COMPUTED_VALUE"""),521.51)</f>
        <v>521.51</v>
      </c>
      <c r="F1993" s="2">
        <f>IFERROR(__xludf.DUMMYFUNCTION("""COMPUTED_VALUE"""),1564673.0)</f>
        <v>1564673</v>
      </c>
    </row>
    <row r="1994">
      <c r="A1994" s="3">
        <f>IFERROR(__xludf.DUMMYFUNCTION("""COMPUTED_VALUE"""),40380.645833333336)</f>
        <v>40380.64583</v>
      </c>
      <c r="B1994" s="2">
        <f>IFERROR(__xludf.DUMMYFUNCTION("""COMPUTED_VALUE"""),524.46)</f>
        <v>524.46</v>
      </c>
      <c r="C1994" s="2">
        <f>IFERROR(__xludf.DUMMYFUNCTION("""COMPUTED_VALUE"""),526.49)</f>
        <v>526.49</v>
      </c>
      <c r="D1994" s="2">
        <f>IFERROR(__xludf.DUMMYFUNCTION("""COMPUTED_VALUE"""),522.85)</f>
        <v>522.85</v>
      </c>
      <c r="E1994" s="2">
        <f>IFERROR(__xludf.DUMMYFUNCTION("""COMPUTED_VALUE"""),524.21)</f>
        <v>524.21</v>
      </c>
      <c r="F1994" s="2">
        <f>IFERROR(__xludf.DUMMYFUNCTION("""COMPUTED_VALUE"""),2245764.0)</f>
        <v>2245764</v>
      </c>
    </row>
    <row r="1995">
      <c r="A1995" s="3">
        <f>IFERROR(__xludf.DUMMYFUNCTION("""COMPUTED_VALUE"""),40381.645833333336)</f>
        <v>40381.64583</v>
      </c>
      <c r="B1995" s="2">
        <f>IFERROR(__xludf.DUMMYFUNCTION("""COMPUTED_VALUE"""),524.21)</f>
        <v>524.21</v>
      </c>
      <c r="C1995" s="2">
        <f>IFERROR(__xludf.DUMMYFUNCTION("""COMPUTED_VALUE"""),525.43)</f>
        <v>525.43</v>
      </c>
      <c r="D1995" s="2">
        <f>IFERROR(__xludf.DUMMYFUNCTION("""COMPUTED_VALUE"""),518.86)</f>
        <v>518.86</v>
      </c>
      <c r="E1995" s="2">
        <f>IFERROR(__xludf.DUMMYFUNCTION("""COMPUTED_VALUE"""),524.51)</f>
        <v>524.51</v>
      </c>
      <c r="F1995" s="2">
        <f>IFERROR(__xludf.DUMMYFUNCTION("""COMPUTED_VALUE"""),3629863.0)</f>
        <v>3629863</v>
      </c>
    </row>
    <row r="1996">
      <c r="A1996" s="3">
        <f>IFERROR(__xludf.DUMMYFUNCTION("""COMPUTED_VALUE"""),40382.645833333336)</f>
        <v>40382.64583</v>
      </c>
      <c r="B1996" s="2">
        <f>IFERROR(__xludf.DUMMYFUNCTION("""COMPUTED_VALUE"""),526.96)</f>
        <v>526.96</v>
      </c>
      <c r="C1996" s="2">
        <f>IFERROR(__xludf.DUMMYFUNCTION("""COMPUTED_VALUE"""),530.4)</f>
        <v>530.4</v>
      </c>
      <c r="D1996" s="2">
        <f>IFERROR(__xludf.DUMMYFUNCTION("""COMPUTED_VALUE"""),523.42)</f>
        <v>523.42</v>
      </c>
      <c r="E1996" s="2">
        <f>IFERROR(__xludf.DUMMYFUNCTION("""COMPUTED_VALUE"""),525.23)</f>
        <v>525.23</v>
      </c>
      <c r="F1996" s="2">
        <f>IFERROR(__xludf.DUMMYFUNCTION("""COMPUTED_VALUE"""),3152167.0)</f>
        <v>3152167</v>
      </c>
    </row>
    <row r="1997">
      <c r="A1997" s="3">
        <f>IFERROR(__xludf.DUMMYFUNCTION("""COMPUTED_VALUE"""),40385.645833333336)</f>
        <v>40385.64583</v>
      </c>
      <c r="B1997" s="2">
        <f>IFERROR(__xludf.DUMMYFUNCTION("""COMPUTED_VALUE"""),526.74)</f>
        <v>526.74</v>
      </c>
      <c r="C1997" s="2">
        <f>IFERROR(__xludf.DUMMYFUNCTION("""COMPUTED_VALUE"""),528.67)</f>
        <v>528.67</v>
      </c>
      <c r="D1997" s="2">
        <f>IFERROR(__xludf.DUMMYFUNCTION("""COMPUTED_VALUE"""),520.18)</f>
        <v>520.18</v>
      </c>
      <c r="E1997" s="2">
        <f>IFERROR(__xludf.DUMMYFUNCTION("""COMPUTED_VALUE"""),521.59)</f>
        <v>521.59</v>
      </c>
      <c r="F1997" s="2">
        <f>IFERROR(__xludf.DUMMYFUNCTION("""COMPUTED_VALUE"""),2083245.0)</f>
        <v>2083245</v>
      </c>
    </row>
    <row r="1998">
      <c r="A1998" s="3">
        <f>IFERROR(__xludf.DUMMYFUNCTION("""COMPUTED_VALUE"""),40386.645833333336)</f>
        <v>40386.64583</v>
      </c>
      <c r="B1998" s="2">
        <f>IFERROR(__xludf.DUMMYFUNCTION("""COMPUTED_VALUE"""),524.43)</f>
        <v>524.43</v>
      </c>
      <c r="C1998" s="2">
        <f>IFERROR(__xludf.DUMMYFUNCTION("""COMPUTED_VALUE"""),525.57)</f>
        <v>525.57</v>
      </c>
      <c r="D1998" s="2">
        <f>IFERROR(__xludf.DUMMYFUNCTION("""COMPUTED_VALUE"""),520.6)</f>
        <v>520.6</v>
      </c>
      <c r="E1998" s="2">
        <f>IFERROR(__xludf.DUMMYFUNCTION("""COMPUTED_VALUE"""),521.78)</f>
        <v>521.78</v>
      </c>
      <c r="F1998" s="2">
        <f>IFERROR(__xludf.DUMMYFUNCTION("""COMPUTED_VALUE"""),2773497.0)</f>
        <v>2773497</v>
      </c>
    </row>
    <row r="1999">
      <c r="A1999" s="3">
        <f>IFERROR(__xludf.DUMMYFUNCTION("""COMPUTED_VALUE"""),40387.645833333336)</f>
        <v>40387.64583</v>
      </c>
      <c r="B1999" s="2">
        <f>IFERROR(__xludf.DUMMYFUNCTION("""COMPUTED_VALUE"""),526.49)</f>
        <v>526.49</v>
      </c>
      <c r="C1999" s="2">
        <f>IFERROR(__xludf.DUMMYFUNCTION("""COMPUTED_VALUE"""),531.76)</f>
        <v>531.76</v>
      </c>
      <c r="D1999" s="2">
        <f>IFERROR(__xludf.DUMMYFUNCTION("""COMPUTED_VALUE"""),504.2)</f>
        <v>504.2</v>
      </c>
      <c r="E1999" s="2">
        <f>IFERROR(__xludf.DUMMYFUNCTION("""COMPUTED_VALUE"""),505.81)</f>
        <v>505.81</v>
      </c>
      <c r="F1999" s="2">
        <f>IFERROR(__xludf.DUMMYFUNCTION("""COMPUTED_VALUE"""),1.2098248E7)</f>
        <v>12098248</v>
      </c>
    </row>
    <row r="2000">
      <c r="A2000" s="3">
        <f>IFERROR(__xludf.DUMMYFUNCTION("""COMPUTED_VALUE"""),40388.645833333336)</f>
        <v>40388.64583</v>
      </c>
      <c r="B2000" s="2">
        <f>IFERROR(__xludf.DUMMYFUNCTION("""COMPUTED_VALUE"""),509.4)</f>
        <v>509.4</v>
      </c>
      <c r="C2000" s="2">
        <f>IFERROR(__xludf.DUMMYFUNCTION("""COMPUTED_VALUE"""),509.4)</f>
        <v>509.4</v>
      </c>
      <c r="D2000" s="2">
        <f>IFERROR(__xludf.DUMMYFUNCTION("""COMPUTED_VALUE"""),499.25)</f>
        <v>499.25</v>
      </c>
      <c r="E2000" s="2">
        <f>IFERROR(__xludf.DUMMYFUNCTION("""COMPUTED_VALUE"""),500.31)</f>
        <v>500.31</v>
      </c>
      <c r="F2000" s="2">
        <f>IFERROR(__xludf.DUMMYFUNCTION("""COMPUTED_VALUE"""),1.0579193E7)</f>
        <v>10579193</v>
      </c>
    </row>
    <row r="2001">
      <c r="A2001" s="3">
        <f>IFERROR(__xludf.DUMMYFUNCTION("""COMPUTED_VALUE"""),40389.645833333336)</f>
        <v>40389.64583</v>
      </c>
      <c r="B2001" s="2">
        <f>IFERROR(__xludf.DUMMYFUNCTION("""COMPUTED_VALUE"""),502.69)</f>
        <v>502.69</v>
      </c>
      <c r="C2001" s="2">
        <f>IFERROR(__xludf.DUMMYFUNCTION("""COMPUTED_VALUE"""),505.37)</f>
        <v>505.37</v>
      </c>
      <c r="D2001" s="2">
        <f>IFERROR(__xludf.DUMMYFUNCTION("""COMPUTED_VALUE"""),498.88)</f>
        <v>498.88</v>
      </c>
      <c r="E2001" s="2">
        <f>IFERROR(__xludf.DUMMYFUNCTION("""COMPUTED_VALUE"""),500.07)</f>
        <v>500.07</v>
      </c>
      <c r="F2001" s="2">
        <f>IFERROR(__xludf.DUMMYFUNCTION("""COMPUTED_VALUE"""),4398414.0)</f>
        <v>4398414</v>
      </c>
    </row>
    <row r="2002">
      <c r="A2002" s="3">
        <f>IFERROR(__xludf.DUMMYFUNCTION("""COMPUTED_VALUE"""),40392.645833333336)</f>
        <v>40392.64583</v>
      </c>
      <c r="B2002" s="2">
        <f>IFERROR(__xludf.DUMMYFUNCTION("""COMPUTED_VALUE"""),503.21)</f>
        <v>503.21</v>
      </c>
      <c r="C2002" s="2">
        <f>IFERROR(__xludf.DUMMYFUNCTION("""COMPUTED_VALUE"""),506.08)</f>
        <v>506.08</v>
      </c>
      <c r="D2002" s="2">
        <f>IFERROR(__xludf.DUMMYFUNCTION("""COMPUTED_VALUE"""),500.93)</f>
        <v>500.93</v>
      </c>
      <c r="E2002" s="2">
        <f>IFERROR(__xludf.DUMMYFUNCTION("""COMPUTED_VALUE"""),502.49)</f>
        <v>502.49</v>
      </c>
      <c r="F2002" s="2">
        <f>IFERROR(__xludf.DUMMYFUNCTION("""COMPUTED_VALUE"""),2897730.0)</f>
        <v>2897730</v>
      </c>
    </row>
    <row r="2003">
      <c r="A2003" s="3">
        <f>IFERROR(__xludf.DUMMYFUNCTION("""COMPUTED_VALUE"""),40393.645833333336)</f>
        <v>40393.64583</v>
      </c>
      <c r="B2003" s="2">
        <f>IFERROR(__xludf.DUMMYFUNCTION("""COMPUTED_VALUE"""),504.77)</f>
        <v>504.77</v>
      </c>
      <c r="C2003" s="2">
        <f>IFERROR(__xludf.DUMMYFUNCTION("""COMPUTED_VALUE"""),510.59)</f>
        <v>510.59</v>
      </c>
      <c r="D2003" s="2">
        <f>IFERROR(__xludf.DUMMYFUNCTION("""COMPUTED_VALUE"""),502.22)</f>
        <v>502.22</v>
      </c>
      <c r="E2003" s="2">
        <f>IFERROR(__xludf.DUMMYFUNCTION("""COMPUTED_VALUE"""),509.03)</f>
        <v>509.03</v>
      </c>
      <c r="F2003" s="2">
        <f>IFERROR(__xludf.DUMMYFUNCTION("""COMPUTED_VALUE"""),4595476.0)</f>
        <v>4595476</v>
      </c>
    </row>
    <row r="2004">
      <c r="A2004" s="3">
        <f>IFERROR(__xludf.DUMMYFUNCTION("""COMPUTED_VALUE"""),40394.645833333336)</f>
        <v>40394.64583</v>
      </c>
      <c r="B2004" s="2">
        <f>IFERROR(__xludf.DUMMYFUNCTION("""COMPUTED_VALUE"""),509.15)</f>
        <v>509.15</v>
      </c>
      <c r="C2004" s="2">
        <f>IFERROR(__xludf.DUMMYFUNCTION("""COMPUTED_VALUE"""),510.64)</f>
        <v>510.64</v>
      </c>
      <c r="D2004" s="2">
        <f>IFERROR(__xludf.DUMMYFUNCTION("""COMPUTED_VALUE"""),501.5)</f>
        <v>501.5</v>
      </c>
      <c r="E2004" s="2">
        <f>IFERROR(__xludf.DUMMYFUNCTION("""COMPUTED_VALUE"""),503.24)</f>
        <v>503.24</v>
      </c>
      <c r="F2004" s="2">
        <f>IFERROR(__xludf.DUMMYFUNCTION("""COMPUTED_VALUE"""),4187240.0)</f>
        <v>4187240</v>
      </c>
    </row>
    <row r="2005">
      <c r="A2005" s="3">
        <f>IFERROR(__xludf.DUMMYFUNCTION("""COMPUTED_VALUE"""),40395.645833333336)</f>
        <v>40395.64583</v>
      </c>
      <c r="B2005" s="2">
        <f>IFERROR(__xludf.DUMMYFUNCTION("""COMPUTED_VALUE"""),505.17)</f>
        <v>505.17</v>
      </c>
      <c r="C2005" s="2">
        <f>IFERROR(__xludf.DUMMYFUNCTION("""COMPUTED_VALUE"""),507.03)</f>
        <v>507.03</v>
      </c>
      <c r="D2005" s="2">
        <f>IFERROR(__xludf.DUMMYFUNCTION("""COMPUTED_VALUE"""),497.79)</f>
        <v>497.79</v>
      </c>
      <c r="E2005" s="2">
        <f>IFERROR(__xludf.DUMMYFUNCTION("""COMPUTED_VALUE"""),498.78)</f>
        <v>498.78</v>
      </c>
      <c r="F2005" s="2">
        <f>IFERROR(__xludf.DUMMYFUNCTION("""COMPUTED_VALUE"""),4184906.0)</f>
        <v>4184906</v>
      </c>
    </row>
    <row r="2006">
      <c r="A2006" s="3">
        <f>IFERROR(__xludf.DUMMYFUNCTION("""COMPUTED_VALUE"""),40396.645833333336)</f>
        <v>40396.64583</v>
      </c>
      <c r="B2006" s="2">
        <f>IFERROR(__xludf.DUMMYFUNCTION("""COMPUTED_VALUE"""),499.69)</f>
        <v>499.69</v>
      </c>
      <c r="C2006" s="2">
        <f>IFERROR(__xludf.DUMMYFUNCTION("""COMPUTED_VALUE"""),500.29)</f>
        <v>500.29</v>
      </c>
      <c r="D2006" s="2">
        <f>IFERROR(__xludf.DUMMYFUNCTION("""COMPUTED_VALUE"""),494.54)</f>
        <v>494.54</v>
      </c>
      <c r="E2006" s="2">
        <f>IFERROR(__xludf.DUMMYFUNCTION("""COMPUTED_VALUE"""),495.34)</f>
        <v>495.34</v>
      </c>
      <c r="F2006" s="2">
        <f>IFERROR(__xludf.DUMMYFUNCTION("""COMPUTED_VALUE"""),4561587.0)</f>
        <v>4561587</v>
      </c>
    </row>
    <row r="2007">
      <c r="A2007" s="3">
        <f>IFERROR(__xludf.DUMMYFUNCTION("""COMPUTED_VALUE"""),40399.645833333336)</f>
        <v>40399.64583</v>
      </c>
      <c r="B2007" s="2">
        <f>IFERROR(__xludf.DUMMYFUNCTION("""COMPUTED_VALUE"""),495.29)</f>
        <v>495.29</v>
      </c>
      <c r="C2007" s="2">
        <f>IFERROR(__xludf.DUMMYFUNCTION("""COMPUTED_VALUE"""),498.26)</f>
        <v>498.26</v>
      </c>
      <c r="D2007" s="2">
        <f>IFERROR(__xludf.DUMMYFUNCTION("""COMPUTED_VALUE"""),491.32)</f>
        <v>491.32</v>
      </c>
      <c r="E2007" s="2">
        <f>IFERROR(__xludf.DUMMYFUNCTION("""COMPUTED_VALUE"""),492.12)</f>
        <v>492.12</v>
      </c>
      <c r="F2007" s="2">
        <f>IFERROR(__xludf.DUMMYFUNCTION("""COMPUTED_VALUE"""),5086803.0)</f>
        <v>5086803</v>
      </c>
    </row>
    <row r="2008">
      <c r="A2008" s="3">
        <f>IFERROR(__xludf.DUMMYFUNCTION("""COMPUTED_VALUE"""),40400.645833333336)</f>
        <v>40400.64583</v>
      </c>
      <c r="B2008" s="2">
        <f>IFERROR(__xludf.DUMMYFUNCTION("""COMPUTED_VALUE"""),490.83)</f>
        <v>490.83</v>
      </c>
      <c r="C2008" s="2">
        <f>IFERROR(__xludf.DUMMYFUNCTION("""COMPUTED_VALUE"""),496.48)</f>
        <v>496.48</v>
      </c>
      <c r="D2008" s="2">
        <f>IFERROR(__xludf.DUMMYFUNCTION("""COMPUTED_VALUE"""),488.5)</f>
        <v>488.5</v>
      </c>
      <c r="E2008" s="2">
        <f>IFERROR(__xludf.DUMMYFUNCTION("""COMPUTED_VALUE"""),489.29)</f>
        <v>489.29</v>
      </c>
      <c r="F2008" s="2">
        <f>IFERROR(__xludf.DUMMYFUNCTION("""COMPUTED_VALUE"""),4569314.0)</f>
        <v>4569314</v>
      </c>
    </row>
    <row r="2009">
      <c r="A2009" s="3">
        <f>IFERROR(__xludf.DUMMYFUNCTION("""COMPUTED_VALUE"""),40401.645833333336)</f>
        <v>40401.64583</v>
      </c>
      <c r="B2009" s="2">
        <f>IFERROR(__xludf.DUMMYFUNCTION("""COMPUTED_VALUE"""),490.23)</f>
        <v>490.23</v>
      </c>
      <c r="C2009" s="2">
        <f>IFERROR(__xludf.DUMMYFUNCTION("""COMPUTED_VALUE"""),492.76)</f>
        <v>492.76</v>
      </c>
      <c r="D2009" s="2">
        <f>IFERROR(__xludf.DUMMYFUNCTION("""COMPUTED_VALUE"""),485.43)</f>
        <v>485.43</v>
      </c>
      <c r="E2009" s="2">
        <f>IFERROR(__xludf.DUMMYFUNCTION("""COMPUTED_VALUE"""),486.99)</f>
        <v>486.99</v>
      </c>
      <c r="F2009" s="2">
        <f>IFERROR(__xludf.DUMMYFUNCTION("""COMPUTED_VALUE"""),5009919.0)</f>
        <v>5009919</v>
      </c>
    </row>
    <row r="2010">
      <c r="A2010" s="3">
        <f>IFERROR(__xludf.DUMMYFUNCTION("""COMPUTED_VALUE"""),40402.645833333336)</f>
        <v>40402.64583</v>
      </c>
      <c r="B2010" s="2">
        <f>IFERROR(__xludf.DUMMYFUNCTION("""COMPUTED_VALUE"""),485.38)</f>
        <v>485.38</v>
      </c>
      <c r="C2010" s="2">
        <f>IFERROR(__xludf.DUMMYFUNCTION("""COMPUTED_VALUE"""),486.99)</f>
        <v>486.99</v>
      </c>
      <c r="D2010" s="2">
        <f>IFERROR(__xludf.DUMMYFUNCTION("""COMPUTED_VALUE"""),480.43)</f>
        <v>480.43</v>
      </c>
      <c r="E2010" s="2">
        <f>IFERROR(__xludf.DUMMYFUNCTION("""COMPUTED_VALUE"""),481.72)</f>
        <v>481.72</v>
      </c>
      <c r="F2010" s="2">
        <f>IFERROR(__xludf.DUMMYFUNCTION("""COMPUTED_VALUE"""),5694088.0)</f>
        <v>5694088</v>
      </c>
    </row>
    <row r="2011">
      <c r="A2011" s="3">
        <f>IFERROR(__xludf.DUMMYFUNCTION("""COMPUTED_VALUE"""),40403.645833333336)</f>
        <v>40403.64583</v>
      </c>
      <c r="B2011" s="2">
        <f>IFERROR(__xludf.DUMMYFUNCTION("""COMPUTED_VALUE"""),480.68)</f>
        <v>480.68</v>
      </c>
      <c r="C2011" s="2">
        <f>IFERROR(__xludf.DUMMYFUNCTION("""COMPUTED_VALUE"""),492.22)</f>
        <v>492.22</v>
      </c>
      <c r="D2011" s="2">
        <f>IFERROR(__xludf.DUMMYFUNCTION("""COMPUTED_VALUE"""),480.68)</f>
        <v>480.68</v>
      </c>
      <c r="E2011" s="2">
        <f>IFERROR(__xludf.DUMMYFUNCTION("""COMPUTED_VALUE"""),484.94)</f>
        <v>484.94</v>
      </c>
      <c r="F2011" s="2">
        <f>IFERROR(__xludf.DUMMYFUNCTION("""COMPUTED_VALUE"""),6974575.0)</f>
        <v>6974575</v>
      </c>
    </row>
    <row r="2012">
      <c r="A2012" s="3">
        <f>IFERROR(__xludf.DUMMYFUNCTION("""COMPUTED_VALUE"""),40406.645833333336)</f>
        <v>40406.64583</v>
      </c>
      <c r="B2012" s="2">
        <f>IFERROR(__xludf.DUMMYFUNCTION("""COMPUTED_VALUE"""),485.38)</f>
        <v>485.38</v>
      </c>
      <c r="C2012" s="2">
        <f>IFERROR(__xludf.DUMMYFUNCTION("""COMPUTED_VALUE"""),491.28)</f>
        <v>491.28</v>
      </c>
      <c r="D2012" s="2">
        <f>IFERROR(__xludf.DUMMYFUNCTION("""COMPUTED_VALUE"""),482.9)</f>
        <v>482.9</v>
      </c>
      <c r="E2012" s="2">
        <f>IFERROR(__xludf.DUMMYFUNCTION("""COMPUTED_VALUE"""),483.85)</f>
        <v>483.85</v>
      </c>
      <c r="F2012" s="2">
        <f>IFERROR(__xludf.DUMMYFUNCTION("""COMPUTED_VALUE"""),3206742.0)</f>
        <v>3206742</v>
      </c>
    </row>
    <row r="2013">
      <c r="A2013" s="3">
        <f>IFERROR(__xludf.DUMMYFUNCTION("""COMPUTED_VALUE"""),40407.645833333336)</f>
        <v>40407.64583</v>
      </c>
      <c r="B2013" s="2">
        <f>IFERROR(__xludf.DUMMYFUNCTION("""COMPUTED_VALUE"""),485.38)</f>
        <v>485.38</v>
      </c>
      <c r="C2013" s="2">
        <f>IFERROR(__xludf.DUMMYFUNCTION("""COMPUTED_VALUE"""),487.83)</f>
        <v>487.83</v>
      </c>
      <c r="D2013" s="2">
        <f>IFERROR(__xludf.DUMMYFUNCTION("""COMPUTED_VALUE"""),480.43)</f>
        <v>480.43</v>
      </c>
      <c r="E2013" s="2">
        <f>IFERROR(__xludf.DUMMYFUNCTION("""COMPUTED_VALUE"""),480.75)</f>
        <v>480.75</v>
      </c>
      <c r="F2013" s="2">
        <f>IFERROR(__xludf.DUMMYFUNCTION("""COMPUTED_VALUE"""),3380458.0)</f>
        <v>3380458</v>
      </c>
    </row>
    <row r="2014">
      <c r="A2014" s="3">
        <f>IFERROR(__xludf.DUMMYFUNCTION("""COMPUTED_VALUE"""),40408.645833333336)</f>
        <v>40408.64583</v>
      </c>
      <c r="B2014" s="2">
        <f>IFERROR(__xludf.DUMMYFUNCTION("""COMPUTED_VALUE"""),481.91)</f>
        <v>481.91</v>
      </c>
      <c r="C2014" s="2">
        <f>IFERROR(__xludf.DUMMYFUNCTION("""COMPUTED_VALUE"""),483.9)</f>
        <v>483.9</v>
      </c>
      <c r="D2014" s="2">
        <f>IFERROR(__xludf.DUMMYFUNCTION("""COMPUTED_VALUE"""),474.66)</f>
        <v>474.66</v>
      </c>
      <c r="E2014" s="2">
        <f>IFERROR(__xludf.DUMMYFUNCTION("""COMPUTED_VALUE"""),477.75)</f>
        <v>477.75</v>
      </c>
      <c r="F2014" s="2">
        <f>IFERROR(__xludf.DUMMYFUNCTION("""COMPUTED_VALUE"""),5682424.0)</f>
        <v>5682424</v>
      </c>
    </row>
    <row r="2015">
      <c r="A2015" s="3">
        <f>IFERROR(__xludf.DUMMYFUNCTION("""COMPUTED_VALUE"""),40409.645833333336)</f>
        <v>40409.64583</v>
      </c>
      <c r="B2015" s="2">
        <f>IFERROR(__xludf.DUMMYFUNCTION("""COMPUTED_VALUE"""),477.31)</f>
        <v>477.31</v>
      </c>
      <c r="C2015" s="2">
        <f>IFERROR(__xludf.DUMMYFUNCTION("""COMPUTED_VALUE"""),487.81)</f>
        <v>487.81</v>
      </c>
      <c r="D2015" s="2">
        <f>IFERROR(__xludf.DUMMYFUNCTION("""COMPUTED_VALUE"""),477.31)</f>
        <v>477.31</v>
      </c>
      <c r="E2015" s="2">
        <f>IFERROR(__xludf.DUMMYFUNCTION("""COMPUTED_VALUE"""),483.99)</f>
        <v>483.99</v>
      </c>
      <c r="F2015" s="2">
        <f>IFERROR(__xludf.DUMMYFUNCTION("""COMPUTED_VALUE"""),4723202.0)</f>
        <v>4723202</v>
      </c>
    </row>
    <row r="2016">
      <c r="A2016" s="3">
        <f>IFERROR(__xludf.DUMMYFUNCTION("""COMPUTED_VALUE"""),40410.645833333336)</f>
        <v>40410.64583</v>
      </c>
      <c r="B2016" s="2">
        <f>IFERROR(__xludf.DUMMYFUNCTION("""COMPUTED_VALUE"""),483.99)</f>
        <v>483.99</v>
      </c>
      <c r="C2016" s="2">
        <f>IFERROR(__xludf.DUMMYFUNCTION("""COMPUTED_VALUE"""),492.02)</f>
        <v>492.02</v>
      </c>
      <c r="D2016" s="2">
        <f>IFERROR(__xludf.DUMMYFUNCTION("""COMPUTED_VALUE"""),481.67)</f>
        <v>481.67</v>
      </c>
      <c r="E2016" s="2">
        <f>IFERROR(__xludf.DUMMYFUNCTION("""COMPUTED_VALUE"""),489.67)</f>
        <v>489.67</v>
      </c>
      <c r="F2016" s="2">
        <f>IFERROR(__xludf.DUMMYFUNCTION("""COMPUTED_VALUE"""),4799377.0)</f>
        <v>4799377</v>
      </c>
    </row>
    <row r="2017">
      <c r="A2017" s="3">
        <f>IFERROR(__xludf.DUMMYFUNCTION("""COMPUTED_VALUE"""),40413.645833333336)</f>
        <v>40413.64583</v>
      </c>
      <c r="B2017" s="2">
        <f>IFERROR(__xludf.DUMMYFUNCTION("""COMPUTED_VALUE"""),491.35)</f>
        <v>491.35</v>
      </c>
      <c r="C2017" s="2">
        <f>IFERROR(__xludf.DUMMYFUNCTION("""COMPUTED_VALUE"""),491.35)</f>
        <v>491.35</v>
      </c>
      <c r="D2017" s="2">
        <f>IFERROR(__xludf.DUMMYFUNCTION("""COMPUTED_VALUE"""),483.2)</f>
        <v>483.2</v>
      </c>
      <c r="E2017" s="2">
        <f>IFERROR(__xludf.DUMMYFUNCTION("""COMPUTED_VALUE"""),483.85)</f>
        <v>483.85</v>
      </c>
      <c r="F2017" s="2">
        <f>IFERROR(__xludf.DUMMYFUNCTION("""COMPUTED_VALUE"""),3095800.0)</f>
        <v>3095800</v>
      </c>
    </row>
    <row r="2018">
      <c r="A2018" s="3">
        <f>IFERROR(__xludf.DUMMYFUNCTION("""COMPUTED_VALUE"""),40414.645833333336)</f>
        <v>40414.64583</v>
      </c>
      <c r="B2018" s="2">
        <f>IFERROR(__xludf.DUMMYFUNCTION("""COMPUTED_VALUE"""),483.85)</f>
        <v>483.85</v>
      </c>
      <c r="C2018" s="2">
        <f>IFERROR(__xludf.DUMMYFUNCTION("""COMPUTED_VALUE"""),485.88)</f>
        <v>485.88</v>
      </c>
      <c r="D2018" s="2">
        <f>IFERROR(__xludf.DUMMYFUNCTION("""COMPUTED_VALUE"""),479.09)</f>
        <v>479.09</v>
      </c>
      <c r="E2018" s="2">
        <f>IFERROR(__xludf.DUMMYFUNCTION("""COMPUTED_VALUE"""),481.62)</f>
        <v>481.62</v>
      </c>
      <c r="F2018" s="2">
        <f>IFERROR(__xludf.DUMMYFUNCTION("""COMPUTED_VALUE"""),4406206.0)</f>
        <v>4406206</v>
      </c>
    </row>
    <row r="2019">
      <c r="A2019" s="3">
        <f>IFERROR(__xludf.DUMMYFUNCTION("""COMPUTED_VALUE"""),40415.645833333336)</f>
        <v>40415.64583</v>
      </c>
      <c r="B2019" s="2">
        <f>IFERROR(__xludf.DUMMYFUNCTION("""COMPUTED_VALUE"""),480.43)</f>
        <v>480.43</v>
      </c>
      <c r="C2019" s="2">
        <f>IFERROR(__xludf.DUMMYFUNCTION("""COMPUTED_VALUE"""),484.32)</f>
        <v>484.32</v>
      </c>
      <c r="D2019" s="2">
        <f>IFERROR(__xludf.DUMMYFUNCTION("""COMPUTED_VALUE"""),478.2)</f>
        <v>478.2</v>
      </c>
      <c r="E2019" s="2">
        <f>IFERROR(__xludf.DUMMYFUNCTION("""COMPUTED_VALUE"""),479.34)</f>
        <v>479.34</v>
      </c>
      <c r="F2019" s="2">
        <f>IFERROR(__xludf.DUMMYFUNCTION("""COMPUTED_VALUE"""),4256327.0)</f>
        <v>4256327</v>
      </c>
    </row>
    <row r="2020">
      <c r="A2020" s="3">
        <f>IFERROR(__xludf.DUMMYFUNCTION("""COMPUTED_VALUE"""),40416.645833333336)</f>
        <v>40416.64583</v>
      </c>
      <c r="B2020" s="2">
        <f>IFERROR(__xludf.DUMMYFUNCTION("""COMPUTED_VALUE"""),480.43)</f>
        <v>480.43</v>
      </c>
      <c r="C2020" s="2">
        <f>IFERROR(__xludf.DUMMYFUNCTION("""COMPUTED_VALUE"""),481.91)</f>
        <v>481.91</v>
      </c>
      <c r="D2020" s="2">
        <f>IFERROR(__xludf.DUMMYFUNCTION("""COMPUTED_VALUE"""),473.02)</f>
        <v>473.02</v>
      </c>
      <c r="E2020" s="2">
        <f>IFERROR(__xludf.DUMMYFUNCTION("""COMPUTED_VALUE"""),473.72)</f>
        <v>473.72</v>
      </c>
      <c r="F2020" s="2">
        <f>IFERROR(__xludf.DUMMYFUNCTION("""COMPUTED_VALUE"""),6362576.0)</f>
        <v>6362576</v>
      </c>
    </row>
    <row r="2021">
      <c r="A2021" s="3">
        <f>IFERROR(__xludf.DUMMYFUNCTION("""COMPUTED_VALUE"""),40417.645833333336)</f>
        <v>40417.64583</v>
      </c>
      <c r="B2021" s="2">
        <f>IFERROR(__xludf.DUMMYFUNCTION("""COMPUTED_VALUE"""),474.93)</f>
        <v>474.93</v>
      </c>
      <c r="C2021" s="2">
        <f>IFERROR(__xludf.DUMMYFUNCTION("""COMPUTED_VALUE"""),475.92)</f>
        <v>475.92</v>
      </c>
      <c r="D2021" s="2">
        <f>IFERROR(__xludf.DUMMYFUNCTION("""COMPUTED_VALUE"""),468.81)</f>
        <v>468.81</v>
      </c>
      <c r="E2021" s="2">
        <f>IFERROR(__xludf.DUMMYFUNCTION("""COMPUTED_VALUE"""),470.32)</f>
        <v>470.32</v>
      </c>
      <c r="F2021" s="2">
        <f>IFERROR(__xludf.DUMMYFUNCTION("""COMPUTED_VALUE"""),5558199.0)</f>
        <v>5558199</v>
      </c>
    </row>
    <row r="2022">
      <c r="A2022" s="3">
        <f>IFERROR(__xludf.DUMMYFUNCTION("""COMPUTED_VALUE"""),40420.645833333336)</f>
        <v>40420.64583</v>
      </c>
      <c r="B2022" s="2">
        <f>IFERROR(__xludf.DUMMYFUNCTION("""COMPUTED_VALUE"""),471.56)</f>
        <v>471.56</v>
      </c>
      <c r="C2022" s="2">
        <f>IFERROR(__xludf.DUMMYFUNCTION("""COMPUTED_VALUE"""),477.85)</f>
        <v>477.85</v>
      </c>
      <c r="D2022" s="2">
        <f>IFERROR(__xludf.DUMMYFUNCTION("""COMPUTED_VALUE"""),468.05)</f>
        <v>468.05</v>
      </c>
      <c r="E2022" s="2">
        <f>IFERROR(__xludf.DUMMYFUNCTION("""COMPUTED_VALUE"""),469.51)</f>
        <v>469.51</v>
      </c>
      <c r="F2022" s="2">
        <f>IFERROR(__xludf.DUMMYFUNCTION("""COMPUTED_VALUE"""),2722106.0)</f>
        <v>2722106</v>
      </c>
    </row>
    <row r="2023">
      <c r="A2023" s="3">
        <f>IFERROR(__xludf.DUMMYFUNCTION("""COMPUTED_VALUE"""),40421.645833333336)</f>
        <v>40421.64583</v>
      </c>
      <c r="B2023" s="2">
        <f>IFERROR(__xludf.DUMMYFUNCTION("""COMPUTED_VALUE"""),467.87)</f>
        <v>467.87</v>
      </c>
      <c r="C2023" s="2">
        <f>IFERROR(__xludf.DUMMYFUNCTION("""COMPUTED_VALUE"""),470.5)</f>
        <v>470.5</v>
      </c>
      <c r="D2023" s="2">
        <f>IFERROR(__xludf.DUMMYFUNCTION("""COMPUTED_VALUE"""),453.19)</f>
        <v>453.19</v>
      </c>
      <c r="E2023" s="2">
        <f>IFERROR(__xludf.DUMMYFUNCTION("""COMPUTED_VALUE"""),455.27)</f>
        <v>455.27</v>
      </c>
      <c r="F2023" s="2">
        <f>IFERROR(__xludf.DUMMYFUNCTION("""COMPUTED_VALUE"""),1.0653128E7)</f>
        <v>10653128</v>
      </c>
    </row>
    <row r="2024">
      <c r="A2024" s="3">
        <f>IFERROR(__xludf.DUMMYFUNCTION("""COMPUTED_VALUE"""),40422.645833333336)</f>
        <v>40422.64583</v>
      </c>
      <c r="B2024" s="2">
        <f>IFERROR(__xludf.DUMMYFUNCTION("""COMPUTED_VALUE"""),458.17)</f>
        <v>458.17</v>
      </c>
      <c r="C2024" s="2">
        <f>IFERROR(__xludf.DUMMYFUNCTION("""COMPUTED_VALUE"""),467.45)</f>
        <v>467.45</v>
      </c>
      <c r="D2024" s="2">
        <f>IFERROR(__xludf.DUMMYFUNCTION("""COMPUTED_VALUE"""),456.16)</f>
        <v>456.16</v>
      </c>
      <c r="E2024" s="2">
        <f>IFERROR(__xludf.DUMMYFUNCTION("""COMPUTED_VALUE"""),463.69)</f>
        <v>463.69</v>
      </c>
      <c r="F2024" s="2">
        <f>IFERROR(__xludf.DUMMYFUNCTION("""COMPUTED_VALUE"""),6374456.0)</f>
        <v>6374456</v>
      </c>
    </row>
    <row r="2025">
      <c r="A2025" s="3">
        <f>IFERROR(__xludf.DUMMYFUNCTION("""COMPUTED_VALUE"""),40423.645833333336)</f>
        <v>40423.64583</v>
      </c>
      <c r="B2025" s="2">
        <f>IFERROR(__xludf.DUMMYFUNCTION("""COMPUTED_VALUE"""),468.05)</f>
        <v>468.05</v>
      </c>
      <c r="C2025" s="2">
        <f>IFERROR(__xludf.DUMMYFUNCTION("""COMPUTED_VALUE"""),468.86)</f>
        <v>468.86</v>
      </c>
      <c r="D2025" s="2">
        <f>IFERROR(__xludf.DUMMYFUNCTION("""COMPUTED_VALUE"""),463.59)</f>
        <v>463.59</v>
      </c>
      <c r="E2025" s="2">
        <f>IFERROR(__xludf.DUMMYFUNCTION("""COMPUTED_VALUE"""),464.31)</f>
        <v>464.31</v>
      </c>
      <c r="F2025" s="2">
        <f>IFERROR(__xludf.DUMMYFUNCTION("""COMPUTED_VALUE"""),4045759.0)</f>
        <v>4045759</v>
      </c>
    </row>
    <row r="2026">
      <c r="A2026" s="3">
        <f>IFERROR(__xludf.DUMMYFUNCTION("""COMPUTED_VALUE"""),40424.645833333336)</f>
        <v>40424.64583</v>
      </c>
      <c r="B2026" s="2">
        <f>IFERROR(__xludf.DUMMYFUNCTION("""COMPUTED_VALUE"""),465.57)</f>
        <v>465.57</v>
      </c>
      <c r="C2026" s="2">
        <f>IFERROR(__xludf.DUMMYFUNCTION("""COMPUTED_VALUE"""),466.36)</f>
        <v>466.36</v>
      </c>
      <c r="D2026" s="2">
        <f>IFERROR(__xludf.DUMMYFUNCTION("""COMPUTED_VALUE"""),457.74)</f>
        <v>457.74</v>
      </c>
      <c r="E2026" s="2">
        <f>IFERROR(__xludf.DUMMYFUNCTION("""COMPUTED_VALUE"""),458.49)</f>
        <v>458.49</v>
      </c>
      <c r="F2026" s="2">
        <f>IFERROR(__xludf.DUMMYFUNCTION("""COMPUTED_VALUE"""),3300811.0)</f>
        <v>3300811</v>
      </c>
    </row>
    <row r="2027">
      <c r="A2027" s="3">
        <f>IFERROR(__xludf.DUMMYFUNCTION("""COMPUTED_VALUE"""),40427.645833333336)</f>
        <v>40427.64583</v>
      </c>
      <c r="B2027" s="2">
        <f>IFERROR(__xludf.DUMMYFUNCTION("""COMPUTED_VALUE"""),461.09)</f>
        <v>461.09</v>
      </c>
      <c r="C2027" s="2">
        <f>IFERROR(__xludf.DUMMYFUNCTION("""COMPUTED_VALUE"""),474.34)</f>
        <v>474.34</v>
      </c>
      <c r="D2027" s="2">
        <f>IFERROR(__xludf.DUMMYFUNCTION("""COMPUTED_VALUE"""),456.8)</f>
        <v>456.8</v>
      </c>
      <c r="E2027" s="2">
        <f>IFERROR(__xludf.DUMMYFUNCTION("""COMPUTED_VALUE"""),471.84)</f>
        <v>471.84</v>
      </c>
      <c r="F2027" s="2">
        <f>IFERROR(__xludf.DUMMYFUNCTION("""COMPUTED_VALUE"""),7755451.0)</f>
        <v>7755451</v>
      </c>
    </row>
    <row r="2028">
      <c r="A2028" s="3">
        <f>IFERROR(__xludf.DUMMYFUNCTION("""COMPUTED_VALUE"""),40428.645833333336)</f>
        <v>40428.64583</v>
      </c>
      <c r="B2028" s="2">
        <f>IFERROR(__xludf.DUMMYFUNCTION("""COMPUTED_VALUE"""),473.0)</f>
        <v>473</v>
      </c>
      <c r="C2028" s="2">
        <f>IFERROR(__xludf.DUMMYFUNCTION("""COMPUTED_VALUE"""),480.28)</f>
        <v>480.28</v>
      </c>
      <c r="D2028" s="2">
        <f>IFERROR(__xludf.DUMMYFUNCTION("""COMPUTED_VALUE"""),472.01)</f>
        <v>472.01</v>
      </c>
      <c r="E2028" s="2">
        <f>IFERROR(__xludf.DUMMYFUNCTION("""COMPUTED_VALUE"""),476.61)</f>
        <v>476.61</v>
      </c>
      <c r="F2028" s="2">
        <f>IFERROR(__xludf.DUMMYFUNCTION("""COMPUTED_VALUE"""),6487124.0)</f>
        <v>6487124</v>
      </c>
    </row>
    <row r="2029">
      <c r="A2029" s="3">
        <f>IFERROR(__xludf.DUMMYFUNCTION("""COMPUTED_VALUE"""),40429.645833333336)</f>
        <v>40429.64583</v>
      </c>
      <c r="B2029" s="2">
        <f>IFERROR(__xludf.DUMMYFUNCTION("""COMPUTED_VALUE"""),473.05)</f>
        <v>473.05</v>
      </c>
      <c r="C2029" s="2">
        <f>IFERROR(__xludf.DUMMYFUNCTION("""COMPUTED_VALUE"""),477.8)</f>
        <v>477.8</v>
      </c>
      <c r="D2029" s="2">
        <f>IFERROR(__xludf.DUMMYFUNCTION("""COMPUTED_VALUE"""),471.51)</f>
        <v>471.51</v>
      </c>
      <c r="E2029" s="2">
        <f>IFERROR(__xludf.DUMMYFUNCTION("""COMPUTED_VALUE"""),475.28)</f>
        <v>475.28</v>
      </c>
      <c r="F2029" s="2">
        <f>IFERROR(__xludf.DUMMYFUNCTION("""COMPUTED_VALUE"""),2659076.0)</f>
        <v>2659076</v>
      </c>
    </row>
    <row r="2030">
      <c r="A2030" s="3">
        <f>IFERROR(__xludf.DUMMYFUNCTION("""COMPUTED_VALUE"""),40430.645833333336)</f>
        <v>40430.64583</v>
      </c>
      <c r="B2030" s="2">
        <f>IFERROR(__xludf.DUMMYFUNCTION("""COMPUTED_VALUE"""),476.94)</f>
        <v>476.94</v>
      </c>
      <c r="C2030" s="2">
        <f>IFERROR(__xludf.DUMMYFUNCTION("""COMPUTED_VALUE"""),479.04)</f>
        <v>479.04</v>
      </c>
      <c r="D2030" s="2">
        <f>IFERROR(__xludf.DUMMYFUNCTION("""COMPUTED_VALUE"""),473.1)</f>
        <v>473.1</v>
      </c>
      <c r="E2030" s="2">
        <f>IFERROR(__xludf.DUMMYFUNCTION("""COMPUTED_VALUE"""),474.76)</f>
        <v>474.76</v>
      </c>
      <c r="F2030" s="2">
        <f>IFERROR(__xludf.DUMMYFUNCTION("""COMPUTED_VALUE"""),2311961.0)</f>
        <v>2311961</v>
      </c>
    </row>
    <row r="2031">
      <c r="A2031" s="3">
        <f>IFERROR(__xludf.DUMMYFUNCTION("""COMPUTED_VALUE"""),40434.645833333336)</f>
        <v>40434.64583</v>
      </c>
      <c r="B2031" s="2">
        <f>IFERROR(__xludf.DUMMYFUNCTION("""COMPUTED_VALUE"""),481.42)</f>
        <v>481.42</v>
      </c>
      <c r="C2031" s="2">
        <f>IFERROR(__xludf.DUMMYFUNCTION("""COMPUTED_VALUE"""),493.06)</f>
        <v>493.06</v>
      </c>
      <c r="D2031" s="2">
        <f>IFERROR(__xludf.DUMMYFUNCTION("""COMPUTED_VALUE"""),478.13)</f>
        <v>478.13</v>
      </c>
      <c r="E2031" s="2">
        <f>IFERROR(__xludf.DUMMYFUNCTION("""COMPUTED_VALUE"""),491.57)</f>
        <v>491.57</v>
      </c>
      <c r="F2031" s="2">
        <f>IFERROR(__xludf.DUMMYFUNCTION("""COMPUTED_VALUE"""),6280165.0)</f>
        <v>6280165</v>
      </c>
    </row>
    <row r="2032">
      <c r="A2032" s="3">
        <f>IFERROR(__xludf.DUMMYFUNCTION("""COMPUTED_VALUE"""),40435.645833333336)</f>
        <v>40435.64583</v>
      </c>
      <c r="B2032" s="2">
        <f>IFERROR(__xludf.DUMMYFUNCTION("""COMPUTED_VALUE"""),493.06)</f>
        <v>493.06</v>
      </c>
      <c r="C2032" s="2">
        <f>IFERROR(__xludf.DUMMYFUNCTION("""COMPUTED_VALUE"""),496.77)</f>
        <v>496.77</v>
      </c>
      <c r="D2032" s="2">
        <f>IFERROR(__xludf.DUMMYFUNCTION("""COMPUTED_VALUE"""),487.54)</f>
        <v>487.54</v>
      </c>
      <c r="E2032" s="2">
        <f>IFERROR(__xludf.DUMMYFUNCTION("""COMPUTED_VALUE"""),489.42)</f>
        <v>489.42</v>
      </c>
      <c r="F2032" s="2">
        <f>IFERROR(__xludf.DUMMYFUNCTION("""COMPUTED_VALUE"""),4451190.0)</f>
        <v>4451190</v>
      </c>
    </row>
    <row r="2033">
      <c r="A2033" s="3">
        <f>IFERROR(__xludf.DUMMYFUNCTION("""COMPUTED_VALUE"""),40436.645833333336)</f>
        <v>40436.64583</v>
      </c>
      <c r="B2033" s="2">
        <f>IFERROR(__xludf.DUMMYFUNCTION("""COMPUTED_VALUE"""),489.84)</f>
        <v>489.84</v>
      </c>
      <c r="C2033" s="2">
        <f>IFERROR(__xludf.DUMMYFUNCTION("""COMPUTED_VALUE"""),504.55)</f>
        <v>504.55</v>
      </c>
      <c r="D2033" s="2">
        <f>IFERROR(__xludf.DUMMYFUNCTION("""COMPUTED_VALUE"""),489.84)</f>
        <v>489.84</v>
      </c>
      <c r="E2033" s="2">
        <f>IFERROR(__xludf.DUMMYFUNCTION("""COMPUTED_VALUE"""),502.17)</f>
        <v>502.17</v>
      </c>
      <c r="F2033" s="2">
        <f>IFERROR(__xludf.DUMMYFUNCTION("""COMPUTED_VALUE"""),7670039.0)</f>
        <v>7670039</v>
      </c>
    </row>
    <row r="2034">
      <c r="A2034" s="3">
        <f>IFERROR(__xludf.DUMMYFUNCTION("""COMPUTED_VALUE"""),40437.645833333336)</f>
        <v>40437.64583</v>
      </c>
      <c r="B2034" s="2">
        <f>IFERROR(__xludf.DUMMYFUNCTION("""COMPUTED_VALUE"""),501.28)</f>
        <v>501.28</v>
      </c>
      <c r="C2034" s="2">
        <f>IFERROR(__xludf.DUMMYFUNCTION("""COMPUTED_VALUE"""),502.89)</f>
        <v>502.89</v>
      </c>
      <c r="D2034" s="2">
        <f>IFERROR(__xludf.DUMMYFUNCTION("""COMPUTED_VALUE"""),493.9)</f>
        <v>493.9</v>
      </c>
      <c r="E2034" s="2">
        <f>IFERROR(__xludf.DUMMYFUNCTION("""COMPUTED_VALUE"""),495.46)</f>
        <v>495.46</v>
      </c>
      <c r="F2034" s="2">
        <f>IFERROR(__xludf.DUMMYFUNCTION("""COMPUTED_VALUE"""),4238156.0)</f>
        <v>4238156</v>
      </c>
    </row>
    <row r="2035">
      <c r="A2035" s="3">
        <f>IFERROR(__xludf.DUMMYFUNCTION("""COMPUTED_VALUE"""),40438.645833333336)</f>
        <v>40438.64583</v>
      </c>
      <c r="B2035" s="2">
        <f>IFERROR(__xludf.DUMMYFUNCTION("""COMPUTED_VALUE"""),497.76)</f>
        <v>497.76</v>
      </c>
      <c r="C2035" s="2">
        <f>IFERROR(__xludf.DUMMYFUNCTION("""COMPUTED_VALUE"""),510.84)</f>
        <v>510.84</v>
      </c>
      <c r="D2035" s="2">
        <f>IFERROR(__xludf.DUMMYFUNCTION("""COMPUTED_VALUE"""),497.76)</f>
        <v>497.76</v>
      </c>
      <c r="E2035" s="2">
        <f>IFERROR(__xludf.DUMMYFUNCTION("""COMPUTED_VALUE"""),508.83)</f>
        <v>508.83</v>
      </c>
      <c r="F2035" s="2">
        <f>IFERROR(__xludf.DUMMYFUNCTION("""COMPUTED_VALUE"""),7304408.0)</f>
        <v>7304408</v>
      </c>
    </row>
    <row r="2036">
      <c r="A2036" s="3">
        <f>IFERROR(__xludf.DUMMYFUNCTION("""COMPUTED_VALUE"""),40441.645833333336)</f>
        <v>40441.64583</v>
      </c>
      <c r="B2036" s="2">
        <f>IFERROR(__xludf.DUMMYFUNCTION("""COMPUTED_VALUE"""),509.65)</f>
        <v>509.65</v>
      </c>
      <c r="C2036" s="2">
        <f>IFERROR(__xludf.DUMMYFUNCTION("""COMPUTED_VALUE"""),517.05)</f>
        <v>517.05</v>
      </c>
      <c r="D2036" s="2">
        <f>IFERROR(__xludf.DUMMYFUNCTION("""COMPUTED_VALUE"""),505.74)</f>
        <v>505.74</v>
      </c>
      <c r="E2036" s="2">
        <f>IFERROR(__xludf.DUMMYFUNCTION("""COMPUTED_VALUE"""),515.79)</f>
        <v>515.79</v>
      </c>
      <c r="F2036" s="2">
        <f>IFERROR(__xludf.DUMMYFUNCTION("""COMPUTED_VALUE"""),6953447.0)</f>
        <v>6953447</v>
      </c>
    </row>
    <row r="2037">
      <c r="A2037" s="3">
        <f>IFERROR(__xludf.DUMMYFUNCTION("""COMPUTED_VALUE"""),40442.645833333336)</f>
        <v>40442.64583</v>
      </c>
      <c r="B2037" s="2">
        <f>IFERROR(__xludf.DUMMYFUNCTION("""COMPUTED_VALUE"""),516.09)</f>
        <v>516.09</v>
      </c>
      <c r="C2037" s="2">
        <f>IFERROR(__xludf.DUMMYFUNCTION("""COMPUTED_VALUE"""),519.31)</f>
        <v>519.31</v>
      </c>
      <c r="D2037" s="2">
        <f>IFERROR(__xludf.DUMMYFUNCTION("""COMPUTED_VALUE"""),507.69)</f>
        <v>507.69</v>
      </c>
      <c r="E2037" s="2">
        <f>IFERROR(__xludf.DUMMYFUNCTION("""COMPUTED_VALUE"""),512.7)</f>
        <v>512.7</v>
      </c>
      <c r="F2037" s="2">
        <f>IFERROR(__xludf.DUMMYFUNCTION("""COMPUTED_VALUE"""),4880691.0)</f>
        <v>4880691</v>
      </c>
    </row>
    <row r="2038">
      <c r="A2038" s="3">
        <f>IFERROR(__xludf.DUMMYFUNCTION("""COMPUTED_VALUE"""),40443.645833333336)</f>
        <v>40443.64583</v>
      </c>
      <c r="B2038" s="2">
        <f>IFERROR(__xludf.DUMMYFUNCTION("""COMPUTED_VALUE"""),512.13)</f>
        <v>512.13</v>
      </c>
      <c r="C2038" s="2">
        <f>IFERROR(__xludf.DUMMYFUNCTION("""COMPUTED_VALUE"""),516.93)</f>
        <v>516.93</v>
      </c>
      <c r="D2038" s="2">
        <f>IFERROR(__xludf.DUMMYFUNCTION("""COMPUTED_VALUE"""),502.72)</f>
        <v>502.72</v>
      </c>
      <c r="E2038" s="2">
        <f>IFERROR(__xludf.DUMMYFUNCTION("""COMPUTED_VALUE"""),505.22)</f>
        <v>505.22</v>
      </c>
      <c r="F2038" s="2">
        <f>IFERROR(__xludf.DUMMYFUNCTION("""COMPUTED_VALUE"""),5914047.0)</f>
        <v>5914047</v>
      </c>
    </row>
    <row r="2039">
      <c r="A2039" s="3">
        <f>IFERROR(__xludf.DUMMYFUNCTION("""COMPUTED_VALUE"""),40444.645833333336)</f>
        <v>40444.64583</v>
      </c>
      <c r="B2039" s="2">
        <f>IFERROR(__xludf.DUMMYFUNCTION("""COMPUTED_VALUE"""),505.22)</f>
        <v>505.22</v>
      </c>
      <c r="C2039" s="2">
        <f>IFERROR(__xludf.DUMMYFUNCTION("""COMPUTED_VALUE"""),507.17)</f>
        <v>507.17</v>
      </c>
      <c r="D2039" s="2">
        <f>IFERROR(__xludf.DUMMYFUNCTION("""COMPUTED_VALUE"""),493.31)</f>
        <v>493.31</v>
      </c>
      <c r="E2039" s="2">
        <f>IFERROR(__xludf.DUMMYFUNCTION("""COMPUTED_VALUE"""),494.12)</f>
        <v>494.12</v>
      </c>
      <c r="F2039" s="2">
        <f>IFERROR(__xludf.DUMMYFUNCTION("""COMPUTED_VALUE"""),5264383.0)</f>
        <v>5264383</v>
      </c>
    </row>
    <row r="2040">
      <c r="A2040" s="3">
        <f>IFERROR(__xludf.DUMMYFUNCTION("""COMPUTED_VALUE"""),40445.645833333336)</f>
        <v>40445.64583</v>
      </c>
      <c r="B2040" s="2">
        <f>IFERROR(__xludf.DUMMYFUNCTION("""COMPUTED_VALUE"""),495.29)</f>
        <v>495.29</v>
      </c>
      <c r="C2040" s="2">
        <f>IFERROR(__xludf.DUMMYFUNCTION("""COMPUTED_VALUE"""),499.74)</f>
        <v>499.74</v>
      </c>
      <c r="D2040" s="2">
        <f>IFERROR(__xludf.DUMMYFUNCTION("""COMPUTED_VALUE"""),491.37)</f>
        <v>491.37</v>
      </c>
      <c r="E2040" s="2">
        <f>IFERROR(__xludf.DUMMYFUNCTION("""COMPUTED_VALUE"""),496.1)</f>
        <v>496.1</v>
      </c>
      <c r="F2040" s="2">
        <f>IFERROR(__xludf.DUMMYFUNCTION("""COMPUTED_VALUE"""),5181769.0)</f>
        <v>5181769</v>
      </c>
    </row>
    <row r="2041">
      <c r="A2041" s="3">
        <f>IFERROR(__xludf.DUMMYFUNCTION("""COMPUTED_VALUE"""),40448.645833333336)</f>
        <v>40448.64583</v>
      </c>
      <c r="B2041" s="2">
        <f>IFERROR(__xludf.DUMMYFUNCTION("""COMPUTED_VALUE"""),499.25)</f>
        <v>499.25</v>
      </c>
      <c r="C2041" s="2">
        <f>IFERROR(__xludf.DUMMYFUNCTION("""COMPUTED_VALUE"""),505.14)</f>
        <v>505.14</v>
      </c>
      <c r="D2041" s="2">
        <f>IFERROR(__xludf.DUMMYFUNCTION("""COMPUTED_VALUE"""),497.81)</f>
        <v>497.81</v>
      </c>
      <c r="E2041" s="2">
        <f>IFERROR(__xludf.DUMMYFUNCTION("""COMPUTED_VALUE"""),500.34)</f>
        <v>500.34</v>
      </c>
      <c r="F2041" s="2">
        <f>IFERROR(__xludf.DUMMYFUNCTION("""COMPUTED_VALUE"""),3763708.0)</f>
        <v>3763708</v>
      </c>
    </row>
    <row r="2042">
      <c r="A2042" s="3">
        <f>IFERROR(__xludf.DUMMYFUNCTION("""COMPUTED_VALUE"""),40449.645833333336)</f>
        <v>40449.64583</v>
      </c>
      <c r="B2042" s="2">
        <f>IFERROR(__xludf.DUMMYFUNCTION("""COMPUTED_VALUE"""),499.4)</f>
        <v>499.4</v>
      </c>
      <c r="C2042" s="2">
        <f>IFERROR(__xludf.DUMMYFUNCTION("""COMPUTED_VALUE"""),501.23)</f>
        <v>501.23</v>
      </c>
      <c r="D2042" s="2">
        <f>IFERROR(__xludf.DUMMYFUNCTION("""COMPUTED_VALUE"""),491.82)</f>
        <v>491.82</v>
      </c>
      <c r="E2042" s="2">
        <f>IFERROR(__xludf.DUMMYFUNCTION("""COMPUTED_VALUE"""),494.54)</f>
        <v>494.54</v>
      </c>
      <c r="F2042" s="2">
        <f>IFERROR(__xludf.DUMMYFUNCTION("""COMPUTED_VALUE"""),4499090.0)</f>
        <v>4499090</v>
      </c>
    </row>
    <row r="2043">
      <c r="A2043" s="3">
        <f>IFERROR(__xludf.DUMMYFUNCTION("""COMPUTED_VALUE"""),40450.645833333336)</f>
        <v>40450.64583</v>
      </c>
      <c r="B2043" s="2">
        <f>IFERROR(__xludf.DUMMYFUNCTION("""COMPUTED_VALUE"""),495.29)</f>
        <v>495.29</v>
      </c>
      <c r="C2043" s="2">
        <f>IFERROR(__xludf.DUMMYFUNCTION("""COMPUTED_VALUE"""),499.74)</f>
        <v>499.74</v>
      </c>
      <c r="D2043" s="2">
        <f>IFERROR(__xludf.DUMMYFUNCTION("""COMPUTED_VALUE"""),492.81)</f>
        <v>492.81</v>
      </c>
      <c r="E2043" s="2">
        <f>IFERROR(__xludf.DUMMYFUNCTION("""COMPUTED_VALUE"""),494.79)</f>
        <v>494.79</v>
      </c>
      <c r="F2043" s="2">
        <f>IFERROR(__xludf.DUMMYFUNCTION("""COMPUTED_VALUE"""),4066504.0)</f>
        <v>4066504</v>
      </c>
    </row>
    <row r="2044">
      <c r="A2044" s="3">
        <f>IFERROR(__xludf.DUMMYFUNCTION("""COMPUTED_VALUE"""),40451.645833333336)</f>
        <v>40451.64583</v>
      </c>
      <c r="B2044" s="2">
        <f>IFERROR(__xludf.DUMMYFUNCTION("""COMPUTED_VALUE"""),496.28)</f>
        <v>496.28</v>
      </c>
      <c r="C2044" s="2">
        <f>IFERROR(__xludf.DUMMYFUNCTION("""COMPUTED_VALUE"""),496.28)</f>
        <v>496.28</v>
      </c>
      <c r="D2044" s="2">
        <f>IFERROR(__xludf.DUMMYFUNCTION("""COMPUTED_VALUE"""),484.44)</f>
        <v>484.44</v>
      </c>
      <c r="E2044" s="2">
        <f>IFERROR(__xludf.DUMMYFUNCTION("""COMPUTED_VALUE"""),488.97)</f>
        <v>488.97</v>
      </c>
      <c r="F2044" s="2">
        <f>IFERROR(__xludf.DUMMYFUNCTION("""COMPUTED_VALUE"""),6624729.0)</f>
        <v>6624729</v>
      </c>
    </row>
    <row r="2045">
      <c r="A2045" s="3">
        <f>IFERROR(__xludf.DUMMYFUNCTION("""COMPUTED_VALUE"""),40452.645833333336)</f>
        <v>40452.64583</v>
      </c>
      <c r="B2045" s="2">
        <f>IFERROR(__xludf.DUMMYFUNCTION("""COMPUTED_VALUE"""),491.32)</f>
        <v>491.32</v>
      </c>
      <c r="C2045" s="2">
        <f>IFERROR(__xludf.DUMMYFUNCTION("""COMPUTED_VALUE"""),500.24)</f>
        <v>500.24</v>
      </c>
      <c r="D2045" s="2">
        <f>IFERROR(__xludf.DUMMYFUNCTION("""COMPUTED_VALUE"""),490.33)</f>
        <v>490.33</v>
      </c>
      <c r="E2045" s="2">
        <f>IFERROR(__xludf.DUMMYFUNCTION("""COMPUTED_VALUE"""),499.2)</f>
        <v>499.2</v>
      </c>
      <c r="F2045" s="2">
        <f>IFERROR(__xludf.DUMMYFUNCTION("""COMPUTED_VALUE"""),4366861.0)</f>
        <v>4366861</v>
      </c>
    </row>
    <row r="2046">
      <c r="A2046" s="3">
        <f>IFERROR(__xludf.DUMMYFUNCTION("""COMPUTED_VALUE"""),40455.645833333336)</f>
        <v>40455.64583</v>
      </c>
      <c r="B2046" s="2">
        <f>IFERROR(__xludf.DUMMYFUNCTION("""COMPUTED_VALUE"""),502.69)</f>
        <v>502.69</v>
      </c>
      <c r="C2046" s="2">
        <f>IFERROR(__xludf.DUMMYFUNCTION("""COMPUTED_VALUE"""),508.07)</f>
        <v>508.07</v>
      </c>
      <c r="D2046" s="2">
        <f>IFERROR(__xludf.DUMMYFUNCTION("""COMPUTED_VALUE"""),502.69)</f>
        <v>502.69</v>
      </c>
      <c r="E2046" s="2">
        <f>IFERROR(__xludf.DUMMYFUNCTION("""COMPUTED_VALUE"""),504.13)</f>
        <v>504.13</v>
      </c>
      <c r="F2046" s="2">
        <f>IFERROR(__xludf.DUMMYFUNCTION("""COMPUTED_VALUE"""),4837519.0)</f>
        <v>4837519</v>
      </c>
    </row>
    <row r="2047">
      <c r="A2047" s="3">
        <f>IFERROR(__xludf.DUMMYFUNCTION("""COMPUTED_VALUE"""),40456.645833333336)</f>
        <v>40456.64583</v>
      </c>
      <c r="B2047" s="2">
        <f>IFERROR(__xludf.DUMMYFUNCTION("""COMPUTED_VALUE"""),503.21)</f>
        <v>503.21</v>
      </c>
      <c r="C2047" s="2">
        <f>IFERROR(__xludf.DUMMYFUNCTION("""COMPUTED_VALUE"""),511.04)</f>
        <v>511.04</v>
      </c>
      <c r="D2047" s="2">
        <f>IFERROR(__xludf.DUMMYFUNCTION("""COMPUTED_VALUE"""),499.74)</f>
        <v>499.74</v>
      </c>
      <c r="E2047" s="2">
        <f>IFERROR(__xludf.DUMMYFUNCTION("""COMPUTED_VALUE"""),507.1)</f>
        <v>507.1</v>
      </c>
      <c r="F2047" s="2">
        <f>IFERROR(__xludf.DUMMYFUNCTION("""COMPUTED_VALUE"""),5243466.0)</f>
        <v>5243466</v>
      </c>
    </row>
    <row r="2048">
      <c r="A2048" s="3">
        <f>IFERROR(__xludf.DUMMYFUNCTION("""COMPUTED_VALUE"""),40457.645833333336)</f>
        <v>40457.64583</v>
      </c>
      <c r="B2048" s="2">
        <f>IFERROR(__xludf.DUMMYFUNCTION("""COMPUTED_VALUE"""),510.15)</f>
        <v>510.15</v>
      </c>
      <c r="C2048" s="2">
        <f>IFERROR(__xludf.DUMMYFUNCTION("""COMPUTED_VALUE"""),518.57)</f>
        <v>518.57</v>
      </c>
      <c r="D2048" s="2">
        <f>IFERROR(__xludf.DUMMYFUNCTION("""COMPUTED_VALUE"""),508.63)</f>
        <v>508.63</v>
      </c>
      <c r="E2048" s="2">
        <f>IFERROR(__xludf.DUMMYFUNCTION("""COMPUTED_VALUE"""),517.55)</f>
        <v>517.55</v>
      </c>
      <c r="F2048" s="2">
        <f>IFERROR(__xludf.DUMMYFUNCTION("""COMPUTED_VALUE"""),6431802.0)</f>
        <v>6431802</v>
      </c>
    </row>
    <row r="2049">
      <c r="A2049" s="3">
        <f>IFERROR(__xludf.DUMMYFUNCTION("""COMPUTED_VALUE"""),40458.645833333336)</f>
        <v>40458.64583</v>
      </c>
      <c r="B2049" s="2">
        <f>IFERROR(__xludf.DUMMYFUNCTION("""COMPUTED_VALUE"""),517.55)</f>
        <v>517.55</v>
      </c>
      <c r="C2049" s="2">
        <f>IFERROR(__xludf.DUMMYFUNCTION("""COMPUTED_VALUE"""),522.9)</f>
        <v>522.9</v>
      </c>
      <c r="D2049" s="2">
        <f>IFERROR(__xludf.DUMMYFUNCTION("""COMPUTED_VALUE"""),511.38)</f>
        <v>511.38</v>
      </c>
      <c r="E2049" s="2">
        <f>IFERROR(__xludf.DUMMYFUNCTION("""COMPUTED_VALUE"""),514.68)</f>
        <v>514.68</v>
      </c>
      <c r="F2049" s="2">
        <f>IFERROR(__xludf.DUMMYFUNCTION("""COMPUTED_VALUE"""),7211287.0)</f>
        <v>7211287</v>
      </c>
    </row>
    <row r="2050">
      <c r="A2050" s="3">
        <f>IFERROR(__xludf.DUMMYFUNCTION("""COMPUTED_VALUE"""),40459.645833333336)</f>
        <v>40459.64583</v>
      </c>
      <c r="B2050" s="2">
        <f>IFERROR(__xludf.DUMMYFUNCTION("""COMPUTED_VALUE"""),518.42)</f>
        <v>518.42</v>
      </c>
      <c r="C2050" s="2">
        <f>IFERROR(__xludf.DUMMYFUNCTION("""COMPUTED_VALUE"""),522.43)</f>
        <v>522.43</v>
      </c>
      <c r="D2050" s="2">
        <f>IFERROR(__xludf.DUMMYFUNCTION("""COMPUTED_VALUE"""),510.42)</f>
        <v>510.42</v>
      </c>
      <c r="E2050" s="2">
        <f>IFERROR(__xludf.DUMMYFUNCTION("""COMPUTED_VALUE"""),519.88)</f>
        <v>519.88</v>
      </c>
      <c r="F2050" s="2">
        <f>IFERROR(__xludf.DUMMYFUNCTION("""COMPUTED_VALUE"""),4769466.0)</f>
        <v>4769466</v>
      </c>
    </row>
    <row r="2051">
      <c r="A2051" s="3">
        <f>IFERROR(__xludf.DUMMYFUNCTION("""COMPUTED_VALUE"""),40462.645833333336)</f>
        <v>40462.64583</v>
      </c>
      <c r="B2051" s="2">
        <f>IFERROR(__xludf.DUMMYFUNCTION("""COMPUTED_VALUE"""),523.02)</f>
        <v>523.02</v>
      </c>
      <c r="C2051" s="2">
        <f>IFERROR(__xludf.DUMMYFUNCTION("""COMPUTED_VALUE"""),531.07)</f>
        <v>531.07</v>
      </c>
      <c r="D2051" s="2">
        <f>IFERROR(__xludf.DUMMYFUNCTION("""COMPUTED_VALUE"""),521.59)</f>
        <v>521.59</v>
      </c>
      <c r="E2051" s="2">
        <f>IFERROR(__xludf.DUMMYFUNCTION("""COMPUTED_VALUE"""),529.56)</f>
        <v>529.56</v>
      </c>
      <c r="F2051" s="2">
        <f>IFERROR(__xludf.DUMMYFUNCTION("""COMPUTED_VALUE"""),5896732.0)</f>
        <v>5896732</v>
      </c>
    </row>
    <row r="2052">
      <c r="A2052" s="3">
        <f>IFERROR(__xludf.DUMMYFUNCTION("""COMPUTED_VALUE"""),40463.645833333336)</f>
        <v>40463.64583</v>
      </c>
      <c r="B2052" s="2">
        <f>IFERROR(__xludf.DUMMYFUNCTION("""COMPUTED_VALUE"""),528.97)</f>
        <v>528.97</v>
      </c>
      <c r="C2052" s="2">
        <f>IFERROR(__xludf.DUMMYFUNCTION("""COMPUTED_VALUE"""),529.66)</f>
        <v>529.66</v>
      </c>
      <c r="D2052" s="2">
        <f>IFERROR(__xludf.DUMMYFUNCTION("""COMPUTED_VALUE"""),518.14)</f>
        <v>518.14</v>
      </c>
      <c r="E2052" s="2">
        <f>IFERROR(__xludf.DUMMYFUNCTION("""COMPUTED_VALUE"""),522.82)</f>
        <v>522.82</v>
      </c>
      <c r="F2052" s="2">
        <f>IFERROR(__xludf.DUMMYFUNCTION("""COMPUTED_VALUE"""),3195565.0)</f>
        <v>3195565</v>
      </c>
    </row>
    <row r="2053">
      <c r="A2053" s="3">
        <f>IFERROR(__xludf.DUMMYFUNCTION("""COMPUTED_VALUE"""),40464.645833333336)</f>
        <v>40464.64583</v>
      </c>
      <c r="B2053" s="2">
        <f>IFERROR(__xludf.DUMMYFUNCTION("""COMPUTED_VALUE"""),523.07)</f>
        <v>523.07</v>
      </c>
      <c r="C2053" s="2">
        <f>IFERROR(__xludf.DUMMYFUNCTION("""COMPUTED_VALUE"""),531.94)</f>
        <v>531.94</v>
      </c>
      <c r="D2053" s="2">
        <f>IFERROR(__xludf.DUMMYFUNCTION("""COMPUTED_VALUE"""),522.38)</f>
        <v>522.38</v>
      </c>
      <c r="E2053" s="2">
        <f>IFERROR(__xludf.DUMMYFUNCTION("""COMPUTED_VALUE"""),531.47)</f>
        <v>531.47</v>
      </c>
      <c r="F2053" s="2">
        <f>IFERROR(__xludf.DUMMYFUNCTION("""COMPUTED_VALUE"""),5478523.0)</f>
        <v>5478523</v>
      </c>
    </row>
    <row r="2054">
      <c r="A2054" s="3">
        <f>IFERROR(__xludf.DUMMYFUNCTION("""COMPUTED_VALUE"""),40465.645833333336)</f>
        <v>40465.64583</v>
      </c>
      <c r="B2054" s="2">
        <f>IFERROR(__xludf.DUMMYFUNCTION("""COMPUTED_VALUE"""),532.43)</f>
        <v>532.43</v>
      </c>
      <c r="C2054" s="2">
        <f>IFERROR(__xludf.DUMMYFUNCTION("""COMPUTED_VALUE"""),535.65)</f>
        <v>535.65</v>
      </c>
      <c r="D2054" s="2">
        <f>IFERROR(__xludf.DUMMYFUNCTION("""COMPUTED_VALUE"""),522.13)</f>
        <v>522.13</v>
      </c>
      <c r="E2054" s="2">
        <f>IFERROR(__xludf.DUMMYFUNCTION("""COMPUTED_VALUE"""),524.51)</f>
        <v>524.51</v>
      </c>
      <c r="F2054" s="2">
        <f>IFERROR(__xludf.DUMMYFUNCTION("""COMPUTED_VALUE"""),5580792.0)</f>
        <v>5580792</v>
      </c>
    </row>
    <row r="2055">
      <c r="A2055" s="3">
        <f>IFERROR(__xludf.DUMMYFUNCTION("""COMPUTED_VALUE"""),40466.645833333336)</f>
        <v>40466.64583</v>
      </c>
      <c r="B2055" s="2">
        <f>IFERROR(__xludf.DUMMYFUNCTION("""COMPUTED_VALUE"""),525.0)</f>
        <v>525</v>
      </c>
      <c r="C2055" s="2">
        <f>IFERROR(__xludf.DUMMYFUNCTION("""COMPUTED_VALUE"""),528.97)</f>
        <v>528.97</v>
      </c>
      <c r="D2055" s="2">
        <f>IFERROR(__xludf.DUMMYFUNCTION("""COMPUTED_VALUE"""),512.92)</f>
        <v>512.92</v>
      </c>
      <c r="E2055" s="2">
        <f>IFERROR(__xludf.DUMMYFUNCTION("""COMPUTED_VALUE"""),515.27)</f>
        <v>515.27</v>
      </c>
      <c r="F2055" s="2">
        <f>IFERROR(__xludf.DUMMYFUNCTION("""COMPUTED_VALUE"""),2652016.0)</f>
        <v>2652016</v>
      </c>
    </row>
    <row r="2056">
      <c r="A2056" s="3">
        <f>IFERROR(__xludf.DUMMYFUNCTION("""COMPUTED_VALUE"""),40469.645833333336)</f>
        <v>40469.64583</v>
      </c>
      <c r="B2056" s="2">
        <f>IFERROR(__xludf.DUMMYFUNCTION("""COMPUTED_VALUE"""),516.21)</f>
        <v>516.21</v>
      </c>
      <c r="C2056" s="2">
        <f>IFERROR(__xludf.DUMMYFUNCTION("""COMPUTED_VALUE"""),527.46)</f>
        <v>527.46</v>
      </c>
      <c r="D2056" s="2">
        <f>IFERROR(__xludf.DUMMYFUNCTION("""COMPUTED_VALUE"""),511.76)</f>
        <v>511.76</v>
      </c>
      <c r="E2056" s="2">
        <f>IFERROR(__xludf.DUMMYFUNCTION("""COMPUTED_VALUE"""),518.79)</f>
        <v>518.79</v>
      </c>
      <c r="F2056" s="2">
        <f>IFERROR(__xludf.DUMMYFUNCTION("""COMPUTED_VALUE"""),5076676.0)</f>
        <v>5076676</v>
      </c>
    </row>
    <row r="2057">
      <c r="A2057" s="3">
        <f>IFERROR(__xludf.DUMMYFUNCTION("""COMPUTED_VALUE"""),40470.645833333336)</f>
        <v>40470.64583</v>
      </c>
      <c r="B2057" s="2">
        <f>IFERROR(__xludf.DUMMYFUNCTION("""COMPUTED_VALUE"""),527.48)</f>
        <v>527.48</v>
      </c>
      <c r="C2057" s="2">
        <f>IFERROR(__xludf.DUMMYFUNCTION("""COMPUTED_VALUE"""),529.31)</f>
        <v>529.31</v>
      </c>
      <c r="D2057" s="2">
        <f>IFERROR(__xludf.DUMMYFUNCTION("""COMPUTED_VALUE"""),514.73)</f>
        <v>514.73</v>
      </c>
      <c r="E2057" s="2">
        <f>IFERROR(__xludf.DUMMYFUNCTION("""COMPUTED_VALUE"""),517.28)</f>
        <v>517.28</v>
      </c>
      <c r="F2057" s="2">
        <f>IFERROR(__xludf.DUMMYFUNCTION("""COMPUTED_VALUE"""),4246988.0)</f>
        <v>4246988</v>
      </c>
    </row>
    <row r="2058">
      <c r="A2058" s="3">
        <f>IFERROR(__xludf.DUMMYFUNCTION("""COMPUTED_VALUE"""),40471.645833333336)</f>
        <v>40471.64583</v>
      </c>
      <c r="B2058" s="2">
        <f>IFERROR(__xludf.DUMMYFUNCTION("""COMPUTED_VALUE"""),514.8)</f>
        <v>514.8</v>
      </c>
      <c r="C2058" s="2">
        <f>IFERROR(__xludf.DUMMYFUNCTION("""COMPUTED_VALUE"""),527.18)</f>
        <v>527.18</v>
      </c>
      <c r="D2058" s="2">
        <f>IFERROR(__xludf.DUMMYFUNCTION("""COMPUTED_VALUE"""),514.11)</f>
        <v>514.11</v>
      </c>
      <c r="E2058" s="2">
        <f>IFERROR(__xludf.DUMMYFUNCTION("""COMPUTED_VALUE"""),519.78)</f>
        <v>519.78</v>
      </c>
      <c r="F2058" s="2">
        <f>IFERROR(__xludf.DUMMYFUNCTION("""COMPUTED_VALUE"""),4167720.0)</f>
        <v>4167720</v>
      </c>
    </row>
    <row r="2059">
      <c r="A2059" s="3">
        <f>IFERROR(__xludf.DUMMYFUNCTION("""COMPUTED_VALUE"""),40472.645833333336)</f>
        <v>40472.64583</v>
      </c>
      <c r="B2059" s="2">
        <f>IFERROR(__xludf.DUMMYFUNCTION("""COMPUTED_VALUE"""),521.04)</f>
        <v>521.04</v>
      </c>
      <c r="C2059" s="2">
        <f>IFERROR(__xludf.DUMMYFUNCTION("""COMPUTED_VALUE"""),538.8)</f>
        <v>538.8</v>
      </c>
      <c r="D2059" s="2">
        <f>IFERROR(__xludf.DUMMYFUNCTION("""COMPUTED_VALUE"""),519.66)</f>
        <v>519.66</v>
      </c>
      <c r="E2059" s="2">
        <f>IFERROR(__xludf.DUMMYFUNCTION("""COMPUTED_VALUE"""),535.73)</f>
        <v>535.73</v>
      </c>
      <c r="F2059" s="2">
        <f>IFERROR(__xludf.DUMMYFUNCTION("""COMPUTED_VALUE"""),8520014.0)</f>
        <v>8520014</v>
      </c>
    </row>
    <row r="2060">
      <c r="A2060" s="3">
        <f>IFERROR(__xludf.DUMMYFUNCTION("""COMPUTED_VALUE"""),40473.645833333336)</f>
        <v>40473.64583</v>
      </c>
      <c r="B2060" s="2">
        <f>IFERROR(__xludf.DUMMYFUNCTION("""COMPUTED_VALUE"""),537.61)</f>
        <v>537.61</v>
      </c>
      <c r="C2060" s="2">
        <f>IFERROR(__xludf.DUMMYFUNCTION("""COMPUTED_VALUE"""),541.74)</f>
        <v>541.74</v>
      </c>
      <c r="D2060" s="2">
        <f>IFERROR(__xludf.DUMMYFUNCTION("""COMPUTED_VALUE"""),532.11)</f>
        <v>532.11</v>
      </c>
      <c r="E2060" s="2">
        <f>IFERROR(__xludf.DUMMYFUNCTION("""COMPUTED_VALUE"""),535.8)</f>
        <v>535.8</v>
      </c>
      <c r="F2060" s="2">
        <f>IFERROR(__xludf.DUMMYFUNCTION("""COMPUTED_VALUE"""),4486466.0)</f>
        <v>4486466</v>
      </c>
    </row>
    <row r="2061">
      <c r="A2061" s="3">
        <f>IFERROR(__xludf.DUMMYFUNCTION("""COMPUTED_VALUE"""),40476.645833333336)</f>
        <v>40476.64583</v>
      </c>
      <c r="B2061" s="2">
        <f>IFERROR(__xludf.DUMMYFUNCTION("""COMPUTED_VALUE"""),538.87)</f>
        <v>538.87</v>
      </c>
      <c r="C2061" s="2">
        <f>IFERROR(__xludf.DUMMYFUNCTION("""COMPUTED_VALUE"""),545.76)</f>
        <v>545.76</v>
      </c>
      <c r="D2061" s="2">
        <f>IFERROR(__xludf.DUMMYFUNCTION("""COMPUTED_VALUE"""),537.88)</f>
        <v>537.88</v>
      </c>
      <c r="E2061" s="2">
        <f>IFERROR(__xludf.DUMMYFUNCTION("""COMPUTED_VALUE"""),540.04)</f>
        <v>540.04</v>
      </c>
      <c r="F2061" s="2">
        <f>IFERROR(__xludf.DUMMYFUNCTION("""COMPUTED_VALUE"""),4118875.0)</f>
        <v>4118875</v>
      </c>
    </row>
    <row r="2062">
      <c r="A2062" s="3">
        <f>IFERROR(__xludf.DUMMYFUNCTION("""COMPUTED_VALUE"""),40477.645833333336)</f>
        <v>40477.64583</v>
      </c>
      <c r="B2062" s="2">
        <f>IFERROR(__xludf.DUMMYFUNCTION("""COMPUTED_VALUE"""),540.31)</f>
        <v>540.31</v>
      </c>
      <c r="C2062" s="2">
        <f>IFERROR(__xludf.DUMMYFUNCTION("""COMPUTED_VALUE"""),545.29)</f>
        <v>545.29</v>
      </c>
      <c r="D2062" s="2">
        <f>IFERROR(__xludf.DUMMYFUNCTION("""COMPUTED_VALUE"""),538.43)</f>
        <v>538.43</v>
      </c>
      <c r="E2062" s="2">
        <f>IFERROR(__xludf.DUMMYFUNCTION("""COMPUTED_VALUE"""),544.25)</f>
        <v>544.25</v>
      </c>
      <c r="F2062" s="2">
        <f>IFERROR(__xludf.DUMMYFUNCTION("""COMPUTED_VALUE"""),3530281.0)</f>
        <v>3530281</v>
      </c>
    </row>
    <row r="2063">
      <c r="A2063" s="3">
        <f>IFERROR(__xludf.DUMMYFUNCTION("""COMPUTED_VALUE"""),40478.645833333336)</f>
        <v>40478.64583</v>
      </c>
      <c r="B2063" s="2">
        <f>IFERROR(__xludf.DUMMYFUNCTION("""COMPUTED_VALUE"""),543.83)</f>
        <v>543.83</v>
      </c>
      <c r="C2063" s="2">
        <f>IFERROR(__xludf.DUMMYFUNCTION("""COMPUTED_VALUE"""),549.77)</f>
        <v>549.77</v>
      </c>
      <c r="D2063" s="2">
        <f>IFERROR(__xludf.DUMMYFUNCTION("""COMPUTED_VALUE"""),536.52)</f>
        <v>536.52</v>
      </c>
      <c r="E2063" s="2">
        <f>IFERROR(__xludf.DUMMYFUNCTION("""COMPUTED_VALUE"""),541.22)</f>
        <v>541.22</v>
      </c>
      <c r="F2063" s="2">
        <f>IFERROR(__xludf.DUMMYFUNCTION("""COMPUTED_VALUE"""),5016615.0)</f>
        <v>5016615</v>
      </c>
    </row>
    <row r="2064">
      <c r="A2064" s="3">
        <f>IFERROR(__xludf.DUMMYFUNCTION("""COMPUTED_VALUE"""),40479.645833333336)</f>
        <v>40479.64583</v>
      </c>
      <c r="B2064" s="2">
        <f>IFERROR(__xludf.DUMMYFUNCTION("""COMPUTED_VALUE"""),544.52)</f>
        <v>544.52</v>
      </c>
      <c r="C2064" s="2">
        <f>IFERROR(__xludf.DUMMYFUNCTION("""COMPUTED_VALUE"""),545.26)</f>
        <v>545.26</v>
      </c>
      <c r="D2064" s="2">
        <f>IFERROR(__xludf.DUMMYFUNCTION("""COMPUTED_VALUE"""),532.24)</f>
        <v>532.24</v>
      </c>
      <c r="E2064" s="2">
        <f>IFERROR(__xludf.DUMMYFUNCTION("""COMPUTED_VALUE"""),535.9)</f>
        <v>535.9</v>
      </c>
      <c r="F2064" s="2">
        <f>IFERROR(__xludf.DUMMYFUNCTION("""COMPUTED_VALUE"""),8271973.0)</f>
        <v>8271973</v>
      </c>
    </row>
    <row r="2065">
      <c r="A2065" s="3">
        <f>IFERROR(__xludf.DUMMYFUNCTION("""COMPUTED_VALUE"""),40480.645833333336)</f>
        <v>40480.64583</v>
      </c>
      <c r="B2065" s="2">
        <f>IFERROR(__xludf.DUMMYFUNCTION("""COMPUTED_VALUE"""),538.72)</f>
        <v>538.72</v>
      </c>
      <c r="C2065" s="2">
        <f>IFERROR(__xludf.DUMMYFUNCTION("""COMPUTED_VALUE"""),548.38)</f>
        <v>548.38</v>
      </c>
      <c r="D2065" s="2">
        <f>IFERROR(__xludf.DUMMYFUNCTION("""COMPUTED_VALUE"""),535.16)</f>
        <v>535.16</v>
      </c>
      <c r="E2065" s="2">
        <f>IFERROR(__xludf.DUMMYFUNCTION("""COMPUTED_VALUE"""),542.96)</f>
        <v>542.96</v>
      </c>
      <c r="F2065" s="2">
        <f>IFERROR(__xludf.DUMMYFUNCTION("""COMPUTED_VALUE"""),6794099.0)</f>
        <v>6794099</v>
      </c>
    </row>
    <row r="2066">
      <c r="A2066" s="3">
        <f>IFERROR(__xludf.DUMMYFUNCTION("""COMPUTED_VALUE"""),40483.645833333336)</f>
        <v>40483.64583</v>
      </c>
      <c r="B2066" s="2">
        <f>IFERROR(__xludf.DUMMYFUNCTION("""COMPUTED_VALUE"""),555.22)</f>
        <v>555.22</v>
      </c>
      <c r="C2066" s="2">
        <f>IFERROR(__xludf.DUMMYFUNCTION("""COMPUTED_VALUE"""),557.15)</f>
        <v>557.15</v>
      </c>
      <c r="D2066" s="2">
        <f>IFERROR(__xludf.DUMMYFUNCTION("""COMPUTED_VALUE"""),539.49)</f>
        <v>539.49</v>
      </c>
      <c r="E2066" s="2">
        <f>IFERROR(__xludf.DUMMYFUNCTION("""COMPUTED_VALUE"""),541.45)</f>
        <v>541.45</v>
      </c>
      <c r="F2066" s="2">
        <f>IFERROR(__xludf.DUMMYFUNCTION("""COMPUTED_VALUE"""),6973910.0)</f>
        <v>6973910</v>
      </c>
    </row>
    <row r="2067">
      <c r="A2067" s="3">
        <f>IFERROR(__xludf.DUMMYFUNCTION("""COMPUTED_VALUE"""),40484.645833333336)</f>
        <v>40484.64583</v>
      </c>
      <c r="B2067" s="2">
        <f>IFERROR(__xludf.DUMMYFUNCTION("""COMPUTED_VALUE"""),542.54)</f>
        <v>542.54</v>
      </c>
      <c r="C2067" s="2">
        <f>IFERROR(__xludf.DUMMYFUNCTION("""COMPUTED_VALUE"""),542.54)</f>
        <v>542.54</v>
      </c>
      <c r="D2067" s="2">
        <f>IFERROR(__xludf.DUMMYFUNCTION("""COMPUTED_VALUE"""),530.11)</f>
        <v>530.11</v>
      </c>
      <c r="E2067" s="2">
        <f>IFERROR(__xludf.DUMMYFUNCTION("""COMPUTED_VALUE"""),532.36)</f>
        <v>532.36</v>
      </c>
      <c r="F2067" s="2">
        <f>IFERROR(__xludf.DUMMYFUNCTION("""COMPUTED_VALUE"""),4654108.0)</f>
        <v>4654108</v>
      </c>
    </row>
    <row r="2068">
      <c r="A2068" s="3">
        <f>IFERROR(__xludf.DUMMYFUNCTION("""COMPUTED_VALUE"""),40485.645833333336)</f>
        <v>40485.64583</v>
      </c>
      <c r="B2068" s="2">
        <f>IFERROR(__xludf.DUMMYFUNCTION("""COMPUTED_VALUE"""),535.9)</f>
        <v>535.9</v>
      </c>
      <c r="C2068" s="2">
        <f>IFERROR(__xludf.DUMMYFUNCTION("""COMPUTED_VALUE"""),537.34)</f>
        <v>537.34</v>
      </c>
      <c r="D2068" s="2">
        <f>IFERROR(__xludf.DUMMYFUNCTION("""COMPUTED_VALUE"""),526.32)</f>
        <v>526.32</v>
      </c>
      <c r="E2068" s="2">
        <f>IFERROR(__xludf.DUMMYFUNCTION("""COMPUTED_VALUE"""),527.63)</f>
        <v>527.63</v>
      </c>
      <c r="F2068" s="2">
        <f>IFERROR(__xludf.DUMMYFUNCTION("""COMPUTED_VALUE"""),4557947.0)</f>
        <v>4557947</v>
      </c>
    </row>
    <row r="2069">
      <c r="A2069" s="3">
        <f>IFERROR(__xludf.DUMMYFUNCTION("""COMPUTED_VALUE"""),40486.645833333336)</f>
        <v>40486.64583</v>
      </c>
      <c r="B2069" s="2">
        <f>IFERROR(__xludf.DUMMYFUNCTION("""COMPUTED_VALUE"""),533.87)</f>
        <v>533.87</v>
      </c>
      <c r="C2069" s="2">
        <f>IFERROR(__xludf.DUMMYFUNCTION("""COMPUTED_VALUE"""),548.28)</f>
        <v>548.28</v>
      </c>
      <c r="D2069" s="2">
        <f>IFERROR(__xludf.DUMMYFUNCTION("""COMPUTED_VALUE"""),532.43)</f>
        <v>532.43</v>
      </c>
      <c r="E2069" s="2">
        <f>IFERROR(__xludf.DUMMYFUNCTION("""COMPUTED_VALUE"""),547.32)</f>
        <v>547.32</v>
      </c>
      <c r="F2069" s="2">
        <f>IFERROR(__xludf.DUMMYFUNCTION("""COMPUTED_VALUE"""),5557273.0)</f>
        <v>5557273</v>
      </c>
    </row>
    <row r="2070">
      <c r="A2070" s="3">
        <f>IFERROR(__xludf.DUMMYFUNCTION("""COMPUTED_VALUE"""),40487.645833333336)</f>
        <v>40487.64583</v>
      </c>
      <c r="B2070" s="2">
        <f>IFERROR(__xludf.DUMMYFUNCTION("""COMPUTED_VALUE"""),551.75)</f>
        <v>551.75</v>
      </c>
      <c r="C2070" s="2">
        <f>IFERROR(__xludf.DUMMYFUNCTION("""COMPUTED_VALUE"""),553.48)</f>
        <v>553.48</v>
      </c>
      <c r="D2070" s="2">
        <f>IFERROR(__xludf.DUMMYFUNCTION("""COMPUTED_VALUE"""),544.96)</f>
        <v>544.96</v>
      </c>
      <c r="E2070" s="2">
        <f>IFERROR(__xludf.DUMMYFUNCTION("""COMPUTED_VALUE"""),545.86)</f>
        <v>545.86</v>
      </c>
      <c r="F2070" s="2">
        <f>IFERROR(__xludf.DUMMYFUNCTION("""COMPUTED_VALUE"""),1456535.0)</f>
        <v>1456535</v>
      </c>
    </row>
    <row r="2071">
      <c r="A2071" s="3">
        <f>IFERROR(__xludf.DUMMYFUNCTION("""COMPUTED_VALUE"""),40490.645833333336)</f>
        <v>40490.64583</v>
      </c>
      <c r="B2071" s="2">
        <f>IFERROR(__xludf.DUMMYFUNCTION("""COMPUTED_VALUE"""),551.7)</f>
        <v>551.7</v>
      </c>
      <c r="C2071" s="2">
        <f>IFERROR(__xludf.DUMMYFUNCTION("""COMPUTED_VALUE"""),554.23)</f>
        <v>554.23</v>
      </c>
      <c r="D2071" s="2">
        <f>IFERROR(__xludf.DUMMYFUNCTION("""COMPUTED_VALUE"""),545.09)</f>
        <v>545.09</v>
      </c>
      <c r="E2071" s="2">
        <f>IFERROR(__xludf.DUMMYFUNCTION("""COMPUTED_VALUE"""),550.68)</f>
        <v>550.68</v>
      </c>
      <c r="F2071" s="2">
        <f>IFERROR(__xludf.DUMMYFUNCTION("""COMPUTED_VALUE"""),5112060.0)</f>
        <v>5112060</v>
      </c>
    </row>
    <row r="2072">
      <c r="A2072" s="3">
        <f>IFERROR(__xludf.DUMMYFUNCTION("""COMPUTED_VALUE"""),40491.645833333336)</f>
        <v>40491.64583</v>
      </c>
      <c r="B2072" s="2">
        <f>IFERROR(__xludf.DUMMYFUNCTION("""COMPUTED_VALUE"""),550.88)</f>
        <v>550.88</v>
      </c>
      <c r="C2072" s="2">
        <f>IFERROR(__xludf.DUMMYFUNCTION("""COMPUTED_VALUE"""),554.97)</f>
        <v>554.97</v>
      </c>
      <c r="D2072" s="2">
        <f>IFERROR(__xludf.DUMMYFUNCTION("""COMPUTED_VALUE"""),543.45)</f>
        <v>543.45</v>
      </c>
      <c r="E2072" s="2">
        <f>IFERROR(__xludf.DUMMYFUNCTION("""COMPUTED_VALUE"""),549.05)</f>
        <v>549.05</v>
      </c>
      <c r="F2072" s="2">
        <f>IFERROR(__xludf.DUMMYFUNCTION("""COMPUTED_VALUE"""),3522480.0)</f>
        <v>3522480</v>
      </c>
    </row>
    <row r="2073">
      <c r="A2073" s="3">
        <f>IFERROR(__xludf.DUMMYFUNCTION("""COMPUTED_VALUE"""),40492.645833333336)</f>
        <v>40492.64583</v>
      </c>
      <c r="B2073" s="2">
        <f>IFERROR(__xludf.DUMMYFUNCTION("""COMPUTED_VALUE"""),548.13)</f>
        <v>548.13</v>
      </c>
      <c r="C2073" s="2">
        <f>IFERROR(__xludf.DUMMYFUNCTION("""COMPUTED_VALUE"""),553.19)</f>
        <v>553.19</v>
      </c>
      <c r="D2073" s="2">
        <f>IFERROR(__xludf.DUMMYFUNCTION("""COMPUTED_VALUE"""),544.42)</f>
        <v>544.42</v>
      </c>
      <c r="E2073" s="2">
        <f>IFERROR(__xludf.DUMMYFUNCTION("""COMPUTED_VALUE"""),545.91)</f>
        <v>545.91</v>
      </c>
      <c r="F2073" s="2">
        <f>IFERROR(__xludf.DUMMYFUNCTION("""COMPUTED_VALUE"""),2719925.0)</f>
        <v>2719925</v>
      </c>
    </row>
    <row r="2074">
      <c r="A2074" s="3">
        <f>IFERROR(__xludf.DUMMYFUNCTION("""COMPUTED_VALUE"""),40493.645833333336)</f>
        <v>40493.64583</v>
      </c>
      <c r="B2074" s="2">
        <f>IFERROR(__xludf.DUMMYFUNCTION("""COMPUTED_VALUE"""),547.79)</f>
        <v>547.79</v>
      </c>
      <c r="C2074" s="2">
        <f>IFERROR(__xludf.DUMMYFUNCTION("""COMPUTED_VALUE"""),550.66)</f>
        <v>550.66</v>
      </c>
      <c r="D2074" s="2">
        <f>IFERROR(__xludf.DUMMYFUNCTION("""COMPUTED_VALUE"""),532.93)</f>
        <v>532.93</v>
      </c>
      <c r="E2074" s="2">
        <f>IFERROR(__xludf.DUMMYFUNCTION("""COMPUTED_VALUE"""),534.86)</f>
        <v>534.86</v>
      </c>
      <c r="F2074" s="2">
        <f>IFERROR(__xludf.DUMMYFUNCTION("""COMPUTED_VALUE"""),2900734.0)</f>
        <v>2900734</v>
      </c>
    </row>
    <row r="2075">
      <c r="A2075" s="3">
        <f>IFERROR(__xludf.DUMMYFUNCTION("""COMPUTED_VALUE"""),40494.645833333336)</f>
        <v>40494.64583</v>
      </c>
      <c r="B2075" s="2">
        <f>IFERROR(__xludf.DUMMYFUNCTION("""COMPUTED_VALUE"""),534.98)</f>
        <v>534.98</v>
      </c>
      <c r="C2075" s="2">
        <f>IFERROR(__xludf.DUMMYFUNCTION("""COMPUTED_VALUE"""),538.57)</f>
        <v>538.57</v>
      </c>
      <c r="D2075" s="2">
        <f>IFERROR(__xludf.DUMMYFUNCTION("""COMPUTED_VALUE"""),523.52)</f>
        <v>523.52</v>
      </c>
      <c r="E2075" s="2">
        <f>IFERROR(__xludf.DUMMYFUNCTION("""COMPUTED_VALUE"""),525.92)</f>
        <v>525.92</v>
      </c>
      <c r="F2075" s="2">
        <f>IFERROR(__xludf.DUMMYFUNCTION("""COMPUTED_VALUE"""),4373231.0)</f>
        <v>4373231</v>
      </c>
    </row>
    <row r="2076">
      <c r="A2076" s="3">
        <f>IFERROR(__xludf.DUMMYFUNCTION("""COMPUTED_VALUE"""),40497.645833333336)</f>
        <v>40497.64583</v>
      </c>
      <c r="B2076" s="2">
        <f>IFERROR(__xludf.DUMMYFUNCTION("""COMPUTED_VALUE"""),528.52)</f>
        <v>528.52</v>
      </c>
      <c r="C2076" s="2">
        <f>IFERROR(__xludf.DUMMYFUNCTION("""COMPUTED_VALUE"""),528.92)</f>
        <v>528.92</v>
      </c>
      <c r="D2076" s="2">
        <f>IFERROR(__xludf.DUMMYFUNCTION("""COMPUTED_VALUE"""),514.21)</f>
        <v>514.21</v>
      </c>
      <c r="E2076" s="2">
        <f>IFERROR(__xludf.DUMMYFUNCTION("""COMPUTED_VALUE"""),522.38)</f>
        <v>522.38</v>
      </c>
      <c r="F2076" s="2">
        <f>IFERROR(__xludf.DUMMYFUNCTION("""COMPUTED_VALUE"""),3676745.0)</f>
        <v>3676745</v>
      </c>
    </row>
    <row r="2077">
      <c r="A2077" s="3">
        <f>IFERROR(__xludf.DUMMYFUNCTION("""COMPUTED_VALUE"""),40498.645833333336)</f>
        <v>40498.64583</v>
      </c>
      <c r="B2077" s="2">
        <f>IFERROR(__xludf.DUMMYFUNCTION("""COMPUTED_VALUE"""),524.51)</f>
        <v>524.51</v>
      </c>
      <c r="C2077" s="2">
        <f>IFERROR(__xludf.DUMMYFUNCTION("""COMPUTED_VALUE"""),524.51)</f>
        <v>524.51</v>
      </c>
      <c r="D2077" s="2">
        <f>IFERROR(__xludf.DUMMYFUNCTION("""COMPUTED_VALUE"""),508.44)</f>
        <v>508.44</v>
      </c>
      <c r="E2077" s="2">
        <f>IFERROR(__xludf.DUMMYFUNCTION("""COMPUTED_VALUE"""),510.39)</f>
        <v>510.39</v>
      </c>
      <c r="F2077" s="2">
        <f>IFERROR(__xludf.DUMMYFUNCTION("""COMPUTED_VALUE"""),4533561.0)</f>
        <v>4533561</v>
      </c>
    </row>
    <row r="2078">
      <c r="A2078" s="3">
        <f>IFERROR(__xludf.DUMMYFUNCTION("""COMPUTED_VALUE"""),40500.645833333336)</f>
        <v>40500.64583</v>
      </c>
      <c r="B2078" s="2">
        <f>IFERROR(__xludf.DUMMYFUNCTION("""COMPUTED_VALUE"""),519.95)</f>
        <v>519.95</v>
      </c>
      <c r="C2078" s="2">
        <f>IFERROR(__xludf.DUMMYFUNCTION("""COMPUTED_VALUE"""),519.95)</f>
        <v>519.95</v>
      </c>
      <c r="D2078" s="2">
        <f>IFERROR(__xludf.DUMMYFUNCTION("""COMPUTED_VALUE"""),502.22)</f>
        <v>502.22</v>
      </c>
      <c r="E2078" s="2">
        <f>IFERROR(__xludf.DUMMYFUNCTION("""COMPUTED_VALUE"""),511.61)</f>
        <v>511.61</v>
      </c>
      <c r="F2078" s="2">
        <f>IFERROR(__xludf.DUMMYFUNCTION("""COMPUTED_VALUE"""),5206393.0)</f>
        <v>5206393</v>
      </c>
    </row>
    <row r="2079">
      <c r="A2079" s="3">
        <f>IFERROR(__xludf.DUMMYFUNCTION("""COMPUTED_VALUE"""),40501.645833333336)</f>
        <v>40501.64583</v>
      </c>
      <c r="B2079" s="2">
        <f>IFERROR(__xludf.DUMMYFUNCTION("""COMPUTED_VALUE"""),513.12)</f>
        <v>513.12</v>
      </c>
      <c r="C2079" s="2">
        <f>IFERROR(__xludf.DUMMYFUNCTION("""COMPUTED_VALUE"""),513.12)</f>
        <v>513.12</v>
      </c>
      <c r="D2079" s="2">
        <f>IFERROR(__xludf.DUMMYFUNCTION("""COMPUTED_VALUE"""),488.9)</f>
        <v>488.9</v>
      </c>
      <c r="E2079" s="2">
        <f>IFERROR(__xludf.DUMMYFUNCTION("""COMPUTED_VALUE"""),493.43)</f>
        <v>493.43</v>
      </c>
      <c r="F2079" s="2">
        <f>IFERROR(__xludf.DUMMYFUNCTION("""COMPUTED_VALUE"""),5674916.0)</f>
        <v>5674916</v>
      </c>
    </row>
    <row r="2080">
      <c r="A2080" s="3">
        <f>IFERROR(__xludf.DUMMYFUNCTION("""COMPUTED_VALUE"""),40504.645833333336)</f>
        <v>40504.64583</v>
      </c>
      <c r="B2080" s="2">
        <f>IFERROR(__xludf.DUMMYFUNCTION("""COMPUTED_VALUE"""),497.02)</f>
        <v>497.02</v>
      </c>
      <c r="C2080" s="2">
        <f>IFERROR(__xludf.DUMMYFUNCTION("""COMPUTED_VALUE"""),503.43)</f>
        <v>503.43</v>
      </c>
      <c r="D2080" s="2">
        <f>IFERROR(__xludf.DUMMYFUNCTION("""COMPUTED_VALUE"""),493.9)</f>
        <v>493.9</v>
      </c>
      <c r="E2080" s="2">
        <f>IFERROR(__xludf.DUMMYFUNCTION("""COMPUTED_VALUE"""),501.35)</f>
        <v>501.35</v>
      </c>
      <c r="F2080" s="2">
        <f>IFERROR(__xludf.DUMMYFUNCTION("""COMPUTED_VALUE"""),4333195.0)</f>
        <v>4333195</v>
      </c>
    </row>
    <row r="2081">
      <c r="A2081" s="3">
        <f>IFERROR(__xludf.DUMMYFUNCTION("""COMPUTED_VALUE"""),40505.645833333336)</f>
        <v>40505.64583</v>
      </c>
      <c r="B2081" s="2">
        <f>IFERROR(__xludf.DUMMYFUNCTION("""COMPUTED_VALUE"""),497.59)</f>
        <v>497.59</v>
      </c>
      <c r="C2081" s="2">
        <f>IFERROR(__xludf.DUMMYFUNCTION("""COMPUTED_VALUE"""),497.76)</f>
        <v>497.76</v>
      </c>
      <c r="D2081" s="2">
        <f>IFERROR(__xludf.DUMMYFUNCTION("""COMPUTED_VALUE"""),482.9)</f>
        <v>482.9</v>
      </c>
      <c r="E2081" s="2">
        <f>IFERROR(__xludf.DUMMYFUNCTION("""COMPUTED_VALUE"""),493.11)</f>
        <v>493.11</v>
      </c>
      <c r="F2081" s="2">
        <f>IFERROR(__xludf.DUMMYFUNCTION("""COMPUTED_VALUE"""),7569264.0)</f>
        <v>7569264</v>
      </c>
    </row>
    <row r="2082">
      <c r="A2082" s="3">
        <f>IFERROR(__xludf.DUMMYFUNCTION("""COMPUTED_VALUE"""),40506.645833333336)</f>
        <v>40506.64583</v>
      </c>
      <c r="B2082" s="2">
        <f>IFERROR(__xludf.DUMMYFUNCTION("""COMPUTED_VALUE"""),494.79)</f>
        <v>494.79</v>
      </c>
      <c r="C2082" s="2">
        <f>IFERROR(__xludf.DUMMYFUNCTION("""COMPUTED_VALUE"""),504.1)</f>
        <v>504.1</v>
      </c>
      <c r="D2082" s="2">
        <f>IFERROR(__xludf.DUMMYFUNCTION("""COMPUTED_VALUE"""),488.38)</f>
        <v>488.38</v>
      </c>
      <c r="E2082" s="2">
        <f>IFERROR(__xludf.DUMMYFUNCTION("""COMPUTED_VALUE"""),493.33)</f>
        <v>493.33</v>
      </c>
      <c r="F2082" s="2">
        <f>IFERROR(__xludf.DUMMYFUNCTION("""COMPUTED_VALUE"""),4503970.0)</f>
        <v>4503970</v>
      </c>
    </row>
    <row r="2083">
      <c r="A2083" s="3">
        <f>IFERROR(__xludf.DUMMYFUNCTION("""COMPUTED_VALUE"""),40507.645833333336)</f>
        <v>40507.64583</v>
      </c>
      <c r="B2083" s="2">
        <f>IFERROR(__xludf.DUMMYFUNCTION("""COMPUTED_VALUE"""),496.28)</f>
        <v>496.28</v>
      </c>
      <c r="C2083" s="2">
        <f>IFERROR(__xludf.DUMMYFUNCTION("""COMPUTED_VALUE"""),496.77)</f>
        <v>496.77</v>
      </c>
      <c r="D2083" s="2">
        <f>IFERROR(__xludf.DUMMYFUNCTION("""COMPUTED_VALUE"""),481.91)</f>
        <v>481.91</v>
      </c>
      <c r="E2083" s="2">
        <f>IFERROR(__xludf.DUMMYFUNCTION("""COMPUTED_VALUE"""),485.13)</f>
        <v>485.13</v>
      </c>
      <c r="F2083" s="2">
        <f>IFERROR(__xludf.DUMMYFUNCTION("""COMPUTED_VALUE"""),6654697.0)</f>
        <v>6654697</v>
      </c>
    </row>
    <row r="2084">
      <c r="A2084" s="3">
        <f>IFERROR(__xludf.DUMMYFUNCTION("""COMPUTED_VALUE"""),40508.645833333336)</f>
        <v>40508.64583</v>
      </c>
      <c r="B2084" s="2">
        <f>IFERROR(__xludf.DUMMYFUNCTION("""COMPUTED_VALUE"""),487.86)</f>
        <v>487.86</v>
      </c>
      <c r="C2084" s="2">
        <f>IFERROR(__xludf.DUMMYFUNCTION("""COMPUTED_VALUE"""),490.53)</f>
        <v>490.53</v>
      </c>
      <c r="D2084" s="2">
        <f>IFERROR(__xludf.DUMMYFUNCTION("""COMPUTED_VALUE"""),474.63)</f>
        <v>474.63</v>
      </c>
      <c r="E2084" s="2">
        <f>IFERROR(__xludf.DUMMYFUNCTION("""COMPUTED_VALUE"""),476.64)</f>
        <v>476.64</v>
      </c>
      <c r="F2084" s="2">
        <f>IFERROR(__xludf.DUMMYFUNCTION("""COMPUTED_VALUE"""),7003643.0)</f>
        <v>7003643</v>
      </c>
    </row>
    <row r="2085">
      <c r="A2085" s="3">
        <f>IFERROR(__xludf.DUMMYFUNCTION("""COMPUTED_VALUE"""),40511.645833333336)</f>
        <v>40511.64583</v>
      </c>
      <c r="B2085" s="2">
        <f>IFERROR(__xludf.DUMMYFUNCTION("""COMPUTED_VALUE"""),480.18)</f>
        <v>480.18</v>
      </c>
      <c r="C2085" s="2">
        <f>IFERROR(__xludf.DUMMYFUNCTION("""COMPUTED_VALUE"""),496.5)</f>
        <v>496.5</v>
      </c>
      <c r="D2085" s="2">
        <f>IFERROR(__xludf.DUMMYFUNCTION("""COMPUTED_VALUE"""),476.66)</f>
        <v>476.66</v>
      </c>
      <c r="E2085" s="2">
        <f>IFERROR(__xludf.DUMMYFUNCTION("""COMPUTED_VALUE"""),494.49)</f>
        <v>494.49</v>
      </c>
      <c r="F2085" s="2">
        <f>IFERROR(__xludf.DUMMYFUNCTION("""COMPUTED_VALUE"""),5350926.0)</f>
        <v>5350926</v>
      </c>
    </row>
    <row r="2086">
      <c r="A2086" s="3">
        <f>IFERROR(__xludf.DUMMYFUNCTION("""COMPUTED_VALUE"""),40512.645833333336)</f>
        <v>40512.64583</v>
      </c>
      <c r="B2086" s="2">
        <f>IFERROR(__xludf.DUMMYFUNCTION("""COMPUTED_VALUE"""),495.19)</f>
        <v>495.19</v>
      </c>
      <c r="C2086" s="2">
        <f>IFERROR(__xludf.DUMMYFUNCTION("""COMPUTED_VALUE"""),499.6)</f>
        <v>499.6</v>
      </c>
      <c r="D2086" s="2">
        <f>IFERROR(__xludf.DUMMYFUNCTION("""COMPUTED_VALUE"""),485.93)</f>
        <v>485.93</v>
      </c>
      <c r="E2086" s="2">
        <f>IFERROR(__xludf.DUMMYFUNCTION("""COMPUTED_VALUE"""),488.15)</f>
        <v>488.15</v>
      </c>
      <c r="F2086" s="2">
        <f>IFERROR(__xludf.DUMMYFUNCTION("""COMPUTED_VALUE"""),6968054.0)</f>
        <v>6968054</v>
      </c>
    </row>
    <row r="2087">
      <c r="A2087" s="3">
        <f>IFERROR(__xludf.DUMMYFUNCTION("""COMPUTED_VALUE"""),40513.645833333336)</f>
        <v>40513.64583</v>
      </c>
      <c r="B2087" s="2">
        <f>IFERROR(__xludf.DUMMYFUNCTION("""COMPUTED_VALUE"""),487.86)</f>
        <v>487.86</v>
      </c>
      <c r="C2087" s="2">
        <f>IFERROR(__xludf.DUMMYFUNCTION("""COMPUTED_VALUE"""),494.0)</f>
        <v>494</v>
      </c>
      <c r="D2087" s="2">
        <f>IFERROR(__xludf.DUMMYFUNCTION("""COMPUTED_VALUE"""),486.89)</f>
        <v>486.89</v>
      </c>
      <c r="E2087" s="2">
        <f>IFERROR(__xludf.DUMMYFUNCTION("""COMPUTED_VALUE"""),489.74)</f>
        <v>489.74</v>
      </c>
      <c r="F2087" s="2">
        <f>IFERROR(__xludf.DUMMYFUNCTION("""COMPUTED_VALUE"""),4280638.0)</f>
        <v>4280638</v>
      </c>
    </row>
    <row r="2088">
      <c r="A2088" s="3">
        <f>IFERROR(__xludf.DUMMYFUNCTION("""COMPUTED_VALUE"""),40514.645833333336)</f>
        <v>40514.64583</v>
      </c>
      <c r="B2088" s="2">
        <f>IFERROR(__xludf.DUMMYFUNCTION("""COMPUTED_VALUE"""),494.79)</f>
        <v>494.79</v>
      </c>
      <c r="C2088" s="2">
        <f>IFERROR(__xludf.DUMMYFUNCTION("""COMPUTED_VALUE"""),501.95)</f>
        <v>501.95</v>
      </c>
      <c r="D2088" s="2">
        <f>IFERROR(__xludf.DUMMYFUNCTION("""COMPUTED_VALUE"""),492.84)</f>
        <v>492.84</v>
      </c>
      <c r="E2088" s="2">
        <f>IFERROR(__xludf.DUMMYFUNCTION("""COMPUTED_VALUE"""),500.81)</f>
        <v>500.81</v>
      </c>
      <c r="F2088" s="2">
        <f>IFERROR(__xludf.DUMMYFUNCTION("""COMPUTED_VALUE"""),5676667.0)</f>
        <v>5676667</v>
      </c>
    </row>
    <row r="2089">
      <c r="A2089" s="3">
        <f>IFERROR(__xludf.DUMMYFUNCTION("""COMPUTED_VALUE"""),40515.645833333336)</f>
        <v>40515.64583</v>
      </c>
      <c r="B2089" s="2">
        <f>IFERROR(__xludf.DUMMYFUNCTION("""COMPUTED_VALUE"""),502.22)</f>
        <v>502.22</v>
      </c>
      <c r="C2089" s="2">
        <f>IFERROR(__xludf.DUMMYFUNCTION("""COMPUTED_VALUE"""),507.17)</f>
        <v>507.17</v>
      </c>
      <c r="D2089" s="2">
        <f>IFERROR(__xludf.DUMMYFUNCTION("""COMPUTED_VALUE"""),494.3)</f>
        <v>494.3</v>
      </c>
      <c r="E2089" s="2">
        <f>IFERROR(__xludf.DUMMYFUNCTION("""COMPUTED_VALUE"""),498.21)</f>
        <v>498.21</v>
      </c>
      <c r="F2089" s="2">
        <f>IFERROR(__xludf.DUMMYFUNCTION("""COMPUTED_VALUE"""),4489664.0)</f>
        <v>4489664</v>
      </c>
    </row>
    <row r="2090">
      <c r="A2090" s="3">
        <f>IFERROR(__xludf.DUMMYFUNCTION("""COMPUTED_VALUE"""),40518.645833333336)</f>
        <v>40518.64583</v>
      </c>
      <c r="B2090" s="2">
        <f>IFERROR(__xludf.DUMMYFUNCTION("""COMPUTED_VALUE"""),503.14)</f>
        <v>503.14</v>
      </c>
      <c r="C2090" s="2">
        <f>IFERROR(__xludf.DUMMYFUNCTION("""COMPUTED_VALUE"""),510.15)</f>
        <v>510.15</v>
      </c>
      <c r="D2090" s="2">
        <f>IFERROR(__xludf.DUMMYFUNCTION("""COMPUTED_VALUE"""),501.73)</f>
        <v>501.73</v>
      </c>
      <c r="E2090" s="2">
        <f>IFERROR(__xludf.DUMMYFUNCTION("""COMPUTED_VALUE"""),505.27)</f>
        <v>505.27</v>
      </c>
      <c r="F2090" s="2">
        <f>IFERROR(__xludf.DUMMYFUNCTION("""COMPUTED_VALUE"""),4066554.0)</f>
        <v>4066554</v>
      </c>
    </row>
    <row r="2091">
      <c r="A2091" s="3">
        <f>IFERROR(__xludf.DUMMYFUNCTION("""COMPUTED_VALUE"""),40519.645833333336)</f>
        <v>40519.64583</v>
      </c>
      <c r="B2091" s="2">
        <f>IFERROR(__xludf.DUMMYFUNCTION("""COMPUTED_VALUE"""),505.19)</f>
        <v>505.19</v>
      </c>
      <c r="C2091" s="2">
        <f>IFERROR(__xludf.DUMMYFUNCTION("""COMPUTED_VALUE"""),514.95)</f>
        <v>514.95</v>
      </c>
      <c r="D2091" s="2">
        <f>IFERROR(__xludf.DUMMYFUNCTION("""COMPUTED_VALUE"""),505.19)</f>
        <v>505.19</v>
      </c>
      <c r="E2091" s="2">
        <f>IFERROR(__xludf.DUMMYFUNCTION("""COMPUTED_VALUE"""),510.52)</f>
        <v>510.52</v>
      </c>
      <c r="F2091" s="2">
        <f>IFERROR(__xludf.DUMMYFUNCTION("""COMPUTED_VALUE"""),5119800.0)</f>
        <v>5119800</v>
      </c>
    </row>
    <row r="2092">
      <c r="A2092" s="3">
        <f>IFERROR(__xludf.DUMMYFUNCTION("""COMPUTED_VALUE"""),40520.645833333336)</f>
        <v>40520.64583</v>
      </c>
      <c r="B2092" s="2">
        <f>IFERROR(__xludf.DUMMYFUNCTION("""COMPUTED_VALUE"""),507.62)</f>
        <v>507.62</v>
      </c>
      <c r="C2092" s="2">
        <f>IFERROR(__xludf.DUMMYFUNCTION("""COMPUTED_VALUE"""),509.03)</f>
        <v>509.03</v>
      </c>
      <c r="D2092" s="2">
        <f>IFERROR(__xludf.DUMMYFUNCTION("""COMPUTED_VALUE"""),500.81)</f>
        <v>500.81</v>
      </c>
      <c r="E2092" s="2">
        <f>IFERROR(__xludf.DUMMYFUNCTION("""COMPUTED_VALUE"""),505.47)</f>
        <v>505.47</v>
      </c>
      <c r="F2092" s="2">
        <f>IFERROR(__xludf.DUMMYFUNCTION("""COMPUTED_VALUE"""),3885305.0)</f>
        <v>3885305</v>
      </c>
    </row>
    <row r="2093">
      <c r="A2093" s="3">
        <f>IFERROR(__xludf.DUMMYFUNCTION("""COMPUTED_VALUE"""),40521.645833333336)</f>
        <v>40521.64583</v>
      </c>
      <c r="B2093" s="2">
        <f>IFERROR(__xludf.DUMMYFUNCTION("""COMPUTED_VALUE"""),507.45)</f>
        <v>507.45</v>
      </c>
      <c r="C2093" s="2">
        <f>IFERROR(__xludf.DUMMYFUNCTION("""COMPUTED_VALUE"""),512.05)</f>
        <v>512.05</v>
      </c>
      <c r="D2093" s="2">
        <f>IFERROR(__xludf.DUMMYFUNCTION("""COMPUTED_VALUE"""),484.76)</f>
        <v>484.76</v>
      </c>
      <c r="E2093" s="2">
        <f>IFERROR(__xludf.DUMMYFUNCTION("""COMPUTED_VALUE"""),487.61)</f>
        <v>487.61</v>
      </c>
      <c r="F2093" s="2">
        <f>IFERROR(__xludf.DUMMYFUNCTION("""COMPUTED_VALUE"""),7249786.0)</f>
        <v>7249786</v>
      </c>
    </row>
    <row r="2094">
      <c r="A2094" s="3">
        <f>IFERROR(__xludf.DUMMYFUNCTION("""COMPUTED_VALUE"""),40522.645833333336)</f>
        <v>40522.64583</v>
      </c>
      <c r="B2094" s="2">
        <f>IFERROR(__xludf.DUMMYFUNCTION("""COMPUTED_VALUE"""),488.75)</f>
        <v>488.75</v>
      </c>
      <c r="C2094" s="2">
        <f>IFERROR(__xludf.DUMMYFUNCTION("""COMPUTED_VALUE"""),510.15)</f>
        <v>510.15</v>
      </c>
      <c r="D2094" s="2">
        <f>IFERROR(__xludf.DUMMYFUNCTION("""COMPUTED_VALUE"""),485.06)</f>
        <v>485.06</v>
      </c>
      <c r="E2094" s="2">
        <f>IFERROR(__xludf.DUMMYFUNCTION("""COMPUTED_VALUE"""),507.12)</f>
        <v>507.12</v>
      </c>
      <c r="F2094" s="2">
        <f>IFERROR(__xludf.DUMMYFUNCTION("""COMPUTED_VALUE"""),6064152.0)</f>
        <v>6064152</v>
      </c>
    </row>
    <row r="2095">
      <c r="A2095" s="3">
        <f>IFERROR(__xludf.DUMMYFUNCTION("""COMPUTED_VALUE"""),40525.645833333336)</f>
        <v>40525.64583</v>
      </c>
      <c r="B2095" s="2">
        <f>IFERROR(__xludf.DUMMYFUNCTION("""COMPUTED_VALUE"""),507.2)</f>
        <v>507.2</v>
      </c>
      <c r="C2095" s="2">
        <f>IFERROR(__xludf.DUMMYFUNCTION("""COMPUTED_VALUE"""),518.07)</f>
        <v>518.07</v>
      </c>
      <c r="D2095" s="2">
        <f>IFERROR(__xludf.DUMMYFUNCTION("""COMPUTED_VALUE"""),500.24)</f>
        <v>500.24</v>
      </c>
      <c r="E2095" s="2">
        <f>IFERROR(__xludf.DUMMYFUNCTION("""COMPUTED_VALUE"""),515.97)</f>
        <v>515.97</v>
      </c>
      <c r="F2095" s="2">
        <f>IFERROR(__xludf.DUMMYFUNCTION("""COMPUTED_VALUE"""),3848074.0)</f>
        <v>3848074</v>
      </c>
    </row>
    <row r="2096">
      <c r="A2096" s="3">
        <f>IFERROR(__xludf.DUMMYFUNCTION("""COMPUTED_VALUE"""),40526.645833333336)</f>
        <v>40526.64583</v>
      </c>
      <c r="B2096" s="2">
        <f>IFERROR(__xludf.DUMMYFUNCTION("""COMPUTED_VALUE"""),516.58)</f>
        <v>516.58</v>
      </c>
      <c r="C2096" s="2">
        <f>IFERROR(__xludf.DUMMYFUNCTION("""COMPUTED_VALUE"""),525.0)</f>
        <v>525</v>
      </c>
      <c r="D2096" s="2">
        <f>IFERROR(__xludf.DUMMYFUNCTION("""COMPUTED_VALUE"""),516.09)</f>
        <v>516.09</v>
      </c>
      <c r="E2096" s="2">
        <f>IFERROR(__xludf.DUMMYFUNCTION("""COMPUTED_VALUE"""),522.65)</f>
        <v>522.65</v>
      </c>
      <c r="F2096" s="2">
        <f>IFERROR(__xludf.DUMMYFUNCTION("""COMPUTED_VALUE"""),4590209.0)</f>
        <v>4590209</v>
      </c>
    </row>
    <row r="2097">
      <c r="A2097" s="3">
        <f>IFERROR(__xludf.DUMMYFUNCTION("""COMPUTED_VALUE"""),40527.645833333336)</f>
        <v>40527.64583</v>
      </c>
      <c r="B2097" s="2">
        <f>IFERROR(__xludf.DUMMYFUNCTION("""COMPUTED_VALUE"""),522.03)</f>
        <v>522.03</v>
      </c>
      <c r="C2097" s="2">
        <f>IFERROR(__xludf.DUMMYFUNCTION("""COMPUTED_VALUE"""),526.99)</f>
        <v>526.99</v>
      </c>
      <c r="D2097" s="2">
        <f>IFERROR(__xludf.DUMMYFUNCTION("""COMPUTED_VALUE"""),513.12)</f>
        <v>513.12</v>
      </c>
      <c r="E2097" s="2">
        <f>IFERROR(__xludf.DUMMYFUNCTION("""COMPUTED_VALUE"""),521.98)</f>
        <v>521.98</v>
      </c>
      <c r="F2097" s="2">
        <f>IFERROR(__xludf.DUMMYFUNCTION("""COMPUTED_VALUE"""),4899915.0)</f>
        <v>4899915</v>
      </c>
    </row>
    <row r="2098">
      <c r="A2098" s="3">
        <f>IFERROR(__xludf.DUMMYFUNCTION("""COMPUTED_VALUE"""),40528.645833333336)</f>
        <v>40528.64583</v>
      </c>
      <c r="B2098" s="2">
        <f>IFERROR(__xludf.DUMMYFUNCTION("""COMPUTED_VALUE"""),523.86)</f>
        <v>523.86</v>
      </c>
      <c r="C2098" s="2">
        <f>IFERROR(__xludf.DUMMYFUNCTION("""COMPUTED_VALUE"""),525.0)</f>
        <v>525</v>
      </c>
      <c r="D2098" s="2">
        <f>IFERROR(__xludf.DUMMYFUNCTION("""COMPUTED_VALUE"""),515.12)</f>
        <v>515.12</v>
      </c>
      <c r="E2098" s="2">
        <f>IFERROR(__xludf.DUMMYFUNCTION("""COMPUTED_VALUE"""),523.44)</f>
        <v>523.44</v>
      </c>
      <c r="F2098" s="2">
        <f>IFERROR(__xludf.DUMMYFUNCTION("""COMPUTED_VALUE"""),3550077.0)</f>
        <v>3550077</v>
      </c>
    </row>
    <row r="2099">
      <c r="A2099" s="3">
        <f>IFERROR(__xludf.DUMMYFUNCTION("""COMPUTED_VALUE"""),40532.645833333336)</f>
        <v>40532.64583</v>
      </c>
      <c r="B2099" s="2">
        <f>IFERROR(__xludf.DUMMYFUNCTION("""COMPUTED_VALUE"""),517.57)</f>
        <v>517.57</v>
      </c>
      <c r="C2099" s="2">
        <f>IFERROR(__xludf.DUMMYFUNCTION("""COMPUTED_VALUE"""),528.97)</f>
        <v>528.97</v>
      </c>
      <c r="D2099" s="2">
        <f>IFERROR(__xludf.DUMMYFUNCTION("""COMPUTED_VALUE"""),517.38)</f>
        <v>517.38</v>
      </c>
      <c r="E2099" s="2">
        <f>IFERROR(__xludf.DUMMYFUNCTION("""COMPUTED_VALUE"""),523.39)</f>
        <v>523.39</v>
      </c>
      <c r="F2099" s="2">
        <f>IFERROR(__xludf.DUMMYFUNCTION("""COMPUTED_VALUE"""),3624895.0)</f>
        <v>3624895</v>
      </c>
    </row>
    <row r="2100">
      <c r="A2100" s="3">
        <f>IFERROR(__xludf.DUMMYFUNCTION("""COMPUTED_VALUE"""),40533.645833333336)</f>
        <v>40533.64583</v>
      </c>
      <c r="B2100" s="2">
        <f>IFERROR(__xludf.DUMMYFUNCTION("""COMPUTED_VALUE"""),524.95)</f>
        <v>524.95</v>
      </c>
      <c r="C2100" s="2">
        <f>IFERROR(__xludf.DUMMYFUNCTION("""COMPUTED_VALUE"""),532.38)</f>
        <v>532.38</v>
      </c>
      <c r="D2100" s="2">
        <f>IFERROR(__xludf.DUMMYFUNCTION("""COMPUTED_VALUE"""),524.14)</f>
        <v>524.14</v>
      </c>
      <c r="E2100" s="2">
        <f>IFERROR(__xludf.DUMMYFUNCTION("""COMPUTED_VALUE"""),531.52)</f>
        <v>531.52</v>
      </c>
      <c r="F2100" s="2">
        <f>IFERROR(__xludf.DUMMYFUNCTION("""COMPUTED_VALUE"""),3677847.0)</f>
        <v>3677847</v>
      </c>
    </row>
    <row r="2101">
      <c r="A2101" s="3">
        <f>IFERROR(__xludf.DUMMYFUNCTION("""COMPUTED_VALUE"""),40534.645833333336)</f>
        <v>40534.64583</v>
      </c>
      <c r="B2101" s="2">
        <f>IFERROR(__xludf.DUMMYFUNCTION("""COMPUTED_VALUE"""),531.34)</f>
        <v>531.34</v>
      </c>
      <c r="C2101" s="2">
        <f>IFERROR(__xludf.DUMMYFUNCTION("""COMPUTED_VALUE"""),532.43)</f>
        <v>532.43</v>
      </c>
      <c r="D2101" s="2">
        <f>IFERROR(__xludf.DUMMYFUNCTION("""COMPUTED_VALUE"""),519.23)</f>
        <v>519.23</v>
      </c>
      <c r="E2101" s="2">
        <f>IFERROR(__xludf.DUMMYFUNCTION("""COMPUTED_VALUE"""),523.05)</f>
        <v>523.05</v>
      </c>
      <c r="F2101" s="2">
        <f>IFERROR(__xludf.DUMMYFUNCTION("""COMPUTED_VALUE"""),3458953.0)</f>
        <v>3458953</v>
      </c>
    </row>
    <row r="2102">
      <c r="A2102" s="3">
        <f>IFERROR(__xludf.DUMMYFUNCTION("""COMPUTED_VALUE"""),40535.645833333336)</f>
        <v>40535.64583</v>
      </c>
      <c r="B2102" s="2">
        <f>IFERROR(__xludf.DUMMYFUNCTION("""COMPUTED_VALUE"""),523.91)</f>
        <v>523.91</v>
      </c>
      <c r="C2102" s="2">
        <f>IFERROR(__xludf.DUMMYFUNCTION("""COMPUTED_VALUE"""),527.33)</f>
        <v>527.33</v>
      </c>
      <c r="D2102" s="2">
        <f>IFERROR(__xludf.DUMMYFUNCTION("""COMPUTED_VALUE"""),520.3)</f>
        <v>520.3</v>
      </c>
      <c r="E2102" s="2">
        <f>IFERROR(__xludf.DUMMYFUNCTION("""COMPUTED_VALUE"""),524.71)</f>
        <v>524.71</v>
      </c>
      <c r="F2102" s="2">
        <f>IFERROR(__xludf.DUMMYFUNCTION("""COMPUTED_VALUE"""),3335014.0)</f>
        <v>3335014</v>
      </c>
    </row>
    <row r="2103">
      <c r="A2103" s="3">
        <f>IFERROR(__xludf.DUMMYFUNCTION("""COMPUTED_VALUE"""),40536.645833333336)</f>
        <v>40536.64583</v>
      </c>
      <c r="B2103" s="2">
        <f>IFERROR(__xludf.DUMMYFUNCTION("""COMPUTED_VALUE"""),521.54)</f>
        <v>521.54</v>
      </c>
      <c r="C2103" s="2">
        <f>IFERROR(__xludf.DUMMYFUNCTION("""COMPUTED_VALUE"""),527.23)</f>
        <v>527.23</v>
      </c>
      <c r="D2103" s="2">
        <f>IFERROR(__xludf.DUMMYFUNCTION("""COMPUTED_VALUE"""),520.05)</f>
        <v>520.05</v>
      </c>
      <c r="E2103" s="2">
        <f>IFERROR(__xludf.DUMMYFUNCTION("""COMPUTED_VALUE"""),524.86)</f>
        <v>524.86</v>
      </c>
      <c r="F2103" s="2">
        <f>IFERROR(__xludf.DUMMYFUNCTION("""COMPUTED_VALUE"""),2160796.0)</f>
        <v>2160796</v>
      </c>
    </row>
    <row r="2104">
      <c r="A2104" s="3">
        <f>IFERROR(__xludf.DUMMYFUNCTION("""COMPUTED_VALUE"""),40539.645833333336)</f>
        <v>40539.64583</v>
      </c>
      <c r="B2104" s="2">
        <f>IFERROR(__xludf.DUMMYFUNCTION("""COMPUTED_VALUE"""),524.16)</f>
        <v>524.16</v>
      </c>
      <c r="C2104" s="2">
        <f>IFERROR(__xludf.DUMMYFUNCTION("""COMPUTED_VALUE"""),529.36)</f>
        <v>529.36</v>
      </c>
      <c r="D2104" s="2">
        <f>IFERROR(__xludf.DUMMYFUNCTION("""COMPUTED_VALUE"""),520.62)</f>
        <v>520.62</v>
      </c>
      <c r="E2104" s="2">
        <f>IFERROR(__xludf.DUMMYFUNCTION("""COMPUTED_VALUE"""),522.65)</f>
        <v>522.65</v>
      </c>
      <c r="F2104" s="2">
        <f>IFERROR(__xludf.DUMMYFUNCTION("""COMPUTED_VALUE"""),1321679.0)</f>
        <v>1321679</v>
      </c>
    </row>
    <row r="2105">
      <c r="A2105" s="3">
        <f>IFERROR(__xludf.DUMMYFUNCTION("""COMPUTED_VALUE"""),40540.645833333336)</f>
        <v>40540.64583</v>
      </c>
      <c r="B2105" s="2">
        <f>IFERROR(__xludf.DUMMYFUNCTION("""COMPUTED_VALUE"""),523.17)</f>
        <v>523.17</v>
      </c>
      <c r="C2105" s="2">
        <f>IFERROR(__xludf.DUMMYFUNCTION("""COMPUTED_VALUE"""),524.86)</f>
        <v>524.86</v>
      </c>
      <c r="D2105" s="2">
        <f>IFERROR(__xludf.DUMMYFUNCTION("""COMPUTED_VALUE"""),516.21)</f>
        <v>516.21</v>
      </c>
      <c r="E2105" s="2">
        <f>IFERROR(__xludf.DUMMYFUNCTION("""COMPUTED_VALUE"""),519.01)</f>
        <v>519.01</v>
      </c>
      <c r="F2105" s="2">
        <f>IFERROR(__xludf.DUMMYFUNCTION("""COMPUTED_VALUE"""),2024641.0)</f>
        <v>2024641</v>
      </c>
    </row>
    <row r="2106">
      <c r="A2106" s="3">
        <f>IFERROR(__xludf.DUMMYFUNCTION("""COMPUTED_VALUE"""),40541.645833333336)</f>
        <v>40541.64583</v>
      </c>
      <c r="B2106" s="2">
        <f>IFERROR(__xludf.DUMMYFUNCTION("""COMPUTED_VALUE"""),519.21)</f>
        <v>519.21</v>
      </c>
      <c r="C2106" s="2">
        <f>IFERROR(__xludf.DUMMYFUNCTION("""COMPUTED_VALUE"""),522.53)</f>
        <v>522.53</v>
      </c>
      <c r="D2106" s="2">
        <f>IFERROR(__xludf.DUMMYFUNCTION("""COMPUTED_VALUE"""),518.22)</f>
        <v>518.22</v>
      </c>
      <c r="E2106" s="2">
        <f>IFERROR(__xludf.DUMMYFUNCTION("""COMPUTED_VALUE"""),519.36)</f>
        <v>519.36</v>
      </c>
      <c r="F2106" s="2">
        <f>IFERROR(__xludf.DUMMYFUNCTION("""COMPUTED_VALUE"""),2556591.0)</f>
        <v>2556591</v>
      </c>
    </row>
    <row r="2107">
      <c r="A2107" s="3">
        <f>IFERROR(__xludf.DUMMYFUNCTION("""COMPUTED_VALUE"""),40542.645833333336)</f>
        <v>40542.64583</v>
      </c>
      <c r="B2107" s="2">
        <f>IFERROR(__xludf.DUMMYFUNCTION("""COMPUTED_VALUE"""),521.24)</f>
        <v>521.24</v>
      </c>
      <c r="C2107" s="2">
        <f>IFERROR(__xludf.DUMMYFUNCTION("""COMPUTED_VALUE"""),522.9)</f>
        <v>522.9</v>
      </c>
      <c r="D2107" s="2">
        <f>IFERROR(__xludf.DUMMYFUNCTION("""COMPUTED_VALUE"""),518.19)</f>
        <v>518.19</v>
      </c>
      <c r="E2107" s="2">
        <f>IFERROR(__xludf.DUMMYFUNCTION("""COMPUTED_VALUE"""),520.65)</f>
        <v>520.65</v>
      </c>
      <c r="F2107" s="2">
        <f>IFERROR(__xludf.DUMMYFUNCTION("""COMPUTED_VALUE"""),3328572.0)</f>
        <v>3328572</v>
      </c>
    </row>
    <row r="2108">
      <c r="A2108" s="3">
        <f>IFERROR(__xludf.DUMMYFUNCTION("""COMPUTED_VALUE"""),40543.645833333336)</f>
        <v>40543.64583</v>
      </c>
      <c r="B2108" s="2">
        <f>IFERROR(__xludf.DUMMYFUNCTION("""COMPUTED_VALUE"""),524.04)</f>
        <v>524.04</v>
      </c>
      <c r="C2108" s="2">
        <f>IFERROR(__xludf.DUMMYFUNCTION("""COMPUTED_VALUE"""),528.22)</f>
        <v>528.22</v>
      </c>
      <c r="D2108" s="2">
        <f>IFERROR(__xludf.DUMMYFUNCTION("""COMPUTED_VALUE"""),521.64)</f>
        <v>521.64</v>
      </c>
      <c r="E2108" s="2">
        <f>IFERROR(__xludf.DUMMYFUNCTION("""COMPUTED_VALUE"""),524.36)</f>
        <v>524.36</v>
      </c>
      <c r="F2108" s="2">
        <f>IFERROR(__xludf.DUMMYFUNCTION("""COMPUTED_VALUE"""),2279759.0)</f>
        <v>2279759</v>
      </c>
    </row>
    <row r="2109">
      <c r="A2109" s="3">
        <f>IFERROR(__xludf.DUMMYFUNCTION("""COMPUTED_VALUE"""),40546.645833333336)</f>
        <v>40546.64583</v>
      </c>
      <c r="B2109" s="2">
        <f>IFERROR(__xludf.DUMMYFUNCTION("""COMPUTED_VALUE"""),527.48)</f>
        <v>527.48</v>
      </c>
      <c r="C2109" s="2">
        <f>IFERROR(__xludf.DUMMYFUNCTION("""COMPUTED_VALUE"""),528.22)</f>
        <v>528.22</v>
      </c>
      <c r="D2109" s="2">
        <f>IFERROR(__xludf.DUMMYFUNCTION("""COMPUTED_VALUE"""),521.34)</f>
        <v>521.34</v>
      </c>
      <c r="E2109" s="2">
        <f>IFERROR(__xludf.DUMMYFUNCTION("""COMPUTED_VALUE"""),522.82)</f>
        <v>522.82</v>
      </c>
      <c r="F2109" s="2">
        <f>IFERROR(__xludf.DUMMYFUNCTION("""COMPUTED_VALUE"""),2379838.0)</f>
        <v>2379838</v>
      </c>
    </row>
    <row r="2110">
      <c r="A2110" s="3">
        <f>IFERROR(__xludf.DUMMYFUNCTION("""COMPUTED_VALUE"""),40547.645833333336)</f>
        <v>40547.64583</v>
      </c>
      <c r="B2110" s="2">
        <f>IFERROR(__xludf.DUMMYFUNCTION("""COMPUTED_VALUE"""),525.0)</f>
        <v>525</v>
      </c>
      <c r="C2110" s="2">
        <f>IFERROR(__xludf.DUMMYFUNCTION("""COMPUTED_VALUE"""),534.86)</f>
        <v>534.86</v>
      </c>
      <c r="D2110" s="2">
        <f>IFERROR(__xludf.DUMMYFUNCTION("""COMPUTED_VALUE"""),523.67)</f>
        <v>523.67</v>
      </c>
      <c r="E2110" s="2">
        <f>IFERROR(__xludf.DUMMYFUNCTION("""COMPUTED_VALUE"""),533.47)</f>
        <v>533.47</v>
      </c>
      <c r="F2110" s="2">
        <f>IFERROR(__xludf.DUMMYFUNCTION("""COMPUTED_VALUE"""),5033831.0)</f>
        <v>5033831</v>
      </c>
    </row>
    <row r="2111">
      <c r="A2111" s="3">
        <f>IFERROR(__xludf.DUMMYFUNCTION("""COMPUTED_VALUE"""),40548.645833333336)</f>
        <v>40548.64583</v>
      </c>
      <c r="B2111" s="2">
        <f>IFERROR(__xludf.DUMMYFUNCTION("""COMPUTED_VALUE"""),534.91)</f>
        <v>534.91</v>
      </c>
      <c r="C2111" s="2">
        <f>IFERROR(__xludf.DUMMYFUNCTION("""COMPUTED_VALUE"""),539.86)</f>
        <v>539.86</v>
      </c>
      <c r="D2111" s="2">
        <f>IFERROR(__xludf.DUMMYFUNCTION("""COMPUTED_VALUE"""),529.96)</f>
        <v>529.96</v>
      </c>
      <c r="E2111" s="2">
        <f>IFERROR(__xludf.DUMMYFUNCTION("""COMPUTED_VALUE"""),532.83)</f>
        <v>532.83</v>
      </c>
      <c r="F2111" s="2">
        <f>IFERROR(__xludf.DUMMYFUNCTION("""COMPUTED_VALUE"""),5930189.0)</f>
        <v>5930189</v>
      </c>
    </row>
    <row r="2112">
      <c r="A2112" s="3">
        <f>IFERROR(__xludf.DUMMYFUNCTION("""COMPUTED_VALUE"""),40549.645833333336)</f>
        <v>40549.64583</v>
      </c>
      <c r="B2112" s="2">
        <f>IFERROR(__xludf.DUMMYFUNCTION("""COMPUTED_VALUE"""),533.92)</f>
        <v>533.92</v>
      </c>
      <c r="C2112" s="2">
        <f>IFERROR(__xludf.DUMMYFUNCTION("""COMPUTED_VALUE"""),540.56)</f>
        <v>540.56</v>
      </c>
      <c r="D2112" s="2">
        <f>IFERROR(__xludf.DUMMYFUNCTION("""COMPUTED_VALUE"""),532.21)</f>
        <v>532.21</v>
      </c>
      <c r="E2112" s="2">
        <f>IFERROR(__xludf.DUMMYFUNCTION("""COMPUTED_VALUE"""),537.68)</f>
        <v>537.68</v>
      </c>
      <c r="F2112" s="2">
        <f>IFERROR(__xludf.DUMMYFUNCTION("""COMPUTED_VALUE"""),4974697.0)</f>
        <v>4974697</v>
      </c>
    </row>
    <row r="2113">
      <c r="A2113" s="3">
        <f>IFERROR(__xludf.DUMMYFUNCTION("""COMPUTED_VALUE"""),40550.645833333336)</f>
        <v>40550.64583</v>
      </c>
      <c r="B2113" s="2">
        <f>IFERROR(__xludf.DUMMYFUNCTION("""COMPUTED_VALUE"""),535.55)</f>
        <v>535.55</v>
      </c>
      <c r="C2113" s="2">
        <f>IFERROR(__xludf.DUMMYFUNCTION("""COMPUTED_VALUE"""),538.75)</f>
        <v>538.75</v>
      </c>
      <c r="D2113" s="2">
        <f>IFERROR(__xludf.DUMMYFUNCTION("""COMPUTED_VALUE"""),524.01)</f>
        <v>524.01</v>
      </c>
      <c r="E2113" s="2">
        <f>IFERROR(__xludf.DUMMYFUNCTION("""COMPUTED_VALUE"""),527.68)</f>
        <v>527.68</v>
      </c>
      <c r="F2113" s="2">
        <f>IFERROR(__xludf.DUMMYFUNCTION("""COMPUTED_VALUE"""),4085949.0)</f>
        <v>4085949</v>
      </c>
    </row>
    <row r="2114">
      <c r="A2114" s="3">
        <f>IFERROR(__xludf.DUMMYFUNCTION("""COMPUTED_VALUE"""),40553.645833333336)</f>
        <v>40553.64583</v>
      </c>
      <c r="B2114" s="2">
        <f>IFERROR(__xludf.DUMMYFUNCTION("""COMPUTED_VALUE"""),527.68)</f>
        <v>527.68</v>
      </c>
      <c r="C2114" s="2">
        <f>IFERROR(__xludf.DUMMYFUNCTION("""COMPUTED_VALUE"""),530.18)</f>
        <v>530.18</v>
      </c>
      <c r="D2114" s="2">
        <f>IFERROR(__xludf.DUMMYFUNCTION("""COMPUTED_VALUE"""),505.79)</f>
        <v>505.79</v>
      </c>
      <c r="E2114" s="2">
        <f>IFERROR(__xludf.DUMMYFUNCTION("""COMPUTED_VALUE"""),511.85)</f>
        <v>511.85</v>
      </c>
      <c r="F2114" s="2">
        <f>IFERROR(__xludf.DUMMYFUNCTION("""COMPUTED_VALUE"""),4223855.0)</f>
        <v>4223855</v>
      </c>
    </row>
    <row r="2115">
      <c r="A2115" s="3">
        <f>IFERROR(__xludf.DUMMYFUNCTION("""COMPUTED_VALUE"""),40554.645833333336)</f>
        <v>40554.64583</v>
      </c>
      <c r="B2115" s="2">
        <f>IFERROR(__xludf.DUMMYFUNCTION("""COMPUTED_VALUE"""),515.1)</f>
        <v>515.1</v>
      </c>
      <c r="C2115" s="2">
        <f>IFERROR(__xludf.DUMMYFUNCTION("""COMPUTED_VALUE"""),519.41)</f>
        <v>519.41</v>
      </c>
      <c r="D2115" s="2">
        <f>IFERROR(__xludf.DUMMYFUNCTION("""COMPUTED_VALUE"""),494.59)</f>
        <v>494.59</v>
      </c>
      <c r="E2115" s="2">
        <f>IFERROR(__xludf.DUMMYFUNCTION("""COMPUTED_VALUE"""),502.1)</f>
        <v>502.1</v>
      </c>
      <c r="F2115" s="2">
        <f>IFERROR(__xludf.DUMMYFUNCTION("""COMPUTED_VALUE"""),4833870.0)</f>
        <v>4833870</v>
      </c>
    </row>
    <row r="2116">
      <c r="A2116" s="3">
        <f>IFERROR(__xludf.DUMMYFUNCTION("""COMPUTED_VALUE"""),40555.645833333336)</f>
        <v>40555.64583</v>
      </c>
      <c r="B2116" s="2">
        <f>IFERROR(__xludf.DUMMYFUNCTION("""COMPUTED_VALUE"""),505.51)</f>
        <v>505.51</v>
      </c>
      <c r="C2116" s="2">
        <f>IFERROR(__xludf.DUMMYFUNCTION("""COMPUTED_VALUE"""),512.94)</f>
        <v>512.94</v>
      </c>
      <c r="D2116" s="2">
        <f>IFERROR(__xludf.DUMMYFUNCTION("""COMPUTED_VALUE"""),496.77)</f>
        <v>496.77</v>
      </c>
      <c r="E2116" s="2">
        <f>IFERROR(__xludf.DUMMYFUNCTION("""COMPUTED_VALUE"""),510.54)</f>
        <v>510.54</v>
      </c>
      <c r="F2116" s="2">
        <f>IFERROR(__xludf.DUMMYFUNCTION("""COMPUTED_VALUE"""),5301987.0)</f>
        <v>5301987</v>
      </c>
    </row>
    <row r="2117">
      <c r="A2117" s="3">
        <f>IFERROR(__xludf.DUMMYFUNCTION("""COMPUTED_VALUE"""),40556.645833333336)</f>
        <v>40556.64583</v>
      </c>
      <c r="B2117" s="2">
        <f>IFERROR(__xludf.DUMMYFUNCTION("""COMPUTED_VALUE"""),510.15)</f>
        <v>510.15</v>
      </c>
      <c r="C2117" s="2">
        <f>IFERROR(__xludf.DUMMYFUNCTION("""COMPUTED_VALUE"""),514.68)</f>
        <v>514.68</v>
      </c>
      <c r="D2117" s="2">
        <f>IFERROR(__xludf.DUMMYFUNCTION("""COMPUTED_VALUE"""),500.78)</f>
        <v>500.78</v>
      </c>
      <c r="E2117" s="2">
        <f>IFERROR(__xludf.DUMMYFUNCTION("""COMPUTED_VALUE"""),502.89)</f>
        <v>502.89</v>
      </c>
      <c r="F2117" s="2">
        <f>IFERROR(__xludf.DUMMYFUNCTION("""COMPUTED_VALUE"""),5562896.0)</f>
        <v>5562896</v>
      </c>
    </row>
    <row r="2118">
      <c r="A2118" s="3">
        <f>IFERROR(__xludf.DUMMYFUNCTION("""COMPUTED_VALUE"""),40557.645833333336)</f>
        <v>40557.64583</v>
      </c>
      <c r="B2118" s="2">
        <f>IFERROR(__xludf.DUMMYFUNCTION("""COMPUTED_VALUE"""),502.25)</f>
        <v>502.25</v>
      </c>
      <c r="C2118" s="2">
        <f>IFERROR(__xludf.DUMMYFUNCTION("""COMPUTED_VALUE"""),510.05)</f>
        <v>510.05</v>
      </c>
      <c r="D2118" s="2">
        <f>IFERROR(__xludf.DUMMYFUNCTION("""COMPUTED_VALUE"""),494.3)</f>
        <v>494.3</v>
      </c>
      <c r="E2118" s="2">
        <f>IFERROR(__xludf.DUMMYFUNCTION("""COMPUTED_VALUE"""),496.03)</f>
        <v>496.03</v>
      </c>
      <c r="F2118" s="2">
        <f>IFERROR(__xludf.DUMMYFUNCTION("""COMPUTED_VALUE"""),4368638.0)</f>
        <v>4368638</v>
      </c>
    </row>
    <row r="2119">
      <c r="A2119" s="3">
        <f>IFERROR(__xludf.DUMMYFUNCTION("""COMPUTED_VALUE"""),40560.645833333336)</f>
        <v>40560.64583</v>
      </c>
      <c r="B2119" s="2">
        <f>IFERROR(__xludf.DUMMYFUNCTION("""COMPUTED_VALUE"""),496.77)</f>
        <v>496.77</v>
      </c>
      <c r="C2119" s="2">
        <f>IFERROR(__xludf.DUMMYFUNCTION("""COMPUTED_VALUE"""),499.25)</f>
        <v>499.25</v>
      </c>
      <c r="D2119" s="2">
        <f>IFERROR(__xludf.DUMMYFUNCTION("""COMPUTED_VALUE"""),491.35)</f>
        <v>491.35</v>
      </c>
      <c r="E2119" s="2">
        <f>IFERROR(__xludf.DUMMYFUNCTION("""COMPUTED_VALUE"""),494.25)</f>
        <v>494.25</v>
      </c>
      <c r="F2119" s="2">
        <f>IFERROR(__xludf.DUMMYFUNCTION("""COMPUTED_VALUE"""),3210798.0)</f>
        <v>3210798</v>
      </c>
    </row>
    <row r="2120">
      <c r="A2120" s="3">
        <f>IFERROR(__xludf.DUMMYFUNCTION("""COMPUTED_VALUE"""),40561.645833333336)</f>
        <v>40561.64583</v>
      </c>
      <c r="B2120" s="2">
        <f>IFERROR(__xludf.DUMMYFUNCTION("""COMPUTED_VALUE"""),497.69)</f>
        <v>497.69</v>
      </c>
      <c r="C2120" s="2">
        <f>IFERROR(__xludf.DUMMYFUNCTION("""COMPUTED_VALUE"""),499.25)</f>
        <v>499.25</v>
      </c>
      <c r="D2120" s="2">
        <f>IFERROR(__xludf.DUMMYFUNCTION("""COMPUTED_VALUE"""),490.33)</f>
        <v>490.33</v>
      </c>
      <c r="E2120" s="2">
        <f>IFERROR(__xludf.DUMMYFUNCTION("""COMPUTED_VALUE"""),492.74)</f>
        <v>492.74</v>
      </c>
      <c r="F2120" s="2">
        <f>IFERROR(__xludf.DUMMYFUNCTION("""COMPUTED_VALUE"""),3399381.0)</f>
        <v>3399381</v>
      </c>
    </row>
    <row r="2121">
      <c r="A2121" s="3">
        <f>IFERROR(__xludf.DUMMYFUNCTION("""COMPUTED_VALUE"""),40562.645833333336)</f>
        <v>40562.64583</v>
      </c>
      <c r="B2121" s="2">
        <f>IFERROR(__xludf.DUMMYFUNCTION("""COMPUTED_VALUE"""),495.09)</f>
        <v>495.09</v>
      </c>
      <c r="C2121" s="2">
        <f>IFERROR(__xludf.DUMMYFUNCTION("""COMPUTED_VALUE"""),497.76)</f>
        <v>497.76</v>
      </c>
      <c r="D2121" s="2">
        <f>IFERROR(__xludf.DUMMYFUNCTION("""COMPUTED_VALUE"""),482.9)</f>
        <v>482.9</v>
      </c>
      <c r="E2121" s="2">
        <f>IFERROR(__xludf.DUMMYFUNCTION("""COMPUTED_VALUE"""),485.46)</f>
        <v>485.46</v>
      </c>
      <c r="F2121" s="2">
        <f>IFERROR(__xludf.DUMMYFUNCTION("""COMPUTED_VALUE"""),5369775.0)</f>
        <v>5369775</v>
      </c>
    </row>
    <row r="2122">
      <c r="A2122" s="3">
        <f>IFERROR(__xludf.DUMMYFUNCTION("""COMPUTED_VALUE"""),40563.645833333336)</f>
        <v>40563.64583</v>
      </c>
      <c r="B2122" s="2">
        <f>IFERROR(__xludf.DUMMYFUNCTION("""COMPUTED_VALUE"""),484.19)</f>
        <v>484.19</v>
      </c>
      <c r="C2122" s="2">
        <f>IFERROR(__xludf.DUMMYFUNCTION("""COMPUTED_VALUE"""),484.19)</f>
        <v>484.19</v>
      </c>
      <c r="D2122" s="2">
        <f>IFERROR(__xludf.DUMMYFUNCTION("""COMPUTED_VALUE"""),472.78)</f>
        <v>472.78</v>
      </c>
      <c r="E2122" s="2">
        <f>IFERROR(__xludf.DUMMYFUNCTION("""COMPUTED_VALUE"""),480.35)</f>
        <v>480.35</v>
      </c>
      <c r="F2122" s="2">
        <f>IFERROR(__xludf.DUMMYFUNCTION("""COMPUTED_VALUE"""),9450384.0)</f>
        <v>9450384</v>
      </c>
    </row>
    <row r="2123">
      <c r="A2123" s="3">
        <f>IFERROR(__xludf.DUMMYFUNCTION("""COMPUTED_VALUE"""),40564.645833333336)</f>
        <v>40564.64583</v>
      </c>
      <c r="B2123" s="2">
        <f>IFERROR(__xludf.DUMMYFUNCTION("""COMPUTED_VALUE"""),482.9)</f>
        <v>482.9</v>
      </c>
      <c r="C2123" s="2">
        <f>IFERROR(__xludf.DUMMYFUNCTION("""COMPUTED_VALUE"""),491.57)</f>
        <v>491.57</v>
      </c>
      <c r="D2123" s="2">
        <f>IFERROR(__xludf.DUMMYFUNCTION("""COMPUTED_VALUE"""),481.91)</f>
        <v>481.91</v>
      </c>
      <c r="E2123" s="2">
        <f>IFERROR(__xludf.DUMMYFUNCTION("""COMPUTED_VALUE"""),488.75)</f>
        <v>488.75</v>
      </c>
      <c r="F2123" s="2">
        <f>IFERROR(__xludf.DUMMYFUNCTION("""COMPUTED_VALUE"""),4463927.0)</f>
        <v>4463927</v>
      </c>
    </row>
    <row r="2124">
      <c r="A2124" s="3">
        <f>IFERROR(__xludf.DUMMYFUNCTION("""COMPUTED_VALUE"""),40567.645833333336)</f>
        <v>40567.64583</v>
      </c>
      <c r="B2124" s="2">
        <f>IFERROR(__xludf.DUMMYFUNCTION("""COMPUTED_VALUE"""),492.86)</f>
        <v>492.86</v>
      </c>
      <c r="C2124" s="2">
        <f>IFERROR(__xludf.DUMMYFUNCTION("""COMPUTED_VALUE"""),493.26)</f>
        <v>493.26</v>
      </c>
      <c r="D2124" s="2">
        <f>IFERROR(__xludf.DUMMYFUNCTION("""COMPUTED_VALUE"""),477.51)</f>
        <v>477.51</v>
      </c>
      <c r="E2124" s="2">
        <f>IFERROR(__xludf.DUMMYFUNCTION("""COMPUTED_VALUE"""),481.22)</f>
        <v>481.22</v>
      </c>
      <c r="F2124" s="2">
        <f>IFERROR(__xludf.DUMMYFUNCTION("""COMPUTED_VALUE"""),5084310.0)</f>
        <v>5084310</v>
      </c>
    </row>
    <row r="2125">
      <c r="A2125" s="3">
        <f>IFERROR(__xludf.DUMMYFUNCTION("""COMPUTED_VALUE"""),40568.645833333336)</f>
        <v>40568.64583</v>
      </c>
      <c r="B2125" s="2">
        <f>IFERROR(__xludf.DUMMYFUNCTION("""COMPUTED_VALUE"""),483.94)</f>
        <v>483.94</v>
      </c>
      <c r="C2125" s="2">
        <f>IFERROR(__xludf.DUMMYFUNCTION("""COMPUTED_VALUE"""),487.83)</f>
        <v>487.83</v>
      </c>
      <c r="D2125" s="2">
        <f>IFERROR(__xludf.DUMMYFUNCTION("""COMPUTED_VALUE"""),473.62)</f>
        <v>473.62</v>
      </c>
      <c r="E2125" s="2">
        <f>IFERROR(__xludf.DUMMYFUNCTION("""COMPUTED_VALUE"""),474.73)</f>
        <v>474.73</v>
      </c>
      <c r="F2125" s="2">
        <f>IFERROR(__xludf.DUMMYFUNCTION("""COMPUTED_VALUE"""),4646080.0)</f>
        <v>4646080</v>
      </c>
    </row>
    <row r="2126">
      <c r="A2126" s="3">
        <f>IFERROR(__xludf.DUMMYFUNCTION("""COMPUTED_VALUE"""),40570.645833333336)</f>
        <v>40570.64583</v>
      </c>
      <c r="B2126" s="2">
        <f>IFERROR(__xludf.DUMMYFUNCTION("""COMPUTED_VALUE"""),478.45)</f>
        <v>478.45</v>
      </c>
      <c r="C2126" s="2">
        <f>IFERROR(__xludf.DUMMYFUNCTION("""COMPUTED_VALUE"""),479.14)</f>
        <v>479.14</v>
      </c>
      <c r="D2126" s="2">
        <f>IFERROR(__xludf.DUMMYFUNCTION("""COMPUTED_VALUE"""),465.57)</f>
        <v>465.57</v>
      </c>
      <c r="E2126" s="2">
        <f>IFERROR(__xludf.DUMMYFUNCTION("""COMPUTED_VALUE"""),466.91)</f>
        <v>466.91</v>
      </c>
      <c r="F2126" s="2">
        <f>IFERROR(__xludf.DUMMYFUNCTION("""COMPUTED_VALUE"""),6424365.0)</f>
        <v>6424365</v>
      </c>
    </row>
    <row r="2127">
      <c r="A2127" s="3">
        <f>IFERROR(__xludf.DUMMYFUNCTION("""COMPUTED_VALUE"""),40571.645833333336)</f>
        <v>40571.64583</v>
      </c>
      <c r="B2127" s="2">
        <f>IFERROR(__xludf.DUMMYFUNCTION("""COMPUTED_VALUE"""),468.05)</f>
        <v>468.05</v>
      </c>
      <c r="C2127" s="2">
        <f>IFERROR(__xludf.DUMMYFUNCTION("""COMPUTED_VALUE"""),468.49)</f>
        <v>468.49</v>
      </c>
      <c r="D2127" s="2">
        <f>IFERROR(__xludf.DUMMYFUNCTION("""COMPUTED_VALUE"""),446.75)</f>
        <v>446.75</v>
      </c>
      <c r="E2127" s="2">
        <f>IFERROR(__xludf.DUMMYFUNCTION("""COMPUTED_VALUE"""),452.2)</f>
        <v>452.2</v>
      </c>
      <c r="F2127" s="2">
        <f>IFERROR(__xludf.DUMMYFUNCTION("""COMPUTED_VALUE"""),7738844.0)</f>
        <v>7738844</v>
      </c>
    </row>
    <row r="2128">
      <c r="A2128" s="3">
        <f>IFERROR(__xludf.DUMMYFUNCTION("""COMPUTED_VALUE"""),40574.645833333336)</f>
        <v>40574.64583</v>
      </c>
      <c r="B2128" s="2">
        <f>IFERROR(__xludf.DUMMYFUNCTION("""COMPUTED_VALUE"""),450.14)</f>
        <v>450.14</v>
      </c>
      <c r="C2128" s="2">
        <f>IFERROR(__xludf.DUMMYFUNCTION("""COMPUTED_VALUE"""),460.05)</f>
        <v>460.05</v>
      </c>
      <c r="D2128" s="2">
        <f>IFERROR(__xludf.DUMMYFUNCTION("""COMPUTED_VALUE"""),447.29)</f>
        <v>447.29</v>
      </c>
      <c r="E2128" s="2">
        <f>IFERROR(__xludf.DUMMYFUNCTION("""COMPUTED_VALUE"""),455.32)</f>
        <v>455.32</v>
      </c>
      <c r="F2128" s="2">
        <f>IFERROR(__xludf.DUMMYFUNCTION("""COMPUTED_VALUE"""),5790572.0)</f>
        <v>5790572</v>
      </c>
    </row>
    <row r="2129">
      <c r="A2129" s="3">
        <f>IFERROR(__xludf.DUMMYFUNCTION("""COMPUTED_VALUE"""),40575.645833333336)</f>
        <v>40575.64583</v>
      </c>
      <c r="B2129" s="2">
        <f>IFERROR(__xludf.DUMMYFUNCTION("""COMPUTED_VALUE"""),458.19)</f>
        <v>458.19</v>
      </c>
      <c r="C2129" s="2">
        <f>IFERROR(__xludf.DUMMYFUNCTION("""COMPUTED_VALUE"""),459.48)</f>
        <v>459.48</v>
      </c>
      <c r="D2129" s="2">
        <f>IFERROR(__xludf.DUMMYFUNCTION("""COMPUTED_VALUE"""),440.09)</f>
        <v>440.09</v>
      </c>
      <c r="E2129" s="2">
        <f>IFERROR(__xludf.DUMMYFUNCTION("""COMPUTED_VALUE"""),443.53)</f>
        <v>443.53</v>
      </c>
      <c r="F2129" s="2">
        <f>IFERROR(__xludf.DUMMYFUNCTION("""COMPUTED_VALUE"""),8663045.0)</f>
        <v>8663045</v>
      </c>
    </row>
    <row r="2130">
      <c r="A2130" s="3">
        <f>IFERROR(__xludf.DUMMYFUNCTION("""COMPUTED_VALUE"""),40576.645833333336)</f>
        <v>40576.64583</v>
      </c>
      <c r="B2130" s="2">
        <f>IFERROR(__xludf.DUMMYFUNCTION("""COMPUTED_VALUE"""),450.71)</f>
        <v>450.71</v>
      </c>
      <c r="C2130" s="2">
        <f>IFERROR(__xludf.DUMMYFUNCTION("""COMPUTED_VALUE"""),459.58)</f>
        <v>459.58</v>
      </c>
      <c r="D2130" s="2">
        <f>IFERROR(__xludf.DUMMYFUNCTION("""COMPUTED_VALUE"""),449.37)</f>
        <v>449.37</v>
      </c>
      <c r="E2130" s="2">
        <f>IFERROR(__xludf.DUMMYFUNCTION("""COMPUTED_VALUE"""),456.31)</f>
        <v>456.31</v>
      </c>
      <c r="F2130" s="2">
        <f>IFERROR(__xludf.DUMMYFUNCTION("""COMPUTED_VALUE"""),6506784.0)</f>
        <v>6506784</v>
      </c>
    </row>
    <row r="2131">
      <c r="A2131" s="3">
        <f>IFERROR(__xludf.DUMMYFUNCTION("""COMPUTED_VALUE"""),40577.645833333336)</f>
        <v>40577.64583</v>
      </c>
      <c r="B2131" s="2">
        <f>IFERROR(__xludf.DUMMYFUNCTION("""COMPUTED_VALUE"""),459.63)</f>
        <v>459.63</v>
      </c>
      <c r="C2131" s="2">
        <f>IFERROR(__xludf.DUMMYFUNCTION("""COMPUTED_VALUE"""),469.28)</f>
        <v>469.28</v>
      </c>
      <c r="D2131" s="2">
        <f>IFERROR(__xludf.DUMMYFUNCTION("""COMPUTED_VALUE"""),453.19)</f>
        <v>453.19</v>
      </c>
      <c r="E2131" s="2">
        <f>IFERROR(__xludf.DUMMYFUNCTION("""COMPUTED_VALUE"""),467.5)</f>
        <v>467.5</v>
      </c>
      <c r="F2131" s="2">
        <f>IFERROR(__xludf.DUMMYFUNCTION("""COMPUTED_VALUE"""),3896824.0)</f>
        <v>3896824</v>
      </c>
    </row>
    <row r="2132">
      <c r="A2132" s="3">
        <f>IFERROR(__xludf.DUMMYFUNCTION("""COMPUTED_VALUE"""),40578.645833333336)</f>
        <v>40578.64583</v>
      </c>
      <c r="B2132" s="2">
        <f>IFERROR(__xludf.DUMMYFUNCTION("""COMPUTED_VALUE"""),469.23)</f>
        <v>469.23</v>
      </c>
      <c r="C2132" s="2">
        <f>IFERROR(__xludf.DUMMYFUNCTION("""COMPUTED_VALUE"""),469.23)</f>
        <v>469.23</v>
      </c>
      <c r="D2132" s="2">
        <f>IFERROR(__xludf.DUMMYFUNCTION("""COMPUTED_VALUE"""),452.27)</f>
        <v>452.27</v>
      </c>
      <c r="E2132" s="2">
        <f>IFERROR(__xludf.DUMMYFUNCTION("""COMPUTED_VALUE"""),455.66)</f>
        <v>455.66</v>
      </c>
      <c r="F2132" s="2">
        <f>IFERROR(__xludf.DUMMYFUNCTION("""COMPUTED_VALUE"""),4735179.0)</f>
        <v>4735179</v>
      </c>
    </row>
    <row r="2133">
      <c r="A2133" s="3">
        <f>IFERROR(__xludf.DUMMYFUNCTION("""COMPUTED_VALUE"""),40581.645833333336)</f>
        <v>40581.64583</v>
      </c>
      <c r="B2133" s="2">
        <f>IFERROR(__xludf.DUMMYFUNCTION("""COMPUTED_VALUE"""),458.49)</f>
        <v>458.49</v>
      </c>
      <c r="C2133" s="2">
        <f>IFERROR(__xludf.DUMMYFUNCTION("""COMPUTED_VALUE"""),464.98)</f>
        <v>464.98</v>
      </c>
      <c r="D2133" s="2">
        <f>IFERROR(__xludf.DUMMYFUNCTION("""COMPUTED_VALUE"""),452.89)</f>
        <v>452.89</v>
      </c>
      <c r="E2133" s="2">
        <f>IFERROR(__xludf.DUMMYFUNCTION("""COMPUTED_VALUE"""),460.15)</f>
        <v>460.15</v>
      </c>
      <c r="F2133" s="2">
        <f>IFERROR(__xludf.DUMMYFUNCTION("""COMPUTED_VALUE"""),3334195.0)</f>
        <v>3334195</v>
      </c>
    </row>
    <row r="2134">
      <c r="A2134" s="3">
        <f>IFERROR(__xludf.DUMMYFUNCTION("""COMPUTED_VALUE"""),40582.645833333336)</f>
        <v>40582.64583</v>
      </c>
      <c r="B2134" s="2">
        <f>IFERROR(__xludf.DUMMYFUNCTION("""COMPUTED_VALUE"""),463.44)</f>
        <v>463.44</v>
      </c>
      <c r="C2134" s="2">
        <f>IFERROR(__xludf.DUMMYFUNCTION("""COMPUTED_VALUE"""),463.44)</f>
        <v>463.44</v>
      </c>
      <c r="D2134" s="2">
        <f>IFERROR(__xludf.DUMMYFUNCTION("""COMPUTED_VALUE"""),451.33)</f>
        <v>451.33</v>
      </c>
      <c r="E2134" s="2">
        <f>IFERROR(__xludf.DUMMYFUNCTION("""COMPUTED_VALUE"""),453.31)</f>
        <v>453.31</v>
      </c>
      <c r="F2134" s="2">
        <f>IFERROR(__xludf.DUMMYFUNCTION("""COMPUTED_VALUE"""),4499736.0)</f>
        <v>4499736</v>
      </c>
    </row>
    <row r="2135">
      <c r="A2135" s="3">
        <f>IFERROR(__xludf.DUMMYFUNCTION("""COMPUTED_VALUE"""),40583.645833333336)</f>
        <v>40583.64583</v>
      </c>
      <c r="B2135" s="2">
        <f>IFERROR(__xludf.DUMMYFUNCTION("""COMPUTED_VALUE"""),449.92)</f>
        <v>449.92</v>
      </c>
      <c r="C2135" s="2">
        <f>IFERROR(__xludf.DUMMYFUNCTION("""COMPUTED_VALUE"""),464.18)</f>
        <v>464.18</v>
      </c>
      <c r="D2135" s="2">
        <f>IFERROR(__xludf.DUMMYFUNCTION("""COMPUTED_VALUE"""),447.57)</f>
        <v>447.57</v>
      </c>
      <c r="E2135" s="2">
        <f>IFERROR(__xludf.DUMMYFUNCTION("""COMPUTED_VALUE"""),452.84)</f>
        <v>452.84</v>
      </c>
      <c r="F2135" s="2">
        <f>IFERROR(__xludf.DUMMYFUNCTION("""COMPUTED_VALUE"""),8738283.0)</f>
        <v>8738283</v>
      </c>
    </row>
    <row r="2136">
      <c r="A2136" s="3">
        <f>IFERROR(__xludf.DUMMYFUNCTION("""COMPUTED_VALUE"""),40584.645833333336)</f>
        <v>40584.64583</v>
      </c>
      <c r="B2136" s="2">
        <f>IFERROR(__xludf.DUMMYFUNCTION("""COMPUTED_VALUE"""),451.95)</f>
        <v>451.95</v>
      </c>
      <c r="C2136" s="2">
        <f>IFERROR(__xludf.DUMMYFUNCTION("""COMPUTED_VALUE"""),456.06)</f>
        <v>456.06</v>
      </c>
      <c r="D2136" s="2">
        <f>IFERROR(__xludf.DUMMYFUNCTION("""COMPUTED_VALUE"""),438.38)</f>
        <v>438.38</v>
      </c>
      <c r="E2136" s="2">
        <f>IFERROR(__xludf.DUMMYFUNCTION("""COMPUTED_VALUE"""),445.58)</f>
        <v>445.58</v>
      </c>
      <c r="F2136" s="2">
        <f>IFERROR(__xludf.DUMMYFUNCTION("""COMPUTED_VALUE"""),6479831.0)</f>
        <v>6479831</v>
      </c>
    </row>
    <row r="2137">
      <c r="A2137" s="3">
        <f>IFERROR(__xludf.DUMMYFUNCTION("""COMPUTED_VALUE"""),40585.645833333336)</f>
        <v>40585.64583</v>
      </c>
      <c r="B2137" s="2">
        <f>IFERROR(__xludf.DUMMYFUNCTION("""COMPUTED_VALUE"""),445.73)</f>
        <v>445.73</v>
      </c>
      <c r="C2137" s="2">
        <f>IFERROR(__xludf.DUMMYFUNCTION("""COMPUTED_VALUE"""),453.19)</f>
        <v>453.19</v>
      </c>
      <c r="D2137" s="2">
        <f>IFERROR(__xludf.DUMMYFUNCTION("""COMPUTED_VALUE"""),439.84)</f>
        <v>439.84</v>
      </c>
      <c r="E2137" s="2">
        <f>IFERROR(__xludf.DUMMYFUNCTION("""COMPUTED_VALUE"""),450.69)</f>
        <v>450.69</v>
      </c>
      <c r="F2137" s="2">
        <f>IFERROR(__xludf.DUMMYFUNCTION("""COMPUTED_VALUE"""),4574486.0)</f>
        <v>4574486</v>
      </c>
    </row>
    <row r="2138">
      <c r="A2138" s="3">
        <f>IFERROR(__xludf.DUMMYFUNCTION("""COMPUTED_VALUE"""),40588.645833333336)</f>
        <v>40588.64583</v>
      </c>
      <c r="B2138" s="2">
        <f>IFERROR(__xludf.DUMMYFUNCTION("""COMPUTED_VALUE"""),448.78)</f>
        <v>448.78</v>
      </c>
      <c r="C2138" s="2">
        <f>IFERROR(__xludf.DUMMYFUNCTION("""COMPUTED_VALUE"""),454.8)</f>
        <v>454.8</v>
      </c>
      <c r="D2138" s="2">
        <f>IFERROR(__xludf.DUMMYFUNCTION("""COMPUTED_VALUE"""),442.84)</f>
        <v>442.84</v>
      </c>
      <c r="E2138" s="2">
        <f>IFERROR(__xludf.DUMMYFUNCTION("""COMPUTED_VALUE"""),453.09)</f>
        <v>453.09</v>
      </c>
      <c r="F2138" s="2">
        <f>IFERROR(__xludf.DUMMYFUNCTION("""COMPUTED_VALUE"""),6890857.0)</f>
        <v>6890857</v>
      </c>
    </row>
    <row r="2139">
      <c r="A2139" s="3">
        <f>IFERROR(__xludf.DUMMYFUNCTION("""COMPUTED_VALUE"""),40589.645833333336)</f>
        <v>40589.64583</v>
      </c>
      <c r="B2139" s="2">
        <f>IFERROR(__xludf.DUMMYFUNCTION("""COMPUTED_VALUE"""),452.89)</f>
        <v>452.89</v>
      </c>
      <c r="C2139" s="2">
        <f>IFERROR(__xludf.DUMMYFUNCTION("""COMPUTED_VALUE"""),467.95)</f>
        <v>467.95</v>
      </c>
      <c r="D2139" s="2">
        <f>IFERROR(__xludf.DUMMYFUNCTION("""COMPUTED_VALUE"""),451.35)</f>
        <v>451.35</v>
      </c>
      <c r="E2139" s="2">
        <f>IFERROR(__xludf.DUMMYFUNCTION("""COMPUTED_VALUE"""),466.41)</f>
        <v>466.41</v>
      </c>
      <c r="F2139" s="2">
        <f>IFERROR(__xludf.DUMMYFUNCTION("""COMPUTED_VALUE"""),6232645.0)</f>
        <v>6232645</v>
      </c>
    </row>
    <row r="2140">
      <c r="A2140" s="3">
        <f>IFERROR(__xludf.DUMMYFUNCTION("""COMPUTED_VALUE"""),40590.645833333336)</f>
        <v>40590.64583</v>
      </c>
      <c r="B2140" s="2">
        <f>IFERROR(__xludf.DUMMYFUNCTION("""COMPUTED_VALUE"""),464.73)</f>
        <v>464.73</v>
      </c>
      <c r="C2140" s="2">
        <f>IFERROR(__xludf.DUMMYFUNCTION("""COMPUTED_VALUE"""),470.92)</f>
        <v>470.92</v>
      </c>
      <c r="D2140" s="2">
        <f>IFERROR(__xludf.DUMMYFUNCTION("""COMPUTED_VALUE"""),464.63)</f>
        <v>464.63</v>
      </c>
      <c r="E2140" s="2">
        <f>IFERROR(__xludf.DUMMYFUNCTION("""COMPUTED_VALUE"""),467.63)</f>
        <v>467.63</v>
      </c>
      <c r="F2140" s="2">
        <f>IFERROR(__xludf.DUMMYFUNCTION("""COMPUTED_VALUE"""),2523913.0)</f>
        <v>2523913</v>
      </c>
    </row>
    <row r="2141">
      <c r="A2141" s="3">
        <f>IFERROR(__xludf.DUMMYFUNCTION("""COMPUTED_VALUE"""),40591.645833333336)</f>
        <v>40591.64583</v>
      </c>
      <c r="B2141" s="2">
        <f>IFERROR(__xludf.DUMMYFUNCTION("""COMPUTED_VALUE"""),469.46)</f>
        <v>469.46</v>
      </c>
      <c r="C2141" s="2">
        <f>IFERROR(__xludf.DUMMYFUNCTION("""COMPUTED_VALUE"""),473.22)</f>
        <v>473.22</v>
      </c>
      <c r="D2141" s="2">
        <f>IFERROR(__xludf.DUMMYFUNCTION("""COMPUTED_VALUE"""),463.71)</f>
        <v>463.71</v>
      </c>
      <c r="E2141" s="2">
        <f>IFERROR(__xludf.DUMMYFUNCTION("""COMPUTED_VALUE"""),472.48)</f>
        <v>472.48</v>
      </c>
      <c r="F2141" s="2">
        <f>IFERROR(__xludf.DUMMYFUNCTION("""COMPUTED_VALUE"""),3221065.0)</f>
        <v>3221065</v>
      </c>
    </row>
    <row r="2142">
      <c r="A2142" s="3">
        <f>IFERROR(__xludf.DUMMYFUNCTION("""COMPUTED_VALUE"""),40592.645833333336)</f>
        <v>40592.64583</v>
      </c>
      <c r="B2142" s="2">
        <f>IFERROR(__xludf.DUMMYFUNCTION("""COMPUTED_VALUE"""),473.52)</f>
        <v>473.52</v>
      </c>
      <c r="C2142" s="2">
        <f>IFERROR(__xludf.DUMMYFUNCTION("""COMPUTED_VALUE"""),476.96)</f>
        <v>476.96</v>
      </c>
      <c r="D2142" s="2">
        <f>IFERROR(__xludf.DUMMYFUNCTION("""COMPUTED_VALUE"""),461.61)</f>
        <v>461.61</v>
      </c>
      <c r="E2142" s="2">
        <f>IFERROR(__xludf.DUMMYFUNCTION("""COMPUTED_VALUE"""),463.37)</f>
        <v>463.37</v>
      </c>
      <c r="F2142" s="2">
        <f>IFERROR(__xludf.DUMMYFUNCTION("""COMPUTED_VALUE"""),3599714.0)</f>
        <v>3599714</v>
      </c>
    </row>
    <row r="2143">
      <c r="A2143" s="3">
        <f>IFERROR(__xludf.DUMMYFUNCTION("""COMPUTED_VALUE"""),40595.645833333336)</f>
        <v>40595.64583</v>
      </c>
      <c r="B2143" s="2">
        <f>IFERROR(__xludf.DUMMYFUNCTION("""COMPUTED_VALUE"""),463.64)</f>
        <v>463.64</v>
      </c>
      <c r="C2143" s="2">
        <f>IFERROR(__xludf.DUMMYFUNCTION("""COMPUTED_VALUE"""),475.92)</f>
        <v>475.92</v>
      </c>
      <c r="D2143" s="2">
        <f>IFERROR(__xludf.DUMMYFUNCTION("""COMPUTED_VALUE"""),462.7)</f>
        <v>462.7</v>
      </c>
      <c r="E2143" s="2">
        <f>IFERROR(__xludf.DUMMYFUNCTION("""COMPUTED_VALUE"""),473.67)</f>
        <v>473.67</v>
      </c>
      <c r="F2143" s="2">
        <f>IFERROR(__xludf.DUMMYFUNCTION("""COMPUTED_VALUE"""),5858555.0)</f>
        <v>5858555</v>
      </c>
    </row>
    <row r="2144">
      <c r="A2144" s="3">
        <f>IFERROR(__xludf.DUMMYFUNCTION("""COMPUTED_VALUE"""),40596.645833333336)</f>
        <v>40596.64583</v>
      </c>
      <c r="B2144" s="2">
        <f>IFERROR(__xludf.DUMMYFUNCTION("""COMPUTED_VALUE"""),491.32)</f>
        <v>491.32</v>
      </c>
      <c r="C2144" s="2">
        <f>IFERROR(__xludf.DUMMYFUNCTION("""COMPUTED_VALUE"""),499.94)</f>
        <v>499.94</v>
      </c>
      <c r="D2144" s="2">
        <f>IFERROR(__xludf.DUMMYFUNCTION("""COMPUTED_VALUE"""),485.01)</f>
        <v>485.01</v>
      </c>
      <c r="E2144" s="2">
        <f>IFERROR(__xludf.DUMMYFUNCTION("""COMPUTED_VALUE"""),487.78)</f>
        <v>487.78</v>
      </c>
      <c r="F2144" s="2">
        <f>IFERROR(__xludf.DUMMYFUNCTION("""COMPUTED_VALUE"""),2.0326288E7)</f>
        <v>20326288</v>
      </c>
    </row>
    <row r="2145">
      <c r="A2145" s="3">
        <f>IFERROR(__xludf.DUMMYFUNCTION("""COMPUTED_VALUE"""),40597.645833333336)</f>
        <v>40597.64583</v>
      </c>
      <c r="B2145" s="2">
        <f>IFERROR(__xludf.DUMMYFUNCTION("""COMPUTED_VALUE"""),488.55)</f>
        <v>488.55</v>
      </c>
      <c r="C2145" s="2">
        <f>IFERROR(__xludf.DUMMYFUNCTION("""COMPUTED_VALUE"""),496.43)</f>
        <v>496.43</v>
      </c>
      <c r="D2145" s="2">
        <f>IFERROR(__xludf.DUMMYFUNCTION("""COMPUTED_VALUE"""),487.86)</f>
        <v>487.86</v>
      </c>
      <c r="E2145" s="2">
        <f>IFERROR(__xludf.DUMMYFUNCTION("""COMPUTED_VALUE"""),493.13)</f>
        <v>493.13</v>
      </c>
      <c r="F2145" s="2">
        <f>IFERROR(__xludf.DUMMYFUNCTION("""COMPUTED_VALUE"""),7128252.0)</f>
        <v>7128252</v>
      </c>
    </row>
    <row r="2146">
      <c r="A2146" s="3">
        <f>IFERROR(__xludf.DUMMYFUNCTION("""COMPUTED_VALUE"""),40598.645833333336)</f>
        <v>40598.64583</v>
      </c>
      <c r="B2146" s="2">
        <f>IFERROR(__xludf.DUMMYFUNCTION("""COMPUTED_VALUE"""),493.31)</f>
        <v>493.31</v>
      </c>
      <c r="C2146" s="2">
        <f>IFERROR(__xludf.DUMMYFUNCTION("""COMPUTED_VALUE"""),494.59)</f>
        <v>494.59</v>
      </c>
      <c r="D2146" s="2">
        <f>IFERROR(__xludf.DUMMYFUNCTION("""COMPUTED_VALUE"""),474.66)</f>
        <v>474.66</v>
      </c>
      <c r="E2146" s="2">
        <f>IFERROR(__xludf.DUMMYFUNCTION("""COMPUTED_VALUE"""),477.56)</f>
        <v>477.56</v>
      </c>
      <c r="F2146" s="2">
        <f>IFERROR(__xludf.DUMMYFUNCTION("""COMPUTED_VALUE"""),7521221.0)</f>
        <v>7521221</v>
      </c>
    </row>
    <row r="2147">
      <c r="A2147" s="3">
        <f>IFERROR(__xludf.DUMMYFUNCTION("""COMPUTED_VALUE"""),40599.645833333336)</f>
        <v>40599.64583</v>
      </c>
      <c r="B2147" s="2">
        <f>IFERROR(__xludf.DUMMYFUNCTION("""COMPUTED_VALUE"""),485.73)</f>
        <v>485.73</v>
      </c>
      <c r="C2147" s="2">
        <f>IFERROR(__xludf.DUMMYFUNCTION("""COMPUTED_VALUE"""),486.5)</f>
        <v>486.5</v>
      </c>
      <c r="D2147" s="2">
        <f>IFERROR(__xludf.DUMMYFUNCTION("""COMPUTED_VALUE"""),472.78)</f>
        <v>472.78</v>
      </c>
      <c r="E2147" s="2">
        <f>IFERROR(__xludf.DUMMYFUNCTION("""COMPUTED_VALUE"""),478.57)</f>
        <v>478.57</v>
      </c>
      <c r="F2147" s="2">
        <f>IFERROR(__xludf.DUMMYFUNCTION("""COMPUTED_VALUE"""),3451930.0)</f>
        <v>3451930</v>
      </c>
    </row>
    <row r="2148">
      <c r="A2148" s="3">
        <f>IFERROR(__xludf.DUMMYFUNCTION("""COMPUTED_VALUE"""),40602.645833333336)</f>
        <v>40602.64583</v>
      </c>
      <c r="B2148" s="2">
        <f>IFERROR(__xludf.DUMMYFUNCTION("""COMPUTED_VALUE"""),480.53)</f>
        <v>480.53</v>
      </c>
      <c r="C2148" s="2">
        <f>IFERROR(__xludf.DUMMYFUNCTION("""COMPUTED_VALUE"""),492.46)</f>
        <v>492.46</v>
      </c>
      <c r="D2148" s="2">
        <f>IFERROR(__xludf.DUMMYFUNCTION("""COMPUTED_VALUE"""),475.48)</f>
        <v>475.48</v>
      </c>
      <c r="E2148" s="2">
        <f>IFERROR(__xludf.DUMMYFUNCTION("""COMPUTED_VALUE"""),477.58)</f>
        <v>477.58</v>
      </c>
      <c r="F2148" s="2">
        <f>IFERROR(__xludf.DUMMYFUNCTION("""COMPUTED_VALUE"""),5140248.0)</f>
        <v>5140248</v>
      </c>
    </row>
    <row r="2149">
      <c r="A2149" s="3">
        <f>IFERROR(__xludf.DUMMYFUNCTION("""COMPUTED_VALUE"""),40603.645833333336)</f>
        <v>40603.64583</v>
      </c>
      <c r="B2149" s="2">
        <f>IFERROR(__xludf.DUMMYFUNCTION("""COMPUTED_VALUE"""),482.26)</f>
        <v>482.26</v>
      </c>
      <c r="C2149" s="2">
        <f>IFERROR(__xludf.DUMMYFUNCTION("""COMPUTED_VALUE"""),491.67)</f>
        <v>491.67</v>
      </c>
      <c r="D2149" s="2">
        <f>IFERROR(__xludf.DUMMYFUNCTION("""COMPUTED_VALUE"""),479.04)</f>
        <v>479.04</v>
      </c>
      <c r="E2149" s="2">
        <f>IFERROR(__xludf.DUMMYFUNCTION("""COMPUTED_VALUE"""),489.76)</f>
        <v>489.76</v>
      </c>
      <c r="F2149" s="2">
        <f>IFERROR(__xludf.DUMMYFUNCTION("""COMPUTED_VALUE"""),2885282.0)</f>
        <v>2885282</v>
      </c>
    </row>
    <row r="2150">
      <c r="A2150" s="3">
        <f>IFERROR(__xludf.DUMMYFUNCTION("""COMPUTED_VALUE"""),40605.645833333336)</f>
        <v>40605.64583</v>
      </c>
      <c r="B2150" s="2">
        <f>IFERROR(__xludf.DUMMYFUNCTION("""COMPUTED_VALUE"""),483.0)</f>
        <v>483</v>
      </c>
      <c r="C2150" s="2">
        <f>IFERROR(__xludf.DUMMYFUNCTION("""COMPUTED_VALUE"""),487.86)</f>
        <v>487.86</v>
      </c>
      <c r="D2150" s="2">
        <f>IFERROR(__xludf.DUMMYFUNCTION("""COMPUTED_VALUE"""),479.49)</f>
        <v>479.49</v>
      </c>
      <c r="E2150" s="2">
        <f>IFERROR(__xludf.DUMMYFUNCTION("""COMPUTED_VALUE"""),484.09)</f>
        <v>484.09</v>
      </c>
      <c r="F2150" s="2">
        <f>IFERROR(__xludf.DUMMYFUNCTION("""COMPUTED_VALUE"""),4461643.0)</f>
        <v>4461643</v>
      </c>
    </row>
    <row r="2151">
      <c r="A2151" s="3">
        <f>IFERROR(__xludf.DUMMYFUNCTION("""COMPUTED_VALUE"""),40606.645833333336)</f>
        <v>40606.64583</v>
      </c>
      <c r="B2151" s="2">
        <f>IFERROR(__xludf.DUMMYFUNCTION("""COMPUTED_VALUE"""),487.68)</f>
        <v>487.68</v>
      </c>
      <c r="C2151" s="2">
        <f>IFERROR(__xludf.DUMMYFUNCTION("""COMPUTED_VALUE"""),492.71)</f>
        <v>492.71</v>
      </c>
      <c r="D2151" s="2">
        <f>IFERROR(__xludf.DUMMYFUNCTION("""COMPUTED_VALUE"""),484.44)</f>
        <v>484.44</v>
      </c>
      <c r="E2151" s="2">
        <f>IFERROR(__xludf.DUMMYFUNCTION("""COMPUTED_VALUE"""),486.47)</f>
        <v>486.47</v>
      </c>
      <c r="F2151" s="2">
        <f>IFERROR(__xludf.DUMMYFUNCTION("""COMPUTED_VALUE"""),3524743.0)</f>
        <v>3524743</v>
      </c>
    </row>
    <row r="2152">
      <c r="A2152" s="3">
        <f>IFERROR(__xludf.DUMMYFUNCTION("""COMPUTED_VALUE"""),40609.645833333336)</f>
        <v>40609.64583</v>
      </c>
      <c r="B2152" s="2">
        <f>IFERROR(__xludf.DUMMYFUNCTION("""COMPUTED_VALUE"""),482.46)</f>
        <v>482.46</v>
      </c>
      <c r="C2152" s="2">
        <f>IFERROR(__xludf.DUMMYFUNCTION("""COMPUTED_VALUE"""),487.02)</f>
        <v>487.02</v>
      </c>
      <c r="D2152" s="2">
        <f>IFERROR(__xludf.DUMMYFUNCTION("""COMPUTED_VALUE"""),477.46)</f>
        <v>477.46</v>
      </c>
      <c r="E2152" s="2">
        <f>IFERROR(__xludf.DUMMYFUNCTION("""COMPUTED_VALUE"""),483.92)</f>
        <v>483.92</v>
      </c>
      <c r="F2152" s="2">
        <f>IFERROR(__xludf.DUMMYFUNCTION("""COMPUTED_VALUE"""),2702156.0)</f>
        <v>2702156</v>
      </c>
    </row>
    <row r="2153">
      <c r="A2153" s="3">
        <f>IFERROR(__xludf.DUMMYFUNCTION("""COMPUTED_VALUE"""),40610.645833333336)</f>
        <v>40610.64583</v>
      </c>
      <c r="B2153" s="2">
        <f>IFERROR(__xludf.DUMMYFUNCTION("""COMPUTED_VALUE"""),484.39)</f>
        <v>484.39</v>
      </c>
      <c r="C2153" s="2">
        <f>IFERROR(__xludf.DUMMYFUNCTION("""COMPUTED_VALUE"""),491.52)</f>
        <v>491.52</v>
      </c>
      <c r="D2153" s="2">
        <f>IFERROR(__xludf.DUMMYFUNCTION("""COMPUTED_VALUE"""),484.39)</f>
        <v>484.39</v>
      </c>
      <c r="E2153" s="2">
        <f>IFERROR(__xludf.DUMMYFUNCTION("""COMPUTED_VALUE"""),487.83)</f>
        <v>487.83</v>
      </c>
      <c r="F2153" s="2">
        <f>IFERROR(__xludf.DUMMYFUNCTION("""COMPUTED_VALUE"""),2756185.0)</f>
        <v>2756185</v>
      </c>
    </row>
    <row r="2154">
      <c r="A2154" s="3">
        <f>IFERROR(__xludf.DUMMYFUNCTION("""COMPUTED_VALUE"""),40611.645833333336)</f>
        <v>40611.64583</v>
      </c>
      <c r="B2154" s="2">
        <f>IFERROR(__xludf.DUMMYFUNCTION("""COMPUTED_VALUE"""),489.69)</f>
        <v>489.69</v>
      </c>
      <c r="C2154" s="2">
        <f>IFERROR(__xludf.DUMMYFUNCTION("""COMPUTED_VALUE"""),497.47)</f>
        <v>497.47</v>
      </c>
      <c r="D2154" s="2">
        <f>IFERROR(__xludf.DUMMYFUNCTION("""COMPUTED_VALUE"""),479.49)</f>
        <v>479.49</v>
      </c>
      <c r="E2154" s="2">
        <f>IFERROR(__xludf.DUMMYFUNCTION("""COMPUTED_VALUE"""),492.24)</f>
        <v>492.24</v>
      </c>
      <c r="F2154" s="2">
        <f>IFERROR(__xludf.DUMMYFUNCTION("""COMPUTED_VALUE"""),7422840.0)</f>
        <v>7422840</v>
      </c>
    </row>
    <row r="2155">
      <c r="A2155" s="3">
        <f>IFERROR(__xludf.DUMMYFUNCTION("""COMPUTED_VALUE"""),40612.645833333336)</f>
        <v>40612.64583</v>
      </c>
      <c r="B2155" s="2">
        <f>IFERROR(__xludf.DUMMYFUNCTION("""COMPUTED_VALUE"""),491.67)</f>
        <v>491.67</v>
      </c>
      <c r="C2155" s="2">
        <f>IFERROR(__xludf.DUMMYFUNCTION("""COMPUTED_VALUE"""),491.82)</f>
        <v>491.82</v>
      </c>
      <c r="D2155" s="2">
        <f>IFERROR(__xludf.DUMMYFUNCTION("""COMPUTED_VALUE"""),486.37)</f>
        <v>486.37</v>
      </c>
      <c r="E2155" s="2">
        <f>IFERROR(__xludf.DUMMYFUNCTION("""COMPUTED_VALUE"""),487.73)</f>
        <v>487.73</v>
      </c>
      <c r="F2155" s="2">
        <f>IFERROR(__xludf.DUMMYFUNCTION("""COMPUTED_VALUE"""),2252418.0)</f>
        <v>2252418</v>
      </c>
    </row>
    <row r="2156">
      <c r="A2156" s="3">
        <f>IFERROR(__xludf.DUMMYFUNCTION("""COMPUTED_VALUE"""),40613.645833333336)</f>
        <v>40613.64583</v>
      </c>
      <c r="B2156" s="2">
        <f>IFERROR(__xludf.DUMMYFUNCTION("""COMPUTED_VALUE"""),484.79)</f>
        <v>484.79</v>
      </c>
      <c r="C2156" s="2">
        <f>IFERROR(__xludf.DUMMYFUNCTION("""COMPUTED_VALUE"""),492.76)</f>
        <v>492.76</v>
      </c>
      <c r="D2156" s="2">
        <f>IFERROR(__xludf.DUMMYFUNCTION("""COMPUTED_VALUE"""),481.49)</f>
        <v>481.49</v>
      </c>
      <c r="E2156" s="2">
        <f>IFERROR(__xludf.DUMMYFUNCTION("""COMPUTED_VALUE"""),491.35)</f>
        <v>491.35</v>
      </c>
      <c r="F2156" s="2">
        <f>IFERROR(__xludf.DUMMYFUNCTION("""COMPUTED_VALUE"""),3428848.0)</f>
        <v>3428848</v>
      </c>
    </row>
    <row r="2157">
      <c r="A2157" s="3">
        <f>IFERROR(__xludf.DUMMYFUNCTION("""COMPUTED_VALUE"""),40616.645833333336)</f>
        <v>40616.64583</v>
      </c>
      <c r="B2157" s="2">
        <f>IFERROR(__xludf.DUMMYFUNCTION("""COMPUTED_VALUE"""),491.8)</f>
        <v>491.8</v>
      </c>
      <c r="C2157" s="2">
        <f>IFERROR(__xludf.DUMMYFUNCTION("""COMPUTED_VALUE"""),505.56)</f>
        <v>505.56</v>
      </c>
      <c r="D2157" s="2">
        <f>IFERROR(__xludf.DUMMYFUNCTION("""COMPUTED_VALUE"""),491.45)</f>
        <v>491.45</v>
      </c>
      <c r="E2157" s="2">
        <f>IFERROR(__xludf.DUMMYFUNCTION("""COMPUTED_VALUE"""),504.38)</f>
        <v>504.38</v>
      </c>
      <c r="F2157" s="2">
        <f>IFERROR(__xludf.DUMMYFUNCTION("""COMPUTED_VALUE"""),6585771.0)</f>
        <v>6585771</v>
      </c>
    </row>
    <row r="2158">
      <c r="A2158" s="3">
        <f>IFERROR(__xludf.DUMMYFUNCTION("""COMPUTED_VALUE"""),40617.645833333336)</f>
        <v>40617.64583</v>
      </c>
      <c r="B2158" s="2">
        <f>IFERROR(__xludf.DUMMYFUNCTION("""COMPUTED_VALUE"""),494.27)</f>
        <v>494.27</v>
      </c>
      <c r="C2158" s="2">
        <f>IFERROR(__xludf.DUMMYFUNCTION("""COMPUTED_VALUE"""),519.85)</f>
        <v>519.85</v>
      </c>
      <c r="D2158" s="2">
        <f>IFERROR(__xludf.DUMMYFUNCTION("""COMPUTED_VALUE"""),489.79)</f>
        <v>489.79</v>
      </c>
      <c r="E2158" s="2">
        <f>IFERROR(__xludf.DUMMYFUNCTION("""COMPUTED_VALUE"""),513.74)</f>
        <v>513.74</v>
      </c>
      <c r="F2158" s="2">
        <f>IFERROR(__xludf.DUMMYFUNCTION("""COMPUTED_VALUE"""),1.2902924E7)</f>
        <v>12902924</v>
      </c>
    </row>
    <row r="2159">
      <c r="A2159" s="3">
        <f>IFERROR(__xludf.DUMMYFUNCTION("""COMPUTED_VALUE"""),40618.645833333336)</f>
        <v>40618.64583</v>
      </c>
      <c r="B2159" s="2">
        <f>IFERROR(__xludf.DUMMYFUNCTION("""COMPUTED_VALUE"""),517.57)</f>
        <v>517.57</v>
      </c>
      <c r="C2159" s="2">
        <f>IFERROR(__xludf.DUMMYFUNCTION("""COMPUTED_VALUE"""),522.53)</f>
        <v>522.53</v>
      </c>
      <c r="D2159" s="2">
        <f>IFERROR(__xludf.DUMMYFUNCTION("""COMPUTED_VALUE"""),514.16)</f>
        <v>514.16</v>
      </c>
      <c r="E2159" s="2">
        <f>IFERROR(__xludf.DUMMYFUNCTION("""COMPUTED_VALUE"""),518.61)</f>
        <v>518.61</v>
      </c>
      <c r="F2159" s="2">
        <f>IFERROR(__xludf.DUMMYFUNCTION("""COMPUTED_VALUE"""),4709984.0)</f>
        <v>4709984</v>
      </c>
    </row>
    <row r="2160">
      <c r="A2160" s="3">
        <f>IFERROR(__xludf.DUMMYFUNCTION("""COMPUTED_VALUE"""),40619.645833333336)</f>
        <v>40619.64583</v>
      </c>
      <c r="B2160" s="2">
        <f>IFERROR(__xludf.DUMMYFUNCTION("""COMPUTED_VALUE"""),514.75)</f>
        <v>514.75</v>
      </c>
      <c r="C2160" s="2">
        <f>IFERROR(__xludf.DUMMYFUNCTION("""COMPUTED_VALUE"""),519.46)</f>
        <v>519.46</v>
      </c>
      <c r="D2160" s="2">
        <f>IFERROR(__xludf.DUMMYFUNCTION("""COMPUTED_VALUE"""),509.15)</f>
        <v>509.15</v>
      </c>
      <c r="E2160" s="2">
        <f>IFERROR(__xludf.DUMMYFUNCTION("""COMPUTED_VALUE"""),510.57)</f>
        <v>510.57</v>
      </c>
      <c r="F2160" s="2">
        <f>IFERROR(__xludf.DUMMYFUNCTION("""COMPUTED_VALUE"""),2830269.0)</f>
        <v>2830269</v>
      </c>
    </row>
    <row r="2161">
      <c r="A2161" s="3">
        <f>IFERROR(__xludf.DUMMYFUNCTION("""COMPUTED_VALUE"""),40620.645833333336)</f>
        <v>40620.64583</v>
      </c>
      <c r="B2161" s="2">
        <f>IFERROR(__xludf.DUMMYFUNCTION("""COMPUTED_VALUE"""),512.62)</f>
        <v>512.62</v>
      </c>
      <c r="C2161" s="2">
        <f>IFERROR(__xludf.DUMMYFUNCTION("""COMPUTED_VALUE"""),512.62)</f>
        <v>512.62</v>
      </c>
      <c r="D2161" s="2">
        <f>IFERROR(__xludf.DUMMYFUNCTION("""COMPUTED_VALUE"""),488.65)</f>
        <v>488.65</v>
      </c>
      <c r="E2161" s="2">
        <f>IFERROR(__xludf.DUMMYFUNCTION("""COMPUTED_VALUE"""),491.82)</f>
        <v>491.82</v>
      </c>
      <c r="F2161" s="2">
        <f>IFERROR(__xludf.DUMMYFUNCTION("""COMPUTED_VALUE"""),9258050.0)</f>
        <v>9258050</v>
      </c>
    </row>
    <row r="2162">
      <c r="A2162" s="3">
        <f>IFERROR(__xludf.DUMMYFUNCTION("""COMPUTED_VALUE"""),40623.645833333336)</f>
        <v>40623.64583</v>
      </c>
      <c r="B2162" s="2">
        <f>IFERROR(__xludf.DUMMYFUNCTION("""COMPUTED_VALUE"""),494.82)</f>
        <v>494.82</v>
      </c>
      <c r="C2162" s="2">
        <f>IFERROR(__xludf.DUMMYFUNCTION("""COMPUTED_VALUE"""),495.29)</f>
        <v>495.29</v>
      </c>
      <c r="D2162" s="2">
        <f>IFERROR(__xludf.DUMMYFUNCTION("""COMPUTED_VALUE"""),485.93)</f>
        <v>485.93</v>
      </c>
      <c r="E2162" s="2">
        <f>IFERROR(__xludf.DUMMYFUNCTION("""COMPUTED_VALUE"""),490.48)</f>
        <v>490.48</v>
      </c>
      <c r="F2162" s="2">
        <f>IFERROR(__xludf.DUMMYFUNCTION("""COMPUTED_VALUE"""),3553732.0)</f>
        <v>3553732</v>
      </c>
    </row>
    <row r="2163">
      <c r="A2163" s="3">
        <f>IFERROR(__xludf.DUMMYFUNCTION("""COMPUTED_VALUE"""),40624.645833333336)</f>
        <v>40624.64583</v>
      </c>
      <c r="B2163" s="2">
        <f>IFERROR(__xludf.DUMMYFUNCTION("""COMPUTED_VALUE"""),491.84)</f>
        <v>491.84</v>
      </c>
      <c r="C2163" s="2">
        <f>IFERROR(__xludf.DUMMYFUNCTION("""COMPUTED_VALUE"""),497.71)</f>
        <v>497.71</v>
      </c>
      <c r="D2163" s="2">
        <f>IFERROR(__xludf.DUMMYFUNCTION("""COMPUTED_VALUE"""),491.4)</f>
        <v>491.4</v>
      </c>
      <c r="E2163" s="2">
        <f>IFERROR(__xludf.DUMMYFUNCTION("""COMPUTED_VALUE"""),495.11)</f>
        <v>495.11</v>
      </c>
      <c r="F2163" s="2">
        <f>IFERROR(__xludf.DUMMYFUNCTION("""COMPUTED_VALUE"""),2238646.0)</f>
        <v>2238646</v>
      </c>
    </row>
    <row r="2164">
      <c r="A2164" s="3">
        <f>IFERROR(__xludf.DUMMYFUNCTION("""COMPUTED_VALUE"""),40625.645833333336)</f>
        <v>40625.64583</v>
      </c>
      <c r="B2164" s="2">
        <f>IFERROR(__xludf.DUMMYFUNCTION("""COMPUTED_VALUE"""),495.21)</f>
        <v>495.21</v>
      </c>
      <c r="C2164" s="2">
        <f>IFERROR(__xludf.DUMMYFUNCTION("""COMPUTED_VALUE"""),503.53)</f>
        <v>503.53</v>
      </c>
      <c r="D2164" s="2">
        <f>IFERROR(__xludf.DUMMYFUNCTION("""COMPUTED_VALUE"""),493.21)</f>
        <v>493.21</v>
      </c>
      <c r="E2164" s="2">
        <f>IFERROR(__xludf.DUMMYFUNCTION("""COMPUTED_VALUE"""),501.85)</f>
        <v>501.85</v>
      </c>
      <c r="F2164" s="2">
        <f>IFERROR(__xludf.DUMMYFUNCTION("""COMPUTED_VALUE"""),2610417.0)</f>
        <v>2610417</v>
      </c>
    </row>
    <row r="2165">
      <c r="A2165" s="3">
        <f>IFERROR(__xludf.DUMMYFUNCTION("""COMPUTED_VALUE"""),40626.645833333336)</f>
        <v>40626.64583</v>
      </c>
      <c r="B2165" s="2">
        <f>IFERROR(__xludf.DUMMYFUNCTION("""COMPUTED_VALUE"""),503.16)</f>
        <v>503.16</v>
      </c>
      <c r="C2165" s="2">
        <f>IFERROR(__xludf.DUMMYFUNCTION("""COMPUTED_VALUE"""),506.16)</f>
        <v>506.16</v>
      </c>
      <c r="D2165" s="2">
        <f>IFERROR(__xludf.DUMMYFUNCTION("""COMPUTED_VALUE"""),497.19)</f>
        <v>497.19</v>
      </c>
      <c r="E2165" s="2">
        <f>IFERROR(__xludf.DUMMYFUNCTION("""COMPUTED_VALUE"""),500.39)</f>
        <v>500.39</v>
      </c>
      <c r="F2165" s="2">
        <f>IFERROR(__xludf.DUMMYFUNCTION("""COMPUTED_VALUE"""),2567887.0)</f>
        <v>2567887</v>
      </c>
    </row>
    <row r="2166">
      <c r="A2166" s="3">
        <f>IFERROR(__xludf.DUMMYFUNCTION("""COMPUTED_VALUE"""),40627.645833333336)</f>
        <v>40627.64583</v>
      </c>
      <c r="B2166" s="2">
        <f>IFERROR(__xludf.DUMMYFUNCTION("""COMPUTED_VALUE"""),507.12)</f>
        <v>507.12</v>
      </c>
      <c r="C2166" s="2">
        <f>IFERROR(__xludf.DUMMYFUNCTION("""COMPUTED_VALUE"""),510.12)</f>
        <v>510.12</v>
      </c>
      <c r="D2166" s="2">
        <f>IFERROR(__xludf.DUMMYFUNCTION("""COMPUTED_VALUE"""),500.24)</f>
        <v>500.24</v>
      </c>
      <c r="E2166" s="2">
        <f>IFERROR(__xludf.DUMMYFUNCTION("""COMPUTED_VALUE"""),508.46)</f>
        <v>508.46</v>
      </c>
      <c r="F2166" s="2">
        <f>IFERROR(__xludf.DUMMYFUNCTION("""COMPUTED_VALUE"""),3518453.0)</f>
        <v>3518453</v>
      </c>
    </row>
    <row r="2167">
      <c r="A2167" s="3">
        <f>IFERROR(__xludf.DUMMYFUNCTION("""COMPUTED_VALUE"""),40630.645833333336)</f>
        <v>40630.64583</v>
      </c>
      <c r="B2167" s="2">
        <f>IFERROR(__xludf.DUMMYFUNCTION("""COMPUTED_VALUE"""),508.29)</f>
        <v>508.29</v>
      </c>
      <c r="C2167" s="2">
        <f>IFERROR(__xludf.DUMMYFUNCTION("""COMPUTED_VALUE"""),513.29)</f>
        <v>513.29</v>
      </c>
      <c r="D2167" s="2">
        <f>IFERROR(__xludf.DUMMYFUNCTION("""COMPUTED_VALUE"""),502.37)</f>
        <v>502.37</v>
      </c>
      <c r="E2167" s="2">
        <f>IFERROR(__xludf.DUMMYFUNCTION("""COMPUTED_VALUE"""),508.02)</f>
        <v>508.02</v>
      </c>
      <c r="F2167" s="2">
        <f>IFERROR(__xludf.DUMMYFUNCTION("""COMPUTED_VALUE"""),4361259.0)</f>
        <v>4361259</v>
      </c>
    </row>
    <row r="2168">
      <c r="A2168" s="3">
        <f>IFERROR(__xludf.DUMMYFUNCTION("""COMPUTED_VALUE"""),40631.645833333336)</f>
        <v>40631.64583</v>
      </c>
      <c r="B2168" s="2">
        <f>IFERROR(__xludf.DUMMYFUNCTION("""COMPUTED_VALUE"""),505.19)</f>
        <v>505.19</v>
      </c>
      <c r="C2168" s="2">
        <f>IFERROR(__xludf.DUMMYFUNCTION("""COMPUTED_VALUE"""),511.14)</f>
        <v>511.14</v>
      </c>
      <c r="D2168" s="2">
        <f>IFERROR(__xludf.DUMMYFUNCTION("""COMPUTED_VALUE"""),504.99)</f>
        <v>504.99</v>
      </c>
      <c r="E2168" s="2">
        <f>IFERROR(__xludf.DUMMYFUNCTION("""COMPUTED_VALUE"""),506.55)</f>
        <v>506.55</v>
      </c>
      <c r="F2168" s="2">
        <f>IFERROR(__xludf.DUMMYFUNCTION("""COMPUTED_VALUE"""),4137811.0)</f>
        <v>4137811</v>
      </c>
    </row>
    <row r="2169">
      <c r="A2169" s="3">
        <f>IFERROR(__xludf.DUMMYFUNCTION("""COMPUTED_VALUE"""),40632.645833333336)</f>
        <v>40632.64583</v>
      </c>
      <c r="B2169" s="2">
        <f>IFERROR(__xludf.DUMMYFUNCTION("""COMPUTED_VALUE"""),508.91)</f>
        <v>508.91</v>
      </c>
      <c r="C2169" s="2">
        <f>IFERROR(__xludf.DUMMYFUNCTION("""COMPUTED_VALUE"""),513.86)</f>
        <v>513.86</v>
      </c>
      <c r="D2169" s="2">
        <f>IFERROR(__xludf.DUMMYFUNCTION("""COMPUTED_VALUE"""),507.22)</f>
        <v>507.22</v>
      </c>
      <c r="E2169" s="2">
        <f>IFERROR(__xludf.DUMMYFUNCTION("""COMPUTED_VALUE"""),511.38)</f>
        <v>511.38</v>
      </c>
      <c r="F2169" s="2">
        <f>IFERROR(__xludf.DUMMYFUNCTION("""COMPUTED_VALUE"""),2801842.0)</f>
        <v>2801842</v>
      </c>
    </row>
    <row r="2170">
      <c r="A2170" s="3">
        <f>IFERROR(__xludf.DUMMYFUNCTION("""COMPUTED_VALUE"""),40633.645833333336)</f>
        <v>40633.64583</v>
      </c>
      <c r="B2170" s="2">
        <f>IFERROR(__xludf.DUMMYFUNCTION("""COMPUTED_VALUE"""),512.37)</f>
        <v>512.37</v>
      </c>
      <c r="C2170" s="2">
        <f>IFERROR(__xludf.DUMMYFUNCTION("""COMPUTED_VALUE"""),522.48)</f>
        <v>522.48</v>
      </c>
      <c r="D2170" s="2">
        <f>IFERROR(__xludf.DUMMYFUNCTION("""COMPUTED_VALUE"""),512.37)</f>
        <v>512.37</v>
      </c>
      <c r="E2170" s="2">
        <f>IFERROR(__xludf.DUMMYFUNCTION("""COMPUTED_VALUE"""),519.61)</f>
        <v>519.61</v>
      </c>
      <c r="F2170" s="2">
        <f>IFERROR(__xludf.DUMMYFUNCTION("""COMPUTED_VALUE"""),7201048.0)</f>
        <v>7201048</v>
      </c>
    </row>
    <row r="2171">
      <c r="A2171" s="3">
        <f>IFERROR(__xludf.DUMMYFUNCTION("""COMPUTED_VALUE"""),40634.645833333336)</f>
        <v>40634.64583</v>
      </c>
      <c r="B2171" s="2">
        <f>IFERROR(__xludf.DUMMYFUNCTION("""COMPUTED_VALUE"""),519.58)</f>
        <v>519.58</v>
      </c>
      <c r="C2171" s="2">
        <f>IFERROR(__xludf.DUMMYFUNCTION("""COMPUTED_VALUE"""),527.93)</f>
        <v>527.93</v>
      </c>
      <c r="D2171" s="2">
        <f>IFERROR(__xludf.DUMMYFUNCTION("""COMPUTED_VALUE"""),510.64)</f>
        <v>510.64</v>
      </c>
      <c r="E2171" s="2">
        <f>IFERROR(__xludf.DUMMYFUNCTION("""COMPUTED_VALUE"""),513.32)</f>
        <v>513.32</v>
      </c>
      <c r="F2171" s="2">
        <f>IFERROR(__xludf.DUMMYFUNCTION("""COMPUTED_VALUE"""),4291094.0)</f>
        <v>4291094</v>
      </c>
    </row>
    <row r="2172">
      <c r="A2172" s="3">
        <f>IFERROR(__xludf.DUMMYFUNCTION("""COMPUTED_VALUE"""),40637.645833333336)</f>
        <v>40637.64583</v>
      </c>
      <c r="B2172" s="2">
        <f>IFERROR(__xludf.DUMMYFUNCTION("""COMPUTED_VALUE"""),515.1)</f>
        <v>515.1</v>
      </c>
      <c r="C2172" s="2">
        <f>IFERROR(__xludf.DUMMYFUNCTION("""COMPUTED_VALUE"""),522.43)</f>
        <v>522.43</v>
      </c>
      <c r="D2172" s="2">
        <f>IFERROR(__xludf.DUMMYFUNCTION("""COMPUTED_VALUE"""),509.65)</f>
        <v>509.65</v>
      </c>
      <c r="E2172" s="2">
        <f>IFERROR(__xludf.DUMMYFUNCTION("""COMPUTED_VALUE"""),520.37)</f>
        <v>520.37</v>
      </c>
      <c r="F2172" s="2">
        <f>IFERROR(__xludf.DUMMYFUNCTION("""COMPUTED_VALUE"""),2997121.0)</f>
        <v>2997121</v>
      </c>
    </row>
    <row r="2173">
      <c r="A2173" s="3">
        <f>IFERROR(__xludf.DUMMYFUNCTION("""COMPUTED_VALUE"""),40638.645833333336)</f>
        <v>40638.64583</v>
      </c>
      <c r="B2173" s="2">
        <f>IFERROR(__xludf.DUMMYFUNCTION("""COMPUTED_VALUE"""),521.29)</f>
        <v>521.29</v>
      </c>
      <c r="C2173" s="2">
        <f>IFERROR(__xludf.DUMMYFUNCTION("""COMPUTED_VALUE"""),524.51)</f>
        <v>524.51</v>
      </c>
      <c r="D2173" s="2">
        <f>IFERROR(__xludf.DUMMYFUNCTION("""COMPUTED_VALUE"""),515.1)</f>
        <v>515.1</v>
      </c>
      <c r="E2173" s="2">
        <f>IFERROR(__xludf.DUMMYFUNCTION("""COMPUTED_VALUE"""),518.89)</f>
        <v>518.89</v>
      </c>
      <c r="F2173" s="2">
        <f>IFERROR(__xludf.DUMMYFUNCTION("""COMPUTED_VALUE"""),2458823.0)</f>
        <v>2458823</v>
      </c>
    </row>
    <row r="2174">
      <c r="A2174" s="3">
        <f>IFERROR(__xludf.DUMMYFUNCTION("""COMPUTED_VALUE"""),40639.645833333336)</f>
        <v>40639.64583</v>
      </c>
      <c r="B2174" s="2">
        <f>IFERROR(__xludf.DUMMYFUNCTION("""COMPUTED_VALUE"""),517.57)</f>
        <v>517.57</v>
      </c>
      <c r="C2174" s="2">
        <f>IFERROR(__xludf.DUMMYFUNCTION("""COMPUTED_VALUE"""),522.16)</f>
        <v>522.16</v>
      </c>
      <c r="D2174" s="2">
        <f>IFERROR(__xludf.DUMMYFUNCTION("""COMPUTED_VALUE"""),515.1)</f>
        <v>515.1</v>
      </c>
      <c r="E2174" s="2">
        <f>IFERROR(__xludf.DUMMYFUNCTION("""COMPUTED_VALUE"""),517.5)</f>
        <v>517.5</v>
      </c>
      <c r="F2174" s="2">
        <f>IFERROR(__xludf.DUMMYFUNCTION("""COMPUTED_VALUE"""),2076283.0)</f>
        <v>2076283</v>
      </c>
    </row>
    <row r="2175">
      <c r="A2175" s="3">
        <f>IFERROR(__xludf.DUMMYFUNCTION("""COMPUTED_VALUE"""),40640.645833333336)</f>
        <v>40640.64583</v>
      </c>
      <c r="B2175" s="2">
        <f>IFERROR(__xludf.DUMMYFUNCTION("""COMPUTED_VALUE"""),517.6)</f>
        <v>517.6</v>
      </c>
      <c r="C2175" s="2">
        <f>IFERROR(__xludf.DUMMYFUNCTION("""COMPUTED_VALUE"""),518.84)</f>
        <v>518.84</v>
      </c>
      <c r="D2175" s="2">
        <f>IFERROR(__xludf.DUMMYFUNCTION("""COMPUTED_VALUE"""),512.67)</f>
        <v>512.67</v>
      </c>
      <c r="E2175" s="2">
        <f>IFERROR(__xludf.DUMMYFUNCTION("""COMPUTED_VALUE"""),516.04)</f>
        <v>516.04</v>
      </c>
      <c r="F2175" s="2">
        <f>IFERROR(__xludf.DUMMYFUNCTION("""COMPUTED_VALUE"""),2323242.0)</f>
        <v>2323242</v>
      </c>
    </row>
    <row r="2176">
      <c r="A2176" s="3">
        <f>IFERROR(__xludf.DUMMYFUNCTION("""COMPUTED_VALUE"""),40641.645833333336)</f>
        <v>40641.64583</v>
      </c>
      <c r="B2176" s="2">
        <f>IFERROR(__xludf.DUMMYFUNCTION("""COMPUTED_VALUE"""),516.09)</f>
        <v>516.09</v>
      </c>
      <c r="C2176" s="2">
        <f>IFERROR(__xludf.DUMMYFUNCTION("""COMPUTED_VALUE"""),520.5)</f>
        <v>520.5</v>
      </c>
      <c r="D2176" s="2">
        <f>IFERROR(__xludf.DUMMYFUNCTION("""COMPUTED_VALUE"""),505.51)</f>
        <v>505.51</v>
      </c>
      <c r="E2176" s="2">
        <f>IFERROR(__xludf.DUMMYFUNCTION("""COMPUTED_VALUE"""),507.12)</f>
        <v>507.12</v>
      </c>
      <c r="F2176" s="2">
        <f>IFERROR(__xludf.DUMMYFUNCTION("""COMPUTED_VALUE"""),2742024.0)</f>
        <v>2742024</v>
      </c>
    </row>
    <row r="2177">
      <c r="A2177" s="3">
        <f>IFERROR(__xludf.DUMMYFUNCTION("""COMPUTED_VALUE"""),40644.645833333336)</f>
        <v>40644.64583</v>
      </c>
      <c r="B2177" s="2">
        <f>IFERROR(__xludf.DUMMYFUNCTION("""COMPUTED_VALUE"""),501.73)</f>
        <v>501.73</v>
      </c>
      <c r="C2177" s="2">
        <f>IFERROR(__xludf.DUMMYFUNCTION("""COMPUTED_VALUE"""),504.92)</f>
        <v>504.92</v>
      </c>
      <c r="D2177" s="2">
        <f>IFERROR(__xludf.DUMMYFUNCTION("""COMPUTED_VALUE"""),497.09)</f>
        <v>497.09</v>
      </c>
      <c r="E2177" s="2">
        <f>IFERROR(__xludf.DUMMYFUNCTION("""COMPUTED_VALUE"""),497.91)</f>
        <v>497.91</v>
      </c>
      <c r="F2177" s="2">
        <f>IFERROR(__xludf.DUMMYFUNCTION("""COMPUTED_VALUE"""),2582208.0)</f>
        <v>2582208</v>
      </c>
    </row>
    <row r="2178">
      <c r="A2178" s="3">
        <f>IFERROR(__xludf.DUMMYFUNCTION("""COMPUTED_VALUE"""),40646.645833333336)</f>
        <v>40646.64583</v>
      </c>
      <c r="B2178" s="2">
        <f>IFERROR(__xludf.DUMMYFUNCTION("""COMPUTED_VALUE"""),496.2)</f>
        <v>496.2</v>
      </c>
      <c r="C2178" s="2">
        <f>IFERROR(__xludf.DUMMYFUNCTION("""COMPUTED_VALUE"""),507.17)</f>
        <v>507.17</v>
      </c>
      <c r="D2178" s="2">
        <f>IFERROR(__xludf.DUMMYFUNCTION("""COMPUTED_VALUE"""),493.6)</f>
        <v>493.6</v>
      </c>
      <c r="E2178" s="2">
        <f>IFERROR(__xludf.DUMMYFUNCTION("""COMPUTED_VALUE"""),506.08)</f>
        <v>506.08</v>
      </c>
      <c r="F2178" s="2">
        <f>IFERROR(__xludf.DUMMYFUNCTION("""COMPUTED_VALUE"""),4369725.0)</f>
        <v>4369725</v>
      </c>
    </row>
    <row r="2179">
      <c r="A2179" s="3">
        <f>IFERROR(__xludf.DUMMYFUNCTION("""COMPUTED_VALUE"""),40648.645833333336)</f>
        <v>40648.64583</v>
      </c>
      <c r="B2179" s="2">
        <f>IFERROR(__xludf.DUMMYFUNCTION("""COMPUTED_VALUE"""),504.52)</f>
        <v>504.52</v>
      </c>
      <c r="C2179" s="2">
        <f>IFERROR(__xludf.DUMMYFUNCTION("""COMPUTED_VALUE"""),507.59)</f>
        <v>507.59</v>
      </c>
      <c r="D2179" s="2">
        <f>IFERROR(__xludf.DUMMYFUNCTION("""COMPUTED_VALUE"""),497.76)</f>
        <v>497.76</v>
      </c>
      <c r="E2179" s="2">
        <f>IFERROR(__xludf.DUMMYFUNCTION("""COMPUTED_VALUE"""),505.66)</f>
        <v>505.66</v>
      </c>
      <c r="F2179" s="2">
        <f>IFERROR(__xludf.DUMMYFUNCTION("""COMPUTED_VALUE"""),3240001.0)</f>
        <v>3240001</v>
      </c>
    </row>
    <row r="2180">
      <c r="A2180" s="3">
        <f>IFERROR(__xludf.DUMMYFUNCTION("""COMPUTED_VALUE"""),40651.645833333336)</f>
        <v>40651.64583</v>
      </c>
      <c r="B2180" s="2">
        <f>IFERROR(__xludf.DUMMYFUNCTION("""COMPUTED_VALUE"""),504.8)</f>
        <v>504.8</v>
      </c>
      <c r="C2180" s="2">
        <f>IFERROR(__xludf.DUMMYFUNCTION("""COMPUTED_VALUE"""),517.43)</f>
        <v>517.43</v>
      </c>
      <c r="D2180" s="2">
        <f>IFERROR(__xludf.DUMMYFUNCTION("""COMPUTED_VALUE"""),495.58)</f>
        <v>495.58</v>
      </c>
      <c r="E2180" s="2">
        <f>IFERROR(__xludf.DUMMYFUNCTION("""COMPUTED_VALUE"""),499.82)</f>
        <v>499.82</v>
      </c>
      <c r="F2180" s="2">
        <f>IFERROR(__xludf.DUMMYFUNCTION("""COMPUTED_VALUE"""),3381601.0)</f>
        <v>3381601</v>
      </c>
    </row>
    <row r="2181">
      <c r="A2181" s="3">
        <f>IFERROR(__xludf.DUMMYFUNCTION("""COMPUTED_VALUE"""),40652.645833333336)</f>
        <v>40652.64583</v>
      </c>
      <c r="B2181" s="2">
        <f>IFERROR(__xludf.DUMMYFUNCTION("""COMPUTED_VALUE"""),497.61)</f>
        <v>497.61</v>
      </c>
      <c r="C2181" s="2">
        <f>IFERROR(__xludf.DUMMYFUNCTION("""COMPUTED_VALUE"""),503.93)</f>
        <v>503.93</v>
      </c>
      <c r="D2181" s="2">
        <f>IFERROR(__xludf.DUMMYFUNCTION("""COMPUTED_VALUE"""),494.67)</f>
        <v>494.67</v>
      </c>
      <c r="E2181" s="2">
        <f>IFERROR(__xludf.DUMMYFUNCTION("""COMPUTED_VALUE"""),501.06)</f>
        <v>501.06</v>
      </c>
      <c r="F2181" s="2">
        <f>IFERROR(__xludf.DUMMYFUNCTION("""COMPUTED_VALUE"""),2748246.0)</f>
        <v>2748246</v>
      </c>
    </row>
    <row r="2182">
      <c r="A2182" s="3">
        <f>IFERROR(__xludf.DUMMYFUNCTION("""COMPUTED_VALUE"""),40653.645833333336)</f>
        <v>40653.64583</v>
      </c>
      <c r="B2182" s="2">
        <f>IFERROR(__xludf.DUMMYFUNCTION("""COMPUTED_VALUE"""),503.21)</f>
        <v>503.21</v>
      </c>
      <c r="C2182" s="2">
        <f>IFERROR(__xludf.DUMMYFUNCTION("""COMPUTED_VALUE"""),510.39)</f>
        <v>510.39</v>
      </c>
      <c r="D2182" s="2">
        <f>IFERROR(__xludf.DUMMYFUNCTION("""COMPUTED_VALUE"""),499.35)</f>
        <v>499.35</v>
      </c>
      <c r="E2182" s="2">
        <f>IFERROR(__xludf.DUMMYFUNCTION("""COMPUTED_VALUE"""),508.11)</f>
        <v>508.11</v>
      </c>
      <c r="F2182" s="2">
        <f>IFERROR(__xludf.DUMMYFUNCTION("""COMPUTED_VALUE"""),2357930.0)</f>
        <v>2357930</v>
      </c>
    </row>
    <row r="2183">
      <c r="A2183" s="3">
        <f>IFERROR(__xludf.DUMMYFUNCTION("""COMPUTED_VALUE"""),40654.645833333336)</f>
        <v>40654.64583</v>
      </c>
      <c r="B2183" s="2">
        <f>IFERROR(__xludf.DUMMYFUNCTION("""COMPUTED_VALUE"""),512.52)</f>
        <v>512.52</v>
      </c>
      <c r="C2183" s="2">
        <f>IFERROR(__xludf.DUMMYFUNCTION("""COMPUTED_VALUE"""),517.18)</f>
        <v>517.18</v>
      </c>
      <c r="D2183" s="2">
        <f>IFERROR(__xludf.DUMMYFUNCTION("""COMPUTED_VALUE"""),510.15)</f>
        <v>510.15</v>
      </c>
      <c r="E2183" s="2">
        <f>IFERROR(__xludf.DUMMYFUNCTION("""COMPUTED_VALUE"""),515.4)</f>
        <v>515.4</v>
      </c>
      <c r="F2183" s="2">
        <f>IFERROR(__xludf.DUMMYFUNCTION("""COMPUTED_VALUE"""),3413753.0)</f>
        <v>3413753</v>
      </c>
    </row>
    <row r="2184">
      <c r="A2184" s="3">
        <f>IFERROR(__xludf.DUMMYFUNCTION("""COMPUTED_VALUE"""),40658.645833333336)</f>
        <v>40658.64583</v>
      </c>
      <c r="B2184" s="2">
        <f>IFERROR(__xludf.DUMMYFUNCTION("""COMPUTED_VALUE"""),502.22)</f>
        <v>502.22</v>
      </c>
      <c r="C2184" s="2">
        <f>IFERROR(__xludf.DUMMYFUNCTION("""COMPUTED_VALUE"""),505.69)</f>
        <v>505.69</v>
      </c>
      <c r="D2184" s="2">
        <f>IFERROR(__xludf.DUMMYFUNCTION("""COMPUTED_VALUE"""),497.84)</f>
        <v>497.84</v>
      </c>
      <c r="E2184" s="2">
        <f>IFERROR(__xludf.DUMMYFUNCTION("""COMPUTED_VALUE"""),499.92)</f>
        <v>499.92</v>
      </c>
      <c r="F2184" s="2">
        <f>IFERROR(__xludf.DUMMYFUNCTION("""COMPUTED_VALUE"""),4146270.0)</f>
        <v>4146270</v>
      </c>
    </row>
    <row r="2185">
      <c r="A2185" s="3">
        <f>IFERROR(__xludf.DUMMYFUNCTION("""COMPUTED_VALUE"""),40659.645833333336)</f>
        <v>40659.64583</v>
      </c>
      <c r="B2185" s="2">
        <f>IFERROR(__xludf.DUMMYFUNCTION("""COMPUTED_VALUE"""),499.74)</f>
        <v>499.74</v>
      </c>
      <c r="C2185" s="2">
        <f>IFERROR(__xludf.DUMMYFUNCTION("""COMPUTED_VALUE"""),499.74)</f>
        <v>499.74</v>
      </c>
      <c r="D2185" s="2">
        <f>IFERROR(__xludf.DUMMYFUNCTION("""COMPUTED_VALUE"""),494.07)</f>
        <v>494.07</v>
      </c>
      <c r="E2185" s="2">
        <f>IFERROR(__xludf.DUMMYFUNCTION("""COMPUTED_VALUE"""),495.86)</f>
        <v>495.86</v>
      </c>
      <c r="F2185" s="2">
        <f>IFERROR(__xludf.DUMMYFUNCTION("""COMPUTED_VALUE"""),4035044.0)</f>
        <v>4035044</v>
      </c>
    </row>
    <row r="2186">
      <c r="A2186" s="3">
        <f>IFERROR(__xludf.DUMMYFUNCTION("""COMPUTED_VALUE"""),40660.645833333336)</f>
        <v>40660.64583</v>
      </c>
      <c r="B2186" s="2">
        <f>IFERROR(__xludf.DUMMYFUNCTION("""COMPUTED_VALUE"""),497.76)</f>
        <v>497.76</v>
      </c>
      <c r="C2186" s="2">
        <f>IFERROR(__xludf.DUMMYFUNCTION("""COMPUTED_VALUE"""),499.79)</f>
        <v>499.79</v>
      </c>
      <c r="D2186" s="2">
        <f>IFERROR(__xludf.DUMMYFUNCTION("""COMPUTED_VALUE"""),485.43)</f>
        <v>485.43</v>
      </c>
      <c r="E2186" s="2">
        <f>IFERROR(__xludf.DUMMYFUNCTION("""COMPUTED_VALUE"""),488.4)</f>
        <v>488.4</v>
      </c>
      <c r="F2186" s="2">
        <f>IFERROR(__xludf.DUMMYFUNCTION("""COMPUTED_VALUE"""),5648346.0)</f>
        <v>5648346</v>
      </c>
    </row>
    <row r="2187">
      <c r="A2187" s="3">
        <f>IFERROR(__xludf.DUMMYFUNCTION("""COMPUTED_VALUE"""),40661.645833333336)</f>
        <v>40661.64583</v>
      </c>
      <c r="B2187" s="2">
        <f>IFERROR(__xludf.DUMMYFUNCTION("""COMPUTED_VALUE"""),491.32)</f>
        <v>491.32</v>
      </c>
      <c r="C2187" s="2">
        <f>IFERROR(__xludf.DUMMYFUNCTION("""COMPUTED_VALUE"""),491.82)</f>
        <v>491.82</v>
      </c>
      <c r="D2187" s="2">
        <f>IFERROR(__xludf.DUMMYFUNCTION("""COMPUTED_VALUE"""),480.43)</f>
        <v>480.43</v>
      </c>
      <c r="E2187" s="2">
        <f>IFERROR(__xludf.DUMMYFUNCTION("""COMPUTED_VALUE"""),481.62)</f>
        <v>481.62</v>
      </c>
      <c r="F2187" s="2">
        <f>IFERROR(__xludf.DUMMYFUNCTION("""COMPUTED_VALUE"""),8163236.0)</f>
        <v>8163236</v>
      </c>
    </row>
    <row r="2188">
      <c r="A2188" s="3">
        <f>IFERROR(__xludf.DUMMYFUNCTION("""COMPUTED_VALUE"""),40662.645833333336)</f>
        <v>40662.64583</v>
      </c>
      <c r="B2188" s="2">
        <f>IFERROR(__xludf.DUMMYFUNCTION("""COMPUTED_VALUE"""),482.9)</f>
        <v>482.9</v>
      </c>
      <c r="C2188" s="2">
        <f>IFERROR(__xludf.DUMMYFUNCTION("""COMPUTED_VALUE"""),489.34)</f>
        <v>489.34</v>
      </c>
      <c r="D2188" s="2">
        <f>IFERROR(__xludf.DUMMYFUNCTION("""COMPUTED_VALUE"""),481.07)</f>
        <v>481.07</v>
      </c>
      <c r="E2188" s="2">
        <f>IFERROR(__xludf.DUMMYFUNCTION("""COMPUTED_VALUE"""),487.24)</f>
        <v>487.24</v>
      </c>
      <c r="F2188" s="2">
        <f>IFERROR(__xludf.DUMMYFUNCTION("""COMPUTED_VALUE"""),3414200.0)</f>
        <v>3414200</v>
      </c>
    </row>
    <row r="2189">
      <c r="A2189" s="3">
        <f>IFERROR(__xludf.DUMMYFUNCTION("""COMPUTED_VALUE"""),40665.645833333336)</f>
        <v>40665.64583</v>
      </c>
      <c r="B2189" s="2">
        <f>IFERROR(__xludf.DUMMYFUNCTION("""COMPUTED_VALUE"""),487.31)</f>
        <v>487.31</v>
      </c>
      <c r="C2189" s="2">
        <f>IFERROR(__xludf.DUMMYFUNCTION("""COMPUTED_VALUE"""),488.75)</f>
        <v>488.75</v>
      </c>
      <c r="D2189" s="2">
        <f>IFERROR(__xludf.DUMMYFUNCTION("""COMPUTED_VALUE"""),476.12)</f>
        <v>476.12</v>
      </c>
      <c r="E2189" s="2">
        <f>IFERROR(__xludf.DUMMYFUNCTION("""COMPUTED_VALUE"""),477.83)</f>
        <v>477.83</v>
      </c>
      <c r="F2189" s="2">
        <f>IFERROR(__xludf.DUMMYFUNCTION("""COMPUTED_VALUE"""),3110913.0)</f>
        <v>3110913</v>
      </c>
    </row>
    <row r="2190">
      <c r="A2190" s="3">
        <f>IFERROR(__xludf.DUMMYFUNCTION("""COMPUTED_VALUE"""),40666.645833333336)</f>
        <v>40666.64583</v>
      </c>
      <c r="B2190" s="2">
        <f>IFERROR(__xludf.DUMMYFUNCTION("""COMPUTED_VALUE"""),478.0)</f>
        <v>478</v>
      </c>
      <c r="C2190" s="2">
        <f>IFERROR(__xludf.DUMMYFUNCTION("""COMPUTED_VALUE"""),479.14)</f>
        <v>479.14</v>
      </c>
      <c r="D2190" s="2">
        <f>IFERROR(__xludf.DUMMYFUNCTION("""COMPUTED_VALUE"""),466.09)</f>
        <v>466.09</v>
      </c>
      <c r="E2190" s="2">
        <f>IFERROR(__xludf.DUMMYFUNCTION("""COMPUTED_VALUE"""),467.5)</f>
        <v>467.5</v>
      </c>
      <c r="F2190" s="2">
        <f>IFERROR(__xludf.DUMMYFUNCTION("""COMPUTED_VALUE"""),5035348.0)</f>
        <v>5035348</v>
      </c>
    </row>
    <row r="2191">
      <c r="A2191" s="3">
        <f>IFERROR(__xludf.DUMMYFUNCTION("""COMPUTED_VALUE"""),40667.645833333336)</f>
        <v>40667.64583</v>
      </c>
      <c r="B2191" s="2">
        <f>IFERROR(__xludf.DUMMYFUNCTION("""COMPUTED_VALUE"""),468.05)</f>
        <v>468.05</v>
      </c>
      <c r="C2191" s="2">
        <f>IFERROR(__xludf.DUMMYFUNCTION("""COMPUTED_VALUE"""),473.87)</f>
        <v>473.87</v>
      </c>
      <c r="D2191" s="2">
        <f>IFERROR(__xludf.DUMMYFUNCTION("""COMPUTED_VALUE"""),465.57)</f>
        <v>465.57</v>
      </c>
      <c r="E2191" s="2">
        <f>IFERROR(__xludf.DUMMYFUNCTION("""COMPUTED_VALUE"""),469.36)</f>
        <v>469.36</v>
      </c>
      <c r="F2191" s="2">
        <f>IFERROR(__xludf.DUMMYFUNCTION("""COMPUTED_VALUE"""),2667162.0)</f>
        <v>2667162</v>
      </c>
    </row>
    <row r="2192">
      <c r="A2192" s="3">
        <f>IFERROR(__xludf.DUMMYFUNCTION("""COMPUTED_VALUE"""),40668.645833333336)</f>
        <v>40668.64583</v>
      </c>
      <c r="B2192" s="2">
        <f>IFERROR(__xludf.DUMMYFUNCTION("""COMPUTED_VALUE"""),468.05)</f>
        <v>468.05</v>
      </c>
      <c r="C2192" s="2">
        <f>IFERROR(__xludf.DUMMYFUNCTION("""COMPUTED_VALUE"""),477.23)</f>
        <v>477.23</v>
      </c>
      <c r="D2192" s="2">
        <f>IFERROR(__xludf.DUMMYFUNCTION("""COMPUTED_VALUE"""),467.38)</f>
        <v>467.38</v>
      </c>
      <c r="E2192" s="2">
        <f>IFERROR(__xludf.DUMMYFUNCTION("""COMPUTED_VALUE"""),470.5)</f>
        <v>470.5</v>
      </c>
      <c r="F2192" s="2">
        <f>IFERROR(__xludf.DUMMYFUNCTION("""COMPUTED_VALUE"""),4476339.0)</f>
        <v>4476339</v>
      </c>
    </row>
    <row r="2193">
      <c r="A2193" s="3">
        <f>IFERROR(__xludf.DUMMYFUNCTION("""COMPUTED_VALUE"""),40669.645833333336)</f>
        <v>40669.64583</v>
      </c>
      <c r="B2193" s="2">
        <f>IFERROR(__xludf.DUMMYFUNCTION("""COMPUTED_VALUE"""),472.01)</f>
        <v>472.01</v>
      </c>
      <c r="C2193" s="2">
        <f>IFERROR(__xludf.DUMMYFUNCTION("""COMPUTED_VALUE"""),475.48)</f>
        <v>475.48</v>
      </c>
      <c r="D2193" s="2">
        <f>IFERROR(__xludf.DUMMYFUNCTION("""COMPUTED_VALUE"""),470.08)</f>
        <v>470.08</v>
      </c>
      <c r="E2193" s="2">
        <f>IFERROR(__xludf.DUMMYFUNCTION("""COMPUTED_VALUE"""),473.02)</f>
        <v>473.02</v>
      </c>
      <c r="F2193" s="2">
        <f>IFERROR(__xludf.DUMMYFUNCTION("""COMPUTED_VALUE"""),2952486.0)</f>
        <v>2952486</v>
      </c>
    </row>
    <row r="2194">
      <c r="A2194" s="3">
        <f>IFERROR(__xludf.DUMMYFUNCTION("""COMPUTED_VALUE"""),40672.645833333336)</f>
        <v>40672.64583</v>
      </c>
      <c r="B2194" s="2">
        <f>IFERROR(__xludf.DUMMYFUNCTION("""COMPUTED_VALUE"""),475.48)</f>
        <v>475.48</v>
      </c>
      <c r="C2194" s="2">
        <f>IFERROR(__xludf.DUMMYFUNCTION("""COMPUTED_VALUE"""),478.47)</f>
        <v>478.47</v>
      </c>
      <c r="D2194" s="2">
        <f>IFERROR(__xludf.DUMMYFUNCTION("""COMPUTED_VALUE"""),471.22)</f>
        <v>471.22</v>
      </c>
      <c r="E2194" s="2">
        <f>IFERROR(__xludf.DUMMYFUNCTION("""COMPUTED_VALUE"""),475.13)</f>
        <v>475.13</v>
      </c>
      <c r="F2194" s="2">
        <f>IFERROR(__xludf.DUMMYFUNCTION("""COMPUTED_VALUE"""),1831616.0)</f>
        <v>1831616</v>
      </c>
    </row>
    <row r="2195">
      <c r="A2195" s="3">
        <f>IFERROR(__xludf.DUMMYFUNCTION("""COMPUTED_VALUE"""),40673.645833333336)</f>
        <v>40673.64583</v>
      </c>
      <c r="B2195" s="2">
        <f>IFERROR(__xludf.DUMMYFUNCTION("""COMPUTED_VALUE"""),475.13)</f>
        <v>475.13</v>
      </c>
      <c r="C2195" s="2">
        <f>IFERROR(__xludf.DUMMYFUNCTION("""COMPUTED_VALUE"""),477.41)</f>
        <v>477.41</v>
      </c>
      <c r="D2195" s="2">
        <f>IFERROR(__xludf.DUMMYFUNCTION("""COMPUTED_VALUE"""),468.81)</f>
        <v>468.81</v>
      </c>
      <c r="E2195" s="2">
        <f>IFERROR(__xludf.DUMMYFUNCTION("""COMPUTED_VALUE"""),470.89)</f>
        <v>470.89</v>
      </c>
      <c r="F2195" s="2">
        <f>IFERROR(__xludf.DUMMYFUNCTION("""COMPUTED_VALUE"""),1861439.0)</f>
        <v>1861439</v>
      </c>
    </row>
    <row r="2196">
      <c r="A2196" s="3">
        <f>IFERROR(__xludf.DUMMYFUNCTION("""COMPUTED_VALUE"""),40674.645833333336)</f>
        <v>40674.64583</v>
      </c>
      <c r="B2196" s="2">
        <f>IFERROR(__xludf.DUMMYFUNCTION("""COMPUTED_VALUE"""),472.5)</f>
        <v>472.5</v>
      </c>
      <c r="C2196" s="2">
        <f>IFERROR(__xludf.DUMMYFUNCTION("""COMPUTED_VALUE"""),474.68)</f>
        <v>474.68</v>
      </c>
      <c r="D2196" s="2">
        <f>IFERROR(__xludf.DUMMYFUNCTION("""COMPUTED_VALUE"""),467.3)</f>
        <v>467.3</v>
      </c>
      <c r="E2196" s="2">
        <f>IFERROR(__xludf.DUMMYFUNCTION("""COMPUTED_VALUE"""),473.22)</f>
        <v>473.22</v>
      </c>
      <c r="F2196" s="2">
        <f>IFERROR(__xludf.DUMMYFUNCTION("""COMPUTED_VALUE"""),1873699.0)</f>
        <v>1873699</v>
      </c>
    </row>
    <row r="2197">
      <c r="A2197" s="3">
        <f>IFERROR(__xludf.DUMMYFUNCTION("""COMPUTED_VALUE"""),40675.645833333336)</f>
        <v>40675.64583</v>
      </c>
      <c r="B2197" s="2">
        <f>IFERROR(__xludf.DUMMYFUNCTION("""COMPUTED_VALUE"""),471.27)</f>
        <v>471.27</v>
      </c>
      <c r="C2197" s="2">
        <f>IFERROR(__xludf.DUMMYFUNCTION("""COMPUTED_VALUE"""),472.88)</f>
        <v>472.88</v>
      </c>
      <c r="D2197" s="2">
        <f>IFERROR(__xludf.DUMMYFUNCTION("""COMPUTED_VALUE"""),466.06)</f>
        <v>466.06</v>
      </c>
      <c r="E2197" s="2">
        <f>IFERROR(__xludf.DUMMYFUNCTION("""COMPUTED_VALUE"""),468.29)</f>
        <v>468.29</v>
      </c>
      <c r="F2197" s="2">
        <f>IFERROR(__xludf.DUMMYFUNCTION("""COMPUTED_VALUE"""),2107305.0)</f>
        <v>2107305</v>
      </c>
    </row>
    <row r="2198">
      <c r="A2198" s="3">
        <f>IFERROR(__xludf.DUMMYFUNCTION("""COMPUTED_VALUE"""),40676.645833333336)</f>
        <v>40676.64583</v>
      </c>
      <c r="B2198" s="2">
        <f>IFERROR(__xludf.DUMMYFUNCTION("""COMPUTED_VALUE"""),468.17)</f>
        <v>468.17</v>
      </c>
      <c r="C2198" s="2">
        <f>IFERROR(__xludf.DUMMYFUNCTION("""COMPUTED_VALUE"""),476.47)</f>
        <v>476.47</v>
      </c>
      <c r="D2198" s="2">
        <f>IFERROR(__xludf.DUMMYFUNCTION("""COMPUTED_VALUE"""),464.55)</f>
        <v>464.55</v>
      </c>
      <c r="E2198" s="2">
        <f>IFERROR(__xludf.DUMMYFUNCTION("""COMPUTED_VALUE"""),469.53)</f>
        <v>469.53</v>
      </c>
      <c r="F2198" s="2">
        <f>IFERROR(__xludf.DUMMYFUNCTION("""COMPUTED_VALUE"""),3178684.0)</f>
        <v>3178684</v>
      </c>
    </row>
    <row r="2199">
      <c r="A2199" s="3">
        <f>IFERROR(__xludf.DUMMYFUNCTION("""COMPUTED_VALUE"""),40679.645833333336)</f>
        <v>40679.64583</v>
      </c>
      <c r="B2199" s="2">
        <f>IFERROR(__xludf.DUMMYFUNCTION("""COMPUTED_VALUE"""),470.52)</f>
        <v>470.52</v>
      </c>
      <c r="C2199" s="2">
        <f>IFERROR(__xludf.DUMMYFUNCTION("""COMPUTED_VALUE"""),471.22)</f>
        <v>471.22</v>
      </c>
      <c r="D2199" s="2">
        <f>IFERROR(__xludf.DUMMYFUNCTION("""COMPUTED_VALUE"""),466.34)</f>
        <v>466.34</v>
      </c>
      <c r="E2199" s="2">
        <f>IFERROR(__xludf.DUMMYFUNCTION("""COMPUTED_VALUE"""),468.05)</f>
        <v>468.05</v>
      </c>
      <c r="F2199" s="2">
        <f>IFERROR(__xludf.DUMMYFUNCTION("""COMPUTED_VALUE"""),1601945.0)</f>
        <v>1601945</v>
      </c>
    </row>
    <row r="2200">
      <c r="A2200" s="3">
        <f>IFERROR(__xludf.DUMMYFUNCTION("""COMPUTED_VALUE"""),40680.645833333336)</f>
        <v>40680.64583</v>
      </c>
      <c r="B2200" s="2">
        <f>IFERROR(__xludf.DUMMYFUNCTION("""COMPUTED_VALUE"""),468.37)</f>
        <v>468.37</v>
      </c>
      <c r="C2200" s="2">
        <f>IFERROR(__xludf.DUMMYFUNCTION("""COMPUTED_VALUE"""),468.94)</f>
        <v>468.94</v>
      </c>
      <c r="D2200" s="2">
        <f>IFERROR(__xludf.DUMMYFUNCTION("""COMPUTED_VALUE"""),454.3)</f>
        <v>454.3</v>
      </c>
      <c r="E2200" s="2">
        <f>IFERROR(__xludf.DUMMYFUNCTION("""COMPUTED_VALUE"""),455.99)</f>
        <v>455.99</v>
      </c>
      <c r="F2200" s="2">
        <f>IFERROR(__xludf.DUMMYFUNCTION("""COMPUTED_VALUE"""),3973699.0)</f>
        <v>3973699</v>
      </c>
    </row>
    <row r="2201">
      <c r="A2201" s="3">
        <f>IFERROR(__xludf.DUMMYFUNCTION("""COMPUTED_VALUE"""),40681.645833333336)</f>
        <v>40681.64583</v>
      </c>
      <c r="B2201" s="2">
        <f>IFERROR(__xludf.DUMMYFUNCTION("""COMPUTED_VALUE"""),455.66)</f>
        <v>455.66</v>
      </c>
      <c r="C2201" s="2">
        <f>IFERROR(__xludf.DUMMYFUNCTION("""COMPUTED_VALUE"""),457.57)</f>
        <v>457.57</v>
      </c>
      <c r="D2201" s="2">
        <f>IFERROR(__xludf.DUMMYFUNCTION("""COMPUTED_VALUE"""),444.94)</f>
        <v>444.94</v>
      </c>
      <c r="E2201" s="2">
        <f>IFERROR(__xludf.DUMMYFUNCTION("""COMPUTED_VALUE"""),446.67)</f>
        <v>446.67</v>
      </c>
      <c r="F2201" s="2">
        <f>IFERROR(__xludf.DUMMYFUNCTION("""COMPUTED_VALUE"""),5672247.0)</f>
        <v>5672247</v>
      </c>
    </row>
    <row r="2202">
      <c r="A2202" s="3">
        <f>IFERROR(__xludf.DUMMYFUNCTION("""COMPUTED_VALUE"""),40682.645833333336)</f>
        <v>40682.64583</v>
      </c>
      <c r="B2202" s="2">
        <f>IFERROR(__xludf.DUMMYFUNCTION("""COMPUTED_VALUE"""),449.92)</f>
        <v>449.92</v>
      </c>
      <c r="C2202" s="2">
        <f>IFERROR(__xludf.DUMMYFUNCTION("""COMPUTED_VALUE"""),456.65)</f>
        <v>456.65</v>
      </c>
      <c r="D2202" s="2">
        <f>IFERROR(__xludf.DUMMYFUNCTION("""COMPUTED_VALUE"""),448.11)</f>
        <v>448.11</v>
      </c>
      <c r="E2202" s="2">
        <f>IFERROR(__xludf.DUMMYFUNCTION("""COMPUTED_VALUE"""),453.44)</f>
        <v>453.44</v>
      </c>
      <c r="F2202" s="2">
        <f>IFERROR(__xludf.DUMMYFUNCTION("""COMPUTED_VALUE"""),4131089.0)</f>
        <v>4131089</v>
      </c>
    </row>
    <row r="2203">
      <c r="A2203" s="3">
        <f>IFERROR(__xludf.DUMMYFUNCTION("""COMPUTED_VALUE"""),40683.645833333336)</f>
        <v>40683.64583</v>
      </c>
      <c r="B2203" s="2">
        <f>IFERROR(__xludf.DUMMYFUNCTION("""COMPUTED_VALUE"""),454.9)</f>
        <v>454.9</v>
      </c>
      <c r="C2203" s="2">
        <f>IFERROR(__xludf.DUMMYFUNCTION("""COMPUTED_VALUE"""),458.54)</f>
        <v>458.54</v>
      </c>
      <c r="D2203" s="2">
        <f>IFERROR(__xludf.DUMMYFUNCTION("""COMPUTED_VALUE"""),450.86)</f>
        <v>450.86</v>
      </c>
      <c r="E2203" s="2">
        <f>IFERROR(__xludf.DUMMYFUNCTION("""COMPUTED_VALUE"""),457.25)</f>
        <v>457.25</v>
      </c>
      <c r="F2203" s="2">
        <f>IFERROR(__xludf.DUMMYFUNCTION("""COMPUTED_VALUE"""),3171245.0)</f>
        <v>3171245</v>
      </c>
    </row>
    <row r="2204">
      <c r="A2204" s="3">
        <f>IFERROR(__xludf.DUMMYFUNCTION("""COMPUTED_VALUE"""),40686.645833333336)</f>
        <v>40686.64583</v>
      </c>
      <c r="B2204" s="2">
        <f>IFERROR(__xludf.DUMMYFUNCTION("""COMPUTED_VALUE"""),455.17)</f>
        <v>455.17</v>
      </c>
      <c r="C2204" s="2">
        <f>IFERROR(__xludf.DUMMYFUNCTION("""COMPUTED_VALUE"""),456.65)</f>
        <v>456.65</v>
      </c>
      <c r="D2204" s="2">
        <f>IFERROR(__xludf.DUMMYFUNCTION("""COMPUTED_VALUE"""),447.39)</f>
        <v>447.39</v>
      </c>
      <c r="E2204" s="2">
        <f>IFERROR(__xludf.DUMMYFUNCTION("""COMPUTED_VALUE"""),450.41)</f>
        <v>450.41</v>
      </c>
      <c r="F2204" s="2">
        <f>IFERROR(__xludf.DUMMYFUNCTION("""COMPUTED_VALUE"""),3391416.0)</f>
        <v>3391416</v>
      </c>
    </row>
    <row r="2205">
      <c r="A2205" s="3">
        <f>IFERROR(__xludf.DUMMYFUNCTION("""COMPUTED_VALUE"""),40687.645833333336)</f>
        <v>40687.64583</v>
      </c>
      <c r="B2205" s="2">
        <f>IFERROR(__xludf.DUMMYFUNCTION("""COMPUTED_VALUE"""),448.73)</f>
        <v>448.73</v>
      </c>
      <c r="C2205" s="2">
        <f>IFERROR(__xludf.DUMMYFUNCTION("""COMPUTED_VALUE"""),456.11)</f>
        <v>456.11</v>
      </c>
      <c r="D2205" s="2">
        <f>IFERROR(__xludf.DUMMYFUNCTION("""COMPUTED_VALUE"""),448.73)</f>
        <v>448.73</v>
      </c>
      <c r="E2205" s="2">
        <f>IFERROR(__xludf.DUMMYFUNCTION("""COMPUTED_VALUE"""),453.56)</f>
        <v>453.56</v>
      </c>
      <c r="F2205" s="2">
        <f>IFERROR(__xludf.DUMMYFUNCTION("""COMPUTED_VALUE"""),2538967.0)</f>
        <v>2538967</v>
      </c>
    </row>
    <row r="2206">
      <c r="A2206" s="3">
        <f>IFERROR(__xludf.DUMMYFUNCTION("""COMPUTED_VALUE"""),40688.645833333336)</f>
        <v>40688.64583</v>
      </c>
      <c r="B2206" s="2">
        <f>IFERROR(__xludf.DUMMYFUNCTION("""COMPUTED_VALUE"""),452.74)</f>
        <v>452.74</v>
      </c>
      <c r="C2206" s="2">
        <f>IFERROR(__xludf.DUMMYFUNCTION("""COMPUTED_VALUE"""),452.74)</f>
        <v>452.74</v>
      </c>
      <c r="D2206" s="2">
        <f>IFERROR(__xludf.DUMMYFUNCTION("""COMPUTED_VALUE"""),446.25)</f>
        <v>446.25</v>
      </c>
      <c r="E2206" s="2">
        <f>IFERROR(__xludf.DUMMYFUNCTION("""COMPUTED_VALUE"""),448.73)</f>
        <v>448.73</v>
      </c>
      <c r="F2206" s="2">
        <f>IFERROR(__xludf.DUMMYFUNCTION("""COMPUTED_VALUE"""),2997245.0)</f>
        <v>2997245</v>
      </c>
    </row>
    <row r="2207">
      <c r="A2207" s="3">
        <f>IFERROR(__xludf.DUMMYFUNCTION("""COMPUTED_VALUE"""),40689.645833333336)</f>
        <v>40689.64583</v>
      </c>
      <c r="B2207" s="2">
        <f>IFERROR(__xludf.DUMMYFUNCTION("""COMPUTED_VALUE"""),452.0)</f>
        <v>452</v>
      </c>
      <c r="C2207" s="2">
        <f>IFERROR(__xludf.DUMMYFUNCTION("""COMPUTED_VALUE"""),464.01)</f>
        <v>464.01</v>
      </c>
      <c r="D2207" s="2">
        <f>IFERROR(__xludf.DUMMYFUNCTION("""COMPUTED_VALUE"""),451.26)</f>
        <v>451.26</v>
      </c>
      <c r="E2207" s="2">
        <f>IFERROR(__xludf.DUMMYFUNCTION("""COMPUTED_VALUE"""),462.52)</f>
        <v>462.52</v>
      </c>
      <c r="F2207" s="2">
        <f>IFERROR(__xludf.DUMMYFUNCTION("""COMPUTED_VALUE"""),6857905.0)</f>
        <v>6857905</v>
      </c>
    </row>
    <row r="2208">
      <c r="A2208" s="3">
        <f>IFERROR(__xludf.DUMMYFUNCTION("""COMPUTED_VALUE"""),40690.645833333336)</f>
        <v>40690.64583</v>
      </c>
      <c r="B2208" s="2">
        <f>IFERROR(__xludf.DUMMYFUNCTION("""COMPUTED_VALUE"""),462.65)</f>
        <v>462.65</v>
      </c>
      <c r="C2208" s="2">
        <f>IFERROR(__xludf.DUMMYFUNCTION("""COMPUTED_VALUE"""),471.96)</f>
        <v>471.96</v>
      </c>
      <c r="D2208" s="2">
        <f>IFERROR(__xludf.DUMMYFUNCTION("""COMPUTED_VALUE"""),462.65)</f>
        <v>462.65</v>
      </c>
      <c r="E2208" s="2">
        <f>IFERROR(__xludf.DUMMYFUNCTION("""COMPUTED_VALUE"""),468.27)</f>
        <v>468.27</v>
      </c>
      <c r="F2208" s="2">
        <f>IFERROR(__xludf.DUMMYFUNCTION("""COMPUTED_VALUE"""),3459497.0)</f>
        <v>3459497</v>
      </c>
    </row>
    <row r="2209">
      <c r="A2209" s="3">
        <f>IFERROR(__xludf.DUMMYFUNCTION("""COMPUTED_VALUE"""),40693.645833333336)</f>
        <v>40693.64583</v>
      </c>
      <c r="B2209" s="2">
        <f>IFERROR(__xludf.DUMMYFUNCTION("""COMPUTED_VALUE"""),470.0)</f>
        <v>470</v>
      </c>
      <c r="C2209" s="2">
        <f>IFERROR(__xludf.DUMMYFUNCTION("""COMPUTED_VALUE"""),472.01)</f>
        <v>472.01</v>
      </c>
      <c r="D2209" s="2">
        <f>IFERROR(__xludf.DUMMYFUNCTION("""COMPUTED_VALUE"""),462.72)</f>
        <v>462.72</v>
      </c>
      <c r="E2209" s="2">
        <f>IFERROR(__xludf.DUMMYFUNCTION("""COMPUTED_VALUE"""),465.0)</f>
        <v>465</v>
      </c>
      <c r="F2209" s="2">
        <f>IFERROR(__xludf.DUMMYFUNCTION("""COMPUTED_VALUE"""),1729109.0)</f>
        <v>1729109</v>
      </c>
    </row>
    <row r="2210">
      <c r="A2210" s="3">
        <f>IFERROR(__xludf.DUMMYFUNCTION("""COMPUTED_VALUE"""),40694.645833333336)</f>
        <v>40694.64583</v>
      </c>
      <c r="B2210" s="2">
        <f>IFERROR(__xludf.DUMMYFUNCTION("""COMPUTED_VALUE"""),468.05)</f>
        <v>468.05</v>
      </c>
      <c r="C2210" s="2">
        <f>IFERROR(__xludf.DUMMYFUNCTION("""COMPUTED_VALUE"""),473.44)</f>
        <v>473.44</v>
      </c>
      <c r="D2210" s="2">
        <f>IFERROR(__xludf.DUMMYFUNCTION("""COMPUTED_VALUE"""),464.23)</f>
        <v>464.23</v>
      </c>
      <c r="E2210" s="2">
        <f>IFERROR(__xludf.DUMMYFUNCTION("""COMPUTED_VALUE"""),471.44)</f>
        <v>471.44</v>
      </c>
      <c r="F2210" s="2">
        <f>IFERROR(__xludf.DUMMYFUNCTION("""COMPUTED_VALUE"""),3219213.0)</f>
        <v>3219213</v>
      </c>
    </row>
    <row r="2211">
      <c r="A2211" s="3">
        <f>IFERROR(__xludf.DUMMYFUNCTION("""COMPUTED_VALUE"""),40695.645833333336)</f>
        <v>40695.64583</v>
      </c>
      <c r="B2211" s="2">
        <f>IFERROR(__xludf.DUMMYFUNCTION("""COMPUTED_VALUE"""),471.51)</f>
        <v>471.51</v>
      </c>
      <c r="C2211" s="2">
        <f>IFERROR(__xludf.DUMMYFUNCTION("""COMPUTED_VALUE"""),474.81)</f>
        <v>474.81</v>
      </c>
      <c r="D2211" s="2">
        <f>IFERROR(__xludf.DUMMYFUNCTION("""COMPUTED_VALUE"""),467.38)</f>
        <v>467.38</v>
      </c>
      <c r="E2211" s="2">
        <f>IFERROR(__xludf.DUMMYFUNCTION("""COMPUTED_VALUE"""),468.94)</f>
        <v>468.94</v>
      </c>
      <c r="F2211" s="2">
        <f>IFERROR(__xludf.DUMMYFUNCTION("""COMPUTED_VALUE"""),1838452.0)</f>
        <v>1838452</v>
      </c>
    </row>
    <row r="2212">
      <c r="A2212" s="3">
        <f>IFERROR(__xludf.DUMMYFUNCTION("""COMPUTED_VALUE"""),40696.645833333336)</f>
        <v>40696.64583</v>
      </c>
      <c r="B2212" s="2">
        <f>IFERROR(__xludf.DUMMYFUNCTION("""COMPUTED_VALUE"""),463.86)</f>
        <v>463.86</v>
      </c>
      <c r="C2212" s="2">
        <f>IFERROR(__xludf.DUMMYFUNCTION("""COMPUTED_VALUE"""),472.85)</f>
        <v>472.85</v>
      </c>
      <c r="D2212" s="2">
        <f>IFERROR(__xludf.DUMMYFUNCTION("""COMPUTED_VALUE"""),463.86)</f>
        <v>463.86</v>
      </c>
      <c r="E2212" s="2">
        <f>IFERROR(__xludf.DUMMYFUNCTION("""COMPUTED_VALUE"""),471.04)</f>
        <v>471.04</v>
      </c>
      <c r="F2212" s="2">
        <f>IFERROR(__xludf.DUMMYFUNCTION("""COMPUTED_VALUE"""),2152963.0)</f>
        <v>2152963</v>
      </c>
    </row>
    <row r="2213">
      <c r="A2213" s="3">
        <f>IFERROR(__xludf.DUMMYFUNCTION("""COMPUTED_VALUE"""),40697.645833333336)</f>
        <v>40697.64583</v>
      </c>
      <c r="B2213" s="2">
        <f>IFERROR(__xludf.DUMMYFUNCTION("""COMPUTED_VALUE"""),475.72)</f>
        <v>475.72</v>
      </c>
      <c r="C2213" s="2">
        <f>IFERROR(__xludf.DUMMYFUNCTION("""COMPUTED_VALUE"""),478.94)</f>
        <v>478.94</v>
      </c>
      <c r="D2213" s="2">
        <f>IFERROR(__xludf.DUMMYFUNCTION("""COMPUTED_VALUE"""),461.36)</f>
        <v>461.36</v>
      </c>
      <c r="E2213" s="2">
        <f>IFERROR(__xludf.DUMMYFUNCTION("""COMPUTED_VALUE"""),462.9)</f>
        <v>462.9</v>
      </c>
      <c r="F2213" s="2">
        <f>IFERROR(__xludf.DUMMYFUNCTION("""COMPUTED_VALUE"""),4368279.0)</f>
        <v>4368279</v>
      </c>
    </row>
    <row r="2214">
      <c r="A2214" s="3">
        <f>IFERROR(__xludf.DUMMYFUNCTION("""COMPUTED_VALUE"""),40700.645833333336)</f>
        <v>40700.64583</v>
      </c>
      <c r="B2214" s="2">
        <f>IFERROR(__xludf.DUMMYFUNCTION("""COMPUTED_VALUE"""),462.92)</f>
        <v>462.92</v>
      </c>
      <c r="C2214" s="2">
        <f>IFERROR(__xludf.DUMMYFUNCTION("""COMPUTED_VALUE"""),465.97)</f>
        <v>465.97</v>
      </c>
      <c r="D2214" s="2">
        <f>IFERROR(__xludf.DUMMYFUNCTION("""COMPUTED_VALUE"""),459.7)</f>
        <v>459.7</v>
      </c>
      <c r="E2214" s="2">
        <f>IFERROR(__xludf.DUMMYFUNCTION("""COMPUTED_VALUE"""),464.46)</f>
        <v>464.46</v>
      </c>
      <c r="F2214" s="2">
        <f>IFERROR(__xludf.DUMMYFUNCTION("""COMPUTED_VALUE"""),1405741.0)</f>
        <v>1405741</v>
      </c>
    </row>
    <row r="2215">
      <c r="A2215" s="3">
        <f>IFERROR(__xludf.DUMMYFUNCTION("""COMPUTED_VALUE"""),40701.645833333336)</f>
        <v>40701.64583</v>
      </c>
      <c r="B2215" s="2">
        <f>IFERROR(__xludf.DUMMYFUNCTION("""COMPUTED_VALUE"""),462.38)</f>
        <v>462.38</v>
      </c>
      <c r="C2215" s="2">
        <f>IFERROR(__xludf.DUMMYFUNCTION("""COMPUTED_VALUE"""),475.48)</f>
        <v>475.48</v>
      </c>
      <c r="D2215" s="2">
        <f>IFERROR(__xludf.DUMMYFUNCTION("""COMPUTED_VALUE"""),462.38)</f>
        <v>462.38</v>
      </c>
      <c r="E2215" s="2">
        <f>IFERROR(__xludf.DUMMYFUNCTION("""COMPUTED_VALUE"""),474.61)</f>
        <v>474.61</v>
      </c>
      <c r="F2215" s="2">
        <f>IFERROR(__xludf.DUMMYFUNCTION("""COMPUTED_VALUE"""),4025919.0)</f>
        <v>4025919</v>
      </c>
    </row>
    <row r="2216">
      <c r="A2216" s="3">
        <f>IFERROR(__xludf.DUMMYFUNCTION("""COMPUTED_VALUE"""),40702.645833333336)</f>
        <v>40702.64583</v>
      </c>
      <c r="B2216" s="2">
        <f>IFERROR(__xludf.DUMMYFUNCTION("""COMPUTED_VALUE"""),473.12)</f>
        <v>473.12</v>
      </c>
      <c r="C2216" s="2">
        <f>IFERROR(__xludf.DUMMYFUNCTION("""COMPUTED_VALUE"""),473.47)</f>
        <v>473.47</v>
      </c>
      <c r="D2216" s="2">
        <f>IFERROR(__xludf.DUMMYFUNCTION("""COMPUTED_VALUE"""),467.53)</f>
        <v>467.53</v>
      </c>
      <c r="E2216" s="2">
        <f>IFERROR(__xludf.DUMMYFUNCTION("""COMPUTED_VALUE"""),470.13)</f>
        <v>470.13</v>
      </c>
      <c r="F2216" s="2">
        <f>IFERROR(__xludf.DUMMYFUNCTION("""COMPUTED_VALUE"""),3247038.0)</f>
        <v>3247038</v>
      </c>
    </row>
    <row r="2217">
      <c r="A2217" s="3">
        <f>IFERROR(__xludf.DUMMYFUNCTION("""COMPUTED_VALUE"""),40703.645833333336)</f>
        <v>40703.64583</v>
      </c>
      <c r="B2217" s="2">
        <f>IFERROR(__xludf.DUMMYFUNCTION("""COMPUTED_VALUE"""),469.28)</f>
        <v>469.28</v>
      </c>
      <c r="C2217" s="2">
        <f>IFERROR(__xludf.DUMMYFUNCTION("""COMPUTED_VALUE"""),474.41)</f>
        <v>474.41</v>
      </c>
      <c r="D2217" s="2">
        <f>IFERROR(__xludf.DUMMYFUNCTION("""COMPUTED_VALUE"""),469.04)</f>
        <v>469.04</v>
      </c>
      <c r="E2217" s="2">
        <f>IFERROR(__xludf.DUMMYFUNCTION("""COMPUTED_VALUE"""),472.5)</f>
        <v>472.5</v>
      </c>
      <c r="F2217" s="2">
        <f>IFERROR(__xludf.DUMMYFUNCTION("""COMPUTED_VALUE"""),2092020.0)</f>
        <v>2092020</v>
      </c>
    </row>
    <row r="2218">
      <c r="A2218" s="3">
        <f>IFERROR(__xludf.DUMMYFUNCTION("""COMPUTED_VALUE"""),40704.645833333336)</f>
        <v>40704.64583</v>
      </c>
      <c r="B2218" s="2">
        <f>IFERROR(__xludf.DUMMYFUNCTION("""COMPUTED_VALUE"""),473.05)</f>
        <v>473.05</v>
      </c>
      <c r="C2218" s="2">
        <f>IFERROR(__xludf.DUMMYFUNCTION("""COMPUTED_VALUE"""),473.49)</f>
        <v>473.49</v>
      </c>
      <c r="D2218" s="2">
        <f>IFERROR(__xludf.DUMMYFUNCTION("""COMPUTED_VALUE"""),461.63)</f>
        <v>461.63</v>
      </c>
      <c r="E2218" s="2">
        <f>IFERROR(__xludf.DUMMYFUNCTION("""COMPUTED_VALUE"""),467.8)</f>
        <v>467.8</v>
      </c>
      <c r="F2218" s="2">
        <f>IFERROR(__xludf.DUMMYFUNCTION("""COMPUTED_VALUE"""),2530136.0)</f>
        <v>2530136</v>
      </c>
    </row>
    <row r="2219">
      <c r="A2219" s="3">
        <f>IFERROR(__xludf.DUMMYFUNCTION("""COMPUTED_VALUE"""),40707.645833333336)</f>
        <v>40707.64583</v>
      </c>
      <c r="B2219" s="2">
        <f>IFERROR(__xludf.DUMMYFUNCTION("""COMPUTED_VALUE"""),467.18)</f>
        <v>467.18</v>
      </c>
      <c r="C2219" s="2">
        <f>IFERROR(__xludf.DUMMYFUNCTION("""COMPUTED_VALUE"""),467.18)</f>
        <v>467.18</v>
      </c>
      <c r="D2219" s="2">
        <f>IFERROR(__xludf.DUMMYFUNCTION("""COMPUTED_VALUE"""),456.16)</f>
        <v>456.16</v>
      </c>
      <c r="E2219" s="2">
        <f>IFERROR(__xludf.DUMMYFUNCTION("""COMPUTED_VALUE"""),458.44)</f>
        <v>458.44</v>
      </c>
      <c r="F2219" s="2">
        <f>IFERROR(__xludf.DUMMYFUNCTION("""COMPUTED_VALUE"""),2954066.0)</f>
        <v>2954066</v>
      </c>
    </row>
    <row r="2220">
      <c r="A2220" s="3">
        <f>IFERROR(__xludf.DUMMYFUNCTION("""COMPUTED_VALUE"""),40708.645833333336)</f>
        <v>40708.64583</v>
      </c>
      <c r="B2220" s="2">
        <f>IFERROR(__xludf.DUMMYFUNCTION("""COMPUTED_VALUE"""),458.29)</f>
        <v>458.29</v>
      </c>
      <c r="C2220" s="2">
        <f>IFERROR(__xludf.DUMMYFUNCTION("""COMPUTED_VALUE"""),461.48)</f>
        <v>461.48</v>
      </c>
      <c r="D2220" s="2">
        <f>IFERROR(__xludf.DUMMYFUNCTION("""COMPUTED_VALUE"""),450.71)</f>
        <v>450.71</v>
      </c>
      <c r="E2220" s="2">
        <f>IFERROR(__xludf.DUMMYFUNCTION("""COMPUTED_VALUE"""),451.38)</f>
        <v>451.38</v>
      </c>
      <c r="F2220" s="2">
        <f>IFERROR(__xludf.DUMMYFUNCTION("""COMPUTED_VALUE"""),4335560.0)</f>
        <v>4335560</v>
      </c>
    </row>
    <row r="2221">
      <c r="A2221" s="3">
        <f>IFERROR(__xludf.DUMMYFUNCTION("""COMPUTED_VALUE"""),40709.645833333336)</f>
        <v>40709.64583</v>
      </c>
      <c r="B2221" s="2">
        <f>IFERROR(__xludf.DUMMYFUNCTION("""COMPUTED_VALUE"""),451.7)</f>
        <v>451.7</v>
      </c>
      <c r="C2221" s="2">
        <f>IFERROR(__xludf.DUMMYFUNCTION("""COMPUTED_VALUE"""),455.12)</f>
        <v>455.12</v>
      </c>
      <c r="D2221" s="2">
        <f>IFERROR(__xludf.DUMMYFUNCTION("""COMPUTED_VALUE"""),445.06)</f>
        <v>445.06</v>
      </c>
      <c r="E2221" s="2">
        <f>IFERROR(__xludf.DUMMYFUNCTION("""COMPUTED_VALUE"""),446.03)</f>
        <v>446.03</v>
      </c>
      <c r="F2221" s="2">
        <f>IFERROR(__xludf.DUMMYFUNCTION("""COMPUTED_VALUE"""),4607486.0)</f>
        <v>4607486</v>
      </c>
    </row>
    <row r="2222">
      <c r="A2222" s="3">
        <f>IFERROR(__xludf.DUMMYFUNCTION("""COMPUTED_VALUE"""),40710.645833333336)</f>
        <v>40710.64583</v>
      </c>
      <c r="B2222" s="2">
        <f>IFERROR(__xludf.DUMMYFUNCTION("""COMPUTED_VALUE"""),446.25)</f>
        <v>446.25</v>
      </c>
      <c r="C2222" s="2">
        <f>IFERROR(__xludf.DUMMYFUNCTION("""COMPUTED_VALUE"""),446.25)</f>
        <v>446.25</v>
      </c>
      <c r="D2222" s="2">
        <f>IFERROR(__xludf.DUMMYFUNCTION("""COMPUTED_VALUE"""),437.88)</f>
        <v>437.88</v>
      </c>
      <c r="E2222" s="2">
        <f>IFERROR(__xludf.DUMMYFUNCTION("""COMPUTED_VALUE"""),439.59)</f>
        <v>439.59</v>
      </c>
      <c r="F2222" s="2">
        <f>IFERROR(__xludf.DUMMYFUNCTION("""COMPUTED_VALUE"""),5707528.0)</f>
        <v>5707528</v>
      </c>
    </row>
    <row r="2223">
      <c r="A2223" s="3">
        <f>IFERROR(__xludf.DUMMYFUNCTION("""COMPUTED_VALUE"""),40711.645833333336)</f>
        <v>40711.64583</v>
      </c>
      <c r="B2223" s="2">
        <f>IFERROR(__xludf.DUMMYFUNCTION("""COMPUTED_VALUE"""),441.45)</f>
        <v>441.45</v>
      </c>
      <c r="C2223" s="2">
        <f>IFERROR(__xludf.DUMMYFUNCTION("""COMPUTED_VALUE"""),442.44)</f>
        <v>442.44</v>
      </c>
      <c r="D2223" s="2">
        <f>IFERROR(__xludf.DUMMYFUNCTION("""COMPUTED_VALUE"""),428.52)</f>
        <v>428.52</v>
      </c>
      <c r="E2223" s="2">
        <f>IFERROR(__xludf.DUMMYFUNCTION("""COMPUTED_VALUE"""),430.28)</f>
        <v>430.28</v>
      </c>
      <c r="F2223" s="2">
        <f>IFERROR(__xludf.DUMMYFUNCTION("""COMPUTED_VALUE"""),5035618.0)</f>
        <v>5035618</v>
      </c>
    </row>
    <row r="2224">
      <c r="A2224" s="3">
        <f>IFERROR(__xludf.DUMMYFUNCTION("""COMPUTED_VALUE"""),40714.645833333336)</f>
        <v>40714.64583</v>
      </c>
      <c r="B2224" s="2">
        <f>IFERROR(__xludf.DUMMYFUNCTION("""COMPUTED_VALUE"""),433.38)</f>
        <v>433.38</v>
      </c>
      <c r="C2224" s="2">
        <f>IFERROR(__xludf.DUMMYFUNCTION("""COMPUTED_VALUE"""),433.38)</f>
        <v>433.38</v>
      </c>
      <c r="D2224" s="2">
        <f>IFERROR(__xludf.DUMMYFUNCTION("""COMPUTED_VALUE"""),410.15)</f>
        <v>410.15</v>
      </c>
      <c r="E2224" s="2">
        <f>IFERROR(__xludf.DUMMYFUNCTION("""COMPUTED_VALUE"""),412.7)</f>
        <v>412.7</v>
      </c>
      <c r="F2224" s="2">
        <f>IFERROR(__xludf.DUMMYFUNCTION("""COMPUTED_VALUE"""),6926078.0)</f>
        <v>6926078</v>
      </c>
    </row>
    <row r="2225">
      <c r="A2225" s="3">
        <f>IFERROR(__xludf.DUMMYFUNCTION("""COMPUTED_VALUE"""),40715.645833333336)</f>
        <v>40715.64583</v>
      </c>
      <c r="B2225" s="2">
        <f>IFERROR(__xludf.DUMMYFUNCTION("""COMPUTED_VALUE"""),415.99)</f>
        <v>415.99</v>
      </c>
      <c r="C2225" s="2">
        <f>IFERROR(__xludf.DUMMYFUNCTION("""COMPUTED_VALUE"""),423.47)</f>
        <v>423.47</v>
      </c>
      <c r="D2225" s="2">
        <f>IFERROR(__xludf.DUMMYFUNCTION("""COMPUTED_VALUE"""),414.7)</f>
        <v>414.7</v>
      </c>
      <c r="E2225" s="2">
        <f>IFERROR(__xludf.DUMMYFUNCTION("""COMPUTED_VALUE"""),420.33)</f>
        <v>420.33</v>
      </c>
      <c r="F2225" s="2">
        <f>IFERROR(__xludf.DUMMYFUNCTION("""COMPUTED_VALUE"""),3980489.0)</f>
        <v>3980489</v>
      </c>
    </row>
    <row r="2226">
      <c r="A2226" s="3">
        <f>IFERROR(__xludf.DUMMYFUNCTION("""COMPUTED_VALUE"""),40716.645833333336)</f>
        <v>40716.64583</v>
      </c>
      <c r="B2226" s="2">
        <f>IFERROR(__xludf.DUMMYFUNCTION("""COMPUTED_VALUE"""),422.65)</f>
        <v>422.65</v>
      </c>
      <c r="C2226" s="2">
        <f>IFERROR(__xludf.DUMMYFUNCTION("""COMPUTED_VALUE"""),425.03)</f>
        <v>425.03</v>
      </c>
      <c r="D2226" s="2">
        <f>IFERROR(__xludf.DUMMYFUNCTION("""COMPUTED_VALUE"""),413.14)</f>
        <v>413.14</v>
      </c>
      <c r="E2226" s="2">
        <f>IFERROR(__xludf.DUMMYFUNCTION("""COMPUTED_VALUE"""),418.91)</f>
        <v>418.91</v>
      </c>
      <c r="F2226" s="2">
        <f>IFERROR(__xludf.DUMMYFUNCTION("""COMPUTED_VALUE"""),4596259.0)</f>
        <v>4596259</v>
      </c>
    </row>
    <row r="2227">
      <c r="A2227" s="3">
        <f>IFERROR(__xludf.DUMMYFUNCTION("""COMPUTED_VALUE"""),40717.645833333336)</f>
        <v>40717.64583</v>
      </c>
      <c r="B2227" s="2">
        <f>IFERROR(__xludf.DUMMYFUNCTION("""COMPUTED_VALUE"""),419.29)</f>
        <v>419.29</v>
      </c>
      <c r="C2227" s="2">
        <f>IFERROR(__xludf.DUMMYFUNCTION("""COMPUTED_VALUE"""),432.24)</f>
        <v>432.24</v>
      </c>
      <c r="D2227" s="2">
        <f>IFERROR(__xludf.DUMMYFUNCTION("""COMPUTED_VALUE"""),418.96)</f>
        <v>418.96</v>
      </c>
      <c r="E2227" s="2">
        <f>IFERROR(__xludf.DUMMYFUNCTION("""COMPUTED_VALUE"""),431.15)</f>
        <v>431.15</v>
      </c>
      <c r="F2227" s="2">
        <f>IFERROR(__xludf.DUMMYFUNCTION("""COMPUTED_VALUE"""),4734842.0)</f>
        <v>4734842</v>
      </c>
    </row>
    <row r="2228">
      <c r="A2228" s="3">
        <f>IFERROR(__xludf.DUMMYFUNCTION("""COMPUTED_VALUE"""),40718.645833333336)</f>
        <v>40718.64583</v>
      </c>
      <c r="B2228" s="2">
        <f>IFERROR(__xludf.DUMMYFUNCTION("""COMPUTED_VALUE"""),432.96)</f>
        <v>432.96</v>
      </c>
      <c r="C2228" s="2">
        <f>IFERROR(__xludf.DUMMYFUNCTION("""COMPUTED_VALUE"""),435.7)</f>
        <v>435.7</v>
      </c>
      <c r="D2228" s="2">
        <f>IFERROR(__xludf.DUMMYFUNCTION("""COMPUTED_VALUE"""),423.77)</f>
        <v>423.77</v>
      </c>
      <c r="E2228" s="2">
        <f>IFERROR(__xludf.DUMMYFUNCTION("""COMPUTED_VALUE"""),431.59)</f>
        <v>431.59</v>
      </c>
      <c r="F2228" s="2">
        <f>IFERROR(__xludf.DUMMYFUNCTION("""COMPUTED_VALUE"""),7239303.0)</f>
        <v>7239303</v>
      </c>
    </row>
    <row r="2229">
      <c r="A2229" s="3">
        <f>IFERROR(__xludf.DUMMYFUNCTION("""COMPUTED_VALUE"""),40721.645833333336)</f>
        <v>40721.64583</v>
      </c>
      <c r="B2229" s="2">
        <f>IFERROR(__xludf.DUMMYFUNCTION("""COMPUTED_VALUE"""),429.27)</f>
        <v>429.27</v>
      </c>
      <c r="C2229" s="2">
        <f>IFERROR(__xludf.DUMMYFUNCTION("""COMPUTED_VALUE"""),436.74)</f>
        <v>436.74</v>
      </c>
      <c r="D2229" s="2">
        <f>IFERROR(__xludf.DUMMYFUNCTION("""COMPUTED_VALUE"""),426.86)</f>
        <v>426.86</v>
      </c>
      <c r="E2229" s="2">
        <f>IFERROR(__xludf.DUMMYFUNCTION("""COMPUTED_VALUE"""),431.67)</f>
        <v>431.67</v>
      </c>
      <c r="F2229" s="2">
        <f>IFERROR(__xludf.DUMMYFUNCTION("""COMPUTED_VALUE"""),3280025.0)</f>
        <v>3280025</v>
      </c>
    </row>
    <row r="2230">
      <c r="A2230" s="3">
        <f>IFERROR(__xludf.DUMMYFUNCTION("""COMPUTED_VALUE"""),40722.645833333336)</f>
        <v>40722.64583</v>
      </c>
      <c r="B2230" s="2">
        <f>IFERROR(__xludf.DUMMYFUNCTION("""COMPUTED_VALUE"""),435.31)</f>
        <v>435.31</v>
      </c>
      <c r="C2230" s="2">
        <f>IFERROR(__xludf.DUMMYFUNCTION("""COMPUTED_VALUE"""),435.31)</f>
        <v>435.31</v>
      </c>
      <c r="D2230" s="2">
        <f>IFERROR(__xludf.DUMMYFUNCTION("""COMPUTED_VALUE"""),426.94)</f>
        <v>426.94</v>
      </c>
      <c r="E2230" s="2">
        <f>IFERROR(__xludf.DUMMYFUNCTION("""COMPUTED_VALUE"""),431.44)</f>
        <v>431.44</v>
      </c>
      <c r="F2230" s="2">
        <f>IFERROR(__xludf.DUMMYFUNCTION("""COMPUTED_VALUE"""),2336039.0)</f>
        <v>2336039</v>
      </c>
    </row>
    <row r="2231">
      <c r="A2231" s="3">
        <f>IFERROR(__xludf.DUMMYFUNCTION("""COMPUTED_VALUE"""),40723.645833333336)</f>
        <v>40723.64583</v>
      </c>
      <c r="B2231" s="2">
        <f>IFERROR(__xludf.DUMMYFUNCTION("""COMPUTED_VALUE"""),433.72)</f>
        <v>433.72</v>
      </c>
      <c r="C2231" s="2">
        <f>IFERROR(__xludf.DUMMYFUNCTION("""COMPUTED_VALUE"""),439.81)</f>
        <v>439.81</v>
      </c>
      <c r="D2231" s="2">
        <f>IFERROR(__xludf.DUMMYFUNCTION("""COMPUTED_VALUE"""),431.94)</f>
        <v>431.94</v>
      </c>
      <c r="E2231" s="2">
        <f>IFERROR(__xludf.DUMMYFUNCTION("""COMPUTED_VALUE"""),438.45)</f>
        <v>438.45</v>
      </c>
      <c r="F2231" s="2">
        <f>IFERROR(__xludf.DUMMYFUNCTION("""COMPUTED_VALUE"""),2841435.0)</f>
        <v>2841435</v>
      </c>
    </row>
    <row r="2232">
      <c r="A2232" s="3">
        <f>IFERROR(__xludf.DUMMYFUNCTION("""COMPUTED_VALUE"""),40724.645833333336)</f>
        <v>40724.64583</v>
      </c>
      <c r="B2232" s="2">
        <f>IFERROR(__xludf.DUMMYFUNCTION("""COMPUTED_VALUE"""),440.16)</f>
        <v>440.16</v>
      </c>
      <c r="C2232" s="2">
        <f>IFERROR(__xludf.DUMMYFUNCTION("""COMPUTED_VALUE"""),446.75)</f>
        <v>446.75</v>
      </c>
      <c r="D2232" s="2">
        <f>IFERROR(__xludf.DUMMYFUNCTION("""COMPUTED_VALUE"""),439.32)</f>
        <v>439.32</v>
      </c>
      <c r="E2232" s="2">
        <f>IFERROR(__xludf.DUMMYFUNCTION("""COMPUTED_VALUE"""),445.02)</f>
        <v>445.02</v>
      </c>
      <c r="F2232" s="2">
        <f>IFERROR(__xludf.DUMMYFUNCTION("""COMPUTED_VALUE"""),4970476.0)</f>
        <v>4970476</v>
      </c>
    </row>
    <row r="2233">
      <c r="A2233" s="3">
        <f>IFERROR(__xludf.DUMMYFUNCTION("""COMPUTED_VALUE"""),40725.645833333336)</f>
        <v>40725.64583</v>
      </c>
      <c r="B2233" s="2">
        <f>IFERROR(__xludf.DUMMYFUNCTION("""COMPUTED_VALUE"""),449.23)</f>
        <v>449.23</v>
      </c>
      <c r="C2233" s="2">
        <f>IFERROR(__xludf.DUMMYFUNCTION("""COMPUTED_VALUE"""),449.23)</f>
        <v>449.23</v>
      </c>
      <c r="D2233" s="2">
        <f>IFERROR(__xludf.DUMMYFUNCTION("""COMPUTED_VALUE"""),424.31)</f>
        <v>424.31</v>
      </c>
      <c r="E2233" s="2">
        <f>IFERROR(__xludf.DUMMYFUNCTION("""COMPUTED_VALUE"""),426.91)</f>
        <v>426.91</v>
      </c>
      <c r="F2233" s="2">
        <f>IFERROR(__xludf.DUMMYFUNCTION("""COMPUTED_VALUE"""),6555284.0)</f>
        <v>6555284</v>
      </c>
    </row>
    <row r="2234">
      <c r="A2234" s="3">
        <f>IFERROR(__xludf.DUMMYFUNCTION("""COMPUTED_VALUE"""),40728.645833333336)</f>
        <v>40728.64583</v>
      </c>
      <c r="B2234" s="2">
        <f>IFERROR(__xludf.DUMMYFUNCTION("""COMPUTED_VALUE"""),433.08)</f>
        <v>433.08</v>
      </c>
      <c r="C2234" s="2">
        <f>IFERROR(__xludf.DUMMYFUNCTION("""COMPUTED_VALUE"""),435.56)</f>
        <v>435.56</v>
      </c>
      <c r="D2234" s="2">
        <f>IFERROR(__xludf.DUMMYFUNCTION("""COMPUTED_VALUE"""),428.42)</f>
        <v>428.42</v>
      </c>
      <c r="E2234" s="2">
        <f>IFERROR(__xludf.DUMMYFUNCTION("""COMPUTED_VALUE"""),430.11)</f>
        <v>430.11</v>
      </c>
      <c r="F2234" s="2">
        <f>IFERROR(__xludf.DUMMYFUNCTION("""COMPUTED_VALUE"""),3771511.0)</f>
        <v>3771511</v>
      </c>
    </row>
    <row r="2235">
      <c r="A2235" s="3">
        <f>IFERROR(__xludf.DUMMYFUNCTION("""COMPUTED_VALUE"""),40729.645833333336)</f>
        <v>40729.64583</v>
      </c>
      <c r="B2235" s="2">
        <f>IFERROR(__xludf.DUMMYFUNCTION("""COMPUTED_VALUE"""),430.55)</f>
        <v>430.55</v>
      </c>
      <c r="C2235" s="2">
        <f>IFERROR(__xludf.DUMMYFUNCTION("""COMPUTED_VALUE"""),430.55)</f>
        <v>430.55</v>
      </c>
      <c r="D2235" s="2">
        <f>IFERROR(__xludf.DUMMYFUNCTION("""COMPUTED_VALUE"""),418.02)</f>
        <v>418.02</v>
      </c>
      <c r="E2235" s="2">
        <f>IFERROR(__xludf.DUMMYFUNCTION("""COMPUTED_VALUE"""),418.99)</f>
        <v>418.99</v>
      </c>
      <c r="F2235" s="2">
        <f>IFERROR(__xludf.DUMMYFUNCTION("""COMPUTED_VALUE"""),7727430.0)</f>
        <v>7727430</v>
      </c>
    </row>
    <row r="2236">
      <c r="A2236" s="3">
        <f>IFERROR(__xludf.DUMMYFUNCTION("""COMPUTED_VALUE"""),40730.645833333336)</f>
        <v>40730.64583</v>
      </c>
      <c r="B2236" s="2">
        <f>IFERROR(__xludf.DUMMYFUNCTION("""COMPUTED_VALUE"""),420.42)</f>
        <v>420.42</v>
      </c>
      <c r="C2236" s="2">
        <f>IFERROR(__xludf.DUMMYFUNCTION("""COMPUTED_VALUE"""),425.2)</f>
        <v>425.2</v>
      </c>
      <c r="D2236" s="2">
        <f>IFERROR(__xludf.DUMMYFUNCTION("""COMPUTED_VALUE"""),416.39)</f>
        <v>416.39</v>
      </c>
      <c r="E2236" s="2">
        <f>IFERROR(__xludf.DUMMYFUNCTION("""COMPUTED_VALUE"""),422.43)</f>
        <v>422.43</v>
      </c>
      <c r="F2236" s="2">
        <f>IFERROR(__xludf.DUMMYFUNCTION("""COMPUTED_VALUE"""),6143838.0)</f>
        <v>6143838</v>
      </c>
    </row>
    <row r="2237">
      <c r="A2237" s="3">
        <f>IFERROR(__xludf.DUMMYFUNCTION("""COMPUTED_VALUE"""),40731.645833333336)</f>
        <v>40731.64583</v>
      </c>
      <c r="B2237" s="2">
        <f>IFERROR(__xludf.DUMMYFUNCTION("""COMPUTED_VALUE"""),424.96)</f>
        <v>424.96</v>
      </c>
      <c r="C2237" s="2">
        <f>IFERROR(__xludf.DUMMYFUNCTION("""COMPUTED_VALUE"""),433.33)</f>
        <v>433.33</v>
      </c>
      <c r="D2237" s="2">
        <f>IFERROR(__xludf.DUMMYFUNCTION("""COMPUTED_VALUE"""),423.59)</f>
        <v>423.59</v>
      </c>
      <c r="E2237" s="2">
        <f>IFERROR(__xludf.DUMMYFUNCTION("""COMPUTED_VALUE"""),431.25)</f>
        <v>431.25</v>
      </c>
      <c r="F2237" s="2">
        <f>IFERROR(__xludf.DUMMYFUNCTION("""COMPUTED_VALUE"""),4603204.0)</f>
        <v>4603204</v>
      </c>
    </row>
    <row r="2238">
      <c r="A2238" s="3">
        <f>IFERROR(__xludf.DUMMYFUNCTION("""COMPUTED_VALUE"""),40732.645833333336)</f>
        <v>40732.64583</v>
      </c>
      <c r="B2238" s="2">
        <f>IFERROR(__xludf.DUMMYFUNCTION("""COMPUTED_VALUE"""),432.39)</f>
        <v>432.39</v>
      </c>
      <c r="C2238" s="2">
        <f>IFERROR(__xludf.DUMMYFUNCTION("""COMPUTED_VALUE"""),432.88)</f>
        <v>432.88</v>
      </c>
      <c r="D2238" s="2">
        <f>IFERROR(__xludf.DUMMYFUNCTION("""COMPUTED_VALUE"""),421.98)</f>
        <v>421.98</v>
      </c>
      <c r="E2238" s="2">
        <f>IFERROR(__xludf.DUMMYFUNCTION("""COMPUTED_VALUE"""),423.4)</f>
        <v>423.4</v>
      </c>
      <c r="F2238" s="2">
        <f>IFERROR(__xludf.DUMMYFUNCTION("""COMPUTED_VALUE"""),4785969.0)</f>
        <v>4785969</v>
      </c>
    </row>
    <row r="2239">
      <c r="A2239" s="3">
        <f>IFERROR(__xludf.DUMMYFUNCTION("""COMPUTED_VALUE"""),40735.645833333336)</f>
        <v>40735.64583</v>
      </c>
      <c r="B2239" s="2">
        <f>IFERROR(__xludf.DUMMYFUNCTION("""COMPUTED_VALUE"""),422.98)</f>
        <v>422.98</v>
      </c>
      <c r="C2239" s="2">
        <f>IFERROR(__xludf.DUMMYFUNCTION("""COMPUTED_VALUE"""),425.92)</f>
        <v>425.92</v>
      </c>
      <c r="D2239" s="2">
        <f>IFERROR(__xludf.DUMMYFUNCTION("""COMPUTED_VALUE"""),419.51)</f>
        <v>419.51</v>
      </c>
      <c r="E2239" s="2">
        <f>IFERROR(__xludf.DUMMYFUNCTION("""COMPUTED_VALUE"""),422.63)</f>
        <v>422.63</v>
      </c>
      <c r="F2239" s="2">
        <f>IFERROR(__xludf.DUMMYFUNCTION("""COMPUTED_VALUE"""),2194126.0)</f>
        <v>2194126</v>
      </c>
    </row>
    <row r="2240">
      <c r="A2240" s="3">
        <f>IFERROR(__xludf.DUMMYFUNCTION("""COMPUTED_VALUE"""),40736.645833333336)</f>
        <v>40736.64583</v>
      </c>
      <c r="B2240" s="2">
        <f>IFERROR(__xludf.DUMMYFUNCTION("""COMPUTED_VALUE"""),419.76)</f>
        <v>419.76</v>
      </c>
      <c r="C2240" s="2">
        <f>IFERROR(__xludf.DUMMYFUNCTION("""COMPUTED_VALUE"""),424.66)</f>
        <v>424.66</v>
      </c>
      <c r="D2240" s="2">
        <f>IFERROR(__xludf.DUMMYFUNCTION("""COMPUTED_VALUE"""),418.86)</f>
        <v>418.86</v>
      </c>
      <c r="E2240" s="2">
        <f>IFERROR(__xludf.DUMMYFUNCTION("""COMPUTED_VALUE"""),419.88)</f>
        <v>419.88</v>
      </c>
      <c r="F2240" s="2">
        <f>IFERROR(__xludf.DUMMYFUNCTION("""COMPUTED_VALUE"""),2986757.0)</f>
        <v>2986757</v>
      </c>
    </row>
    <row r="2241">
      <c r="A2241" s="3">
        <f>IFERROR(__xludf.DUMMYFUNCTION("""COMPUTED_VALUE"""),40737.645833333336)</f>
        <v>40737.64583</v>
      </c>
      <c r="B2241" s="2">
        <f>IFERROR(__xludf.DUMMYFUNCTION("""COMPUTED_VALUE"""),422.5)</f>
        <v>422.5</v>
      </c>
      <c r="C2241" s="2">
        <f>IFERROR(__xludf.DUMMYFUNCTION("""COMPUTED_VALUE"""),430.75)</f>
        <v>430.75</v>
      </c>
      <c r="D2241" s="2">
        <f>IFERROR(__xludf.DUMMYFUNCTION("""COMPUTED_VALUE"""),421.54)</f>
        <v>421.54</v>
      </c>
      <c r="E2241" s="2">
        <f>IFERROR(__xludf.DUMMYFUNCTION("""COMPUTED_VALUE"""),428.65)</f>
        <v>428.65</v>
      </c>
      <c r="F2241" s="2">
        <f>IFERROR(__xludf.DUMMYFUNCTION("""COMPUTED_VALUE"""),3892719.0)</f>
        <v>3892719</v>
      </c>
    </row>
    <row r="2242">
      <c r="A2242" s="3">
        <f>IFERROR(__xludf.DUMMYFUNCTION("""COMPUTED_VALUE"""),40738.645833333336)</f>
        <v>40738.64583</v>
      </c>
      <c r="B2242" s="2">
        <f>IFERROR(__xludf.DUMMYFUNCTION("""COMPUTED_VALUE"""),427.58)</f>
        <v>427.58</v>
      </c>
      <c r="C2242" s="2">
        <f>IFERROR(__xludf.DUMMYFUNCTION("""COMPUTED_VALUE"""),434.81)</f>
        <v>434.81</v>
      </c>
      <c r="D2242" s="2">
        <f>IFERROR(__xludf.DUMMYFUNCTION("""COMPUTED_VALUE"""),425.62)</f>
        <v>425.62</v>
      </c>
      <c r="E2242" s="2">
        <f>IFERROR(__xludf.DUMMYFUNCTION("""COMPUTED_VALUE"""),429.69)</f>
        <v>429.69</v>
      </c>
      <c r="F2242" s="2">
        <f>IFERROR(__xludf.DUMMYFUNCTION("""COMPUTED_VALUE"""),3043021.0)</f>
        <v>3043021</v>
      </c>
    </row>
    <row r="2243">
      <c r="A2243" s="3">
        <f>IFERROR(__xludf.DUMMYFUNCTION("""COMPUTED_VALUE"""),40739.645833333336)</f>
        <v>40739.64583</v>
      </c>
      <c r="B2243" s="2">
        <f>IFERROR(__xludf.DUMMYFUNCTION("""COMPUTED_VALUE"""),429.76)</f>
        <v>429.76</v>
      </c>
      <c r="C2243" s="2">
        <f>IFERROR(__xludf.DUMMYFUNCTION("""COMPUTED_VALUE"""),433.87)</f>
        <v>433.87</v>
      </c>
      <c r="D2243" s="2">
        <f>IFERROR(__xludf.DUMMYFUNCTION("""COMPUTED_VALUE"""),428.42)</f>
        <v>428.42</v>
      </c>
      <c r="E2243" s="2">
        <f>IFERROR(__xludf.DUMMYFUNCTION("""COMPUTED_VALUE"""),432.48)</f>
        <v>432.48</v>
      </c>
      <c r="F2243" s="2">
        <f>IFERROR(__xludf.DUMMYFUNCTION("""COMPUTED_VALUE"""),2332976.0)</f>
        <v>2332976</v>
      </c>
    </row>
    <row r="2244">
      <c r="A2244" s="3">
        <f>IFERROR(__xludf.DUMMYFUNCTION("""COMPUTED_VALUE"""),40742.645833333336)</f>
        <v>40742.64583</v>
      </c>
      <c r="B2244" s="2">
        <f>IFERROR(__xludf.DUMMYFUNCTION("""COMPUTED_VALUE"""),431.84)</f>
        <v>431.84</v>
      </c>
      <c r="C2244" s="2">
        <f>IFERROR(__xludf.DUMMYFUNCTION("""COMPUTED_VALUE"""),432.83)</f>
        <v>432.83</v>
      </c>
      <c r="D2244" s="2">
        <f>IFERROR(__xludf.DUMMYFUNCTION("""COMPUTED_VALUE"""),428.03)</f>
        <v>428.03</v>
      </c>
      <c r="E2244" s="2">
        <f>IFERROR(__xludf.DUMMYFUNCTION("""COMPUTED_VALUE"""),429.71)</f>
        <v>429.71</v>
      </c>
      <c r="F2244" s="2">
        <f>IFERROR(__xludf.DUMMYFUNCTION("""COMPUTED_VALUE"""),1504709.0)</f>
        <v>1504709</v>
      </c>
    </row>
    <row r="2245">
      <c r="A2245" s="3">
        <f>IFERROR(__xludf.DUMMYFUNCTION("""COMPUTED_VALUE"""),40743.645833333336)</f>
        <v>40743.64583</v>
      </c>
      <c r="B2245" s="2">
        <f>IFERROR(__xludf.DUMMYFUNCTION("""COMPUTED_VALUE"""),429.66)</f>
        <v>429.66</v>
      </c>
      <c r="C2245" s="2">
        <f>IFERROR(__xludf.DUMMYFUNCTION("""COMPUTED_VALUE"""),436.55)</f>
        <v>436.55</v>
      </c>
      <c r="D2245" s="2">
        <f>IFERROR(__xludf.DUMMYFUNCTION("""COMPUTED_VALUE"""),428.92)</f>
        <v>428.92</v>
      </c>
      <c r="E2245" s="2">
        <f>IFERROR(__xludf.DUMMYFUNCTION("""COMPUTED_VALUE"""),435.58)</f>
        <v>435.58</v>
      </c>
      <c r="F2245" s="2">
        <f>IFERROR(__xludf.DUMMYFUNCTION("""COMPUTED_VALUE"""),2245330.0)</f>
        <v>2245330</v>
      </c>
    </row>
    <row r="2246">
      <c r="A2246" s="3">
        <f>IFERROR(__xludf.DUMMYFUNCTION("""COMPUTED_VALUE"""),40744.645833333336)</f>
        <v>40744.64583</v>
      </c>
      <c r="B2246" s="2">
        <f>IFERROR(__xludf.DUMMYFUNCTION("""COMPUTED_VALUE"""),438.82)</f>
        <v>438.82</v>
      </c>
      <c r="C2246" s="2">
        <f>IFERROR(__xludf.DUMMYFUNCTION("""COMPUTED_VALUE"""),439.22)</f>
        <v>439.22</v>
      </c>
      <c r="D2246" s="2">
        <f>IFERROR(__xludf.DUMMYFUNCTION("""COMPUTED_VALUE"""),430.31)</f>
        <v>430.31</v>
      </c>
      <c r="E2246" s="2">
        <f>IFERROR(__xludf.DUMMYFUNCTION("""COMPUTED_VALUE"""),433.97)</f>
        <v>433.97</v>
      </c>
      <c r="F2246" s="2">
        <f>IFERROR(__xludf.DUMMYFUNCTION("""COMPUTED_VALUE"""),2555594.0)</f>
        <v>2555594</v>
      </c>
    </row>
    <row r="2247">
      <c r="A2247" s="3">
        <f>IFERROR(__xludf.DUMMYFUNCTION("""COMPUTED_VALUE"""),40745.645833333336)</f>
        <v>40745.64583</v>
      </c>
      <c r="B2247" s="2">
        <f>IFERROR(__xludf.DUMMYFUNCTION("""COMPUTED_VALUE"""),433.85)</f>
        <v>433.85</v>
      </c>
      <c r="C2247" s="2">
        <f>IFERROR(__xludf.DUMMYFUNCTION("""COMPUTED_VALUE"""),433.85)</f>
        <v>433.85</v>
      </c>
      <c r="D2247" s="2">
        <f>IFERROR(__xludf.DUMMYFUNCTION("""COMPUTED_VALUE"""),424.73)</f>
        <v>424.73</v>
      </c>
      <c r="E2247" s="2">
        <f>IFERROR(__xludf.DUMMYFUNCTION("""COMPUTED_VALUE"""),426.37)</f>
        <v>426.37</v>
      </c>
      <c r="F2247" s="2">
        <f>IFERROR(__xludf.DUMMYFUNCTION("""COMPUTED_VALUE"""),1802647.0)</f>
        <v>1802647</v>
      </c>
    </row>
    <row r="2248">
      <c r="A2248" s="3">
        <f>IFERROR(__xludf.DUMMYFUNCTION("""COMPUTED_VALUE"""),40746.645833333336)</f>
        <v>40746.64583</v>
      </c>
      <c r="B2248" s="2">
        <f>IFERROR(__xludf.DUMMYFUNCTION("""COMPUTED_VALUE"""),428.92)</f>
        <v>428.92</v>
      </c>
      <c r="C2248" s="2">
        <f>IFERROR(__xludf.DUMMYFUNCTION("""COMPUTED_VALUE"""),434.37)</f>
        <v>434.37</v>
      </c>
      <c r="D2248" s="2">
        <f>IFERROR(__xludf.DUMMYFUNCTION("""COMPUTED_VALUE"""),427.18)</f>
        <v>427.18</v>
      </c>
      <c r="E2248" s="2">
        <f>IFERROR(__xludf.DUMMYFUNCTION("""COMPUTED_VALUE"""),432.56)</f>
        <v>432.56</v>
      </c>
      <c r="F2248" s="2">
        <f>IFERROR(__xludf.DUMMYFUNCTION("""COMPUTED_VALUE"""),3498193.0)</f>
        <v>3498193</v>
      </c>
    </row>
    <row r="2249">
      <c r="A2249" s="3">
        <f>IFERROR(__xludf.DUMMYFUNCTION("""COMPUTED_VALUE"""),40749.645833333336)</f>
        <v>40749.64583</v>
      </c>
      <c r="B2249" s="2">
        <f>IFERROR(__xludf.DUMMYFUNCTION("""COMPUTED_VALUE"""),441.8)</f>
        <v>441.8</v>
      </c>
      <c r="C2249" s="2">
        <f>IFERROR(__xludf.DUMMYFUNCTION("""COMPUTED_VALUE"""),441.8)</f>
        <v>441.8</v>
      </c>
      <c r="D2249" s="2">
        <f>IFERROR(__xludf.DUMMYFUNCTION("""COMPUTED_VALUE"""),435.43)</f>
        <v>435.43</v>
      </c>
      <c r="E2249" s="2">
        <f>IFERROR(__xludf.DUMMYFUNCTION("""COMPUTED_VALUE"""),437.26)</f>
        <v>437.26</v>
      </c>
      <c r="F2249" s="2">
        <f>IFERROR(__xludf.DUMMYFUNCTION("""COMPUTED_VALUE"""),5007164.0)</f>
        <v>5007164</v>
      </c>
    </row>
    <row r="2250">
      <c r="A2250" s="3">
        <f>IFERROR(__xludf.DUMMYFUNCTION("""COMPUTED_VALUE"""),40750.645833333336)</f>
        <v>40750.64583</v>
      </c>
      <c r="B2250" s="2">
        <f>IFERROR(__xludf.DUMMYFUNCTION("""COMPUTED_VALUE"""),439.94)</f>
        <v>439.94</v>
      </c>
      <c r="C2250" s="2">
        <f>IFERROR(__xludf.DUMMYFUNCTION("""COMPUTED_VALUE"""),440.88)</f>
        <v>440.88</v>
      </c>
      <c r="D2250" s="2">
        <f>IFERROR(__xludf.DUMMYFUNCTION("""COMPUTED_VALUE"""),430.6)</f>
        <v>430.6</v>
      </c>
      <c r="E2250" s="2">
        <f>IFERROR(__xludf.DUMMYFUNCTION("""COMPUTED_VALUE"""),431.64)</f>
        <v>431.64</v>
      </c>
      <c r="F2250" s="2">
        <f>IFERROR(__xludf.DUMMYFUNCTION("""COMPUTED_VALUE"""),4677273.0)</f>
        <v>4677273</v>
      </c>
    </row>
    <row r="2251">
      <c r="A2251" s="3">
        <f>IFERROR(__xludf.DUMMYFUNCTION("""COMPUTED_VALUE"""),40751.645833333336)</f>
        <v>40751.64583</v>
      </c>
      <c r="B2251" s="2">
        <f>IFERROR(__xludf.DUMMYFUNCTION("""COMPUTED_VALUE"""),433.38)</f>
        <v>433.38</v>
      </c>
      <c r="C2251" s="2">
        <f>IFERROR(__xludf.DUMMYFUNCTION("""COMPUTED_VALUE"""),433.38)</f>
        <v>433.38</v>
      </c>
      <c r="D2251" s="2">
        <f>IFERROR(__xludf.DUMMYFUNCTION("""COMPUTED_VALUE"""),425.53)</f>
        <v>425.53</v>
      </c>
      <c r="E2251" s="2">
        <f>IFERROR(__xludf.DUMMYFUNCTION("""COMPUTED_VALUE"""),426.37)</f>
        <v>426.37</v>
      </c>
      <c r="F2251" s="2">
        <f>IFERROR(__xludf.DUMMYFUNCTION("""COMPUTED_VALUE"""),3126064.0)</f>
        <v>3126064</v>
      </c>
    </row>
    <row r="2252">
      <c r="A2252" s="3">
        <f>IFERROR(__xludf.DUMMYFUNCTION("""COMPUTED_VALUE"""),40752.645833333336)</f>
        <v>40752.64583</v>
      </c>
      <c r="B2252" s="2">
        <f>IFERROR(__xludf.DUMMYFUNCTION("""COMPUTED_VALUE"""),423.47)</f>
        <v>423.47</v>
      </c>
      <c r="C2252" s="2">
        <f>IFERROR(__xludf.DUMMYFUNCTION("""COMPUTED_VALUE"""),423.47)</f>
        <v>423.47</v>
      </c>
      <c r="D2252" s="2">
        <f>IFERROR(__xludf.DUMMYFUNCTION("""COMPUTED_VALUE"""),412.77)</f>
        <v>412.77</v>
      </c>
      <c r="E2252" s="2">
        <f>IFERROR(__xludf.DUMMYFUNCTION("""COMPUTED_VALUE"""),414.73)</f>
        <v>414.73</v>
      </c>
      <c r="F2252" s="2">
        <f>IFERROR(__xludf.DUMMYFUNCTION("""COMPUTED_VALUE"""),7154511.0)</f>
        <v>7154511</v>
      </c>
    </row>
    <row r="2253">
      <c r="A2253" s="3">
        <f>IFERROR(__xludf.DUMMYFUNCTION("""COMPUTED_VALUE"""),40753.645833333336)</f>
        <v>40753.64583</v>
      </c>
      <c r="B2253" s="2">
        <f>IFERROR(__xludf.DUMMYFUNCTION("""COMPUTED_VALUE"""),416.04)</f>
        <v>416.04</v>
      </c>
      <c r="C2253" s="2">
        <f>IFERROR(__xludf.DUMMYFUNCTION("""COMPUTED_VALUE"""),419.63)</f>
        <v>419.63</v>
      </c>
      <c r="D2253" s="2">
        <f>IFERROR(__xludf.DUMMYFUNCTION("""COMPUTED_VALUE"""),407.7)</f>
        <v>407.7</v>
      </c>
      <c r="E2253" s="2">
        <f>IFERROR(__xludf.DUMMYFUNCTION("""COMPUTED_VALUE"""),410.07)</f>
        <v>410.07</v>
      </c>
      <c r="F2253" s="2">
        <f>IFERROR(__xludf.DUMMYFUNCTION("""COMPUTED_VALUE"""),4890181.0)</f>
        <v>4890181</v>
      </c>
    </row>
    <row r="2254">
      <c r="A2254" s="3">
        <f>IFERROR(__xludf.DUMMYFUNCTION("""COMPUTED_VALUE"""),40756.645833333336)</f>
        <v>40756.64583</v>
      </c>
      <c r="B2254" s="2">
        <f>IFERROR(__xludf.DUMMYFUNCTION("""COMPUTED_VALUE"""),415.05)</f>
        <v>415.05</v>
      </c>
      <c r="C2254" s="2">
        <f>IFERROR(__xludf.DUMMYFUNCTION("""COMPUTED_VALUE"""),415.05)</f>
        <v>415.05</v>
      </c>
      <c r="D2254" s="2">
        <f>IFERROR(__xludf.DUMMYFUNCTION("""COMPUTED_VALUE"""),406.8)</f>
        <v>406.8</v>
      </c>
      <c r="E2254" s="2">
        <f>IFERROR(__xludf.DUMMYFUNCTION("""COMPUTED_VALUE"""),411.51)</f>
        <v>411.51</v>
      </c>
      <c r="F2254" s="2">
        <f>IFERROR(__xludf.DUMMYFUNCTION("""COMPUTED_VALUE"""),3255486.0)</f>
        <v>3255486</v>
      </c>
    </row>
    <row r="2255">
      <c r="A2255" s="3">
        <f>IFERROR(__xludf.DUMMYFUNCTION("""COMPUTED_VALUE"""),40757.645833333336)</f>
        <v>40757.64583</v>
      </c>
      <c r="B2255" s="2">
        <f>IFERROR(__xludf.DUMMYFUNCTION("""COMPUTED_VALUE"""),409.87)</f>
        <v>409.87</v>
      </c>
      <c r="C2255" s="2">
        <f>IFERROR(__xludf.DUMMYFUNCTION("""COMPUTED_VALUE"""),415.5)</f>
        <v>415.5</v>
      </c>
      <c r="D2255" s="2">
        <f>IFERROR(__xludf.DUMMYFUNCTION("""COMPUTED_VALUE"""),405.39)</f>
        <v>405.39</v>
      </c>
      <c r="E2255" s="2">
        <f>IFERROR(__xludf.DUMMYFUNCTION("""COMPUTED_VALUE"""),414.7)</f>
        <v>414.7</v>
      </c>
      <c r="F2255" s="2">
        <f>IFERROR(__xludf.DUMMYFUNCTION("""COMPUTED_VALUE"""),3787775.0)</f>
        <v>3787775</v>
      </c>
    </row>
    <row r="2256">
      <c r="A2256" s="3">
        <f>IFERROR(__xludf.DUMMYFUNCTION("""COMPUTED_VALUE"""),40758.645833333336)</f>
        <v>40758.64583</v>
      </c>
      <c r="B2256" s="2">
        <f>IFERROR(__xludf.DUMMYFUNCTION("""COMPUTED_VALUE"""),409.48)</f>
        <v>409.48</v>
      </c>
      <c r="C2256" s="2">
        <f>IFERROR(__xludf.DUMMYFUNCTION("""COMPUTED_VALUE"""),414.16)</f>
        <v>414.16</v>
      </c>
      <c r="D2256" s="2">
        <f>IFERROR(__xludf.DUMMYFUNCTION("""COMPUTED_VALUE"""),407.67)</f>
        <v>407.67</v>
      </c>
      <c r="E2256" s="2">
        <f>IFERROR(__xludf.DUMMYFUNCTION("""COMPUTED_VALUE"""),408.64)</f>
        <v>408.64</v>
      </c>
      <c r="F2256" s="2">
        <f>IFERROR(__xludf.DUMMYFUNCTION("""COMPUTED_VALUE"""),3219680.0)</f>
        <v>3219680</v>
      </c>
    </row>
    <row r="2257">
      <c r="A2257" s="3">
        <f>IFERROR(__xludf.DUMMYFUNCTION("""COMPUTED_VALUE"""),40759.645833333336)</f>
        <v>40759.64583</v>
      </c>
      <c r="B2257" s="2">
        <f>IFERROR(__xludf.DUMMYFUNCTION("""COMPUTED_VALUE"""),410.1)</f>
        <v>410.1</v>
      </c>
      <c r="C2257" s="2">
        <f>IFERROR(__xludf.DUMMYFUNCTION("""COMPUTED_VALUE"""),411.91)</f>
        <v>411.91</v>
      </c>
      <c r="D2257" s="2">
        <f>IFERROR(__xludf.DUMMYFUNCTION("""COMPUTED_VALUE"""),401.21)</f>
        <v>401.21</v>
      </c>
      <c r="E2257" s="2">
        <f>IFERROR(__xludf.DUMMYFUNCTION("""COMPUTED_VALUE"""),402.35)</f>
        <v>402.35</v>
      </c>
      <c r="F2257" s="2">
        <f>IFERROR(__xludf.DUMMYFUNCTION("""COMPUTED_VALUE"""),3140142.0)</f>
        <v>3140142</v>
      </c>
    </row>
    <row r="2258">
      <c r="A2258" s="3">
        <f>IFERROR(__xludf.DUMMYFUNCTION("""COMPUTED_VALUE"""),40760.645833333336)</f>
        <v>40760.64583</v>
      </c>
      <c r="B2258" s="2">
        <f>IFERROR(__xludf.DUMMYFUNCTION("""COMPUTED_VALUE"""),395.98)</f>
        <v>395.98</v>
      </c>
      <c r="C2258" s="2">
        <f>IFERROR(__xludf.DUMMYFUNCTION("""COMPUTED_VALUE"""),395.98)</f>
        <v>395.98</v>
      </c>
      <c r="D2258" s="2">
        <f>IFERROR(__xludf.DUMMYFUNCTION("""COMPUTED_VALUE"""),385.83)</f>
        <v>385.83</v>
      </c>
      <c r="E2258" s="2">
        <f>IFERROR(__xludf.DUMMYFUNCTION("""COMPUTED_VALUE"""),392.27)</f>
        <v>392.27</v>
      </c>
      <c r="F2258" s="2">
        <f>IFERROR(__xludf.DUMMYFUNCTION("""COMPUTED_VALUE"""),5994097.0)</f>
        <v>5994097</v>
      </c>
    </row>
    <row r="2259">
      <c r="A2259" s="3">
        <f>IFERROR(__xludf.DUMMYFUNCTION("""COMPUTED_VALUE"""),40763.645833333336)</f>
        <v>40763.64583</v>
      </c>
      <c r="B2259" s="2">
        <f>IFERROR(__xludf.DUMMYFUNCTION("""COMPUTED_VALUE"""),384.69)</f>
        <v>384.69</v>
      </c>
      <c r="C2259" s="2">
        <f>IFERROR(__xludf.DUMMYFUNCTION("""COMPUTED_VALUE"""),394.45)</f>
        <v>394.45</v>
      </c>
      <c r="D2259" s="2">
        <f>IFERROR(__xludf.DUMMYFUNCTION("""COMPUTED_VALUE"""),379.89)</f>
        <v>379.89</v>
      </c>
      <c r="E2259" s="2">
        <f>IFERROR(__xludf.DUMMYFUNCTION("""COMPUTED_VALUE"""),386.65)</f>
        <v>386.65</v>
      </c>
      <c r="F2259" s="2">
        <f>IFERROR(__xludf.DUMMYFUNCTION("""COMPUTED_VALUE"""),5084300.0)</f>
        <v>5084300</v>
      </c>
    </row>
    <row r="2260">
      <c r="A2260" s="3">
        <f>IFERROR(__xludf.DUMMYFUNCTION("""COMPUTED_VALUE"""),40764.645833333336)</f>
        <v>40764.64583</v>
      </c>
      <c r="B2260" s="2">
        <f>IFERROR(__xludf.DUMMYFUNCTION("""COMPUTED_VALUE"""),372.95)</f>
        <v>372.95</v>
      </c>
      <c r="C2260" s="2">
        <f>IFERROR(__xludf.DUMMYFUNCTION("""COMPUTED_VALUE"""),385.83)</f>
        <v>385.83</v>
      </c>
      <c r="D2260" s="2">
        <f>IFERROR(__xludf.DUMMYFUNCTION("""COMPUTED_VALUE"""),372.95)</f>
        <v>372.95</v>
      </c>
      <c r="E2260" s="2">
        <f>IFERROR(__xludf.DUMMYFUNCTION("""COMPUTED_VALUE"""),379.04)</f>
        <v>379.04</v>
      </c>
      <c r="F2260" s="2">
        <f>IFERROR(__xludf.DUMMYFUNCTION("""COMPUTED_VALUE"""),7463019.0)</f>
        <v>7463019</v>
      </c>
    </row>
    <row r="2261">
      <c r="A2261" s="3">
        <f>IFERROR(__xludf.DUMMYFUNCTION("""COMPUTED_VALUE"""),40765.645833333336)</f>
        <v>40765.64583</v>
      </c>
      <c r="B2261" s="2">
        <f>IFERROR(__xludf.DUMMYFUNCTION("""COMPUTED_VALUE"""),388.97)</f>
        <v>388.97</v>
      </c>
      <c r="C2261" s="2">
        <f>IFERROR(__xludf.DUMMYFUNCTION("""COMPUTED_VALUE"""),391.28)</f>
        <v>391.28</v>
      </c>
      <c r="D2261" s="2">
        <f>IFERROR(__xludf.DUMMYFUNCTION("""COMPUTED_VALUE"""),378.89)</f>
        <v>378.89</v>
      </c>
      <c r="E2261" s="2">
        <f>IFERROR(__xludf.DUMMYFUNCTION("""COMPUTED_VALUE"""),382.73)</f>
        <v>382.73</v>
      </c>
      <c r="F2261" s="2">
        <f>IFERROR(__xludf.DUMMYFUNCTION("""COMPUTED_VALUE"""),4056543.0)</f>
        <v>4056543</v>
      </c>
    </row>
    <row r="2262">
      <c r="A2262" s="3">
        <f>IFERROR(__xludf.DUMMYFUNCTION("""COMPUTED_VALUE"""),40766.645833333336)</f>
        <v>40766.64583</v>
      </c>
      <c r="B2262" s="2">
        <f>IFERROR(__xludf.DUMMYFUNCTION("""COMPUTED_VALUE"""),380.55)</f>
        <v>380.55</v>
      </c>
      <c r="C2262" s="2">
        <f>IFERROR(__xludf.DUMMYFUNCTION("""COMPUTED_VALUE"""),388.78)</f>
        <v>388.78</v>
      </c>
      <c r="D2262" s="2">
        <f>IFERROR(__xludf.DUMMYFUNCTION("""COMPUTED_VALUE"""),378.89)</f>
        <v>378.89</v>
      </c>
      <c r="E2262" s="2">
        <f>IFERROR(__xludf.DUMMYFUNCTION("""COMPUTED_VALUE"""),382.46)</f>
        <v>382.46</v>
      </c>
      <c r="F2262" s="2">
        <f>IFERROR(__xludf.DUMMYFUNCTION("""COMPUTED_VALUE"""),2489305.0)</f>
        <v>2489305</v>
      </c>
    </row>
    <row r="2263">
      <c r="A2263" s="3">
        <f>IFERROR(__xludf.DUMMYFUNCTION("""COMPUTED_VALUE"""),40767.645833333336)</f>
        <v>40767.64583</v>
      </c>
      <c r="B2263" s="2">
        <f>IFERROR(__xludf.DUMMYFUNCTION("""COMPUTED_VALUE"""),387.81)</f>
        <v>387.81</v>
      </c>
      <c r="C2263" s="2">
        <f>IFERROR(__xludf.DUMMYFUNCTION("""COMPUTED_VALUE"""),387.81)</f>
        <v>387.81</v>
      </c>
      <c r="D2263" s="2">
        <f>IFERROR(__xludf.DUMMYFUNCTION("""COMPUTED_VALUE"""),375.43)</f>
        <v>375.43</v>
      </c>
      <c r="E2263" s="2">
        <f>IFERROR(__xludf.DUMMYFUNCTION("""COMPUTED_VALUE"""),376.86)</f>
        <v>376.86</v>
      </c>
      <c r="F2263" s="2">
        <f>IFERROR(__xludf.DUMMYFUNCTION("""COMPUTED_VALUE"""),3936767.0)</f>
        <v>3936767</v>
      </c>
    </row>
    <row r="2264">
      <c r="A2264" s="3">
        <f>IFERROR(__xludf.DUMMYFUNCTION("""COMPUTED_VALUE"""),40771.645833333336)</f>
        <v>40771.64583</v>
      </c>
      <c r="B2264" s="2">
        <f>IFERROR(__xludf.DUMMYFUNCTION("""COMPUTED_VALUE"""),376.42)</f>
        <v>376.42</v>
      </c>
      <c r="C2264" s="2">
        <f>IFERROR(__xludf.DUMMYFUNCTION("""COMPUTED_VALUE"""),382.51)</f>
        <v>382.51</v>
      </c>
      <c r="D2264" s="2">
        <f>IFERROR(__xludf.DUMMYFUNCTION("""COMPUTED_VALUE"""),373.79)</f>
        <v>373.79</v>
      </c>
      <c r="E2264" s="2">
        <f>IFERROR(__xludf.DUMMYFUNCTION("""COMPUTED_VALUE"""),376.0)</f>
        <v>376</v>
      </c>
      <c r="F2264" s="2">
        <f>IFERROR(__xludf.DUMMYFUNCTION("""COMPUTED_VALUE"""),2580004.0)</f>
        <v>2580004</v>
      </c>
    </row>
    <row r="2265">
      <c r="A2265" s="3">
        <f>IFERROR(__xludf.DUMMYFUNCTION("""COMPUTED_VALUE"""),40772.645833333336)</f>
        <v>40772.64583</v>
      </c>
      <c r="B2265" s="2">
        <f>IFERROR(__xludf.DUMMYFUNCTION("""COMPUTED_VALUE"""),376.67)</f>
        <v>376.67</v>
      </c>
      <c r="C2265" s="2">
        <f>IFERROR(__xludf.DUMMYFUNCTION("""COMPUTED_VALUE"""),383.55)</f>
        <v>383.55</v>
      </c>
      <c r="D2265" s="2">
        <f>IFERROR(__xludf.DUMMYFUNCTION("""COMPUTED_VALUE"""),371.96)</f>
        <v>371.96</v>
      </c>
      <c r="E2265" s="2">
        <f>IFERROR(__xludf.DUMMYFUNCTION("""COMPUTED_VALUE"""),373.94)</f>
        <v>373.94</v>
      </c>
      <c r="F2265" s="2">
        <f>IFERROR(__xludf.DUMMYFUNCTION("""COMPUTED_VALUE"""),3096352.0)</f>
        <v>3096352</v>
      </c>
    </row>
    <row r="2266">
      <c r="A2266" s="3">
        <f>IFERROR(__xludf.DUMMYFUNCTION("""COMPUTED_VALUE"""),40774.645833333336)</f>
        <v>40774.64583</v>
      </c>
      <c r="B2266" s="2">
        <f>IFERROR(__xludf.DUMMYFUNCTION("""COMPUTED_VALUE"""),362.08)</f>
        <v>362.08</v>
      </c>
      <c r="C2266" s="2">
        <f>IFERROR(__xludf.DUMMYFUNCTION("""COMPUTED_VALUE"""),366.02)</f>
        <v>366.02</v>
      </c>
      <c r="D2266" s="2">
        <f>IFERROR(__xludf.DUMMYFUNCTION("""COMPUTED_VALUE"""),357.25)</f>
        <v>357.25</v>
      </c>
      <c r="E2266" s="2">
        <f>IFERROR(__xludf.DUMMYFUNCTION("""COMPUTED_VALUE"""),362.82)</f>
        <v>362.82</v>
      </c>
      <c r="F2266" s="2">
        <f>IFERROR(__xludf.DUMMYFUNCTION("""COMPUTED_VALUE"""),4663092.0)</f>
        <v>4663092</v>
      </c>
    </row>
    <row r="2267">
      <c r="A2267" s="3">
        <f>IFERROR(__xludf.DUMMYFUNCTION("""COMPUTED_VALUE"""),40777.645833333336)</f>
        <v>40777.64583</v>
      </c>
      <c r="B2267" s="2">
        <f>IFERROR(__xludf.DUMMYFUNCTION("""COMPUTED_VALUE"""),362.05)</f>
        <v>362.05</v>
      </c>
      <c r="C2267" s="2">
        <f>IFERROR(__xludf.DUMMYFUNCTION("""COMPUTED_VALUE"""),376.34)</f>
        <v>376.34</v>
      </c>
      <c r="D2267" s="2">
        <f>IFERROR(__xludf.DUMMYFUNCTION("""COMPUTED_VALUE"""),359.38)</f>
        <v>359.38</v>
      </c>
      <c r="E2267" s="2">
        <f>IFERROR(__xludf.DUMMYFUNCTION("""COMPUTED_VALUE"""),374.93)</f>
        <v>374.93</v>
      </c>
      <c r="F2267" s="2">
        <f>IFERROR(__xludf.DUMMYFUNCTION("""COMPUTED_VALUE"""),3552807.0)</f>
        <v>3552807</v>
      </c>
    </row>
    <row r="2268">
      <c r="A2268" s="3">
        <f>IFERROR(__xludf.DUMMYFUNCTION("""COMPUTED_VALUE"""),40778.645833333336)</f>
        <v>40778.64583</v>
      </c>
      <c r="B2268" s="2">
        <f>IFERROR(__xludf.DUMMYFUNCTION("""COMPUTED_VALUE"""),376.59)</f>
        <v>376.59</v>
      </c>
      <c r="C2268" s="2">
        <f>IFERROR(__xludf.DUMMYFUNCTION("""COMPUTED_VALUE"""),382.36)</f>
        <v>382.36</v>
      </c>
      <c r="D2268" s="2">
        <f>IFERROR(__xludf.DUMMYFUNCTION("""COMPUTED_VALUE"""),370.23)</f>
        <v>370.23</v>
      </c>
      <c r="E2268" s="2">
        <f>IFERROR(__xludf.DUMMYFUNCTION("""COMPUTED_VALUE"""),379.02)</f>
        <v>379.02</v>
      </c>
      <c r="F2268" s="2">
        <f>IFERROR(__xludf.DUMMYFUNCTION("""COMPUTED_VALUE"""),4008613.0)</f>
        <v>4008613</v>
      </c>
    </row>
    <row r="2269">
      <c r="A2269" s="3">
        <f>IFERROR(__xludf.DUMMYFUNCTION("""COMPUTED_VALUE"""),40779.645833333336)</f>
        <v>40779.64583</v>
      </c>
      <c r="B2269" s="2">
        <f>IFERROR(__xludf.DUMMYFUNCTION("""COMPUTED_VALUE"""),378.4)</f>
        <v>378.4</v>
      </c>
      <c r="C2269" s="2">
        <f>IFERROR(__xludf.DUMMYFUNCTION("""COMPUTED_VALUE"""),381.12)</f>
        <v>381.12</v>
      </c>
      <c r="D2269" s="2">
        <f>IFERROR(__xludf.DUMMYFUNCTION("""COMPUTED_VALUE"""),374.44)</f>
        <v>374.44</v>
      </c>
      <c r="E2269" s="2">
        <f>IFERROR(__xludf.DUMMYFUNCTION("""COMPUTED_VALUE"""),377.06)</f>
        <v>377.06</v>
      </c>
      <c r="F2269" s="2">
        <f>IFERROR(__xludf.DUMMYFUNCTION("""COMPUTED_VALUE"""),2968791.0)</f>
        <v>2968791</v>
      </c>
    </row>
    <row r="2270">
      <c r="A2270" s="3">
        <f>IFERROR(__xludf.DUMMYFUNCTION("""COMPUTED_VALUE"""),40780.645833333336)</f>
        <v>40780.64583</v>
      </c>
      <c r="B2270" s="2">
        <f>IFERROR(__xludf.DUMMYFUNCTION("""COMPUTED_VALUE"""),377.21)</f>
        <v>377.21</v>
      </c>
      <c r="C2270" s="2">
        <f>IFERROR(__xludf.DUMMYFUNCTION("""COMPUTED_VALUE"""),380.88)</f>
        <v>380.88</v>
      </c>
      <c r="D2270" s="2">
        <f>IFERROR(__xludf.DUMMYFUNCTION("""COMPUTED_VALUE"""),371.59)</f>
        <v>371.59</v>
      </c>
      <c r="E2270" s="2">
        <f>IFERROR(__xludf.DUMMYFUNCTION("""COMPUTED_VALUE"""),373.2)</f>
        <v>373.2</v>
      </c>
      <c r="F2270" s="2">
        <f>IFERROR(__xludf.DUMMYFUNCTION("""COMPUTED_VALUE"""),4849218.0)</f>
        <v>4849218</v>
      </c>
    </row>
    <row r="2271">
      <c r="A2271" s="3">
        <f>IFERROR(__xludf.DUMMYFUNCTION("""COMPUTED_VALUE"""),40781.645833333336)</f>
        <v>40781.64583</v>
      </c>
      <c r="B2271" s="2">
        <f>IFERROR(__xludf.DUMMYFUNCTION("""COMPUTED_VALUE"""),371.96)</f>
        <v>371.96</v>
      </c>
      <c r="C2271" s="2">
        <f>IFERROR(__xludf.DUMMYFUNCTION("""COMPUTED_VALUE"""),374.49)</f>
        <v>374.49</v>
      </c>
      <c r="D2271" s="2">
        <f>IFERROR(__xludf.DUMMYFUNCTION("""COMPUTED_VALUE"""),352.64)</f>
        <v>352.64</v>
      </c>
      <c r="E2271" s="2">
        <f>IFERROR(__xludf.DUMMYFUNCTION("""COMPUTED_VALUE"""),356.31)</f>
        <v>356.31</v>
      </c>
      <c r="F2271" s="2">
        <f>IFERROR(__xludf.DUMMYFUNCTION("""COMPUTED_VALUE"""),4457788.0)</f>
        <v>4457788</v>
      </c>
    </row>
    <row r="2272">
      <c r="A2272" s="3">
        <f>IFERROR(__xludf.DUMMYFUNCTION("""COMPUTED_VALUE"""),40784.645833333336)</f>
        <v>40784.64583</v>
      </c>
      <c r="B2272" s="2">
        <f>IFERROR(__xludf.DUMMYFUNCTION("""COMPUTED_VALUE"""),362.1)</f>
        <v>362.1</v>
      </c>
      <c r="C2272" s="2">
        <f>IFERROR(__xludf.DUMMYFUNCTION("""COMPUTED_VALUE"""),376.37)</f>
        <v>376.37</v>
      </c>
      <c r="D2272" s="2">
        <f>IFERROR(__xludf.DUMMYFUNCTION("""COMPUTED_VALUE"""),360.74)</f>
        <v>360.74</v>
      </c>
      <c r="E2272" s="2">
        <f>IFERROR(__xludf.DUMMYFUNCTION("""COMPUTED_VALUE"""),373.97)</f>
        <v>373.97</v>
      </c>
      <c r="F2272" s="2">
        <f>IFERROR(__xludf.DUMMYFUNCTION("""COMPUTED_VALUE"""),4186930.0)</f>
        <v>4186930</v>
      </c>
    </row>
    <row r="2273">
      <c r="A2273" s="3">
        <f>IFERROR(__xludf.DUMMYFUNCTION("""COMPUTED_VALUE"""),40785.645833333336)</f>
        <v>40785.64583</v>
      </c>
      <c r="B2273" s="2">
        <f>IFERROR(__xludf.DUMMYFUNCTION("""COMPUTED_VALUE"""),378.89)</f>
        <v>378.89</v>
      </c>
      <c r="C2273" s="2">
        <f>IFERROR(__xludf.DUMMYFUNCTION("""COMPUTED_VALUE"""),394.4)</f>
        <v>394.4</v>
      </c>
      <c r="D2273" s="2">
        <f>IFERROR(__xludf.DUMMYFUNCTION("""COMPUTED_VALUE"""),378.4)</f>
        <v>378.4</v>
      </c>
      <c r="E2273" s="2">
        <f>IFERROR(__xludf.DUMMYFUNCTION("""COMPUTED_VALUE"""),387.61)</f>
        <v>387.61</v>
      </c>
      <c r="F2273" s="2">
        <f>IFERROR(__xludf.DUMMYFUNCTION("""COMPUTED_VALUE"""),7821448.0)</f>
        <v>7821448</v>
      </c>
    </row>
    <row r="2274">
      <c r="A2274" s="3">
        <f>IFERROR(__xludf.DUMMYFUNCTION("""COMPUTED_VALUE"""),40788.645833333336)</f>
        <v>40788.64583</v>
      </c>
      <c r="B2274" s="2">
        <f>IFERROR(__xludf.DUMMYFUNCTION("""COMPUTED_VALUE"""),394.6)</f>
        <v>394.6</v>
      </c>
      <c r="C2274" s="2">
        <f>IFERROR(__xludf.DUMMYFUNCTION("""COMPUTED_VALUE"""),403.01)</f>
        <v>403.01</v>
      </c>
      <c r="D2274" s="2">
        <f>IFERROR(__xludf.DUMMYFUNCTION("""COMPUTED_VALUE"""),391.0)</f>
        <v>391</v>
      </c>
      <c r="E2274" s="2">
        <f>IFERROR(__xludf.DUMMYFUNCTION("""COMPUTED_VALUE"""),398.93)</f>
        <v>398.93</v>
      </c>
      <c r="F2274" s="2">
        <f>IFERROR(__xludf.DUMMYFUNCTION("""COMPUTED_VALUE"""),7791545.0)</f>
        <v>7791545</v>
      </c>
    </row>
    <row r="2275">
      <c r="A2275" s="3">
        <f>IFERROR(__xludf.DUMMYFUNCTION("""COMPUTED_VALUE"""),40791.645833333336)</f>
        <v>40791.64583</v>
      </c>
      <c r="B2275" s="2">
        <f>IFERROR(__xludf.DUMMYFUNCTION("""COMPUTED_VALUE"""),393.51)</f>
        <v>393.51</v>
      </c>
      <c r="C2275" s="2">
        <f>IFERROR(__xludf.DUMMYFUNCTION("""COMPUTED_VALUE"""),395.73)</f>
        <v>395.73</v>
      </c>
      <c r="D2275" s="2">
        <f>IFERROR(__xludf.DUMMYFUNCTION("""COMPUTED_VALUE"""),387.78)</f>
        <v>387.78</v>
      </c>
      <c r="E2275" s="2">
        <f>IFERROR(__xludf.DUMMYFUNCTION("""COMPUTED_VALUE"""),390.71)</f>
        <v>390.71</v>
      </c>
      <c r="F2275" s="2">
        <f>IFERROR(__xludf.DUMMYFUNCTION("""COMPUTED_VALUE"""),4567377.0)</f>
        <v>4567377</v>
      </c>
    </row>
    <row r="2276">
      <c r="A2276" s="3">
        <f>IFERROR(__xludf.DUMMYFUNCTION("""COMPUTED_VALUE"""),40792.645833333336)</f>
        <v>40792.64583</v>
      </c>
      <c r="B2276" s="2">
        <f>IFERROR(__xludf.DUMMYFUNCTION("""COMPUTED_VALUE"""),387.91)</f>
        <v>387.91</v>
      </c>
      <c r="C2276" s="2">
        <f>IFERROR(__xludf.DUMMYFUNCTION("""COMPUTED_VALUE"""),408.86)</f>
        <v>408.86</v>
      </c>
      <c r="D2276" s="2">
        <f>IFERROR(__xludf.DUMMYFUNCTION("""COMPUTED_VALUE"""),384.59)</f>
        <v>384.59</v>
      </c>
      <c r="E2276" s="2">
        <f>IFERROR(__xludf.DUMMYFUNCTION("""COMPUTED_VALUE"""),406.88)</f>
        <v>406.88</v>
      </c>
      <c r="F2276" s="2">
        <f>IFERROR(__xludf.DUMMYFUNCTION("""COMPUTED_VALUE"""),7162305.0)</f>
        <v>7162305</v>
      </c>
    </row>
    <row r="2277">
      <c r="A2277" s="3">
        <f>IFERROR(__xludf.DUMMYFUNCTION("""COMPUTED_VALUE"""),40793.645833333336)</f>
        <v>40793.64583</v>
      </c>
      <c r="B2277" s="2">
        <f>IFERROR(__xludf.DUMMYFUNCTION("""COMPUTED_VALUE"""),408.12)</f>
        <v>408.12</v>
      </c>
      <c r="C2277" s="2">
        <f>IFERROR(__xludf.DUMMYFUNCTION("""COMPUTED_VALUE"""),417.77)</f>
        <v>417.77</v>
      </c>
      <c r="D2277" s="2">
        <f>IFERROR(__xludf.DUMMYFUNCTION("""COMPUTED_VALUE"""),407.97)</f>
        <v>407.97</v>
      </c>
      <c r="E2277" s="2">
        <f>IFERROR(__xludf.DUMMYFUNCTION("""COMPUTED_VALUE"""),412.82)</f>
        <v>412.82</v>
      </c>
      <c r="F2277" s="2">
        <f>IFERROR(__xludf.DUMMYFUNCTION("""COMPUTED_VALUE"""),7186238.0)</f>
        <v>7186238</v>
      </c>
    </row>
    <row r="2278">
      <c r="A2278" s="3">
        <f>IFERROR(__xludf.DUMMYFUNCTION("""COMPUTED_VALUE"""),40794.645833333336)</f>
        <v>40794.64583</v>
      </c>
      <c r="B2278" s="2">
        <f>IFERROR(__xludf.DUMMYFUNCTION("""COMPUTED_VALUE"""),412.82)</f>
        <v>412.82</v>
      </c>
      <c r="C2278" s="2">
        <f>IFERROR(__xludf.DUMMYFUNCTION("""COMPUTED_VALUE"""),425.45)</f>
        <v>425.45</v>
      </c>
      <c r="D2278" s="2">
        <f>IFERROR(__xludf.DUMMYFUNCTION("""COMPUTED_VALUE"""),403.41)</f>
        <v>403.41</v>
      </c>
      <c r="E2278" s="2">
        <f>IFERROR(__xludf.DUMMYFUNCTION("""COMPUTED_VALUE"""),422.21)</f>
        <v>422.21</v>
      </c>
      <c r="F2278" s="2">
        <f>IFERROR(__xludf.DUMMYFUNCTION("""COMPUTED_VALUE"""),8065388.0)</f>
        <v>8065388</v>
      </c>
    </row>
    <row r="2279">
      <c r="A2279" s="3">
        <f>IFERROR(__xludf.DUMMYFUNCTION("""COMPUTED_VALUE"""),40795.645833333336)</f>
        <v>40795.64583</v>
      </c>
      <c r="B2279" s="2">
        <f>IFERROR(__xludf.DUMMYFUNCTION("""COMPUTED_VALUE"""),422.06)</f>
        <v>422.06</v>
      </c>
      <c r="C2279" s="2">
        <f>IFERROR(__xludf.DUMMYFUNCTION("""COMPUTED_VALUE"""),425.23)</f>
        <v>425.23</v>
      </c>
      <c r="D2279" s="2">
        <f>IFERROR(__xludf.DUMMYFUNCTION("""COMPUTED_VALUE"""),407.97)</f>
        <v>407.97</v>
      </c>
      <c r="E2279" s="2">
        <f>IFERROR(__xludf.DUMMYFUNCTION("""COMPUTED_VALUE"""),408.98)</f>
        <v>408.98</v>
      </c>
      <c r="F2279" s="2">
        <f>IFERROR(__xludf.DUMMYFUNCTION("""COMPUTED_VALUE"""),6757863.0)</f>
        <v>6757863</v>
      </c>
    </row>
    <row r="2280">
      <c r="A2280" s="3">
        <f>IFERROR(__xludf.DUMMYFUNCTION("""COMPUTED_VALUE"""),40798.645833333336)</f>
        <v>40798.64583</v>
      </c>
      <c r="B2280" s="2">
        <f>IFERROR(__xludf.DUMMYFUNCTION("""COMPUTED_VALUE"""),401.36)</f>
        <v>401.36</v>
      </c>
      <c r="C2280" s="2">
        <f>IFERROR(__xludf.DUMMYFUNCTION("""COMPUTED_VALUE"""),407.35)</f>
        <v>407.35</v>
      </c>
      <c r="D2280" s="2">
        <f>IFERROR(__xludf.DUMMYFUNCTION("""COMPUTED_VALUE"""),393.88)</f>
        <v>393.88</v>
      </c>
      <c r="E2280" s="2">
        <f>IFERROR(__xludf.DUMMYFUNCTION("""COMPUTED_VALUE"""),399.35)</f>
        <v>399.35</v>
      </c>
      <c r="F2280" s="2">
        <f>IFERROR(__xludf.DUMMYFUNCTION("""COMPUTED_VALUE"""),4246961.0)</f>
        <v>4246961</v>
      </c>
    </row>
    <row r="2281">
      <c r="A2281" s="3">
        <f>IFERROR(__xludf.DUMMYFUNCTION("""COMPUTED_VALUE"""),40799.645833333336)</f>
        <v>40799.64583</v>
      </c>
      <c r="B2281" s="2">
        <f>IFERROR(__xludf.DUMMYFUNCTION("""COMPUTED_VALUE"""),402.77)</f>
        <v>402.77</v>
      </c>
      <c r="C2281" s="2">
        <f>IFERROR(__xludf.DUMMYFUNCTION("""COMPUTED_VALUE"""),408.49)</f>
        <v>408.49</v>
      </c>
      <c r="D2281" s="2">
        <f>IFERROR(__xludf.DUMMYFUNCTION("""COMPUTED_VALUE"""),394.62)</f>
        <v>394.62</v>
      </c>
      <c r="E2281" s="2">
        <f>IFERROR(__xludf.DUMMYFUNCTION("""COMPUTED_VALUE"""),401.31)</f>
        <v>401.31</v>
      </c>
      <c r="F2281" s="2">
        <f>IFERROR(__xludf.DUMMYFUNCTION("""COMPUTED_VALUE"""),5806114.0)</f>
        <v>5806114</v>
      </c>
    </row>
    <row r="2282">
      <c r="A2282" s="3">
        <f>IFERROR(__xludf.DUMMYFUNCTION("""COMPUTED_VALUE"""),40800.645833333336)</f>
        <v>40800.64583</v>
      </c>
      <c r="B2282" s="2">
        <f>IFERROR(__xludf.DUMMYFUNCTION("""COMPUTED_VALUE"""),403.11)</f>
        <v>403.11</v>
      </c>
      <c r="C2282" s="2">
        <f>IFERROR(__xludf.DUMMYFUNCTION("""COMPUTED_VALUE"""),410.96)</f>
        <v>410.96</v>
      </c>
      <c r="D2282" s="2">
        <f>IFERROR(__xludf.DUMMYFUNCTION("""COMPUTED_VALUE"""),398.81)</f>
        <v>398.81</v>
      </c>
      <c r="E2282" s="2">
        <f>IFERROR(__xludf.DUMMYFUNCTION("""COMPUTED_VALUE"""),408.81)</f>
        <v>408.81</v>
      </c>
      <c r="F2282" s="2">
        <f>IFERROR(__xludf.DUMMYFUNCTION("""COMPUTED_VALUE"""),4694876.0)</f>
        <v>4694876</v>
      </c>
    </row>
    <row r="2283">
      <c r="A2283" s="3">
        <f>IFERROR(__xludf.DUMMYFUNCTION("""COMPUTED_VALUE"""),40801.645833333336)</f>
        <v>40801.64583</v>
      </c>
      <c r="B2283" s="2">
        <f>IFERROR(__xludf.DUMMYFUNCTION("""COMPUTED_VALUE"""),412.57)</f>
        <v>412.57</v>
      </c>
      <c r="C2283" s="2">
        <f>IFERROR(__xludf.DUMMYFUNCTION("""COMPUTED_VALUE"""),415.35)</f>
        <v>415.35</v>
      </c>
      <c r="D2283" s="2">
        <f>IFERROR(__xludf.DUMMYFUNCTION("""COMPUTED_VALUE"""),402.94)</f>
        <v>402.94</v>
      </c>
      <c r="E2283" s="2">
        <f>IFERROR(__xludf.DUMMYFUNCTION("""COMPUTED_VALUE"""),414.21)</f>
        <v>414.21</v>
      </c>
      <c r="F2283" s="2">
        <f>IFERROR(__xludf.DUMMYFUNCTION("""COMPUTED_VALUE"""),4664709.0)</f>
        <v>4664709</v>
      </c>
    </row>
    <row r="2284">
      <c r="A2284" s="3">
        <f>IFERROR(__xludf.DUMMYFUNCTION("""COMPUTED_VALUE"""),40802.645833333336)</f>
        <v>40802.64583</v>
      </c>
      <c r="B2284" s="2">
        <f>IFERROR(__xludf.DUMMYFUNCTION("""COMPUTED_VALUE"""),420.99)</f>
        <v>420.99</v>
      </c>
      <c r="C2284" s="2">
        <f>IFERROR(__xludf.DUMMYFUNCTION("""COMPUTED_VALUE"""),420.99)</f>
        <v>420.99</v>
      </c>
      <c r="D2284" s="2">
        <f>IFERROR(__xludf.DUMMYFUNCTION("""COMPUTED_VALUE"""),406.63)</f>
        <v>406.63</v>
      </c>
      <c r="E2284" s="2">
        <f>IFERROR(__xludf.DUMMYFUNCTION("""COMPUTED_VALUE"""),408.93)</f>
        <v>408.93</v>
      </c>
      <c r="F2284" s="2">
        <f>IFERROR(__xludf.DUMMYFUNCTION("""COMPUTED_VALUE"""),6128496.0)</f>
        <v>6128496</v>
      </c>
    </row>
    <row r="2285">
      <c r="A2285" s="3">
        <f>IFERROR(__xludf.DUMMYFUNCTION("""COMPUTED_VALUE"""),40805.645833333336)</f>
        <v>40805.64583</v>
      </c>
      <c r="B2285" s="2">
        <f>IFERROR(__xludf.DUMMYFUNCTION("""COMPUTED_VALUE"""),408.61)</f>
        <v>408.61</v>
      </c>
      <c r="C2285" s="2">
        <f>IFERROR(__xludf.DUMMYFUNCTION("""COMPUTED_VALUE"""),410.67)</f>
        <v>410.67</v>
      </c>
      <c r="D2285" s="2">
        <f>IFERROR(__xludf.DUMMYFUNCTION("""COMPUTED_VALUE"""),403.96)</f>
        <v>403.96</v>
      </c>
      <c r="E2285" s="2">
        <f>IFERROR(__xludf.DUMMYFUNCTION("""COMPUTED_VALUE"""),406.9)</f>
        <v>406.9</v>
      </c>
      <c r="F2285" s="2">
        <f>IFERROR(__xludf.DUMMYFUNCTION("""COMPUTED_VALUE"""),2924971.0)</f>
        <v>2924971</v>
      </c>
    </row>
    <row r="2286">
      <c r="A2286" s="3">
        <f>IFERROR(__xludf.DUMMYFUNCTION("""COMPUTED_VALUE"""),40806.645833333336)</f>
        <v>40806.64583</v>
      </c>
      <c r="B2286" s="2">
        <f>IFERROR(__xludf.DUMMYFUNCTION("""COMPUTED_VALUE"""),407.62)</f>
        <v>407.62</v>
      </c>
      <c r="C2286" s="2">
        <f>IFERROR(__xludf.DUMMYFUNCTION("""COMPUTED_VALUE"""),422.95)</f>
        <v>422.95</v>
      </c>
      <c r="D2286" s="2">
        <f>IFERROR(__xludf.DUMMYFUNCTION("""COMPUTED_VALUE"""),404.3)</f>
        <v>404.3</v>
      </c>
      <c r="E2286" s="2">
        <f>IFERROR(__xludf.DUMMYFUNCTION("""COMPUTED_VALUE"""),421.89)</f>
        <v>421.89</v>
      </c>
      <c r="F2286" s="2">
        <f>IFERROR(__xludf.DUMMYFUNCTION("""COMPUTED_VALUE"""),4214600.0)</f>
        <v>4214600</v>
      </c>
    </row>
    <row r="2287">
      <c r="A2287" s="3">
        <f>IFERROR(__xludf.DUMMYFUNCTION("""COMPUTED_VALUE"""),40807.645833333336)</f>
        <v>40807.64583</v>
      </c>
      <c r="B2287" s="2">
        <f>IFERROR(__xludf.DUMMYFUNCTION("""COMPUTED_VALUE"""),421.44)</f>
        <v>421.44</v>
      </c>
      <c r="C2287" s="2">
        <f>IFERROR(__xludf.DUMMYFUNCTION("""COMPUTED_VALUE"""),421.44)</f>
        <v>421.44</v>
      </c>
      <c r="D2287" s="2">
        <f>IFERROR(__xludf.DUMMYFUNCTION("""COMPUTED_VALUE"""),412.23)</f>
        <v>412.23</v>
      </c>
      <c r="E2287" s="2">
        <f>IFERROR(__xludf.DUMMYFUNCTION("""COMPUTED_VALUE"""),414.85)</f>
        <v>414.85</v>
      </c>
      <c r="F2287" s="2">
        <f>IFERROR(__xludf.DUMMYFUNCTION("""COMPUTED_VALUE"""),3892821.0)</f>
        <v>3892821</v>
      </c>
    </row>
    <row r="2288">
      <c r="A2288" s="3">
        <f>IFERROR(__xludf.DUMMYFUNCTION("""COMPUTED_VALUE"""),40808.645833333336)</f>
        <v>40808.64583</v>
      </c>
      <c r="B2288" s="2">
        <f>IFERROR(__xludf.DUMMYFUNCTION("""COMPUTED_VALUE"""),408.09)</f>
        <v>408.09</v>
      </c>
      <c r="C2288" s="2">
        <f>IFERROR(__xludf.DUMMYFUNCTION("""COMPUTED_VALUE"""),410.05)</f>
        <v>410.05</v>
      </c>
      <c r="D2288" s="2">
        <f>IFERROR(__xludf.DUMMYFUNCTION("""COMPUTED_VALUE"""),386.32)</f>
        <v>386.32</v>
      </c>
      <c r="E2288" s="2">
        <f>IFERROR(__xludf.DUMMYFUNCTION("""COMPUTED_VALUE"""),389.47)</f>
        <v>389.47</v>
      </c>
      <c r="F2288" s="2">
        <f>IFERROR(__xludf.DUMMYFUNCTION("""COMPUTED_VALUE"""),6239874.0)</f>
        <v>6239874</v>
      </c>
    </row>
    <row r="2289">
      <c r="A2289" s="3">
        <f>IFERROR(__xludf.DUMMYFUNCTION("""COMPUTED_VALUE"""),40809.645833333336)</f>
        <v>40809.64583</v>
      </c>
      <c r="B2289" s="2">
        <f>IFERROR(__xludf.DUMMYFUNCTION("""COMPUTED_VALUE"""),383.3)</f>
        <v>383.3</v>
      </c>
      <c r="C2289" s="2">
        <f>IFERROR(__xludf.DUMMYFUNCTION("""COMPUTED_VALUE"""),392.56)</f>
        <v>392.56</v>
      </c>
      <c r="D2289" s="2">
        <f>IFERROR(__xludf.DUMMYFUNCTION("""COMPUTED_VALUE"""),378.45)</f>
        <v>378.45</v>
      </c>
      <c r="E2289" s="2">
        <f>IFERROR(__xludf.DUMMYFUNCTION("""COMPUTED_VALUE"""),381.67)</f>
        <v>381.67</v>
      </c>
      <c r="F2289" s="2">
        <f>IFERROR(__xludf.DUMMYFUNCTION("""COMPUTED_VALUE"""),8803427.0)</f>
        <v>8803427</v>
      </c>
    </row>
    <row r="2290">
      <c r="A2290" s="3">
        <f>IFERROR(__xludf.DUMMYFUNCTION("""COMPUTED_VALUE"""),40812.645833333336)</f>
        <v>40812.64583</v>
      </c>
      <c r="B2290" s="2">
        <f>IFERROR(__xludf.DUMMYFUNCTION("""COMPUTED_VALUE"""),380.97)</f>
        <v>380.97</v>
      </c>
      <c r="C2290" s="2">
        <f>IFERROR(__xludf.DUMMYFUNCTION("""COMPUTED_VALUE"""),381.72)</f>
        <v>381.72</v>
      </c>
      <c r="D2290" s="2">
        <f>IFERROR(__xludf.DUMMYFUNCTION("""COMPUTED_VALUE"""),370.25)</f>
        <v>370.25</v>
      </c>
      <c r="E2290" s="2">
        <f>IFERROR(__xludf.DUMMYFUNCTION("""COMPUTED_VALUE"""),376.02)</f>
        <v>376.02</v>
      </c>
      <c r="F2290" s="2">
        <f>IFERROR(__xludf.DUMMYFUNCTION("""COMPUTED_VALUE"""),6217951.0)</f>
        <v>6217951</v>
      </c>
    </row>
    <row r="2291">
      <c r="A2291" s="3">
        <f>IFERROR(__xludf.DUMMYFUNCTION("""COMPUTED_VALUE"""),40813.645833333336)</f>
        <v>40813.64583</v>
      </c>
      <c r="B2291" s="2">
        <f>IFERROR(__xludf.DUMMYFUNCTION("""COMPUTED_VALUE"""),383.35)</f>
        <v>383.35</v>
      </c>
      <c r="C2291" s="2">
        <f>IFERROR(__xludf.DUMMYFUNCTION("""COMPUTED_VALUE"""),396.58)</f>
        <v>396.58</v>
      </c>
      <c r="D2291" s="2">
        <f>IFERROR(__xludf.DUMMYFUNCTION("""COMPUTED_VALUE"""),382.36)</f>
        <v>382.36</v>
      </c>
      <c r="E2291" s="2">
        <f>IFERROR(__xludf.DUMMYFUNCTION("""COMPUTED_VALUE"""),394.84)</f>
        <v>394.84</v>
      </c>
      <c r="F2291" s="2">
        <f>IFERROR(__xludf.DUMMYFUNCTION("""COMPUTED_VALUE"""),5039564.0)</f>
        <v>5039564</v>
      </c>
    </row>
    <row r="2292">
      <c r="A2292" s="3">
        <f>IFERROR(__xludf.DUMMYFUNCTION("""COMPUTED_VALUE"""),40814.645833333336)</f>
        <v>40814.64583</v>
      </c>
      <c r="B2292" s="2">
        <f>IFERROR(__xludf.DUMMYFUNCTION("""COMPUTED_VALUE"""),396.11)</f>
        <v>396.11</v>
      </c>
      <c r="C2292" s="2">
        <f>IFERROR(__xludf.DUMMYFUNCTION("""COMPUTED_VALUE"""),399.35)</f>
        <v>399.35</v>
      </c>
      <c r="D2292" s="2">
        <f>IFERROR(__xludf.DUMMYFUNCTION("""COMPUTED_VALUE"""),390.83)</f>
        <v>390.83</v>
      </c>
      <c r="E2292" s="2">
        <f>IFERROR(__xludf.DUMMYFUNCTION("""COMPUTED_VALUE"""),394.84)</f>
        <v>394.84</v>
      </c>
      <c r="F2292" s="2">
        <f>IFERROR(__xludf.DUMMYFUNCTION("""COMPUTED_VALUE"""),5722488.0)</f>
        <v>5722488</v>
      </c>
    </row>
    <row r="2293">
      <c r="A2293" s="3">
        <f>IFERROR(__xludf.DUMMYFUNCTION("""COMPUTED_VALUE"""),40815.645833333336)</f>
        <v>40815.64583</v>
      </c>
      <c r="B2293" s="2">
        <f>IFERROR(__xludf.DUMMYFUNCTION("""COMPUTED_VALUE"""),391.52)</f>
        <v>391.52</v>
      </c>
      <c r="C2293" s="2">
        <f>IFERROR(__xludf.DUMMYFUNCTION("""COMPUTED_VALUE"""),402.54)</f>
        <v>402.54</v>
      </c>
      <c r="D2293" s="2">
        <f>IFERROR(__xludf.DUMMYFUNCTION("""COMPUTED_VALUE"""),388.53)</f>
        <v>388.53</v>
      </c>
      <c r="E2293" s="2">
        <f>IFERROR(__xludf.DUMMYFUNCTION("""COMPUTED_VALUE"""),400.04)</f>
        <v>400.04</v>
      </c>
      <c r="F2293" s="2">
        <f>IFERROR(__xludf.DUMMYFUNCTION("""COMPUTED_VALUE"""),7203038.0)</f>
        <v>7203038</v>
      </c>
    </row>
    <row r="2294">
      <c r="A2294" s="3">
        <f>IFERROR(__xludf.DUMMYFUNCTION("""COMPUTED_VALUE"""),40816.645833333336)</f>
        <v>40816.64583</v>
      </c>
      <c r="B2294" s="2">
        <f>IFERROR(__xludf.DUMMYFUNCTION("""COMPUTED_VALUE"""),397.96)</f>
        <v>397.96</v>
      </c>
      <c r="C2294" s="2">
        <f>IFERROR(__xludf.DUMMYFUNCTION("""COMPUTED_VALUE"""),407.57)</f>
        <v>407.57</v>
      </c>
      <c r="D2294" s="2">
        <f>IFERROR(__xludf.DUMMYFUNCTION("""COMPUTED_VALUE"""),392.51)</f>
        <v>392.51</v>
      </c>
      <c r="E2294" s="2">
        <f>IFERROR(__xludf.DUMMYFUNCTION("""COMPUTED_VALUE"""),400.37)</f>
        <v>400.37</v>
      </c>
      <c r="F2294" s="2">
        <f>IFERROR(__xludf.DUMMYFUNCTION("""COMPUTED_VALUE"""),7987653.0)</f>
        <v>7987653</v>
      </c>
    </row>
    <row r="2295">
      <c r="A2295" s="3">
        <f>IFERROR(__xludf.DUMMYFUNCTION("""COMPUTED_VALUE"""),40819.645833333336)</f>
        <v>40819.64583</v>
      </c>
      <c r="B2295" s="2">
        <f>IFERROR(__xludf.DUMMYFUNCTION("""COMPUTED_VALUE"""),391.87)</f>
        <v>391.87</v>
      </c>
      <c r="C2295" s="2">
        <f>IFERROR(__xludf.DUMMYFUNCTION("""COMPUTED_VALUE"""),396.18)</f>
        <v>396.18</v>
      </c>
      <c r="D2295" s="2">
        <f>IFERROR(__xludf.DUMMYFUNCTION("""COMPUTED_VALUE"""),388.35)</f>
        <v>388.35</v>
      </c>
      <c r="E2295" s="2">
        <f>IFERROR(__xludf.DUMMYFUNCTION("""COMPUTED_VALUE"""),390.39)</f>
        <v>390.39</v>
      </c>
      <c r="F2295" s="2">
        <f>IFERROR(__xludf.DUMMYFUNCTION("""COMPUTED_VALUE"""),4825259.0)</f>
        <v>4825259</v>
      </c>
    </row>
    <row r="2296">
      <c r="A2296" s="3">
        <f>IFERROR(__xludf.DUMMYFUNCTION("""COMPUTED_VALUE"""),40820.645833333336)</f>
        <v>40820.64583</v>
      </c>
      <c r="B2296" s="2">
        <f>IFERROR(__xludf.DUMMYFUNCTION("""COMPUTED_VALUE"""),388.3)</f>
        <v>388.3</v>
      </c>
      <c r="C2296" s="2">
        <f>IFERROR(__xludf.DUMMYFUNCTION("""COMPUTED_VALUE"""),391.67)</f>
        <v>391.67</v>
      </c>
      <c r="D2296" s="2">
        <f>IFERROR(__xludf.DUMMYFUNCTION("""COMPUTED_VALUE"""),379.02)</f>
        <v>379.02</v>
      </c>
      <c r="E2296" s="2">
        <f>IFERROR(__xludf.DUMMYFUNCTION("""COMPUTED_VALUE"""),382.16)</f>
        <v>382.16</v>
      </c>
      <c r="F2296" s="2">
        <f>IFERROR(__xludf.DUMMYFUNCTION("""COMPUTED_VALUE"""),6000741.0)</f>
        <v>6000741</v>
      </c>
    </row>
    <row r="2297">
      <c r="A2297" s="3">
        <f>IFERROR(__xludf.DUMMYFUNCTION("""COMPUTED_VALUE"""),40821.645833333336)</f>
        <v>40821.64583</v>
      </c>
      <c r="B2297" s="2">
        <f>IFERROR(__xludf.DUMMYFUNCTION("""COMPUTED_VALUE"""),382.63)</f>
        <v>382.63</v>
      </c>
      <c r="C2297" s="2">
        <f>IFERROR(__xludf.DUMMYFUNCTION("""COMPUTED_VALUE"""),385.28)</f>
        <v>385.28</v>
      </c>
      <c r="D2297" s="2">
        <f>IFERROR(__xludf.DUMMYFUNCTION("""COMPUTED_VALUE"""),377.28)</f>
        <v>377.28</v>
      </c>
      <c r="E2297" s="2">
        <f>IFERROR(__xludf.DUMMYFUNCTION("""COMPUTED_VALUE"""),379.89)</f>
        <v>379.89</v>
      </c>
      <c r="F2297" s="2">
        <f>IFERROR(__xludf.DUMMYFUNCTION("""COMPUTED_VALUE"""),4739596.0)</f>
        <v>4739596</v>
      </c>
    </row>
    <row r="2298">
      <c r="A2298" s="3">
        <f>IFERROR(__xludf.DUMMYFUNCTION("""COMPUTED_VALUE"""),40823.645833333336)</f>
        <v>40823.64583</v>
      </c>
      <c r="B2298" s="2">
        <f>IFERROR(__xludf.DUMMYFUNCTION("""COMPUTED_VALUE"""),389.64)</f>
        <v>389.64</v>
      </c>
      <c r="C2298" s="2">
        <f>IFERROR(__xludf.DUMMYFUNCTION("""COMPUTED_VALUE"""),400.19)</f>
        <v>400.19</v>
      </c>
      <c r="D2298" s="2">
        <f>IFERROR(__xludf.DUMMYFUNCTION("""COMPUTED_VALUE"""),388.75)</f>
        <v>388.75</v>
      </c>
      <c r="E2298" s="2">
        <f>IFERROR(__xludf.DUMMYFUNCTION("""COMPUTED_VALUE"""),397.67)</f>
        <v>397.67</v>
      </c>
      <c r="F2298" s="2">
        <f>IFERROR(__xludf.DUMMYFUNCTION("""COMPUTED_VALUE"""),4551326.0)</f>
        <v>4551326</v>
      </c>
    </row>
    <row r="2299">
      <c r="A2299" s="3">
        <f>IFERROR(__xludf.DUMMYFUNCTION("""COMPUTED_VALUE"""),40826.645833333336)</f>
        <v>40826.64583</v>
      </c>
      <c r="B2299" s="2">
        <f>IFERROR(__xludf.DUMMYFUNCTION("""COMPUTED_VALUE"""),398.33)</f>
        <v>398.33</v>
      </c>
      <c r="C2299" s="2">
        <f>IFERROR(__xludf.DUMMYFUNCTION("""COMPUTED_VALUE"""),411.53)</f>
        <v>411.53</v>
      </c>
      <c r="D2299" s="2">
        <f>IFERROR(__xludf.DUMMYFUNCTION("""COMPUTED_VALUE"""),398.31)</f>
        <v>398.31</v>
      </c>
      <c r="E2299" s="2">
        <f>IFERROR(__xludf.DUMMYFUNCTION("""COMPUTED_VALUE"""),410.72)</f>
        <v>410.72</v>
      </c>
      <c r="F2299" s="2">
        <f>IFERROR(__xludf.DUMMYFUNCTION("""COMPUTED_VALUE"""),3393633.0)</f>
        <v>3393633</v>
      </c>
    </row>
    <row r="2300">
      <c r="A2300" s="3">
        <f>IFERROR(__xludf.DUMMYFUNCTION("""COMPUTED_VALUE"""),40827.645833333336)</f>
        <v>40827.64583</v>
      </c>
      <c r="B2300" s="2">
        <f>IFERROR(__xludf.DUMMYFUNCTION("""COMPUTED_VALUE"""),413.56)</f>
        <v>413.56</v>
      </c>
      <c r="C2300" s="2">
        <f>IFERROR(__xludf.DUMMYFUNCTION("""COMPUTED_VALUE"""),416.73)</f>
        <v>416.73</v>
      </c>
      <c r="D2300" s="2">
        <f>IFERROR(__xludf.DUMMYFUNCTION("""COMPUTED_VALUE"""),407.37)</f>
        <v>407.37</v>
      </c>
      <c r="E2300" s="2">
        <f>IFERROR(__xludf.DUMMYFUNCTION("""COMPUTED_VALUE"""),409.6)</f>
        <v>409.6</v>
      </c>
      <c r="F2300" s="2">
        <f>IFERROR(__xludf.DUMMYFUNCTION("""COMPUTED_VALUE"""),3592510.0)</f>
        <v>3592510</v>
      </c>
    </row>
    <row r="2301">
      <c r="A2301" s="3">
        <f>IFERROR(__xludf.DUMMYFUNCTION("""COMPUTED_VALUE"""),40828.645833333336)</f>
        <v>40828.64583</v>
      </c>
      <c r="B2301" s="2">
        <f>IFERROR(__xludf.DUMMYFUNCTION("""COMPUTED_VALUE"""),410.79)</f>
        <v>410.79</v>
      </c>
      <c r="C2301" s="2">
        <f>IFERROR(__xludf.DUMMYFUNCTION("""COMPUTED_VALUE"""),421.93)</f>
        <v>421.93</v>
      </c>
      <c r="D2301" s="2">
        <f>IFERROR(__xludf.DUMMYFUNCTION("""COMPUTED_VALUE"""),409.13)</f>
        <v>409.13</v>
      </c>
      <c r="E2301" s="2">
        <f>IFERROR(__xludf.DUMMYFUNCTION("""COMPUTED_VALUE"""),420.82)</f>
        <v>420.82</v>
      </c>
      <c r="F2301" s="2">
        <f>IFERROR(__xludf.DUMMYFUNCTION("""COMPUTED_VALUE"""),3947624.0)</f>
        <v>3947624</v>
      </c>
    </row>
    <row r="2302">
      <c r="A2302" s="3">
        <f>IFERROR(__xludf.DUMMYFUNCTION("""COMPUTED_VALUE"""),40829.645833333336)</f>
        <v>40829.64583</v>
      </c>
      <c r="B2302" s="2">
        <f>IFERROR(__xludf.DUMMYFUNCTION("""COMPUTED_VALUE"""),420.99)</f>
        <v>420.99</v>
      </c>
      <c r="C2302" s="2">
        <f>IFERROR(__xludf.DUMMYFUNCTION("""COMPUTED_VALUE"""),424.96)</f>
        <v>424.96</v>
      </c>
      <c r="D2302" s="2">
        <f>IFERROR(__xludf.DUMMYFUNCTION("""COMPUTED_VALUE"""),417.08)</f>
        <v>417.08</v>
      </c>
      <c r="E2302" s="2">
        <f>IFERROR(__xludf.DUMMYFUNCTION("""COMPUTED_VALUE"""),419.46)</f>
        <v>419.46</v>
      </c>
      <c r="F2302" s="2">
        <f>IFERROR(__xludf.DUMMYFUNCTION("""COMPUTED_VALUE"""),4195352.0)</f>
        <v>4195352</v>
      </c>
    </row>
    <row r="2303">
      <c r="A2303" s="3">
        <f>IFERROR(__xludf.DUMMYFUNCTION("""COMPUTED_VALUE"""),40830.645833333336)</f>
        <v>40830.64583</v>
      </c>
      <c r="B2303" s="2">
        <f>IFERROR(__xludf.DUMMYFUNCTION("""COMPUTED_VALUE"""),417.03)</f>
        <v>417.03</v>
      </c>
      <c r="C2303" s="2">
        <f>IFERROR(__xludf.DUMMYFUNCTION("""COMPUTED_VALUE"""),430.75)</f>
        <v>430.75</v>
      </c>
      <c r="D2303" s="2">
        <f>IFERROR(__xludf.DUMMYFUNCTION("""COMPUTED_VALUE"""),416.78)</f>
        <v>416.78</v>
      </c>
      <c r="E2303" s="2">
        <f>IFERROR(__xludf.DUMMYFUNCTION("""COMPUTED_VALUE"""),429.36)</f>
        <v>429.36</v>
      </c>
      <c r="F2303" s="2">
        <f>IFERROR(__xludf.DUMMYFUNCTION("""COMPUTED_VALUE"""),4085035.0)</f>
        <v>4085035</v>
      </c>
    </row>
    <row r="2304">
      <c r="A2304" s="3">
        <f>IFERROR(__xludf.DUMMYFUNCTION("""COMPUTED_VALUE"""),40833.645833333336)</f>
        <v>40833.64583</v>
      </c>
      <c r="B2304" s="2">
        <f>IFERROR(__xludf.DUMMYFUNCTION("""COMPUTED_VALUE"""),429.41)</f>
        <v>429.41</v>
      </c>
      <c r="C2304" s="2">
        <f>IFERROR(__xludf.DUMMYFUNCTION("""COMPUTED_VALUE"""),430.33)</f>
        <v>430.33</v>
      </c>
      <c r="D2304" s="2">
        <f>IFERROR(__xludf.DUMMYFUNCTION("""COMPUTED_VALUE"""),411.66)</f>
        <v>411.66</v>
      </c>
      <c r="E2304" s="2">
        <f>IFERROR(__xludf.DUMMYFUNCTION("""COMPUTED_VALUE"""),412.97)</f>
        <v>412.97</v>
      </c>
      <c r="F2304" s="2">
        <f>IFERROR(__xludf.DUMMYFUNCTION("""COMPUTED_VALUE"""),5040808.0)</f>
        <v>5040808</v>
      </c>
    </row>
    <row r="2305">
      <c r="A2305" s="3">
        <f>IFERROR(__xludf.DUMMYFUNCTION("""COMPUTED_VALUE"""),40834.645833333336)</f>
        <v>40834.64583</v>
      </c>
      <c r="B2305" s="2">
        <f>IFERROR(__xludf.DUMMYFUNCTION("""COMPUTED_VALUE"""),408.61)</f>
        <v>408.61</v>
      </c>
      <c r="C2305" s="2">
        <f>IFERROR(__xludf.DUMMYFUNCTION("""COMPUTED_VALUE"""),409.31)</f>
        <v>409.31</v>
      </c>
      <c r="D2305" s="2">
        <f>IFERROR(__xludf.DUMMYFUNCTION("""COMPUTED_VALUE"""),401.85)</f>
        <v>401.85</v>
      </c>
      <c r="E2305" s="2">
        <f>IFERROR(__xludf.DUMMYFUNCTION("""COMPUTED_VALUE"""),406.09)</f>
        <v>406.09</v>
      </c>
      <c r="F2305" s="2">
        <f>IFERROR(__xludf.DUMMYFUNCTION("""COMPUTED_VALUE"""),4182965.0)</f>
        <v>4182965</v>
      </c>
    </row>
    <row r="2306">
      <c r="A2306" s="3">
        <f>IFERROR(__xludf.DUMMYFUNCTION("""COMPUTED_VALUE"""),40835.645833333336)</f>
        <v>40835.64583</v>
      </c>
      <c r="B2306" s="2">
        <f>IFERROR(__xludf.DUMMYFUNCTION("""COMPUTED_VALUE"""),408.86)</f>
        <v>408.86</v>
      </c>
      <c r="C2306" s="2">
        <f>IFERROR(__xludf.DUMMYFUNCTION("""COMPUTED_VALUE"""),418.52)</f>
        <v>418.52</v>
      </c>
      <c r="D2306" s="2">
        <f>IFERROR(__xludf.DUMMYFUNCTION("""COMPUTED_VALUE"""),408.17)</f>
        <v>408.17</v>
      </c>
      <c r="E2306" s="2">
        <f>IFERROR(__xludf.DUMMYFUNCTION("""COMPUTED_VALUE"""),417.53)</f>
        <v>417.53</v>
      </c>
      <c r="F2306" s="2">
        <f>IFERROR(__xludf.DUMMYFUNCTION("""COMPUTED_VALUE"""),2713867.0)</f>
        <v>2713867</v>
      </c>
    </row>
    <row r="2307">
      <c r="A2307" s="3">
        <f>IFERROR(__xludf.DUMMYFUNCTION("""COMPUTED_VALUE"""),40836.645833333336)</f>
        <v>40836.64583</v>
      </c>
      <c r="B2307" s="2">
        <f>IFERROR(__xludf.DUMMYFUNCTION("""COMPUTED_VALUE"""),413.49)</f>
        <v>413.49</v>
      </c>
      <c r="C2307" s="2">
        <f>IFERROR(__xludf.DUMMYFUNCTION("""COMPUTED_VALUE"""),416.49)</f>
        <v>416.49</v>
      </c>
      <c r="D2307" s="2">
        <f>IFERROR(__xludf.DUMMYFUNCTION("""COMPUTED_VALUE"""),407.13)</f>
        <v>407.13</v>
      </c>
      <c r="E2307" s="2">
        <f>IFERROR(__xludf.DUMMYFUNCTION("""COMPUTED_VALUE"""),415.4)</f>
        <v>415.4</v>
      </c>
      <c r="F2307" s="2">
        <f>IFERROR(__xludf.DUMMYFUNCTION("""COMPUTED_VALUE"""),2279371.0)</f>
        <v>2279371</v>
      </c>
    </row>
    <row r="2308">
      <c r="A2308" s="3">
        <f>IFERROR(__xludf.DUMMYFUNCTION("""COMPUTED_VALUE"""),40837.645833333336)</f>
        <v>40837.64583</v>
      </c>
      <c r="B2308" s="2">
        <f>IFERROR(__xludf.DUMMYFUNCTION("""COMPUTED_VALUE"""),416.04)</f>
        <v>416.04</v>
      </c>
      <c r="C2308" s="2">
        <f>IFERROR(__xludf.DUMMYFUNCTION("""COMPUTED_VALUE"""),420.6)</f>
        <v>420.6</v>
      </c>
      <c r="D2308" s="2">
        <f>IFERROR(__xludf.DUMMYFUNCTION("""COMPUTED_VALUE"""),411.63)</f>
        <v>411.63</v>
      </c>
      <c r="E2308" s="2">
        <f>IFERROR(__xludf.DUMMYFUNCTION("""COMPUTED_VALUE"""),413.94)</f>
        <v>413.94</v>
      </c>
      <c r="F2308" s="2">
        <f>IFERROR(__xludf.DUMMYFUNCTION("""COMPUTED_VALUE"""),2364175.0)</f>
        <v>2364175</v>
      </c>
    </row>
    <row r="2309">
      <c r="A2309" s="3">
        <f>IFERROR(__xludf.DUMMYFUNCTION("""COMPUTED_VALUE"""),40840.645833333336)</f>
        <v>40840.64583</v>
      </c>
      <c r="B2309" s="2">
        <f>IFERROR(__xludf.DUMMYFUNCTION("""COMPUTED_VALUE"""),420.0)</f>
        <v>420</v>
      </c>
      <c r="C2309" s="2">
        <f>IFERROR(__xludf.DUMMYFUNCTION("""COMPUTED_VALUE"""),422.98)</f>
        <v>422.98</v>
      </c>
      <c r="D2309" s="2">
        <f>IFERROR(__xludf.DUMMYFUNCTION("""COMPUTED_VALUE"""),417.8)</f>
        <v>417.8</v>
      </c>
      <c r="E2309" s="2">
        <f>IFERROR(__xludf.DUMMYFUNCTION("""COMPUTED_VALUE"""),419.26)</f>
        <v>419.26</v>
      </c>
      <c r="F2309" s="2">
        <f>IFERROR(__xludf.DUMMYFUNCTION("""COMPUTED_VALUE"""),2075894.0)</f>
        <v>2075894</v>
      </c>
    </row>
    <row r="2310">
      <c r="A2310" s="3">
        <f>IFERROR(__xludf.DUMMYFUNCTION("""COMPUTED_VALUE"""),40841.645833333336)</f>
        <v>40841.64583</v>
      </c>
      <c r="B2310" s="2">
        <f>IFERROR(__xludf.DUMMYFUNCTION("""COMPUTED_VALUE"""),423.47)</f>
        <v>423.47</v>
      </c>
      <c r="C2310" s="2">
        <f>IFERROR(__xludf.DUMMYFUNCTION("""COMPUTED_VALUE"""),436.32)</f>
        <v>436.32</v>
      </c>
      <c r="D2310" s="2">
        <f>IFERROR(__xludf.DUMMYFUNCTION("""COMPUTED_VALUE"""),417.11)</f>
        <v>417.11</v>
      </c>
      <c r="E2310" s="2">
        <f>IFERROR(__xludf.DUMMYFUNCTION("""COMPUTED_VALUE"""),433.85)</f>
        <v>433.85</v>
      </c>
      <c r="F2310" s="2">
        <f>IFERROR(__xludf.DUMMYFUNCTION("""COMPUTED_VALUE"""),5197046.0)</f>
        <v>5197046</v>
      </c>
    </row>
    <row r="2311">
      <c r="A2311" s="3">
        <f>IFERROR(__xludf.DUMMYFUNCTION("""COMPUTED_VALUE"""),40842.645833333336)</f>
        <v>40842.64583</v>
      </c>
      <c r="B2311" s="2">
        <f>IFERROR(__xludf.DUMMYFUNCTION("""COMPUTED_VALUE"""),435.36)</f>
        <v>435.36</v>
      </c>
      <c r="C2311" s="2">
        <f>IFERROR(__xludf.DUMMYFUNCTION("""COMPUTED_VALUE"""),436.6)</f>
        <v>436.6</v>
      </c>
      <c r="D2311" s="2">
        <f>IFERROR(__xludf.DUMMYFUNCTION("""COMPUTED_VALUE"""),431.42)</f>
        <v>431.42</v>
      </c>
      <c r="E2311" s="2">
        <f>IFERROR(__xludf.DUMMYFUNCTION("""COMPUTED_VALUE"""),432.68)</f>
        <v>432.68</v>
      </c>
      <c r="F2311" s="2">
        <f>IFERROR(__xludf.DUMMYFUNCTION("""COMPUTED_VALUE"""),737231.0)</f>
        <v>737231</v>
      </c>
    </row>
    <row r="2312">
      <c r="A2312" s="3">
        <f>IFERROR(__xludf.DUMMYFUNCTION("""COMPUTED_VALUE"""),40844.645833333336)</f>
        <v>40844.64583</v>
      </c>
      <c r="B2312" s="2">
        <f>IFERROR(__xludf.DUMMYFUNCTION("""COMPUTED_VALUE"""),445.61)</f>
        <v>445.61</v>
      </c>
      <c r="C2312" s="2">
        <f>IFERROR(__xludf.DUMMYFUNCTION("""COMPUTED_VALUE"""),447.74)</f>
        <v>447.74</v>
      </c>
      <c r="D2312" s="2">
        <f>IFERROR(__xludf.DUMMYFUNCTION("""COMPUTED_VALUE"""),437.88)</f>
        <v>437.88</v>
      </c>
      <c r="E2312" s="2">
        <f>IFERROR(__xludf.DUMMYFUNCTION("""COMPUTED_VALUE"""),445.76)</f>
        <v>445.76</v>
      </c>
      <c r="F2312" s="2">
        <f>IFERROR(__xludf.DUMMYFUNCTION("""COMPUTED_VALUE"""),5606883.0)</f>
        <v>5606883</v>
      </c>
    </row>
    <row r="2313">
      <c r="A2313" s="3">
        <f>IFERROR(__xludf.DUMMYFUNCTION("""COMPUTED_VALUE"""),40847.645833333336)</f>
        <v>40847.64583</v>
      </c>
      <c r="B2313" s="2">
        <f>IFERROR(__xludf.DUMMYFUNCTION("""COMPUTED_VALUE"""),444.77)</f>
        <v>444.77</v>
      </c>
      <c r="C2313" s="2">
        <f>IFERROR(__xludf.DUMMYFUNCTION("""COMPUTED_VALUE"""),445.41)</f>
        <v>445.41</v>
      </c>
      <c r="D2313" s="2">
        <f>IFERROR(__xludf.DUMMYFUNCTION("""COMPUTED_VALUE"""),432.16)</f>
        <v>432.16</v>
      </c>
      <c r="E2313" s="2">
        <f>IFERROR(__xludf.DUMMYFUNCTION("""COMPUTED_VALUE"""),434.64)</f>
        <v>434.64</v>
      </c>
      <c r="F2313" s="2">
        <f>IFERROR(__xludf.DUMMYFUNCTION("""COMPUTED_VALUE"""),3628082.0)</f>
        <v>3628082</v>
      </c>
    </row>
    <row r="2314">
      <c r="A2314" s="3">
        <f>IFERROR(__xludf.DUMMYFUNCTION("""COMPUTED_VALUE"""),40848.645833333336)</f>
        <v>40848.64583</v>
      </c>
      <c r="B2314" s="2">
        <f>IFERROR(__xludf.DUMMYFUNCTION("""COMPUTED_VALUE"""),431.15)</f>
        <v>431.15</v>
      </c>
      <c r="C2314" s="2">
        <f>IFERROR(__xludf.DUMMYFUNCTION("""COMPUTED_VALUE"""),435.11)</f>
        <v>435.11</v>
      </c>
      <c r="D2314" s="2">
        <f>IFERROR(__xludf.DUMMYFUNCTION("""COMPUTED_VALUE"""),424.76)</f>
        <v>424.76</v>
      </c>
      <c r="E2314" s="2">
        <f>IFERROR(__xludf.DUMMYFUNCTION("""COMPUTED_VALUE"""),426.24)</f>
        <v>426.24</v>
      </c>
      <c r="F2314" s="2">
        <f>IFERROR(__xludf.DUMMYFUNCTION("""COMPUTED_VALUE"""),3745221.0)</f>
        <v>3745221</v>
      </c>
    </row>
    <row r="2315">
      <c r="A2315" s="3">
        <f>IFERROR(__xludf.DUMMYFUNCTION("""COMPUTED_VALUE"""),40849.645833333336)</f>
        <v>40849.64583</v>
      </c>
      <c r="B2315" s="2">
        <f>IFERROR(__xludf.DUMMYFUNCTION("""COMPUTED_VALUE"""),423.47)</f>
        <v>423.47</v>
      </c>
      <c r="C2315" s="2">
        <f>IFERROR(__xludf.DUMMYFUNCTION("""COMPUTED_VALUE"""),436.32)</f>
        <v>436.32</v>
      </c>
      <c r="D2315" s="2">
        <f>IFERROR(__xludf.DUMMYFUNCTION("""COMPUTED_VALUE"""),423.47)</f>
        <v>423.47</v>
      </c>
      <c r="E2315" s="2">
        <f>IFERROR(__xludf.DUMMYFUNCTION("""COMPUTED_VALUE"""),431.79)</f>
        <v>431.79</v>
      </c>
      <c r="F2315" s="2">
        <f>IFERROR(__xludf.DUMMYFUNCTION("""COMPUTED_VALUE"""),3143275.0)</f>
        <v>3143275</v>
      </c>
    </row>
    <row r="2316">
      <c r="A2316" s="3">
        <f>IFERROR(__xludf.DUMMYFUNCTION("""COMPUTED_VALUE"""),40850.645833333336)</f>
        <v>40850.64583</v>
      </c>
      <c r="B2316" s="2">
        <f>IFERROR(__xludf.DUMMYFUNCTION("""COMPUTED_VALUE"""),429.79)</f>
        <v>429.79</v>
      </c>
      <c r="C2316" s="2">
        <f>IFERROR(__xludf.DUMMYFUNCTION("""COMPUTED_VALUE"""),440.48)</f>
        <v>440.48</v>
      </c>
      <c r="D2316" s="2">
        <f>IFERROR(__xludf.DUMMYFUNCTION("""COMPUTED_VALUE"""),427.43)</f>
        <v>427.43</v>
      </c>
      <c r="E2316" s="2">
        <f>IFERROR(__xludf.DUMMYFUNCTION("""COMPUTED_VALUE"""),438.77)</f>
        <v>438.77</v>
      </c>
      <c r="F2316" s="2">
        <f>IFERROR(__xludf.DUMMYFUNCTION("""COMPUTED_VALUE"""),3666997.0)</f>
        <v>3666997</v>
      </c>
    </row>
    <row r="2317">
      <c r="A2317" s="3">
        <f>IFERROR(__xludf.DUMMYFUNCTION("""COMPUTED_VALUE"""),40851.645833333336)</f>
        <v>40851.64583</v>
      </c>
      <c r="B2317" s="2">
        <f>IFERROR(__xludf.DUMMYFUNCTION("""COMPUTED_VALUE"""),448.23)</f>
        <v>448.23</v>
      </c>
      <c r="C2317" s="2">
        <f>IFERROR(__xludf.DUMMYFUNCTION("""COMPUTED_VALUE"""),448.23)</f>
        <v>448.23</v>
      </c>
      <c r="D2317" s="2">
        <f>IFERROR(__xludf.DUMMYFUNCTION("""COMPUTED_VALUE"""),432.21)</f>
        <v>432.21</v>
      </c>
      <c r="E2317" s="2">
        <f>IFERROR(__xludf.DUMMYFUNCTION("""COMPUTED_VALUE"""),435.83)</f>
        <v>435.83</v>
      </c>
      <c r="F2317" s="2">
        <f>IFERROR(__xludf.DUMMYFUNCTION("""COMPUTED_VALUE"""),4171957.0)</f>
        <v>4171957</v>
      </c>
    </row>
    <row r="2318">
      <c r="A2318" s="3">
        <f>IFERROR(__xludf.DUMMYFUNCTION("""COMPUTED_VALUE"""),40855.645833333336)</f>
        <v>40855.64583</v>
      </c>
      <c r="B2318" s="2">
        <f>IFERROR(__xludf.DUMMYFUNCTION("""COMPUTED_VALUE"""),435.36)</f>
        <v>435.36</v>
      </c>
      <c r="C2318" s="2">
        <f>IFERROR(__xludf.DUMMYFUNCTION("""COMPUTED_VALUE"""),438.33)</f>
        <v>438.33</v>
      </c>
      <c r="D2318" s="2">
        <f>IFERROR(__xludf.DUMMYFUNCTION("""COMPUTED_VALUE"""),430.16)</f>
        <v>430.16</v>
      </c>
      <c r="E2318" s="2">
        <f>IFERROR(__xludf.DUMMYFUNCTION("""COMPUTED_VALUE"""),437.69)</f>
        <v>437.69</v>
      </c>
      <c r="F2318" s="2">
        <f>IFERROR(__xludf.DUMMYFUNCTION("""COMPUTED_VALUE"""),2313308.0)</f>
        <v>2313308</v>
      </c>
    </row>
    <row r="2319">
      <c r="A2319" s="3">
        <f>IFERROR(__xludf.DUMMYFUNCTION("""COMPUTED_VALUE"""),40856.645833333336)</f>
        <v>40856.64583</v>
      </c>
      <c r="B2319" s="2">
        <f>IFERROR(__xludf.DUMMYFUNCTION("""COMPUTED_VALUE"""),440.83)</f>
        <v>440.83</v>
      </c>
      <c r="C2319" s="2">
        <f>IFERROR(__xludf.DUMMYFUNCTION("""COMPUTED_VALUE"""),442.12)</f>
        <v>442.12</v>
      </c>
      <c r="D2319" s="2">
        <f>IFERROR(__xludf.DUMMYFUNCTION("""COMPUTED_VALUE"""),426.52)</f>
        <v>426.52</v>
      </c>
      <c r="E2319" s="2">
        <f>IFERROR(__xludf.DUMMYFUNCTION("""COMPUTED_VALUE"""),428.4)</f>
        <v>428.4</v>
      </c>
      <c r="F2319" s="2">
        <f>IFERROR(__xludf.DUMMYFUNCTION("""COMPUTED_VALUE"""),2666312.0)</f>
        <v>2666312</v>
      </c>
    </row>
    <row r="2320">
      <c r="A2320" s="3">
        <f>IFERROR(__xludf.DUMMYFUNCTION("""COMPUTED_VALUE"""),40858.645833333336)</f>
        <v>40858.64583</v>
      </c>
      <c r="B2320" s="2">
        <f>IFERROR(__xludf.DUMMYFUNCTION("""COMPUTED_VALUE"""),425.45)</f>
        <v>425.45</v>
      </c>
      <c r="C2320" s="2">
        <f>IFERROR(__xludf.DUMMYFUNCTION("""COMPUTED_VALUE"""),440.21)</f>
        <v>440.21</v>
      </c>
      <c r="D2320" s="2">
        <f>IFERROR(__xludf.DUMMYFUNCTION("""COMPUTED_VALUE"""),421.04)</f>
        <v>421.04</v>
      </c>
      <c r="E2320" s="2">
        <f>IFERROR(__xludf.DUMMYFUNCTION("""COMPUTED_VALUE"""),438.5)</f>
        <v>438.5</v>
      </c>
      <c r="F2320" s="2">
        <f>IFERROR(__xludf.DUMMYFUNCTION("""COMPUTED_VALUE"""),4969253.0)</f>
        <v>4969253</v>
      </c>
    </row>
    <row r="2321">
      <c r="A2321" s="3">
        <f>IFERROR(__xludf.DUMMYFUNCTION("""COMPUTED_VALUE"""),40861.645833333336)</f>
        <v>40861.64583</v>
      </c>
      <c r="B2321" s="2">
        <f>IFERROR(__xludf.DUMMYFUNCTION("""COMPUTED_VALUE"""),441.5)</f>
        <v>441.5</v>
      </c>
      <c r="C2321" s="2">
        <f>IFERROR(__xludf.DUMMYFUNCTION("""COMPUTED_VALUE"""),443.78)</f>
        <v>443.78</v>
      </c>
      <c r="D2321" s="2">
        <f>IFERROR(__xludf.DUMMYFUNCTION("""COMPUTED_VALUE"""),432.39)</f>
        <v>432.39</v>
      </c>
      <c r="E2321" s="2">
        <f>IFERROR(__xludf.DUMMYFUNCTION("""COMPUTED_VALUE"""),434.22)</f>
        <v>434.22</v>
      </c>
      <c r="F2321" s="2">
        <f>IFERROR(__xludf.DUMMYFUNCTION("""COMPUTED_VALUE"""),3656473.0)</f>
        <v>3656473</v>
      </c>
    </row>
    <row r="2322">
      <c r="A2322" s="3">
        <f>IFERROR(__xludf.DUMMYFUNCTION("""COMPUTED_VALUE"""),40862.645833333336)</f>
        <v>40862.64583</v>
      </c>
      <c r="B2322" s="2">
        <f>IFERROR(__xludf.DUMMYFUNCTION("""COMPUTED_VALUE"""),431.39)</f>
        <v>431.39</v>
      </c>
      <c r="C2322" s="2">
        <f>IFERROR(__xludf.DUMMYFUNCTION("""COMPUTED_VALUE"""),434.86)</f>
        <v>434.86</v>
      </c>
      <c r="D2322" s="2">
        <f>IFERROR(__xludf.DUMMYFUNCTION("""COMPUTED_VALUE"""),424.09)</f>
        <v>424.09</v>
      </c>
      <c r="E2322" s="2">
        <f>IFERROR(__xludf.DUMMYFUNCTION("""COMPUTED_VALUE"""),426.66)</f>
        <v>426.66</v>
      </c>
      <c r="F2322" s="2">
        <f>IFERROR(__xludf.DUMMYFUNCTION("""COMPUTED_VALUE"""),2262503.0)</f>
        <v>2262503</v>
      </c>
    </row>
    <row r="2323">
      <c r="A2323" s="3">
        <f>IFERROR(__xludf.DUMMYFUNCTION("""COMPUTED_VALUE"""),40863.645833333336)</f>
        <v>40863.64583</v>
      </c>
      <c r="B2323" s="2">
        <f>IFERROR(__xludf.DUMMYFUNCTION("""COMPUTED_VALUE"""),425.5)</f>
        <v>425.5</v>
      </c>
      <c r="C2323" s="2">
        <f>IFERROR(__xludf.DUMMYFUNCTION("""COMPUTED_VALUE"""),425.5)</f>
        <v>425.5</v>
      </c>
      <c r="D2323" s="2">
        <f>IFERROR(__xludf.DUMMYFUNCTION("""COMPUTED_VALUE"""),414.73)</f>
        <v>414.73</v>
      </c>
      <c r="E2323" s="2">
        <f>IFERROR(__xludf.DUMMYFUNCTION("""COMPUTED_VALUE"""),420.05)</f>
        <v>420.05</v>
      </c>
      <c r="F2323" s="2">
        <f>IFERROR(__xludf.DUMMYFUNCTION("""COMPUTED_VALUE"""),3043186.0)</f>
        <v>3043186</v>
      </c>
    </row>
    <row r="2324">
      <c r="A2324" s="3">
        <f>IFERROR(__xludf.DUMMYFUNCTION("""COMPUTED_VALUE"""),40864.645833333336)</f>
        <v>40864.64583</v>
      </c>
      <c r="B2324" s="2">
        <f>IFERROR(__xludf.DUMMYFUNCTION("""COMPUTED_VALUE"""),418.54)</f>
        <v>418.54</v>
      </c>
      <c r="C2324" s="2">
        <f>IFERROR(__xludf.DUMMYFUNCTION("""COMPUTED_VALUE"""),420.33)</f>
        <v>420.33</v>
      </c>
      <c r="D2324" s="2">
        <f>IFERROR(__xludf.DUMMYFUNCTION("""COMPUTED_VALUE"""),399.33)</f>
        <v>399.33</v>
      </c>
      <c r="E2324" s="2">
        <f>IFERROR(__xludf.DUMMYFUNCTION("""COMPUTED_VALUE"""),401.16)</f>
        <v>401.16</v>
      </c>
      <c r="F2324" s="2">
        <f>IFERROR(__xludf.DUMMYFUNCTION("""COMPUTED_VALUE"""),5538055.0)</f>
        <v>5538055</v>
      </c>
    </row>
    <row r="2325">
      <c r="A2325" s="3">
        <f>IFERROR(__xludf.DUMMYFUNCTION("""COMPUTED_VALUE"""),40865.645833333336)</f>
        <v>40865.64583</v>
      </c>
      <c r="B2325" s="2">
        <f>IFERROR(__xludf.DUMMYFUNCTION("""COMPUTED_VALUE"""),396.38)</f>
        <v>396.38</v>
      </c>
      <c r="C2325" s="2">
        <f>IFERROR(__xludf.DUMMYFUNCTION("""COMPUTED_VALUE"""),402.15)</f>
        <v>402.15</v>
      </c>
      <c r="D2325" s="2">
        <f>IFERROR(__xludf.DUMMYFUNCTION("""COMPUTED_VALUE"""),389.79)</f>
        <v>389.79</v>
      </c>
      <c r="E2325" s="2">
        <f>IFERROR(__xludf.DUMMYFUNCTION("""COMPUTED_VALUE"""),400.24)</f>
        <v>400.24</v>
      </c>
      <c r="F2325" s="2">
        <f>IFERROR(__xludf.DUMMYFUNCTION("""COMPUTED_VALUE"""),4958044.0)</f>
        <v>4958044</v>
      </c>
    </row>
    <row r="2326">
      <c r="A2326" s="3">
        <f>IFERROR(__xludf.DUMMYFUNCTION("""COMPUTED_VALUE"""),40868.645833333336)</f>
        <v>40868.64583</v>
      </c>
      <c r="B2326" s="2">
        <f>IFERROR(__xludf.DUMMYFUNCTION("""COMPUTED_VALUE"""),396.23)</f>
        <v>396.23</v>
      </c>
      <c r="C2326" s="2">
        <f>IFERROR(__xludf.DUMMYFUNCTION("""COMPUTED_VALUE"""),396.23)</f>
        <v>396.23</v>
      </c>
      <c r="D2326" s="2">
        <f>IFERROR(__xludf.DUMMYFUNCTION("""COMPUTED_VALUE"""),387.07)</f>
        <v>387.07</v>
      </c>
      <c r="E2326" s="2">
        <f>IFERROR(__xludf.DUMMYFUNCTION("""COMPUTED_VALUE"""),389.47)</f>
        <v>389.47</v>
      </c>
      <c r="F2326" s="2">
        <f>IFERROR(__xludf.DUMMYFUNCTION("""COMPUTED_VALUE"""),4049501.0)</f>
        <v>4049501</v>
      </c>
    </row>
    <row r="2327">
      <c r="A2327" s="3">
        <f>IFERROR(__xludf.DUMMYFUNCTION("""COMPUTED_VALUE"""),40869.645833333336)</f>
        <v>40869.64583</v>
      </c>
      <c r="B2327" s="2">
        <f>IFERROR(__xludf.DUMMYFUNCTION("""COMPUTED_VALUE"""),390.34)</f>
        <v>390.34</v>
      </c>
      <c r="C2327" s="2">
        <f>IFERROR(__xludf.DUMMYFUNCTION("""COMPUTED_VALUE"""),398.43)</f>
        <v>398.43</v>
      </c>
      <c r="D2327" s="2">
        <f>IFERROR(__xludf.DUMMYFUNCTION("""COMPUTED_VALUE"""),389.59)</f>
        <v>389.59</v>
      </c>
      <c r="E2327" s="2">
        <f>IFERROR(__xludf.DUMMYFUNCTION("""COMPUTED_VALUE"""),393.85)</f>
        <v>393.85</v>
      </c>
      <c r="F2327" s="2">
        <f>IFERROR(__xludf.DUMMYFUNCTION("""COMPUTED_VALUE"""),4382352.0)</f>
        <v>4382352</v>
      </c>
    </row>
    <row r="2328">
      <c r="A2328" s="3">
        <f>IFERROR(__xludf.DUMMYFUNCTION("""COMPUTED_VALUE"""),40870.645833333336)</f>
        <v>40870.64583</v>
      </c>
      <c r="B2328" s="2">
        <f>IFERROR(__xludf.DUMMYFUNCTION("""COMPUTED_VALUE"""),391.23)</f>
        <v>391.23</v>
      </c>
      <c r="C2328" s="2">
        <f>IFERROR(__xludf.DUMMYFUNCTION("""COMPUTED_VALUE"""),391.23)</f>
        <v>391.23</v>
      </c>
      <c r="D2328" s="2">
        <f>IFERROR(__xludf.DUMMYFUNCTION("""COMPUTED_VALUE"""),374.34)</f>
        <v>374.34</v>
      </c>
      <c r="E2328" s="2">
        <f>IFERROR(__xludf.DUMMYFUNCTION("""COMPUTED_VALUE"""),383.05)</f>
        <v>383.05</v>
      </c>
      <c r="F2328" s="2">
        <f>IFERROR(__xludf.DUMMYFUNCTION("""COMPUTED_VALUE"""),5419769.0)</f>
        <v>5419769</v>
      </c>
    </row>
    <row r="2329">
      <c r="A2329" s="3">
        <f>IFERROR(__xludf.DUMMYFUNCTION("""COMPUTED_VALUE"""),40871.645833333336)</f>
        <v>40871.64583</v>
      </c>
      <c r="B2329" s="2">
        <f>IFERROR(__xludf.DUMMYFUNCTION("""COMPUTED_VALUE"""),383.85)</f>
        <v>383.85</v>
      </c>
      <c r="C2329" s="2">
        <f>IFERROR(__xludf.DUMMYFUNCTION("""COMPUTED_VALUE"""),385.33)</f>
        <v>385.33</v>
      </c>
      <c r="D2329" s="2">
        <f>IFERROR(__xludf.DUMMYFUNCTION("""COMPUTED_VALUE"""),373.03)</f>
        <v>373.03</v>
      </c>
      <c r="E2329" s="2">
        <f>IFERROR(__xludf.DUMMYFUNCTION("""COMPUTED_VALUE"""),382.93)</f>
        <v>382.93</v>
      </c>
      <c r="F2329" s="2">
        <f>IFERROR(__xludf.DUMMYFUNCTION("""COMPUTED_VALUE"""),6367715.0)</f>
        <v>6367715</v>
      </c>
    </row>
    <row r="2330">
      <c r="A2330" s="3">
        <f>IFERROR(__xludf.DUMMYFUNCTION("""COMPUTED_VALUE"""),40872.645833333336)</f>
        <v>40872.64583</v>
      </c>
      <c r="B2330" s="2">
        <f>IFERROR(__xludf.DUMMYFUNCTION("""COMPUTED_VALUE"""),381.22)</f>
        <v>381.22</v>
      </c>
      <c r="C2330" s="2">
        <f>IFERROR(__xludf.DUMMYFUNCTION("""COMPUTED_VALUE"""),381.99)</f>
        <v>381.99</v>
      </c>
      <c r="D2330" s="2">
        <f>IFERROR(__xludf.DUMMYFUNCTION("""COMPUTED_VALUE"""),371.96)</f>
        <v>371.96</v>
      </c>
      <c r="E2330" s="2">
        <f>IFERROR(__xludf.DUMMYFUNCTION("""COMPUTED_VALUE"""),373.35)</f>
        <v>373.35</v>
      </c>
      <c r="F2330" s="2">
        <f>IFERROR(__xludf.DUMMYFUNCTION("""COMPUTED_VALUE"""),3699725.0)</f>
        <v>3699725</v>
      </c>
    </row>
    <row r="2331">
      <c r="A2331" s="3">
        <f>IFERROR(__xludf.DUMMYFUNCTION("""COMPUTED_VALUE"""),40875.645833333336)</f>
        <v>40875.64583</v>
      </c>
      <c r="B2331" s="2">
        <f>IFERROR(__xludf.DUMMYFUNCTION("""COMPUTED_VALUE"""),378.89)</f>
        <v>378.89</v>
      </c>
      <c r="C2331" s="2">
        <f>IFERROR(__xludf.DUMMYFUNCTION("""COMPUTED_VALUE"""),389.2)</f>
        <v>389.2</v>
      </c>
      <c r="D2331" s="2">
        <f>IFERROR(__xludf.DUMMYFUNCTION("""COMPUTED_VALUE"""),377.68)</f>
        <v>377.68</v>
      </c>
      <c r="E2331" s="2">
        <f>IFERROR(__xludf.DUMMYFUNCTION("""COMPUTED_VALUE"""),388.21)</f>
        <v>388.21</v>
      </c>
      <c r="F2331" s="2">
        <f>IFERROR(__xludf.DUMMYFUNCTION("""COMPUTED_VALUE"""),2522069.0)</f>
        <v>2522069</v>
      </c>
    </row>
    <row r="2332">
      <c r="A2332" s="3">
        <f>IFERROR(__xludf.DUMMYFUNCTION("""COMPUTED_VALUE"""),40876.645833333336)</f>
        <v>40876.64583</v>
      </c>
      <c r="B2332" s="2">
        <f>IFERROR(__xludf.DUMMYFUNCTION("""COMPUTED_VALUE"""),387.31)</f>
        <v>387.31</v>
      </c>
      <c r="C2332" s="2">
        <f>IFERROR(__xludf.DUMMYFUNCTION("""COMPUTED_VALUE"""),387.31)</f>
        <v>387.31</v>
      </c>
      <c r="D2332" s="2">
        <f>IFERROR(__xludf.DUMMYFUNCTION("""COMPUTED_VALUE"""),376.0)</f>
        <v>376</v>
      </c>
      <c r="E2332" s="2">
        <f>IFERROR(__xludf.DUMMYFUNCTION("""COMPUTED_VALUE"""),378.89)</f>
        <v>378.89</v>
      </c>
      <c r="F2332" s="2">
        <f>IFERROR(__xludf.DUMMYFUNCTION("""COMPUTED_VALUE"""),4803440.0)</f>
        <v>4803440</v>
      </c>
    </row>
    <row r="2333">
      <c r="A2333" s="3">
        <f>IFERROR(__xludf.DUMMYFUNCTION("""COMPUTED_VALUE"""),40877.645833333336)</f>
        <v>40877.64583</v>
      </c>
      <c r="B2333" s="2">
        <f>IFERROR(__xludf.DUMMYFUNCTION("""COMPUTED_VALUE"""),374.78)</f>
        <v>374.78</v>
      </c>
      <c r="C2333" s="2">
        <f>IFERROR(__xludf.DUMMYFUNCTION("""COMPUTED_VALUE"""),387.96)</f>
        <v>387.96</v>
      </c>
      <c r="D2333" s="2">
        <f>IFERROR(__xludf.DUMMYFUNCTION("""COMPUTED_VALUE"""),373.0)</f>
        <v>373</v>
      </c>
      <c r="E2333" s="2">
        <f>IFERROR(__xludf.DUMMYFUNCTION("""COMPUTED_VALUE"""),385.46)</f>
        <v>385.46</v>
      </c>
      <c r="F2333" s="2">
        <f>IFERROR(__xludf.DUMMYFUNCTION("""COMPUTED_VALUE"""),4569146.0)</f>
        <v>4569146</v>
      </c>
    </row>
    <row r="2334">
      <c r="A2334" s="3">
        <f>IFERROR(__xludf.DUMMYFUNCTION("""COMPUTED_VALUE"""),40878.645833333336)</f>
        <v>40878.64583</v>
      </c>
      <c r="B2334" s="2">
        <f>IFERROR(__xludf.DUMMYFUNCTION("""COMPUTED_VALUE"""),395.73)</f>
        <v>395.73</v>
      </c>
      <c r="C2334" s="2">
        <f>IFERROR(__xludf.DUMMYFUNCTION("""COMPUTED_VALUE"""),401.55)</f>
        <v>401.55</v>
      </c>
      <c r="D2334" s="2">
        <f>IFERROR(__xludf.DUMMYFUNCTION("""COMPUTED_VALUE"""),393.85)</f>
        <v>393.85</v>
      </c>
      <c r="E2334" s="2">
        <f>IFERROR(__xludf.DUMMYFUNCTION("""COMPUTED_VALUE"""),395.73)</f>
        <v>395.73</v>
      </c>
      <c r="F2334" s="2">
        <f>IFERROR(__xludf.DUMMYFUNCTION("""COMPUTED_VALUE"""),4714967.0)</f>
        <v>4714967</v>
      </c>
    </row>
    <row r="2335">
      <c r="A2335" s="3">
        <f>IFERROR(__xludf.DUMMYFUNCTION("""COMPUTED_VALUE"""),40879.645833333336)</f>
        <v>40879.64583</v>
      </c>
      <c r="B2335" s="2">
        <f>IFERROR(__xludf.DUMMYFUNCTION("""COMPUTED_VALUE"""),394.74)</f>
        <v>394.74</v>
      </c>
      <c r="C2335" s="2">
        <f>IFERROR(__xludf.DUMMYFUNCTION("""COMPUTED_VALUE"""),403.66)</f>
        <v>403.66</v>
      </c>
      <c r="D2335" s="2">
        <f>IFERROR(__xludf.DUMMYFUNCTION("""COMPUTED_VALUE"""),389.57)</f>
        <v>389.57</v>
      </c>
      <c r="E2335" s="2">
        <f>IFERROR(__xludf.DUMMYFUNCTION("""COMPUTED_VALUE"""),402.2)</f>
        <v>402.2</v>
      </c>
      <c r="F2335" s="2">
        <f>IFERROR(__xludf.DUMMYFUNCTION("""COMPUTED_VALUE"""),4479880.0)</f>
        <v>4479880</v>
      </c>
    </row>
    <row r="2336">
      <c r="A2336" s="3">
        <f>IFERROR(__xludf.DUMMYFUNCTION("""COMPUTED_VALUE"""),40882.645833333336)</f>
        <v>40882.64583</v>
      </c>
      <c r="B2336" s="2">
        <f>IFERROR(__xludf.DUMMYFUNCTION("""COMPUTED_VALUE"""),400.37)</f>
        <v>400.37</v>
      </c>
      <c r="C2336" s="2">
        <f>IFERROR(__xludf.DUMMYFUNCTION("""COMPUTED_VALUE"""),402.27)</f>
        <v>402.27</v>
      </c>
      <c r="D2336" s="2">
        <f>IFERROR(__xludf.DUMMYFUNCTION("""COMPUTED_VALUE"""),395.41)</f>
        <v>395.41</v>
      </c>
      <c r="E2336" s="2">
        <f>IFERROR(__xludf.DUMMYFUNCTION("""COMPUTED_VALUE"""),399.57)</f>
        <v>399.57</v>
      </c>
      <c r="F2336" s="2">
        <f>IFERROR(__xludf.DUMMYFUNCTION("""COMPUTED_VALUE"""),3160834.0)</f>
        <v>3160834</v>
      </c>
    </row>
    <row r="2337">
      <c r="A2337" s="3">
        <f>IFERROR(__xludf.DUMMYFUNCTION("""COMPUTED_VALUE"""),40884.645833333336)</f>
        <v>40884.64583</v>
      </c>
      <c r="B2337" s="2">
        <f>IFERROR(__xludf.DUMMYFUNCTION("""COMPUTED_VALUE"""),399.7)</f>
        <v>399.7</v>
      </c>
      <c r="C2337" s="2">
        <f>IFERROR(__xludf.DUMMYFUNCTION("""COMPUTED_VALUE"""),405.89)</f>
        <v>405.89</v>
      </c>
      <c r="D2337" s="2">
        <f>IFERROR(__xludf.DUMMYFUNCTION("""COMPUTED_VALUE"""),397.81)</f>
        <v>397.81</v>
      </c>
      <c r="E2337" s="2">
        <f>IFERROR(__xludf.DUMMYFUNCTION("""COMPUTED_VALUE"""),401.08)</f>
        <v>401.08</v>
      </c>
      <c r="F2337" s="2">
        <f>IFERROR(__xludf.DUMMYFUNCTION("""COMPUTED_VALUE"""),3514150.0)</f>
        <v>3514150</v>
      </c>
    </row>
    <row r="2338">
      <c r="A2338" s="3">
        <f>IFERROR(__xludf.DUMMYFUNCTION("""COMPUTED_VALUE"""),40885.645833333336)</f>
        <v>40885.64583</v>
      </c>
      <c r="B2338" s="2">
        <f>IFERROR(__xludf.DUMMYFUNCTION("""COMPUTED_VALUE"""),397.22)</f>
        <v>397.22</v>
      </c>
      <c r="C2338" s="2">
        <f>IFERROR(__xludf.DUMMYFUNCTION("""COMPUTED_VALUE"""),400.04)</f>
        <v>400.04</v>
      </c>
      <c r="D2338" s="2">
        <f>IFERROR(__xludf.DUMMYFUNCTION("""COMPUTED_VALUE"""),382.41)</f>
        <v>382.41</v>
      </c>
      <c r="E2338" s="2">
        <f>IFERROR(__xludf.DUMMYFUNCTION("""COMPUTED_VALUE"""),385.75)</f>
        <v>385.75</v>
      </c>
      <c r="F2338" s="2">
        <f>IFERROR(__xludf.DUMMYFUNCTION("""COMPUTED_VALUE"""),4442697.0)</f>
        <v>4442697</v>
      </c>
    </row>
    <row r="2339">
      <c r="A2339" s="3">
        <f>IFERROR(__xludf.DUMMYFUNCTION("""COMPUTED_VALUE"""),40886.645833333336)</f>
        <v>40886.64583</v>
      </c>
      <c r="B2339" s="2">
        <f>IFERROR(__xludf.DUMMYFUNCTION("""COMPUTED_VALUE"""),381.32)</f>
        <v>381.32</v>
      </c>
      <c r="C2339" s="2">
        <f>IFERROR(__xludf.DUMMYFUNCTION("""COMPUTED_VALUE"""),381.32)</f>
        <v>381.32</v>
      </c>
      <c r="D2339" s="2">
        <f>IFERROR(__xludf.DUMMYFUNCTION("""COMPUTED_VALUE"""),372.8)</f>
        <v>372.8</v>
      </c>
      <c r="E2339" s="2">
        <f>IFERROR(__xludf.DUMMYFUNCTION("""COMPUTED_VALUE"""),374.29)</f>
        <v>374.29</v>
      </c>
      <c r="F2339" s="2">
        <f>IFERROR(__xludf.DUMMYFUNCTION("""COMPUTED_VALUE"""),5044876.0)</f>
        <v>5044876</v>
      </c>
    </row>
    <row r="2340">
      <c r="A2340" s="3">
        <f>IFERROR(__xludf.DUMMYFUNCTION("""COMPUTED_VALUE"""),40889.645833333336)</f>
        <v>40889.64583</v>
      </c>
      <c r="B2340" s="2">
        <f>IFERROR(__xludf.DUMMYFUNCTION("""COMPUTED_VALUE"""),376.69)</f>
        <v>376.69</v>
      </c>
      <c r="C2340" s="2">
        <f>IFERROR(__xludf.DUMMYFUNCTION("""COMPUTED_VALUE"""),377.41)</f>
        <v>377.41</v>
      </c>
      <c r="D2340" s="2">
        <f>IFERROR(__xludf.DUMMYFUNCTION("""COMPUTED_VALUE"""),358.59)</f>
        <v>358.59</v>
      </c>
      <c r="E2340" s="2">
        <f>IFERROR(__xludf.DUMMYFUNCTION("""COMPUTED_VALUE"""),360.32)</f>
        <v>360.32</v>
      </c>
      <c r="F2340" s="2">
        <f>IFERROR(__xludf.DUMMYFUNCTION("""COMPUTED_VALUE"""),5097034.0)</f>
        <v>5097034</v>
      </c>
    </row>
    <row r="2341">
      <c r="A2341" s="3">
        <f>IFERROR(__xludf.DUMMYFUNCTION("""COMPUTED_VALUE"""),40890.645833333336)</f>
        <v>40890.64583</v>
      </c>
      <c r="B2341" s="2">
        <f>IFERROR(__xludf.DUMMYFUNCTION("""COMPUTED_VALUE"""),358.54)</f>
        <v>358.54</v>
      </c>
      <c r="C2341" s="2">
        <f>IFERROR(__xludf.DUMMYFUNCTION("""COMPUTED_VALUE"""),369.48)</f>
        <v>369.48</v>
      </c>
      <c r="D2341" s="2">
        <f>IFERROR(__xludf.DUMMYFUNCTION("""COMPUTED_VALUE"""),357.1)</f>
        <v>357.1</v>
      </c>
      <c r="E2341" s="2">
        <f>IFERROR(__xludf.DUMMYFUNCTION("""COMPUTED_VALUE"""),367.65)</f>
        <v>367.65</v>
      </c>
      <c r="F2341" s="2">
        <f>IFERROR(__xludf.DUMMYFUNCTION("""COMPUTED_VALUE"""),5228468.0)</f>
        <v>5228468</v>
      </c>
    </row>
    <row r="2342">
      <c r="A2342" s="3">
        <f>IFERROR(__xludf.DUMMYFUNCTION("""COMPUTED_VALUE"""),40891.645833333336)</f>
        <v>40891.64583</v>
      </c>
      <c r="B2342" s="2">
        <f>IFERROR(__xludf.DUMMYFUNCTION("""COMPUTED_VALUE"""),365.52)</f>
        <v>365.52</v>
      </c>
      <c r="C2342" s="2">
        <f>IFERROR(__xludf.DUMMYFUNCTION("""COMPUTED_VALUE"""),373.4)</f>
        <v>373.4</v>
      </c>
      <c r="D2342" s="2">
        <f>IFERROR(__xludf.DUMMYFUNCTION("""COMPUTED_VALUE"""),363.24)</f>
        <v>363.24</v>
      </c>
      <c r="E2342" s="2">
        <f>IFERROR(__xludf.DUMMYFUNCTION("""COMPUTED_VALUE"""),367.45)</f>
        <v>367.45</v>
      </c>
      <c r="F2342" s="2">
        <f>IFERROR(__xludf.DUMMYFUNCTION("""COMPUTED_VALUE"""),5304706.0)</f>
        <v>5304706</v>
      </c>
    </row>
    <row r="2343">
      <c r="A2343" s="3">
        <f>IFERROR(__xludf.DUMMYFUNCTION("""COMPUTED_VALUE"""),40892.645833333336)</f>
        <v>40892.64583</v>
      </c>
      <c r="B2343" s="2">
        <f>IFERROR(__xludf.DUMMYFUNCTION("""COMPUTED_VALUE"""),362.5)</f>
        <v>362.5</v>
      </c>
      <c r="C2343" s="2">
        <f>IFERROR(__xludf.DUMMYFUNCTION("""COMPUTED_VALUE"""),373.69)</f>
        <v>373.69</v>
      </c>
      <c r="D2343" s="2">
        <f>IFERROR(__xludf.DUMMYFUNCTION("""COMPUTED_VALUE"""),358.34)</f>
        <v>358.34</v>
      </c>
      <c r="E2343" s="2">
        <f>IFERROR(__xludf.DUMMYFUNCTION("""COMPUTED_VALUE"""),371.54)</f>
        <v>371.54</v>
      </c>
      <c r="F2343" s="2">
        <f>IFERROR(__xludf.DUMMYFUNCTION("""COMPUTED_VALUE"""),6611139.0)</f>
        <v>6611139</v>
      </c>
    </row>
    <row r="2344">
      <c r="A2344" s="3">
        <f>IFERROR(__xludf.DUMMYFUNCTION("""COMPUTED_VALUE"""),40893.645833333336)</f>
        <v>40893.64583</v>
      </c>
      <c r="B2344" s="2">
        <f>IFERROR(__xludf.DUMMYFUNCTION("""COMPUTED_VALUE"""),370.97)</f>
        <v>370.97</v>
      </c>
      <c r="C2344" s="2">
        <f>IFERROR(__xludf.DUMMYFUNCTION("""COMPUTED_VALUE"""),418.32)</f>
        <v>418.32</v>
      </c>
      <c r="D2344" s="2">
        <f>IFERROR(__xludf.DUMMYFUNCTION("""COMPUTED_VALUE"""),354.65)</f>
        <v>354.65</v>
      </c>
      <c r="E2344" s="2">
        <f>IFERROR(__xludf.DUMMYFUNCTION("""COMPUTED_VALUE"""),357.52)</f>
        <v>357.52</v>
      </c>
      <c r="F2344" s="2">
        <f>IFERROR(__xludf.DUMMYFUNCTION("""COMPUTED_VALUE"""),5828713.0)</f>
        <v>5828713</v>
      </c>
    </row>
    <row r="2345">
      <c r="A2345" s="3">
        <f>IFERROR(__xludf.DUMMYFUNCTION("""COMPUTED_VALUE"""),40896.645833333336)</f>
        <v>40896.64583</v>
      </c>
      <c r="B2345" s="2">
        <f>IFERROR(__xludf.DUMMYFUNCTION("""COMPUTED_VALUE"""),356.21)</f>
        <v>356.21</v>
      </c>
      <c r="C2345" s="2">
        <f>IFERROR(__xludf.DUMMYFUNCTION("""COMPUTED_VALUE"""),366.46)</f>
        <v>366.46</v>
      </c>
      <c r="D2345" s="2">
        <f>IFERROR(__xludf.DUMMYFUNCTION("""COMPUTED_VALUE"""),354.2)</f>
        <v>354.2</v>
      </c>
      <c r="E2345" s="2">
        <f>IFERROR(__xludf.DUMMYFUNCTION("""COMPUTED_VALUE"""),364.18)</f>
        <v>364.18</v>
      </c>
      <c r="F2345" s="2">
        <f>IFERROR(__xludf.DUMMYFUNCTION("""COMPUTED_VALUE"""),4714116.0)</f>
        <v>4714116</v>
      </c>
    </row>
    <row r="2346">
      <c r="A2346" s="3">
        <f>IFERROR(__xludf.DUMMYFUNCTION("""COMPUTED_VALUE"""),40897.645833333336)</f>
        <v>40897.64583</v>
      </c>
      <c r="B2346" s="2">
        <f>IFERROR(__xludf.DUMMYFUNCTION("""COMPUTED_VALUE"""),367.35)</f>
        <v>367.35</v>
      </c>
      <c r="C2346" s="2">
        <f>IFERROR(__xludf.DUMMYFUNCTION("""COMPUTED_VALUE"""),367.35)</f>
        <v>367.35</v>
      </c>
      <c r="D2346" s="2">
        <f>IFERROR(__xludf.DUMMYFUNCTION("""COMPUTED_VALUE"""),351.26)</f>
        <v>351.26</v>
      </c>
      <c r="E2346" s="2">
        <f>IFERROR(__xludf.DUMMYFUNCTION("""COMPUTED_VALUE"""),353.36)</f>
        <v>353.36</v>
      </c>
      <c r="F2346" s="2">
        <f>IFERROR(__xludf.DUMMYFUNCTION("""COMPUTED_VALUE"""),5550563.0)</f>
        <v>5550563</v>
      </c>
    </row>
    <row r="2347">
      <c r="A2347" s="3">
        <f>IFERROR(__xludf.DUMMYFUNCTION("""COMPUTED_VALUE"""),40898.645833333336)</f>
        <v>40898.64583</v>
      </c>
      <c r="B2347" s="2">
        <f>IFERROR(__xludf.DUMMYFUNCTION("""COMPUTED_VALUE"""),360.07)</f>
        <v>360.07</v>
      </c>
      <c r="C2347" s="2">
        <f>IFERROR(__xludf.DUMMYFUNCTION("""COMPUTED_VALUE"""),373.32)</f>
        <v>373.32</v>
      </c>
      <c r="D2347" s="2">
        <f>IFERROR(__xludf.DUMMYFUNCTION("""COMPUTED_VALUE"""),357.94)</f>
        <v>357.94</v>
      </c>
      <c r="E2347" s="2">
        <f>IFERROR(__xludf.DUMMYFUNCTION("""COMPUTED_VALUE"""),370.47)</f>
        <v>370.47</v>
      </c>
      <c r="F2347" s="2">
        <f>IFERROR(__xludf.DUMMYFUNCTION("""COMPUTED_VALUE"""),4563405.0)</f>
        <v>4563405</v>
      </c>
    </row>
    <row r="2348">
      <c r="A2348" s="3">
        <f>IFERROR(__xludf.DUMMYFUNCTION("""COMPUTED_VALUE"""),40899.645833333336)</f>
        <v>40899.64583</v>
      </c>
      <c r="B2348" s="2">
        <f>IFERROR(__xludf.DUMMYFUNCTION("""COMPUTED_VALUE"""),367.18)</f>
        <v>367.18</v>
      </c>
      <c r="C2348" s="2">
        <f>IFERROR(__xludf.DUMMYFUNCTION("""COMPUTED_VALUE"""),376.57)</f>
        <v>376.57</v>
      </c>
      <c r="D2348" s="2">
        <f>IFERROR(__xludf.DUMMYFUNCTION("""COMPUTED_VALUE"""),363.05)</f>
        <v>363.05</v>
      </c>
      <c r="E2348" s="2">
        <f>IFERROR(__xludf.DUMMYFUNCTION("""COMPUTED_VALUE"""),373.72)</f>
        <v>373.72</v>
      </c>
      <c r="F2348" s="2">
        <f>IFERROR(__xludf.DUMMYFUNCTION("""COMPUTED_VALUE"""),4473719.0)</f>
        <v>4473719</v>
      </c>
    </row>
    <row r="2349">
      <c r="A2349" s="3">
        <f>IFERROR(__xludf.DUMMYFUNCTION("""COMPUTED_VALUE"""),40900.645833333336)</f>
        <v>40900.64583</v>
      </c>
      <c r="B2349" s="2">
        <f>IFERROR(__xludf.DUMMYFUNCTION("""COMPUTED_VALUE"""),376.42)</f>
        <v>376.42</v>
      </c>
      <c r="C2349" s="2">
        <f>IFERROR(__xludf.DUMMYFUNCTION("""COMPUTED_VALUE"""),381.25)</f>
        <v>381.25</v>
      </c>
      <c r="D2349" s="2">
        <f>IFERROR(__xludf.DUMMYFUNCTION("""COMPUTED_VALUE"""),367.7)</f>
        <v>367.7</v>
      </c>
      <c r="E2349" s="2">
        <f>IFERROR(__xludf.DUMMYFUNCTION("""COMPUTED_VALUE"""),369.68)</f>
        <v>369.68</v>
      </c>
      <c r="F2349" s="2">
        <f>IFERROR(__xludf.DUMMYFUNCTION("""COMPUTED_VALUE"""),3511075.0)</f>
        <v>3511075</v>
      </c>
    </row>
    <row r="2350">
      <c r="A2350" s="3">
        <f>IFERROR(__xludf.DUMMYFUNCTION("""COMPUTED_VALUE"""),40903.645833333336)</f>
        <v>40903.64583</v>
      </c>
      <c r="B2350" s="2">
        <f>IFERROR(__xludf.DUMMYFUNCTION("""COMPUTED_VALUE"""),370.0)</f>
        <v>370</v>
      </c>
      <c r="C2350" s="2">
        <f>IFERROR(__xludf.DUMMYFUNCTION("""COMPUTED_VALUE"""),378.8)</f>
        <v>378.8</v>
      </c>
      <c r="D2350" s="2">
        <f>IFERROR(__xludf.DUMMYFUNCTION("""COMPUTED_VALUE"""),369.26)</f>
        <v>369.26</v>
      </c>
      <c r="E2350" s="2">
        <f>IFERROR(__xludf.DUMMYFUNCTION("""COMPUTED_VALUE"""),376.91)</f>
        <v>376.91</v>
      </c>
      <c r="F2350" s="2">
        <f>IFERROR(__xludf.DUMMYFUNCTION("""COMPUTED_VALUE"""),2376469.0)</f>
        <v>2376469</v>
      </c>
    </row>
    <row r="2351">
      <c r="A2351" s="3">
        <f>IFERROR(__xludf.DUMMYFUNCTION("""COMPUTED_VALUE"""),40904.645833333336)</f>
        <v>40904.64583</v>
      </c>
      <c r="B2351" s="2">
        <f>IFERROR(__xludf.DUMMYFUNCTION("""COMPUTED_VALUE"""),379.39)</f>
        <v>379.39</v>
      </c>
      <c r="C2351" s="2">
        <f>IFERROR(__xludf.DUMMYFUNCTION("""COMPUTED_VALUE"""),380.73)</f>
        <v>380.73</v>
      </c>
      <c r="D2351" s="2">
        <f>IFERROR(__xludf.DUMMYFUNCTION("""COMPUTED_VALUE"""),369.16)</f>
        <v>369.16</v>
      </c>
      <c r="E2351" s="2">
        <f>IFERROR(__xludf.DUMMYFUNCTION("""COMPUTED_VALUE"""),372.98)</f>
        <v>372.98</v>
      </c>
      <c r="F2351" s="2">
        <f>IFERROR(__xludf.DUMMYFUNCTION("""COMPUTED_VALUE"""),3074308.0)</f>
        <v>3074308</v>
      </c>
    </row>
    <row r="2352">
      <c r="A2352" s="3">
        <f>IFERROR(__xludf.DUMMYFUNCTION("""COMPUTED_VALUE"""),40905.645833333336)</f>
        <v>40905.64583</v>
      </c>
      <c r="B2352" s="2">
        <f>IFERROR(__xludf.DUMMYFUNCTION("""COMPUTED_VALUE"""),375.28)</f>
        <v>375.28</v>
      </c>
      <c r="C2352" s="2">
        <f>IFERROR(__xludf.DUMMYFUNCTION("""COMPUTED_VALUE"""),375.68)</f>
        <v>375.68</v>
      </c>
      <c r="D2352" s="2">
        <f>IFERROR(__xludf.DUMMYFUNCTION("""COMPUTED_VALUE"""),364.21)</f>
        <v>364.21</v>
      </c>
      <c r="E2352" s="2">
        <f>IFERROR(__xludf.DUMMYFUNCTION("""COMPUTED_VALUE"""),366.04)</f>
        <v>366.04</v>
      </c>
      <c r="F2352" s="2">
        <f>IFERROR(__xludf.DUMMYFUNCTION("""COMPUTED_VALUE"""),2829068.0)</f>
        <v>2829068</v>
      </c>
    </row>
    <row r="2353">
      <c r="A2353" s="3">
        <f>IFERROR(__xludf.DUMMYFUNCTION("""COMPUTED_VALUE"""),40906.645833333336)</f>
        <v>40906.64583</v>
      </c>
      <c r="B2353" s="2">
        <f>IFERROR(__xludf.DUMMYFUNCTION("""COMPUTED_VALUE"""),363.37)</f>
        <v>363.37</v>
      </c>
      <c r="C2353" s="2">
        <f>IFERROR(__xludf.DUMMYFUNCTION("""COMPUTED_VALUE"""),366.02)</f>
        <v>366.02</v>
      </c>
      <c r="D2353" s="2">
        <f>IFERROR(__xludf.DUMMYFUNCTION("""COMPUTED_VALUE"""),350.27)</f>
        <v>350.27</v>
      </c>
      <c r="E2353" s="2">
        <f>IFERROR(__xludf.DUMMYFUNCTION("""COMPUTED_VALUE"""),352.59)</f>
        <v>352.59</v>
      </c>
      <c r="F2353" s="2">
        <f>IFERROR(__xludf.DUMMYFUNCTION("""COMPUTED_VALUE"""),5449524.0)</f>
        <v>5449524</v>
      </c>
    </row>
    <row r="2354">
      <c r="A2354" s="3">
        <f>IFERROR(__xludf.DUMMYFUNCTION("""COMPUTED_VALUE"""),40907.645833333336)</f>
        <v>40907.64583</v>
      </c>
      <c r="B2354" s="2">
        <f>IFERROR(__xludf.DUMMYFUNCTION("""COMPUTED_VALUE"""),353.14)</f>
        <v>353.14</v>
      </c>
      <c r="C2354" s="2">
        <f>IFERROR(__xludf.DUMMYFUNCTION("""COMPUTED_VALUE"""),356.88)</f>
        <v>356.88</v>
      </c>
      <c r="D2354" s="2">
        <f>IFERROR(__xludf.DUMMYFUNCTION("""COMPUTED_VALUE"""),341.25)</f>
        <v>341.25</v>
      </c>
      <c r="E2354" s="2">
        <f>IFERROR(__xludf.DUMMYFUNCTION("""COMPUTED_VALUE"""),343.21)</f>
        <v>343.21</v>
      </c>
      <c r="F2354" s="2">
        <f>IFERROR(__xludf.DUMMYFUNCTION("""COMPUTED_VALUE"""),6662330.0)</f>
        <v>6662330</v>
      </c>
    </row>
    <row r="2355">
      <c r="A2355" s="3">
        <f>IFERROR(__xludf.DUMMYFUNCTION("""COMPUTED_VALUE"""),40910.645833333336)</f>
        <v>40910.64583</v>
      </c>
      <c r="B2355" s="2">
        <f>IFERROR(__xludf.DUMMYFUNCTION("""COMPUTED_VALUE"""),345.12)</f>
        <v>345.12</v>
      </c>
      <c r="C2355" s="2">
        <f>IFERROR(__xludf.DUMMYFUNCTION("""COMPUTED_VALUE"""),351.53)</f>
        <v>351.53</v>
      </c>
      <c r="D2355" s="2">
        <f>IFERROR(__xludf.DUMMYFUNCTION("""COMPUTED_VALUE"""),340.34)</f>
        <v>340.34</v>
      </c>
      <c r="E2355" s="2">
        <f>IFERROR(__xludf.DUMMYFUNCTION("""COMPUTED_VALUE"""),349.94)</f>
        <v>349.94</v>
      </c>
      <c r="F2355" s="2">
        <f>IFERROR(__xludf.DUMMYFUNCTION("""COMPUTED_VALUE"""),4299217.0)</f>
        <v>4299217</v>
      </c>
    </row>
    <row r="2356">
      <c r="A2356" s="3">
        <f>IFERROR(__xludf.DUMMYFUNCTION("""COMPUTED_VALUE"""),40911.645833333336)</f>
        <v>40911.64583</v>
      </c>
      <c r="B2356" s="2">
        <f>IFERROR(__xludf.DUMMYFUNCTION("""COMPUTED_VALUE"""),352.77)</f>
        <v>352.77</v>
      </c>
      <c r="C2356" s="2">
        <f>IFERROR(__xludf.DUMMYFUNCTION("""COMPUTED_VALUE"""),360.02)</f>
        <v>360.02</v>
      </c>
      <c r="D2356" s="2">
        <f>IFERROR(__xludf.DUMMYFUNCTION("""COMPUTED_VALUE"""),351.83)</f>
        <v>351.83</v>
      </c>
      <c r="E2356" s="2">
        <f>IFERROR(__xludf.DUMMYFUNCTION("""COMPUTED_VALUE"""),358.91)</f>
        <v>358.91</v>
      </c>
      <c r="F2356" s="2">
        <f>IFERROR(__xludf.DUMMYFUNCTION("""COMPUTED_VALUE"""),4683491.0)</f>
        <v>4683491</v>
      </c>
    </row>
    <row r="2357">
      <c r="A2357" s="3">
        <f>IFERROR(__xludf.DUMMYFUNCTION("""COMPUTED_VALUE"""),40912.645833333336)</f>
        <v>40912.64583</v>
      </c>
      <c r="B2357" s="2">
        <f>IFERROR(__xludf.DUMMYFUNCTION("""COMPUTED_VALUE"""),360.27)</f>
        <v>360.27</v>
      </c>
      <c r="C2357" s="2">
        <f>IFERROR(__xludf.DUMMYFUNCTION("""COMPUTED_VALUE"""),362.03)</f>
        <v>362.03</v>
      </c>
      <c r="D2357" s="2">
        <f>IFERROR(__xludf.DUMMYFUNCTION("""COMPUTED_VALUE"""),353.31)</f>
        <v>353.31</v>
      </c>
      <c r="E2357" s="2">
        <f>IFERROR(__xludf.DUMMYFUNCTION("""COMPUTED_VALUE"""),354.7)</f>
        <v>354.7</v>
      </c>
      <c r="F2357" s="2">
        <f>IFERROR(__xludf.DUMMYFUNCTION("""COMPUTED_VALUE"""),4238367.0)</f>
        <v>4238367</v>
      </c>
    </row>
    <row r="2358">
      <c r="A2358" s="3">
        <f>IFERROR(__xludf.DUMMYFUNCTION("""COMPUTED_VALUE"""),40913.645833333336)</f>
        <v>40913.64583</v>
      </c>
      <c r="B2358" s="2">
        <f>IFERROR(__xludf.DUMMYFUNCTION("""COMPUTED_VALUE"""),354.13)</f>
        <v>354.13</v>
      </c>
      <c r="C2358" s="2">
        <f>IFERROR(__xludf.DUMMYFUNCTION("""COMPUTED_VALUE"""),359.06)</f>
        <v>359.06</v>
      </c>
      <c r="D2358" s="2">
        <f>IFERROR(__xludf.DUMMYFUNCTION("""COMPUTED_VALUE"""),343.78)</f>
        <v>343.78</v>
      </c>
      <c r="E2358" s="2">
        <f>IFERROR(__xludf.DUMMYFUNCTION("""COMPUTED_VALUE"""),346.45)</f>
        <v>346.45</v>
      </c>
      <c r="F2358" s="2">
        <f>IFERROR(__xludf.DUMMYFUNCTION("""COMPUTED_VALUE"""),6619586.0)</f>
        <v>6619586</v>
      </c>
    </row>
    <row r="2359">
      <c r="A2359" s="3">
        <f>IFERROR(__xludf.DUMMYFUNCTION("""COMPUTED_VALUE"""),40914.645833333336)</f>
        <v>40914.64583</v>
      </c>
      <c r="B2359" s="2">
        <f>IFERROR(__xludf.DUMMYFUNCTION("""COMPUTED_VALUE"""),345.24)</f>
        <v>345.24</v>
      </c>
      <c r="C2359" s="2">
        <f>IFERROR(__xludf.DUMMYFUNCTION("""COMPUTED_VALUE"""),358.59)</f>
        <v>358.59</v>
      </c>
      <c r="D2359" s="2">
        <f>IFERROR(__xludf.DUMMYFUNCTION("""COMPUTED_VALUE"""),345.04)</f>
        <v>345.04</v>
      </c>
      <c r="E2359" s="2">
        <f>IFERROR(__xludf.DUMMYFUNCTION("""COMPUTED_VALUE"""),355.39)</f>
        <v>355.39</v>
      </c>
      <c r="F2359" s="2">
        <f>IFERROR(__xludf.DUMMYFUNCTION("""COMPUTED_VALUE"""),4703147.0)</f>
        <v>4703147</v>
      </c>
    </row>
    <row r="2360">
      <c r="A2360" s="3">
        <f>IFERROR(__xludf.DUMMYFUNCTION("""COMPUTED_VALUE"""),40917.645833333336)</f>
        <v>40917.64583</v>
      </c>
      <c r="B2360" s="2">
        <f>IFERROR(__xludf.DUMMYFUNCTION("""COMPUTED_VALUE"""),353.86)</f>
        <v>353.86</v>
      </c>
      <c r="C2360" s="2">
        <f>IFERROR(__xludf.DUMMYFUNCTION("""COMPUTED_VALUE"""),353.86)</f>
        <v>353.86</v>
      </c>
      <c r="D2360" s="2">
        <f>IFERROR(__xludf.DUMMYFUNCTION("""COMPUTED_VALUE"""),347.91)</f>
        <v>347.91</v>
      </c>
      <c r="E2360" s="2">
        <f>IFERROR(__xludf.DUMMYFUNCTION("""COMPUTED_VALUE"""),349.8)</f>
        <v>349.8</v>
      </c>
      <c r="F2360" s="2">
        <f>IFERROR(__xludf.DUMMYFUNCTION("""COMPUTED_VALUE"""),4202878.0)</f>
        <v>4202878</v>
      </c>
    </row>
    <row r="2361">
      <c r="A2361" s="3">
        <f>IFERROR(__xludf.DUMMYFUNCTION("""COMPUTED_VALUE"""),40918.645833333336)</f>
        <v>40918.64583</v>
      </c>
      <c r="B2361" s="2">
        <f>IFERROR(__xludf.DUMMYFUNCTION("""COMPUTED_VALUE"""),352.64)</f>
        <v>352.64</v>
      </c>
      <c r="C2361" s="2">
        <f>IFERROR(__xludf.DUMMYFUNCTION("""COMPUTED_VALUE"""),366.02)</f>
        <v>366.02</v>
      </c>
      <c r="D2361" s="2">
        <f>IFERROR(__xludf.DUMMYFUNCTION("""COMPUTED_VALUE"""),352.64)</f>
        <v>352.64</v>
      </c>
      <c r="E2361" s="2">
        <f>IFERROR(__xludf.DUMMYFUNCTION("""COMPUTED_VALUE"""),364.63)</f>
        <v>364.63</v>
      </c>
      <c r="F2361" s="2">
        <f>IFERROR(__xludf.DUMMYFUNCTION("""COMPUTED_VALUE"""),4507724.0)</f>
        <v>4507724</v>
      </c>
    </row>
    <row r="2362">
      <c r="A2362" s="3">
        <f>IFERROR(__xludf.DUMMYFUNCTION("""COMPUTED_VALUE"""),40919.645833333336)</f>
        <v>40919.64583</v>
      </c>
      <c r="B2362" s="2">
        <f>IFERROR(__xludf.DUMMYFUNCTION("""COMPUTED_VALUE"""),365.47)</f>
        <v>365.47</v>
      </c>
      <c r="C2362" s="2">
        <f>IFERROR(__xludf.DUMMYFUNCTION("""COMPUTED_VALUE"""),372.95)</f>
        <v>372.95</v>
      </c>
      <c r="D2362" s="2">
        <f>IFERROR(__xludf.DUMMYFUNCTION("""COMPUTED_VALUE"""),362.3)</f>
        <v>362.3</v>
      </c>
      <c r="E2362" s="2">
        <f>IFERROR(__xludf.DUMMYFUNCTION("""COMPUTED_VALUE"""),370.6)</f>
        <v>370.6</v>
      </c>
      <c r="F2362" s="2">
        <f>IFERROR(__xludf.DUMMYFUNCTION("""COMPUTED_VALUE"""),4842143.0)</f>
        <v>4842143</v>
      </c>
    </row>
    <row r="2363">
      <c r="A2363" s="3">
        <f>IFERROR(__xludf.DUMMYFUNCTION("""COMPUTED_VALUE"""),40920.645833333336)</f>
        <v>40920.64583</v>
      </c>
      <c r="B2363" s="2">
        <f>IFERROR(__xludf.DUMMYFUNCTION("""COMPUTED_VALUE"""),370.23)</f>
        <v>370.23</v>
      </c>
      <c r="C2363" s="2">
        <f>IFERROR(__xludf.DUMMYFUNCTION("""COMPUTED_VALUE"""),372.93)</f>
        <v>372.93</v>
      </c>
      <c r="D2363" s="2">
        <f>IFERROR(__xludf.DUMMYFUNCTION("""COMPUTED_VALUE"""),362.85)</f>
        <v>362.85</v>
      </c>
      <c r="E2363" s="2">
        <f>IFERROR(__xludf.DUMMYFUNCTION("""COMPUTED_VALUE"""),364.98)</f>
        <v>364.98</v>
      </c>
      <c r="F2363" s="2">
        <f>IFERROR(__xludf.DUMMYFUNCTION("""COMPUTED_VALUE"""),3251624.0)</f>
        <v>3251624</v>
      </c>
    </row>
    <row r="2364">
      <c r="A2364" s="3">
        <f>IFERROR(__xludf.DUMMYFUNCTION("""COMPUTED_VALUE"""),40921.645833333336)</f>
        <v>40921.64583</v>
      </c>
      <c r="B2364" s="2">
        <f>IFERROR(__xludf.DUMMYFUNCTION("""COMPUTED_VALUE"""),367.5)</f>
        <v>367.5</v>
      </c>
      <c r="C2364" s="2">
        <f>IFERROR(__xludf.DUMMYFUNCTION("""COMPUTED_VALUE"""),371.94)</f>
        <v>371.94</v>
      </c>
      <c r="D2364" s="2">
        <f>IFERROR(__xludf.DUMMYFUNCTION("""COMPUTED_VALUE"""),360.62)</f>
        <v>360.62</v>
      </c>
      <c r="E2364" s="2">
        <f>IFERROR(__xludf.DUMMYFUNCTION("""COMPUTED_VALUE"""),362.45)</f>
        <v>362.45</v>
      </c>
      <c r="F2364" s="2">
        <f>IFERROR(__xludf.DUMMYFUNCTION("""COMPUTED_VALUE"""),4692930.0)</f>
        <v>4692930</v>
      </c>
    </row>
    <row r="2365">
      <c r="A2365" s="3">
        <f>IFERROR(__xludf.DUMMYFUNCTION("""COMPUTED_VALUE"""),40924.645833333336)</f>
        <v>40924.64583</v>
      </c>
      <c r="B2365" s="2">
        <f>IFERROR(__xludf.DUMMYFUNCTION("""COMPUTED_VALUE"""),361.53)</f>
        <v>361.53</v>
      </c>
      <c r="C2365" s="2">
        <f>IFERROR(__xludf.DUMMYFUNCTION("""COMPUTED_VALUE"""),361.53)</f>
        <v>361.53</v>
      </c>
      <c r="D2365" s="2">
        <f>IFERROR(__xludf.DUMMYFUNCTION("""COMPUTED_VALUE"""),352.15)</f>
        <v>352.15</v>
      </c>
      <c r="E2365" s="2">
        <f>IFERROR(__xludf.DUMMYFUNCTION("""COMPUTED_VALUE"""),353.11)</f>
        <v>353.11</v>
      </c>
      <c r="F2365" s="2">
        <f>IFERROR(__xludf.DUMMYFUNCTION("""COMPUTED_VALUE"""),4067488.0)</f>
        <v>4067488</v>
      </c>
    </row>
    <row r="2366">
      <c r="A2366" s="3">
        <f>IFERROR(__xludf.DUMMYFUNCTION("""COMPUTED_VALUE"""),40925.645833333336)</f>
        <v>40925.64583</v>
      </c>
      <c r="B2366" s="2">
        <f>IFERROR(__xludf.DUMMYFUNCTION("""COMPUTED_VALUE"""),354.63)</f>
        <v>354.63</v>
      </c>
      <c r="C2366" s="2">
        <f>IFERROR(__xludf.DUMMYFUNCTION("""COMPUTED_VALUE"""),368.69)</f>
        <v>368.69</v>
      </c>
      <c r="D2366" s="2">
        <f>IFERROR(__xludf.DUMMYFUNCTION("""COMPUTED_VALUE"""),354.63)</f>
        <v>354.63</v>
      </c>
      <c r="E2366" s="2">
        <f>IFERROR(__xludf.DUMMYFUNCTION("""COMPUTED_VALUE"""),367.53)</f>
        <v>367.53</v>
      </c>
      <c r="F2366" s="2">
        <f>IFERROR(__xludf.DUMMYFUNCTION("""COMPUTED_VALUE"""),5197636.0)</f>
        <v>5197636</v>
      </c>
    </row>
    <row r="2367">
      <c r="A2367" s="3">
        <f>IFERROR(__xludf.DUMMYFUNCTION("""COMPUTED_VALUE"""),40926.645833333336)</f>
        <v>40926.64583</v>
      </c>
      <c r="B2367" s="2">
        <f>IFERROR(__xludf.DUMMYFUNCTION("""COMPUTED_VALUE"""),377.41)</f>
        <v>377.41</v>
      </c>
      <c r="C2367" s="2">
        <f>IFERROR(__xludf.DUMMYFUNCTION("""COMPUTED_VALUE"""),390.24)</f>
        <v>390.24</v>
      </c>
      <c r="D2367" s="2">
        <f>IFERROR(__xludf.DUMMYFUNCTION("""COMPUTED_VALUE"""),375.45)</f>
        <v>375.45</v>
      </c>
      <c r="E2367" s="2">
        <f>IFERROR(__xludf.DUMMYFUNCTION("""COMPUTED_VALUE"""),386.2)</f>
        <v>386.2</v>
      </c>
      <c r="F2367" s="2">
        <f>IFERROR(__xludf.DUMMYFUNCTION("""COMPUTED_VALUE"""),9248756.0)</f>
        <v>9248756</v>
      </c>
    </row>
    <row r="2368">
      <c r="A2368" s="3">
        <f>IFERROR(__xludf.DUMMYFUNCTION("""COMPUTED_VALUE"""),40927.645833333336)</f>
        <v>40927.64583</v>
      </c>
      <c r="B2368" s="2">
        <f>IFERROR(__xludf.DUMMYFUNCTION("""COMPUTED_VALUE"""),390.78)</f>
        <v>390.78</v>
      </c>
      <c r="C2368" s="2">
        <f>IFERROR(__xludf.DUMMYFUNCTION("""COMPUTED_VALUE"""),394.22)</f>
        <v>394.22</v>
      </c>
      <c r="D2368" s="2">
        <f>IFERROR(__xludf.DUMMYFUNCTION("""COMPUTED_VALUE"""),387.36)</f>
        <v>387.36</v>
      </c>
      <c r="E2368" s="2">
        <f>IFERROR(__xludf.DUMMYFUNCTION("""COMPUTED_VALUE"""),389.12)</f>
        <v>389.12</v>
      </c>
      <c r="F2368" s="2">
        <f>IFERROR(__xludf.DUMMYFUNCTION("""COMPUTED_VALUE"""),5483508.0)</f>
        <v>5483508</v>
      </c>
    </row>
    <row r="2369">
      <c r="A2369" s="3">
        <f>IFERROR(__xludf.DUMMYFUNCTION("""COMPUTED_VALUE"""),40928.645833333336)</f>
        <v>40928.64583</v>
      </c>
      <c r="B2369" s="2">
        <f>IFERROR(__xludf.DUMMYFUNCTION("""COMPUTED_VALUE"""),391.28)</f>
        <v>391.28</v>
      </c>
      <c r="C2369" s="2">
        <f>IFERROR(__xludf.DUMMYFUNCTION("""COMPUTED_VALUE"""),396.23)</f>
        <v>396.23</v>
      </c>
      <c r="D2369" s="2">
        <f>IFERROR(__xludf.DUMMYFUNCTION("""COMPUTED_VALUE"""),382.39)</f>
        <v>382.39</v>
      </c>
      <c r="E2369" s="2">
        <f>IFERROR(__xludf.DUMMYFUNCTION("""COMPUTED_VALUE"""),392.59)</f>
        <v>392.59</v>
      </c>
      <c r="F2369" s="2">
        <f>IFERROR(__xludf.DUMMYFUNCTION("""COMPUTED_VALUE"""),7251864.0)</f>
        <v>7251864</v>
      </c>
    </row>
    <row r="2370">
      <c r="A2370" s="3">
        <f>IFERROR(__xludf.DUMMYFUNCTION("""COMPUTED_VALUE"""),40931.645833333336)</f>
        <v>40931.64583</v>
      </c>
      <c r="B2370" s="2">
        <f>IFERROR(__xludf.DUMMYFUNCTION("""COMPUTED_VALUE"""),374.09)</f>
        <v>374.09</v>
      </c>
      <c r="C2370" s="2">
        <f>IFERROR(__xludf.DUMMYFUNCTION("""COMPUTED_VALUE"""),386.2)</f>
        <v>386.2</v>
      </c>
      <c r="D2370" s="2">
        <f>IFERROR(__xludf.DUMMYFUNCTION("""COMPUTED_VALUE"""),374.04)</f>
        <v>374.04</v>
      </c>
      <c r="E2370" s="2">
        <f>IFERROR(__xludf.DUMMYFUNCTION("""COMPUTED_VALUE"""),382.14)</f>
        <v>382.14</v>
      </c>
      <c r="F2370" s="2">
        <f>IFERROR(__xludf.DUMMYFUNCTION("""COMPUTED_VALUE"""),6457585.0)</f>
        <v>6457585</v>
      </c>
    </row>
    <row r="2371">
      <c r="A2371" s="3">
        <f>IFERROR(__xludf.DUMMYFUNCTION("""COMPUTED_VALUE"""),40932.645833333336)</f>
        <v>40932.64583</v>
      </c>
      <c r="B2371" s="2">
        <f>IFERROR(__xludf.DUMMYFUNCTION("""COMPUTED_VALUE"""),383.65)</f>
        <v>383.65</v>
      </c>
      <c r="C2371" s="2">
        <f>IFERROR(__xludf.DUMMYFUNCTION("""COMPUTED_VALUE"""),392.07)</f>
        <v>392.07</v>
      </c>
      <c r="D2371" s="2">
        <f>IFERROR(__xludf.DUMMYFUNCTION("""COMPUTED_VALUE"""),381.57)</f>
        <v>381.57</v>
      </c>
      <c r="E2371" s="2">
        <f>IFERROR(__xludf.DUMMYFUNCTION("""COMPUTED_VALUE"""),388.18)</f>
        <v>388.18</v>
      </c>
      <c r="F2371" s="2">
        <f>IFERROR(__xludf.DUMMYFUNCTION("""COMPUTED_VALUE"""),5095499.0)</f>
        <v>5095499</v>
      </c>
    </row>
    <row r="2372">
      <c r="A2372" s="3">
        <f>IFERROR(__xludf.DUMMYFUNCTION("""COMPUTED_VALUE"""),40933.645833333336)</f>
        <v>40933.64583</v>
      </c>
      <c r="B2372" s="2">
        <f>IFERROR(__xludf.DUMMYFUNCTION("""COMPUTED_VALUE"""),390.63)</f>
        <v>390.63</v>
      </c>
      <c r="C2372" s="2">
        <f>IFERROR(__xludf.DUMMYFUNCTION("""COMPUTED_VALUE"""),393.75)</f>
        <v>393.75</v>
      </c>
      <c r="D2372" s="2">
        <f>IFERROR(__xludf.DUMMYFUNCTION("""COMPUTED_VALUE"""),387.71)</f>
        <v>387.71</v>
      </c>
      <c r="E2372" s="2">
        <f>IFERROR(__xludf.DUMMYFUNCTION("""COMPUTED_VALUE"""),391.75)</f>
        <v>391.75</v>
      </c>
      <c r="F2372" s="2">
        <f>IFERROR(__xludf.DUMMYFUNCTION("""COMPUTED_VALUE"""),3837205.0)</f>
        <v>3837205</v>
      </c>
    </row>
    <row r="2373">
      <c r="A2373" s="3">
        <f>IFERROR(__xludf.DUMMYFUNCTION("""COMPUTED_VALUE"""),40935.645833333336)</f>
        <v>40935.64583</v>
      </c>
      <c r="B2373" s="2">
        <f>IFERROR(__xludf.DUMMYFUNCTION("""COMPUTED_VALUE"""),396.23)</f>
        <v>396.23</v>
      </c>
      <c r="C2373" s="2">
        <f>IFERROR(__xludf.DUMMYFUNCTION("""COMPUTED_VALUE"""),410.05)</f>
        <v>410.05</v>
      </c>
      <c r="D2373" s="2">
        <f>IFERROR(__xludf.DUMMYFUNCTION("""COMPUTED_VALUE"""),395.73)</f>
        <v>395.73</v>
      </c>
      <c r="E2373" s="2">
        <f>IFERROR(__xludf.DUMMYFUNCTION("""COMPUTED_VALUE"""),406.33)</f>
        <v>406.33</v>
      </c>
      <c r="F2373" s="2">
        <f>IFERROR(__xludf.DUMMYFUNCTION("""COMPUTED_VALUE"""),5565491.0)</f>
        <v>5565491</v>
      </c>
    </row>
    <row r="2374">
      <c r="A2374" s="3">
        <f>IFERROR(__xludf.DUMMYFUNCTION("""COMPUTED_VALUE"""),40938.645833333336)</f>
        <v>40938.64583</v>
      </c>
      <c r="B2374" s="2">
        <f>IFERROR(__xludf.DUMMYFUNCTION("""COMPUTED_VALUE"""),403.11)</f>
        <v>403.11</v>
      </c>
      <c r="C2374" s="2">
        <f>IFERROR(__xludf.DUMMYFUNCTION("""COMPUTED_VALUE"""),405.57)</f>
        <v>405.57</v>
      </c>
      <c r="D2374" s="2">
        <f>IFERROR(__xludf.DUMMYFUNCTION("""COMPUTED_VALUE"""),392.37)</f>
        <v>392.37</v>
      </c>
      <c r="E2374" s="2">
        <f>IFERROR(__xludf.DUMMYFUNCTION("""COMPUTED_VALUE"""),393.63)</f>
        <v>393.63</v>
      </c>
      <c r="F2374" s="2">
        <f>IFERROR(__xludf.DUMMYFUNCTION("""COMPUTED_VALUE"""),4829091.0)</f>
        <v>4829091</v>
      </c>
    </row>
    <row r="2375">
      <c r="A2375" s="3">
        <f>IFERROR(__xludf.DUMMYFUNCTION("""COMPUTED_VALUE"""),40939.645833333336)</f>
        <v>40939.64583</v>
      </c>
      <c r="B2375" s="2">
        <f>IFERROR(__xludf.DUMMYFUNCTION("""COMPUTED_VALUE"""),398.46)</f>
        <v>398.46</v>
      </c>
      <c r="C2375" s="2">
        <f>IFERROR(__xludf.DUMMYFUNCTION("""COMPUTED_VALUE"""),406.53)</f>
        <v>406.53</v>
      </c>
      <c r="D2375" s="2">
        <f>IFERROR(__xludf.DUMMYFUNCTION("""COMPUTED_VALUE"""),396.92)</f>
        <v>396.92</v>
      </c>
      <c r="E2375" s="2">
        <f>IFERROR(__xludf.DUMMYFUNCTION("""COMPUTED_VALUE"""),404.7)</f>
        <v>404.7</v>
      </c>
      <c r="F2375" s="2">
        <f>IFERROR(__xludf.DUMMYFUNCTION("""COMPUTED_VALUE"""),6264462.0)</f>
        <v>6264462</v>
      </c>
    </row>
    <row r="2376">
      <c r="A2376" s="3">
        <f>IFERROR(__xludf.DUMMYFUNCTION("""COMPUTED_VALUE"""),40940.645833333336)</f>
        <v>40940.64583</v>
      </c>
      <c r="B2376" s="2">
        <f>IFERROR(__xludf.DUMMYFUNCTION("""COMPUTED_VALUE"""),405.59)</f>
        <v>405.59</v>
      </c>
      <c r="C2376" s="2">
        <f>IFERROR(__xludf.DUMMYFUNCTION("""COMPUTED_VALUE"""),413.07)</f>
        <v>413.07</v>
      </c>
      <c r="D2376" s="2">
        <f>IFERROR(__xludf.DUMMYFUNCTION("""COMPUTED_VALUE"""),404.15)</f>
        <v>404.15</v>
      </c>
      <c r="E2376" s="2">
        <f>IFERROR(__xludf.DUMMYFUNCTION("""COMPUTED_VALUE"""),411.68)</f>
        <v>411.68</v>
      </c>
      <c r="F2376" s="2">
        <f>IFERROR(__xludf.DUMMYFUNCTION("""COMPUTED_VALUE"""),3776806.0)</f>
        <v>3776806</v>
      </c>
    </row>
    <row r="2377">
      <c r="A2377" s="3">
        <f>IFERROR(__xludf.DUMMYFUNCTION("""COMPUTED_VALUE"""),40941.645833333336)</f>
        <v>40941.64583</v>
      </c>
      <c r="B2377" s="2">
        <f>IFERROR(__xludf.DUMMYFUNCTION("""COMPUTED_VALUE"""),413.56)</f>
        <v>413.56</v>
      </c>
      <c r="C2377" s="2">
        <f>IFERROR(__xludf.DUMMYFUNCTION("""COMPUTED_VALUE"""),417.38)</f>
        <v>417.38</v>
      </c>
      <c r="D2377" s="2">
        <f>IFERROR(__xludf.DUMMYFUNCTION("""COMPUTED_VALUE"""),408.19)</f>
        <v>408.19</v>
      </c>
      <c r="E2377" s="2">
        <f>IFERROR(__xludf.DUMMYFUNCTION("""COMPUTED_VALUE"""),410.72)</f>
        <v>410.72</v>
      </c>
      <c r="F2377" s="2">
        <f>IFERROR(__xludf.DUMMYFUNCTION("""COMPUTED_VALUE"""),4901979.0)</f>
        <v>4901979</v>
      </c>
    </row>
    <row r="2378">
      <c r="A2378" s="3">
        <f>IFERROR(__xludf.DUMMYFUNCTION("""COMPUTED_VALUE"""),40942.645833333336)</f>
        <v>40942.64583</v>
      </c>
      <c r="B2378" s="2">
        <f>IFERROR(__xludf.DUMMYFUNCTION("""COMPUTED_VALUE"""),411.09)</f>
        <v>411.09</v>
      </c>
      <c r="C2378" s="2">
        <f>IFERROR(__xludf.DUMMYFUNCTION("""COMPUTED_VALUE"""),416.04)</f>
        <v>416.04</v>
      </c>
      <c r="D2378" s="2">
        <f>IFERROR(__xludf.DUMMYFUNCTION("""COMPUTED_VALUE"""),403.98)</f>
        <v>403.98</v>
      </c>
      <c r="E2378" s="2">
        <f>IFERROR(__xludf.DUMMYFUNCTION("""COMPUTED_VALUE"""),415.2)</f>
        <v>415.2</v>
      </c>
      <c r="F2378" s="2">
        <f>IFERROR(__xludf.DUMMYFUNCTION("""COMPUTED_VALUE"""),4569209.0)</f>
        <v>4569209</v>
      </c>
    </row>
    <row r="2379">
      <c r="A2379" s="3">
        <f>IFERROR(__xludf.DUMMYFUNCTION("""COMPUTED_VALUE"""),40945.645833333336)</f>
        <v>40945.64583</v>
      </c>
      <c r="B2379" s="2">
        <f>IFERROR(__xludf.DUMMYFUNCTION("""COMPUTED_VALUE"""),418.96)</f>
        <v>418.96</v>
      </c>
      <c r="C2379" s="2">
        <f>IFERROR(__xludf.DUMMYFUNCTION("""COMPUTED_VALUE"""),420.75)</f>
        <v>420.75</v>
      </c>
      <c r="D2379" s="2">
        <f>IFERROR(__xludf.DUMMYFUNCTION("""COMPUTED_VALUE"""),408.17)</f>
        <v>408.17</v>
      </c>
      <c r="E2379" s="2">
        <f>IFERROR(__xludf.DUMMYFUNCTION("""COMPUTED_VALUE"""),412.57)</f>
        <v>412.57</v>
      </c>
      <c r="F2379" s="2">
        <f>IFERROR(__xludf.DUMMYFUNCTION("""COMPUTED_VALUE"""),3984412.0)</f>
        <v>3984412</v>
      </c>
    </row>
    <row r="2380">
      <c r="A2380" s="3">
        <f>IFERROR(__xludf.DUMMYFUNCTION("""COMPUTED_VALUE"""),40946.645833333336)</f>
        <v>40946.64583</v>
      </c>
      <c r="B2380" s="2">
        <f>IFERROR(__xludf.DUMMYFUNCTION("""COMPUTED_VALUE"""),417.03)</f>
        <v>417.03</v>
      </c>
      <c r="C2380" s="2">
        <f>IFERROR(__xludf.DUMMYFUNCTION("""COMPUTED_VALUE"""),422.33)</f>
        <v>422.33</v>
      </c>
      <c r="D2380" s="2">
        <f>IFERROR(__xludf.DUMMYFUNCTION("""COMPUTED_VALUE"""),413.19)</f>
        <v>413.19</v>
      </c>
      <c r="E2380" s="2">
        <f>IFERROR(__xludf.DUMMYFUNCTION("""COMPUTED_VALUE"""),418.29)</f>
        <v>418.29</v>
      </c>
      <c r="F2380" s="2">
        <f>IFERROR(__xludf.DUMMYFUNCTION("""COMPUTED_VALUE"""),4815977.0)</f>
        <v>4815977</v>
      </c>
    </row>
    <row r="2381">
      <c r="A2381" s="3">
        <f>IFERROR(__xludf.DUMMYFUNCTION("""COMPUTED_VALUE"""),40947.645833333336)</f>
        <v>40947.64583</v>
      </c>
      <c r="B2381" s="2">
        <f>IFERROR(__xludf.DUMMYFUNCTION("""COMPUTED_VALUE"""),419.51)</f>
        <v>419.51</v>
      </c>
      <c r="C2381" s="2">
        <f>IFERROR(__xludf.DUMMYFUNCTION("""COMPUTED_VALUE"""),428.27)</f>
        <v>428.27</v>
      </c>
      <c r="D2381" s="2">
        <f>IFERROR(__xludf.DUMMYFUNCTION("""COMPUTED_VALUE"""),418.52)</f>
        <v>418.52</v>
      </c>
      <c r="E2381" s="2">
        <f>IFERROR(__xludf.DUMMYFUNCTION("""COMPUTED_VALUE"""),425.15)</f>
        <v>425.15</v>
      </c>
      <c r="F2381" s="2">
        <f>IFERROR(__xludf.DUMMYFUNCTION("""COMPUTED_VALUE"""),3647626.0)</f>
        <v>3647626</v>
      </c>
    </row>
    <row r="2382">
      <c r="A2382" s="3">
        <f>IFERROR(__xludf.DUMMYFUNCTION("""COMPUTED_VALUE"""),40948.645833333336)</f>
        <v>40948.64583</v>
      </c>
      <c r="B2382" s="2">
        <f>IFERROR(__xludf.DUMMYFUNCTION("""COMPUTED_VALUE"""),424.34)</f>
        <v>424.34</v>
      </c>
      <c r="C2382" s="2">
        <f>IFERROR(__xludf.DUMMYFUNCTION("""COMPUTED_VALUE"""),425.9)</f>
        <v>425.9</v>
      </c>
      <c r="D2382" s="2">
        <f>IFERROR(__xludf.DUMMYFUNCTION("""COMPUTED_VALUE"""),417.33)</f>
        <v>417.33</v>
      </c>
      <c r="E2382" s="2">
        <f>IFERROR(__xludf.DUMMYFUNCTION("""COMPUTED_VALUE"""),422.9)</f>
        <v>422.9</v>
      </c>
      <c r="F2382" s="2">
        <f>IFERROR(__xludf.DUMMYFUNCTION("""COMPUTED_VALUE"""),4309191.0)</f>
        <v>4309191</v>
      </c>
    </row>
    <row r="2383">
      <c r="A2383" s="3">
        <f>IFERROR(__xludf.DUMMYFUNCTION("""COMPUTED_VALUE"""),40949.645833333336)</f>
        <v>40949.64583</v>
      </c>
      <c r="B2383" s="2">
        <f>IFERROR(__xludf.DUMMYFUNCTION("""COMPUTED_VALUE"""),421.17)</f>
        <v>421.17</v>
      </c>
      <c r="C2383" s="2">
        <f>IFERROR(__xludf.DUMMYFUNCTION("""COMPUTED_VALUE"""),425.45)</f>
        <v>425.45</v>
      </c>
      <c r="D2383" s="2">
        <f>IFERROR(__xludf.DUMMYFUNCTION("""COMPUTED_VALUE"""),415.05)</f>
        <v>415.05</v>
      </c>
      <c r="E2383" s="2">
        <f>IFERROR(__xludf.DUMMYFUNCTION("""COMPUTED_VALUE"""),417.65)</f>
        <v>417.65</v>
      </c>
      <c r="F2383" s="2">
        <f>IFERROR(__xludf.DUMMYFUNCTION("""COMPUTED_VALUE"""),3417975.0)</f>
        <v>3417975</v>
      </c>
    </row>
    <row r="2384">
      <c r="A2384" s="3">
        <f>IFERROR(__xludf.DUMMYFUNCTION("""COMPUTED_VALUE"""),40952.645833333336)</f>
        <v>40952.64583</v>
      </c>
      <c r="B2384" s="2">
        <f>IFERROR(__xludf.DUMMYFUNCTION("""COMPUTED_VALUE"""),416.59)</f>
        <v>416.59</v>
      </c>
      <c r="C2384" s="2">
        <f>IFERROR(__xludf.DUMMYFUNCTION("""COMPUTED_VALUE"""),425.35)</f>
        <v>425.35</v>
      </c>
      <c r="D2384" s="2">
        <f>IFERROR(__xludf.DUMMYFUNCTION("""COMPUTED_VALUE"""),416.54)</f>
        <v>416.54</v>
      </c>
      <c r="E2384" s="2">
        <f>IFERROR(__xludf.DUMMYFUNCTION("""COMPUTED_VALUE"""),420.62)</f>
        <v>420.62</v>
      </c>
      <c r="F2384" s="2">
        <f>IFERROR(__xludf.DUMMYFUNCTION("""COMPUTED_VALUE"""),3493699.0)</f>
        <v>3493699</v>
      </c>
    </row>
    <row r="2385">
      <c r="A2385" s="3">
        <f>IFERROR(__xludf.DUMMYFUNCTION("""COMPUTED_VALUE"""),40953.645833333336)</f>
        <v>40953.64583</v>
      </c>
      <c r="B2385" s="2">
        <f>IFERROR(__xludf.DUMMYFUNCTION("""COMPUTED_VALUE"""),419.46)</f>
        <v>419.46</v>
      </c>
      <c r="C2385" s="2">
        <f>IFERROR(__xludf.DUMMYFUNCTION("""COMPUTED_VALUE"""),424.16)</f>
        <v>424.16</v>
      </c>
      <c r="D2385" s="2">
        <f>IFERROR(__xludf.DUMMYFUNCTION("""COMPUTED_VALUE"""),417.53)</f>
        <v>417.53</v>
      </c>
      <c r="E2385" s="2">
        <f>IFERROR(__xludf.DUMMYFUNCTION("""COMPUTED_VALUE"""),420.45)</f>
        <v>420.45</v>
      </c>
      <c r="F2385" s="2">
        <f>IFERROR(__xludf.DUMMYFUNCTION("""COMPUTED_VALUE"""),3134221.0)</f>
        <v>3134221</v>
      </c>
    </row>
    <row r="2386">
      <c r="A2386" s="3">
        <f>IFERROR(__xludf.DUMMYFUNCTION("""COMPUTED_VALUE"""),40954.645833333336)</f>
        <v>40954.64583</v>
      </c>
      <c r="B2386" s="2">
        <f>IFERROR(__xludf.DUMMYFUNCTION("""COMPUTED_VALUE"""),423.07)</f>
        <v>423.07</v>
      </c>
      <c r="C2386" s="2">
        <f>IFERROR(__xludf.DUMMYFUNCTION("""COMPUTED_VALUE"""),423.84)</f>
        <v>423.84</v>
      </c>
      <c r="D2386" s="2">
        <f>IFERROR(__xludf.DUMMYFUNCTION("""COMPUTED_VALUE"""),412.6)</f>
        <v>412.6</v>
      </c>
      <c r="E2386" s="2">
        <f>IFERROR(__xludf.DUMMYFUNCTION("""COMPUTED_VALUE"""),414.38)</f>
        <v>414.38</v>
      </c>
      <c r="F2386" s="2">
        <f>IFERROR(__xludf.DUMMYFUNCTION("""COMPUTED_VALUE"""),7182317.0)</f>
        <v>7182317</v>
      </c>
    </row>
    <row r="2387">
      <c r="A2387" s="3">
        <f>IFERROR(__xludf.DUMMYFUNCTION("""COMPUTED_VALUE"""),40955.645833333336)</f>
        <v>40955.64583</v>
      </c>
      <c r="B2387" s="2">
        <f>IFERROR(__xludf.DUMMYFUNCTION("""COMPUTED_VALUE"""),411.58)</f>
        <v>411.58</v>
      </c>
      <c r="C2387" s="2">
        <f>IFERROR(__xludf.DUMMYFUNCTION("""COMPUTED_VALUE"""),411.58)</f>
        <v>411.58</v>
      </c>
      <c r="D2387" s="2">
        <f>IFERROR(__xludf.DUMMYFUNCTION("""COMPUTED_VALUE"""),398.56)</f>
        <v>398.56</v>
      </c>
      <c r="E2387" s="2">
        <f>IFERROR(__xludf.DUMMYFUNCTION("""COMPUTED_VALUE"""),402.4)</f>
        <v>402.4</v>
      </c>
      <c r="F2387" s="2">
        <f>IFERROR(__xludf.DUMMYFUNCTION("""COMPUTED_VALUE"""),6342577.0)</f>
        <v>6342577</v>
      </c>
    </row>
    <row r="2388">
      <c r="A2388" s="3">
        <f>IFERROR(__xludf.DUMMYFUNCTION("""COMPUTED_VALUE"""),40956.645833333336)</f>
        <v>40956.64583</v>
      </c>
      <c r="B2388" s="2">
        <f>IFERROR(__xludf.DUMMYFUNCTION("""COMPUTED_VALUE"""),407.15)</f>
        <v>407.15</v>
      </c>
      <c r="C2388" s="2">
        <f>IFERROR(__xludf.DUMMYFUNCTION("""COMPUTED_VALUE"""),409.31)</f>
        <v>409.31</v>
      </c>
      <c r="D2388" s="2">
        <f>IFERROR(__xludf.DUMMYFUNCTION("""COMPUTED_VALUE"""),401.28)</f>
        <v>401.28</v>
      </c>
      <c r="E2388" s="2">
        <f>IFERROR(__xludf.DUMMYFUNCTION("""COMPUTED_VALUE"""),405.24)</f>
        <v>405.24</v>
      </c>
      <c r="F2388" s="2">
        <f>IFERROR(__xludf.DUMMYFUNCTION("""COMPUTED_VALUE"""),8211325.0)</f>
        <v>8211325</v>
      </c>
    </row>
    <row r="2389">
      <c r="A2389" s="3">
        <f>IFERROR(__xludf.DUMMYFUNCTION("""COMPUTED_VALUE"""),40960.645833333336)</f>
        <v>40960.64583</v>
      </c>
      <c r="B2389" s="2">
        <f>IFERROR(__xludf.DUMMYFUNCTION("""COMPUTED_VALUE"""),404.9)</f>
        <v>404.9</v>
      </c>
      <c r="C2389" s="2">
        <f>IFERROR(__xludf.DUMMYFUNCTION("""COMPUTED_VALUE"""),420.37)</f>
        <v>420.37</v>
      </c>
      <c r="D2389" s="2">
        <f>IFERROR(__xludf.DUMMYFUNCTION("""COMPUTED_VALUE"""),403.71)</f>
        <v>403.71</v>
      </c>
      <c r="E2389" s="2">
        <f>IFERROR(__xludf.DUMMYFUNCTION("""COMPUTED_VALUE"""),417.8)</f>
        <v>417.8</v>
      </c>
      <c r="F2389" s="2">
        <f>IFERROR(__xludf.DUMMYFUNCTION("""COMPUTED_VALUE"""),8333665.0)</f>
        <v>8333665</v>
      </c>
    </row>
    <row r="2390">
      <c r="A2390" s="3">
        <f>IFERROR(__xludf.DUMMYFUNCTION("""COMPUTED_VALUE"""),40961.645833333336)</f>
        <v>40961.64583</v>
      </c>
      <c r="B2390" s="2">
        <f>IFERROR(__xludf.DUMMYFUNCTION("""COMPUTED_VALUE"""),420.0)</f>
        <v>420</v>
      </c>
      <c r="C2390" s="2">
        <f>IFERROR(__xludf.DUMMYFUNCTION("""COMPUTED_VALUE"""),424.66)</f>
        <v>424.66</v>
      </c>
      <c r="D2390" s="2">
        <f>IFERROR(__xludf.DUMMYFUNCTION("""COMPUTED_VALUE"""),411.14)</f>
        <v>411.14</v>
      </c>
      <c r="E2390" s="2">
        <f>IFERROR(__xludf.DUMMYFUNCTION("""COMPUTED_VALUE"""),412.77)</f>
        <v>412.77</v>
      </c>
      <c r="F2390" s="2">
        <f>IFERROR(__xludf.DUMMYFUNCTION("""COMPUTED_VALUE"""),5748129.0)</f>
        <v>5748129</v>
      </c>
    </row>
    <row r="2391">
      <c r="A2391" s="3">
        <f>IFERROR(__xludf.DUMMYFUNCTION("""COMPUTED_VALUE"""),40962.645833333336)</f>
        <v>40962.64583</v>
      </c>
      <c r="B2391" s="2">
        <f>IFERROR(__xludf.DUMMYFUNCTION("""COMPUTED_VALUE"""),412.08)</f>
        <v>412.08</v>
      </c>
      <c r="C2391" s="2">
        <f>IFERROR(__xludf.DUMMYFUNCTION("""COMPUTED_VALUE"""),420.94)</f>
        <v>420.94</v>
      </c>
      <c r="D2391" s="2">
        <f>IFERROR(__xludf.DUMMYFUNCTION("""COMPUTED_VALUE"""),409.4)</f>
        <v>409.4</v>
      </c>
      <c r="E2391" s="2">
        <f>IFERROR(__xludf.DUMMYFUNCTION("""COMPUTED_VALUE"""),415.84)</f>
        <v>415.84</v>
      </c>
      <c r="F2391" s="2">
        <f>IFERROR(__xludf.DUMMYFUNCTION("""COMPUTED_VALUE"""),4367293.0)</f>
        <v>4367293</v>
      </c>
    </row>
    <row r="2392">
      <c r="A2392" s="3">
        <f>IFERROR(__xludf.DUMMYFUNCTION("""COMPUTED_VALUE"""),40963.645833333336)</f>
        <v>40963.64583</v>
      </c>
      <c r="B2392" s="2">
        <f>IFERROR(__xludf.DUMMYFUNCTION("""COMPUTED_VALUE"""),412.82)</f>
        <v>412.82</v>
      </c>
      <c r="C2392" s="2">
        <f>IFERROR(__xludf.DUMMYFUNCTION("""COMPUTED_VALUE"""),416.88)</f>
        <v>416.88</v>
      </c>
      <c r="D2392" s="2">
        <f>IFERROR(__xludf.DUMMYFUNCTION("""COMPUTED_VALUE"""),403.41)</f>
        <v>403.41</v>
      </c>
      <c r="E2392" s="2">
        <f>IFERROR(__xludf.DUMMYFUNCTION("""COMPUTED_VALUE"""),406.11)</f>
        <v>406.11</v>
      </c>
      <c r="F2392" s="2">
        <f>IFERROR(__xludf.DUMMYFUNCTION("""COMPUTED_VALUE"""),4285036.0)</f>
        <v>4285036</v>
      </c>
    </row>
    <row r="2393">
      <c r="A2393" s="3">
        <f>IFERROR(__xludf.DUMMYFUNCTION("""COMPUTED_VALUE"""),40966.645833333336)</f>
        <v>40966.64583</v>
      </c>
      <c r="B2393" s="2">
        <f>IFERROR(__xludf.DUMMYFUNCTION("""COMPUTED_VALUE"""),407.03)</f>
        <v>407.03</v>
      </c>
      <c r="C2393" s="2">
        <f>IFERROR(__xludf.DUMMYFUNCTION("""COMPUTED_VALUE"""),408.91)</f>
        <v>408.91</v>
      </c>
      <c r="D2393" s="2">
        <f>IFERROR(__xludf.DUMMYFUNCTION("""COMPUTED_VALUE"""),379.07)</f>
        <v>379.07</v>
      </c>
      <c r="E2393" s="2">
        <f>IFERROR(__xludf.DUMMYFUNCTION("""COMPUTED_VALUE"""),387.04)</f>
        <v>387.04</v>
      </c>
      <c r="F2393" s="2">
        <f>IFERROR(__xludf.DUMMYFUNCTION("""COMPUTED_VALUE"""),6348215.0)</f>
        <v>6348215</v>
      </c>
    </row>
    <row r="2394">
      <c r="A2394" s="3">
        <f>IFERROR(__xludf.DUMMYFUNCTION("""COMPUTED_VALUE"""),40967.645833333336)</f>
        <v>40967.64583</v>
      </c>
      <c r="B2394" s="2">
        <f>IFERROR(__xludf.DUMMYFUNCTION("""COMPUTED_VALUE"""),390.81)</f>
        <v>390.81</v>
      </c>
      <c r="C2394" s="2">
        <f>IFERROR(__xludf.DUMMYFUNCTION("""COMPUTED_VALUE"""),396.4)</f>
        <v>396.4</v>
      </c>
      <c r="D2394" s="2">
        <f>IFERROR(__xludf.DUMMYFUNCTION("""COMPUTED_VALUE"""),390.14)</f>
        <v>390.14</v>
      </c>
      <c r="E2394" s="2">
        <f>IFERROR(__xludf.DUMMYFUNCTION("""COMPUTED_VALUE"""),394.5)</f>
        <v>394.5</v>
      </c>
      <c r="F2394" s="2">
        <f>IFERROR(__xludf.DUMMYFUNCTION("""COMPUTED_VALUE"""),5289418.0)</f>
        <v>5289418</v>
      </c>
    </row>
    <row r="2395">
      <c r="A2395" s="3">
        <f>IFERROR(__xludf.DUMMYFUNCTION("""COMPUTED_VALUE"""),40968.645833333336)</f>
        <v>40968.64583</v>
      </c>
      <c r="B2395" s="2">
        <f>IFERROR(__xludf.DUMMYFUNCTION("""COMPUTED_VALUE"""),398.73)</f>
        <v>398.73</v>
      </c>
      <c r="C2395" s="2">
        <f>IFERROR(__xludf.DUMMYFUNCTION("""COMPUTED_VALUE"""),410.05)</f>
        <v>410.05</v>
      </c>
      <c r="D2395" s="2">
        <f>IFERROR(__xludf.DUMMYFUNCTION("""COMPUTED_VALUE"""),398.28)</f>
        <v>398.28</v>
      </c>
      <c r="E2395" s="2">
        <f>IFERROR(__xludf.DUMMYFUNCTION("""COMPUTED_VALUE"""),406.51)</f>
        <v>406.51</v>
      </c>
      <c r="F2395" s="2">
        <f>IFERROR(__xludf.DUMMYFUNCTION("""COMPUTED_VALUE"""),6365349.0)</f>
        <v>6365349</v>
      </c>
    </row>
    <row r="2396">
      <c r="A2396" s="3">
        <f>IFERROR(__xludf.DUMMYFUNCTION("""COMPUTED_VALUE"""),40969.645833333336)</f>
        <v>40969.64583</v>
      </c>
      <c r="B2396" s="2">
        <f>IFERROR(__xludf.DUMMYFUNCTION("""COMPUTED_VALUE"""),402.07)</f>
        <v>402.07</v>
      </c>
      <c r="C2396" s="2">
        <f>IFERROR(__xludf.DUMMYFUNCTION("""COMPUTED_VALUE"""),405.49)</f>
        <v>405.49</v>
      </c>
      <c r="D2396" s="2">
        <f>IFERROR(__xludf.DUMMYFUNCTION("""COMPUTED_VALUE"""),396.77)</f>
        <v>396.77</v>
      </c>
      <c r="E2396" s="2">
        <f>IFERROR(__xludf.DUMMYFUNCTION("""COMPUTED_VALUE"""),401.65)</f>
        <v>401.65</v>
      </c>
      <c r="F2396" s="2">
        <f>IFERROR(__xludf.DUMMYFUNCTION("""COMPUTED_VALUE"""),2962594.0)</f>
        <v>2962594</v>
      </c>
    </row>
    <row r="2397">
      <c r="A2397" s="3">
        <f>IFERROR(__xludf.DUMMYFUNCTION("""COMPUTED_VALUE"""),40970.645833333336)</f>
        <v>40970.64583</v>
      </c>
      <c r="B2397" s="2">
        <f>IFERROR(__xludf.DUMMYFUNCTION("""COMPUTED_VALUE"""),404.28)</f>
        <v>404.28</v>
      </c>
      <c r="C2397" s="2">
        <f>IFERROR(__xludf.DUMMYFUNCTION("""COMPUTED_VALUE"""),405.14)</f>
        <v>405.14</v>
      </c>
      <c r="D2397" s="2">
        <f>IFERROR(__xludf.DUMMYFUNCTION("""COMPUTED_VALUE"""),399.08)</f>
        <v>399.08</v>
      </c>
      <c r="E2397" s="2">
        <f>IFERROR(__xludf.DUMMYFUNCTION("""COMPUTED_VALUE"""),403.21)</f>
        <v>403.21</v>
      </c>
      <c r="F2397" s="2">
        <f>IFERROR(__xludf.DUMMYFUNCTION("""COMPUTED_VALUE"""),2900087.0)</f>
        <v>2900087</v>
      </c>
    </row>
    <row r="2398">
      <c r="A2398" s="3">
        <f>IFERROR(__xludf.DUMMYFUNCTION("""COMPUTED_VALUE"""),40973.645833333336)</f>
        <v>40973.64583</v>
      </c>
      <c r="B2398" s="2">
        <f>IFERROR(__xludf.DUMMYFUNCTION("""COMPUTED_VALUE"""),402.2)</f>
        <v>402.2</v>
      </c>
      <c r="C2398" s="2">
        <f>IFERROR(__xludf.DUMMYFUNCTION("""COMPUTED_VALUE"""),403.16)</f>
        <v>403.16</v>
      </c>
      <c r="D2398" s="2">
        <f>IFERROR(__xludf.DUMMYFUNCTION("""COMPUTED_VALUE"""),393.38)</f>
        <v>393.38</v>
      </c>
      <c r="E2398" s="2">
        <f>IFERROR(__xludf.DUMMYFUNCTION("""COMPUTED_VALUE"""),394.99)</f>
        <v>394.99</v>
      </c>
      <c r="F2398" s="2">
        <f>IFERROR(__xludf.DUMMYFUNCTION("""COMPUTED_VALUE"""),2988613.0)</f>
        <v>2988613</v>
      </c>
    </row>
    <row r="2399">
      <c r="A2399" s="3">
        <f>IFERROR(__xludf.DUMMYFUNCTION("""COMPUTED_VALUE"""),40974.645833333336)</f>
        <v>40974.64583</v>
      </c>
      <c r="B2399" s="2">
        <f>IFERROR(__xludf.DUMMYFUNCTION("""COMPUTED_VALUE"""),394.74)</f>
        <v>394.74</v>
      </c>
      <c r="C2399" s="2">
        <f>IFERROR(__xludf.DUMMYFUNCTION("""COMPUTED_VALUE"""),400.69)</f>
        <v>400.69</v>
      </c>
      <c r="D2399" s="2">
        <f>IFERROR(__xludf.DUMMYFUNCTION("""COMPUTED_VALUE"""),383.35)</f>
        <v>383.35</v>
      </c>
      <c r="E2399" s="2">
        <f>IFERROR(__xludf.DUMMYFUNCTION("""COMPUTED_VALUE"""),384.62)</f>
        <v>384.62</v>
      </c>
      <c r="F2399" s="2">
        <f>IFERROR(__xludf.DUMMYFUNCTION("""COMPUTED_VALUE"""),8029991.0)</f>
        <v>8029991</v>
      </c>
    </row>
    <row r="2400">
      <c r="A2400" s="3">
        <f>IFERROR(__xludf.DUMMYFUNCTION("""COMPUTED_VALUE"""),40975.645833333336)</f>
        <v>40975.64583</v>
      </c>
      <c r="B2400" s="2">
        <f>IFERROR(__xludf.DUMMYFUNCTION("""COMPUTED_VALUE"""),384.62)</f>
        <v>384.62</v>
      </c>
      <c r="C2400" s="2">
        <f>IFERROR(__xludf.DUMMYFUNCTION("""COMPUTED_VALUE"""),385.09)</f>
        <v>385.09</v>
      </c>
      <c r="D2400" s="2">
        <f>IFERROR(__xludf.DUMMYFUNCTION("""COMPUTED_VALUE"""),371.96)</f>
        <v>371.96</v>
      </c>
      <c r="E2400" s="2">
        <f>IFERROR(__xludf.DUMMYFUNCTION("""COMPUTED_VALUE"""),377.31)</f>
        <v>377.31</v>
      </c>
      <c r="F2400" s="2">
        <f>IFERROR(__xludf.DUMMYFUNCTION("""COMPUTED_VALUE"""),6446729.0)</f>
        <v>6446729</v>
      </c>
    </row>
    <row r="2401">
      <c r="A2401" s="3">
        <f>IFERROR(__xludf.DUMMYFUNCTION("""COMPUTED_VALUE"""),40977.645833333336)</f>
        <v>40977.64583</v>
      </c>
      <c r="B2401" s="2">
        <f>IFERROR(__xludf.DUMMYFUNCTION("""COMPUTED_VALUE"""),384.0)</f>
        <v>384</v>
      </c>
      <c r="C2401" s="2">
        <f>IFERROR(__xludf.DUMMYFUNCTION("""COMPUTED_VALUE"""),386.13)</f>
        <v>386.13</v>
      </c>
      <c r="D2401" s="2">
        <f>IFERROR(__xludf.DUMMYFUNCTION("""COMPUTED_VALUE"""),380.97)</f>
        <v>380.97</v>
      </c>
      <c r="E2401" s="2">
        <f>IFERROR(__xludf.DUMMYFUNCTION("""COMPUTED_VALUE"""),383.25)</f>
        <v>383.25</v>
      </c>
      <c r="F2401" s="2">
        <f>IFERROR(__xludf.DUMMYFUNCTION("""COMPUTED_VALUE"""),3942927.0)</f>
        <v>3942927</v>
      </c>
    </row>
    <row r="2402">
      <c r="A2402" s="3">
        <f>IFERROR(__xludf.DUMMYFUNCTION("""COMPUTED_VALUE"""),40980.645833333336)</f>
        <v>40980.64583</v>
      </c>
      <c r="B2402" s="2">
        <f>IFERROR(__xludf.DUMMYFUNCTION("""COMPUTED_VALUE"""),391.28)</f>
        <v>391.28</v>
      </c>
      <c r="C2402" s="2">
        <f>IFERROR(__xludf.DUMMYFUNCTION("""COMPUTED_VALUE"""),397.72)</f>
        <v>397.72</v>
      </c>
      <c r="D2402" s="2">
        <f>IFERROR(__xludf.DUMMYFUNCTION("""COMPUTED_VALUE"""),386.18)</f>
        <v>386.18</v>
      </c>
      <c r="E2402" s="2">
        <f>IFERROR(__xludf.DUMMYFUNCTION("""COMPUTED_VALUE"""),395.51)</f>
        <v>395.51</v>
      </c>
      <c r="F2402" s="2">
        <f>IFERROR(__xludf.DUMMYFUNCTION("""COMPUTED_VALUE"""),3438333.0)</f>
        <v>3438333</v>
      </c>
    </row>
    <row r="2403">
      <c r="A2403" s="3">
        <f>IFERROR(__xludf.DUMMYFUNCTION("""COMPUTED_VALUE"""),40981.645833333336)</f>
        <v>40981.64583</v>
      </c>
      <c r="B2403" s="2">
        <f>IFERROR(__xludf.DUMMYFUNCTION("""COMPUTED_VALUE"""),397.94)</f>
        <v>397.94</v>
      </c>
      <c r="C2403" s="2">
        <f>IFERROR(__xludf.DUMMYFUNCTION("""COMPUTED_VALUE"""),407.1)</f>
        <v>407.1</v>
      </c>
      <c r="D2403" s="2">
        <f>IFERROR(__xludf.DUMMYFUNCTION("""COMPUTED_VALUE"""),397.86)</f>
        <v>397.86</v>
      </c>
      <c r="E2403" s="2">
        <f>IFERROR(__xludf.DUMMYFUNCTION("""COMPUTED_VALUE"""),406.11)</f>
        <v>406.11</v>
      </c>
      <c r="F2403" s="2">
        <f>IFERROR(__xludf.DUMMYFUNCTION("""COMPUTED_VALUE"""),3684077.0)</f>
        <v>3684077</v>
      </c>
    </row>
    <row r="2404">
      <c r="A2404" s="3">
        <f>IFERROR(__xludf.DUMMYFUNCTION("""COMPUTED_VALUE"""),40982.645833333336)</f>
        <v>40982.64583</v>
      </c>
      <c r="B2404" s="2">
        <f>IFERROR(__xludf.DUMMYFUNCTION("""COMPUTED_VALUE"""),410.1)</f>
        <v>410.1</v>
      </c>
      <c r="C2404" s="2">
        <f>IFERROR(__xludf.DUMMYFUNCTION("""COMPUTED_VALUE"""),411.09)</f>
        <v>411.09</v>
      </c>
      <c r="D2404" s="2">
        <f>IFERROR(__xludf.DUMMYFUNCTION("""COMPUTED_VALUE"""),399.55)</f>
        <v>399.55</v>
      </c>
      <c r="E2404" s="2">
        <f>IFERROR(__xludf.DUMMYFUNCTION("""COMPUTED_VALUE"""),403.41)</f>
        <v>403.41</v>
      </c>
      <c r="F2404" s="2">
        <f>IFERROR(__xludf.DUMMYFUNCTION("""COMPUTED_VALUE"""),4028509.0)</f>
        <v>4028509</v>
      </c>
    </row>
    <row r="2405">
      <c r="A2405" s="3">
        <f>IFERROR(__xludf.DUMMYFUNCTION("""COMPUTED_VALUE"""),40983.645833333336)</f>
        <v>40983.64583</v>
      </c>
      <c r="B2405" s="2">
        <f>IFERROR(__xludf.DUMMYFUNCTION("""COMPUTED_VALUE"""),405.14)</f>
        <v>405.14</v>
      </c>
      <c r="C2405" s="2">
        <f>IFERROR(__xludf.DUMMYFUNCTION("""COMPUTED_VALUE"""),406.73)</f>
        <v>406.73</v>
      </c>
      <c r="D2405" s="2">
        <f>IFERROR(__xludf.DUMMYFUNCTION("""COMPUTED_VALUE"""),392.96)</f>
        <v>392.96</v>
      </c>
      <c r="E2405" s="2">
        <f>IFERROR(__xludf.DUMMYFUNCTION("""COMPUTED_VALUE"""),394.57)</f>
        <v>394.57</v>
      </c>
      <c r="F2405" s="2">
        <f>IFERROR(__xludf.DUMMYFUNCTION("""COMPUTED_VALUE"""),4630686.0)</f>
        <v>4630686</v>
      </c>
    </row>
    <row r="2406">
      <c r="A2406" s="3">
        <f>IFERROR(__xludf.DUMMYFUNCTION("""COMPUTED_VALUE"""),40984.645833333336)</f>
        <v>40984.64583</v>
      </c>
      <c r="B2406" s="2">
        <f>IFERROR(__xludf.DUMMYFUNCTION("""COMPUTED_VALUE"""),386.32)</f>
        <v>386.32</v>
      </c>
      <c r="C2406" s="2">
        <f>IFERROR(__xludf.DUMMYFUNCTION("""COMPUTED_VALUE"""),395.09)</f>
        <v>395.09</v>
      </c>
      <c r="D2406" s="2">
        <f>IFERROR(__xludf.DUMMYFUNCTION("""COMPUTED_VALUE"""),380.06)</f>
        <v>380.06</v>
      </c>
      <c r="E2406" s="2">
        <f>IFERROR(__xludf.DUMMYFUNCTION("""COMPUTED_VALUE"""),382.53)</f>
        <v>382.53</v>
      </c>
      <c r="F2406" s="2">
        <f>IFERROR(__xludf.DUMMYFUNCTION("""COMPUTED_VALUE"""),5753096.0)</f>
        <v>5753096</v>
      </c>
    </row>
    <row r="2407">
      <c r="A2407" s="3">
        <f>IFERROR(__xludf.DUMMYFUNCTION("""COMPUTED_VALUE"""),40987.645833333336)</f>
        <v>40987.64583</v>
      </c>
      <c r="B2407" s="2">
        <f>IFERROR(__xludf.DUMMYFUNCTION("""COMPUTED_VALUE"""),386.82)</f>
        <v>386.82</v>
      </c>
      <c r="C2407" s="2">
        <f>IFERROR(__xludf.DUMMYFUNCTION("""COMPUTED_VALUE"""),387.81)</f>
        <v>387.81</v>
      </c>
      <c r="D2407" s="2">
        <f>IFERROR(__xludf.DUMMYFUNCTION("""COMPUTED_VALUE"""),372.01)</f>
        <v>372.01</v>
      </c>
      <c r="E2407" s="2">
        <f>IFERROR(__xludf.DUMMYFUNCTION("""COMPUTED_VALUE"""),373.99)</f>
        <v>373.99</v>
      </c>
      <c r="F2407" s="2">
        <f>IFERROR(__xludf.DUMMYFUNCTION("""COMPUTED_VALUE"""),3652448.0)</f>
        <v>3652448</v>
      </c>
    </row>
    <row r="2408">
      <c r="A2408" s="3">
        <f>IFERROR(__xludf.DUMMYFUNCTION("""COMPUTED_VALUE"""),40988.645833333336)</f>
        <v>40988.64583</v>
      </c>
      <c r="B2408" s="2">
        <f>IFERROR(__xludf.DUMMYFUNCTION("""COMPUTED_VALUE"""),374.49)</f>
        <v>374.49</v>
      </c>
      <c r="C2408" s="2">
        <f>IFERROR(__xludf.DUMMYFUNCTION("""COMPUTED_VALUE"""),379.59)</f>
        <v>379.59</v>
      </c>
      <c r="D2408" s="2">
        <f>IFERROR(__xludf.DUMMYFUNCTION("""COMPUTED_VALUE"""),371.61)</f>
        <v>371.61</v>
      </c>
      <c r="E2408" s="2">
        <f>IFERROR(__xludf.DUMMYFUNCTION("""COMPUTED_VALUE"""),376.69)</f>
        <v>376.69</v>
      </c>
      <c r="F2408" s="2">
        <f>IFERROR(__xludf.DUMMYFUNCTION("""COMPUTED_VALUE"""),2389920.0)</f>
        <v>2389920</v>
      </c>
    </row>
    <row r="2409">
      <c r="A2409" s="3">
        <f>IFERROR(__xludf.DUMMYFUNCTION("""COMPUTED_VALUE"""),40989.645833333336)</f>
        <v>40989.64583</v>
      </c>
      <c r="B2409" s="2">
        <f>IFERROR(__xludf.DUMMYFUNCTION("""COMPUTED_VALUE"""),376.42)</f>
        <v>376.42</v>
      </c>
      <c r="C2409" s="2">
        <f>IFERROR(__xludf.DUMMYFUNCTION("""COMPUTED_VALUE"""),383.1)</f>
        <v>383.1</v>
      </c>
      <c r="D2409" s="2">
        <f>IFERROR(__xludf.DUMMYFUNCTION("""COMPUTED_VALUE"""),373.99)</f>
        <v>373.99</v>
      </c>
      <c r="E2409" s="2">
        <f>IFERROR(__xludf.DUMMYFUNCTION("""COMPUTED_VALUE"""),380.41)</f>
        <v>380.41</v>
      </c>
      <c r="F2409" s="2">
        <f>IFERROR(__xludf.DUMMYFUNCTION("""COMPUTED_VALUE"""),3248548.0)</f>
        <v>3248548</v>
      </c>
    </row>
    <row r="2410">
      <c r="A2410" s="3">
        <f>IFERROR(__xludf.DUMMYFUNCTION("""COMPUTED_VALUE"""),40990.645833333336)</f>
        <v>40990.64583</v>
      </c>
      <c r="B2410" s="2">
        <f>IFERROR(__xludf.DUMMYFUNCTION("""COMPUTED_VALUE"""),379.34)</f>
        <v>379.34</v>
      </c>
      <c r="C2410" s="2">
        <f>IFERROR(__xludf.DUMMYFUNCTION("""COMPUTED_VALUE"""),382.09)</f>
        <v>382.09</v>
      </c>
      <c r="D2410" s="2">
        <f>IFERROR(__xludf.DUMMYFUNCTION("""COMPUTED_VALUE"""),362.55)</f>
        <v>362.55</v>
      </c>
      <c r="E2410" s="2">
        <f>IFERROR(__xludf.DUMMYFUNCTION("""COMPUTED_VALUE"""),364.7)</f>
        <v>364.7</v>
      </c>
      <c r="F2410" s="2">
        <f>IFERROR(__xludf.DUMMYFUNCTION("""COMPUTED_VALUE"""),6684658.0)</f>
        <v>6684658</v>
      </c>
    </row>
    <row r="2411">
      <c r="A2411" s="3">
        <f>IFERROR(__xludf.DUMMYFUNCTION("""COMPUTED_VALUE"""),40991.645833333336)</f>
        <v>40991.64583</v>
      </c>
      <c r="B2411" s="2">
        <f>IFERROR(__xludf.DUMMYFUNCTION("""COMPUTED_VALUE"""),368.39)</f>
        <v>368.39</v>
      </c>
      <c r="C2411" s="2">
        <f>IFERROR(__xludf.DUMMYFUNCTION("""COMPUTED_VALUE"""),371.22)</f>
        <v>371.22</v>
      </c>
      <c r="D2411" s="2">
        <f>IFERROR(__xludf.DUMMYFUNCTION("""COMPUTED_VALUE"""),365.57)</f>
        <v>365.57</v>
      </c>
      <c r="E2411" s="2">
        <f>IFERROR(__xludf.DUMMYFUNCTION("""COMPUTED_VALUE"""),368.52)</f>
        <v>368.52</v>
      </c>
      <c r="F2411" s="2">
        <f>IFERROR(__xludf.DUMMYFUNCTION("""COMPUTED_VALUE"""),6161836.0)</f>
        <v>6161836</v>
      </c>
    </row>
    <row r="2412">
      <c r="A2412" s="3">
        <f>IFERROR(__xludf.DUMMYFUNCTION("""COMPUTED_VALUE"""),40994.645833333336)</f>
        <v>40994.64583</v>
      </c>
      <c r="B2412" s="2">
        <f>IFERROR(__xludf.DUMMYFUNCTION("""COMPUTED_VALUE"""),368.44)</f>
        <v>368.44</v>
      </c>
      <c r="C2412" s="2">
        <f>IFERROR(__xludf.DUMMYFUNCTION("""COMPUTED_VALUE"""),368.44)</f>
        <v>368.44</v>
      </c>
      <c r="D2412" s="2">
        <f>IFERROR(__xludf.DUMMYFUNCTION("""COMPUTED_VALUE"""),360.07)</f>
        <v>360.07</v>
      </c>
      <c r="E2412" s="2">
        <f>IFERROR(__xludf.DUMMYFUNCTION("""COMPUTED_VALUE"""),361.61)</f>
        <v>361.61</v>
      </c>
      <c r="F2412" s="2">
        <f>IFERROR(__xludf.DUMMYFUNCTION("""COMPUTED_VALUE"""),5288348.0)</f>
        <v>5288348</v>
      </c>
    </row>
    <row r="2413">
      <c r="A2413" s="3">
        <f>IFERROR(__xludf.DUMMYFUNCTION("""COMPUTED_VALUE"""),40995.645833333336)</f>
        <v>40995.64583</v>
      </c>
      <c r="B2413" s="2">
        <f>IFERROR(__xludf.DUMMYFUNCTION("""COMPUTED_VALUE"""),365.52)</f>
        <v>365.52</v>
      </c>
      <c r="C2413" s="2">
        <f>IFERROR(__xludf.DUMMYFUNCTION("""COMPUTED_VALUE"""),365.92)</f>
        <v>365.92</v>
      </c>
      <c r="D2413" s="2">
        <f>IFERROR(__xludf.DUMMYFUNCTION("""COMPUTED_VALUE"""),359.13)</f>
        <v>359.13</v>
      </c>
      <c r="E2413" s="2">
        <f>IFERROR(__xludf.DUMMYFUNCTION("""COMPUTED_VALUE"""),362.08)</f>
        <v>362.08</v>
      </c>
      <c r="F2413" s="2">
        <f>IFERROR(__xludf.DUMMYFUNCTION("""COMPUTED_VALUE"""),6216251.0)</f>
        <v>6216251</v>
      </c>
    </row>
    <row r="2414">
      <c r="A2414" s="3">
        <f>IFERROR(__xludf.DUMMYFUNCTION("""COMPUTED_VALUE"""),40996.645833333336)</f>
        <v>40996.64583</v>
      </c>
      <c r="B2414" s="2">
        <f>IFERROR(__xludf.DUMMYFUNCTION("""COMPUTED_VALUE"""),361.56)</f>
        <v>361.56</v>
      </c>
      <c r="C2414" s="2">
        <f>IFERROR(__xludf.DUMMYFUNCTION("""COMPUTED_VALUE"""),364.48)</f>
        <v>364.48</v>
      </c>
      <c r="D2414" s="2">
        <f>IFERROR(__xludf.DUMMYFUNCTION("""COMPUTED_VALUE"""),356.85)</f>
        <v>356.85</v>
      </c>
      <c r="E2414" s="2">
        <f>IFERROR(__xludf.DUMMYFUNCTION("""COMPUTED_VALUE"""),359.43)</f>
        <v>359.43</v>
      </c>
      <c r="F2414" s="2">
        <f>IFERROR(__xludf.DUMMYFUNCTION("""COMPUTED_VALUE"""),4131114.0)</f>
        <v>4131114</v>
      </c>
    </row>
    <row r="2415">
      <c r="A2415" s="3">
        <f>IFERROR(__xludf.DUMMYFUNCTION("""COMPUTED_VALUE"""),40997.645833333336)</f>
        <v>40997.64583</v>
      </c>
      <c r="B2415" s="2">
        <f>IFERROR(__xludf.DUMMYFUNCTION("""COMPUTED_VALUE"""),355.62)</f>
        <v>355.62</v>
      </c>
      <c r="C2415" s="2">
        <f>IFERROR(__xludf.DUMMYFUNCTION("""COMPUTED_VALUE"""),361.41)</f>
        <v>361.41</v>
      </c>
      <c r="D2415" s="2">
        <f>IFERROR(__xludf.DUMMYFUNCTION("""COMPUTED_VALUE"""),355.62)</f>
        <v>355.62</v>
      </c>
      <c r="E2415" s="2">
        <f>IFERROR(__xludf.DUMMYFUNCTION("""COMPUTED_VALUE"""),358.91)</f>
        <v>358.91</v>
      </c>
      <c r="F2415" s="2">
        <f>IFERROR(__xludf.DUMMYFUNCTION("""COMPUTED_VALUE"""),5480717.0)</f>
        <v>5480717</v>
      </c>
    </row>
    <row r="2416">
      <c r="A2416" s="3">
        <f>IFERROR(__xludf.DUMMYFUNCTION("""COMPUTED_VALUE"""),40998.645833333336)</f>
        <v>40998.64583</v>
      </c>
      <c r="B2416" s="2">
        <f>IFERROR(__xludf.DUMMYFUNCTION("""COMPUTED_VALUE"""),361.31)</f>
        <v>361.31</v>
      </c>
      <c r="C2416" s="2">
        <f>IFERROR(__xludf.DUMMYFUNCTION("""COMPUTED_VALUE"""),372.95)</f>
        <v>372.95</v>
      </c>
      <c r="D2416" s="2">
        <f>IFERROR(__xludf.DUMMYFUNCTION("""COMPUTED_VALUE"""),360.12)</f>
        <v>360.12</v>
      </c>
      <c r="E2416" s="2">
        <f>IFERROR(__xludf.DUMMYFUNCTION("""COMPUTED_VALUE"""),371.76)</f>
        <v>371.76</v>
      </c>
      <c r="F2416" s="2">
        <f>IFERROR(__xludf.DUMMYFUNCTION("""COMPUTED_VALUE"""),3949204.0)</f>
        <v>3949204</v>
      </c>
    </row>
    <row r="2417">
      <c r="A2417" s="3">
        <f>IFERROR(__xludf.DUMMYFUNCTION("""COMPUTED_VALUE"""),41001.645833333336)</f>
        <v>41001.64583</v>
      </c>
      <c r="B2417" s="2">
        <f>IFERROR(__xludf.DUMMYFUNCTION("""COMPUTED_VALUE"""),371.14)</f>
        <v>371.14</v>
      </c>
      <c r="C2417" s="2">
        <f>IFERROR(__xludf.DUMMYFUNCTION("""COMPUTED_VALUE"""),371.89)</f>
        <v>371.89</v>
      </c>
      <c r="D2417" s="2">
        <f>IFERROR(__xludf.DUMMYFUNCTION("""COMPUTED_VALUE"""),366.04)</f>
        <v>366.04</v>
      </c>
      <c r="E2417" s="2">
        <f>IFERROR(__xludf.DUMMYFUNCTION("""COMPUTED_VALUE"""),366.78)</f>
        <v>366.78</v>
      </c>
      <c r="F2417" s="2">
        <f>IFERROR(__xludf.DUMMYFUNCTION("""COMPUTED_VALUE"""),2564862.0)</f>
        <v>2564862</v>
      </c>
    </row>
    <row r="2418">
      <c r="A2418" s="3">
        <f>IFERROR(__xludf.DUMMYFUNCTION("""COMPUTED_VALUE"""),41002.645833333336)</f>
        <v>41002.64583</v>
      </c>
      <c r="B2418" s="2">
        <f>IFERROR(__xludf.DUMMYFUNCTION("""COMPUTED_VALUE"""),368.62)</f>
        <v>368.62</v>
      </c>
      <c r="C2418" s="2">
        <f>IFERROR(__xludf.DUMMYFUNCTION("""COMPUTED_VALUE"""),377.85)</f>
        <v>377.85</v>
      </c>
      <c r="D2418" s="2">
        <f>IFERROR(__xludf.DUMMYFUNCTION("""COMPUTED_VALUE"""),368.62)</f>
        <v>368.62</v>
      </c>
      <c r="E2418" s="2">
        <f>IFERROR(__xludf.DUMMYFUNCTION("""COMPUTED_VALUE"""),372.8)</f>
        <v>372.8</v>
      </c>
      <c r="F2418" s="2">
        <f>IFERROR(__xludf.DUMMYFUNCTION("""COMPUTED_VALUE"""),4003770.0)</f>
        <v>4003770</v>
      </c>
    </row>
    <row r="2419">
      <c r="A2419" s="3">
        <f>IFERROR(__xludf.DUMMYFUNCTION("""COMPUTED_VALUE"""),41003.645833333336)</f>
        <v>41003.64583</v>
      </c>
      <c r="B2419" s="2">
        <f>IFERROR(__xludf.DUMMYFUNCTION("""COMPUTED_VALUE"""),368.99)</f>
        <v>368.99</v>
      </c>
      <c r="C2419" s="2">
        <f>IFERROR(__xludf.DUMMYFUNCTION("""COMPUTED_VALUE"""),374.93)</f>
        <v>374.93</v>
      </c>
      <c r="D2419" s="2">
        <f>IFERROR(__xludf.DUMMYFUNCTION("""COMPUTED_VALUE"""),368.22)</f>
        <v>368.22</v>
      </c>
      <c r="E2419" s="2">
        <f>IFERROR(__xludf.DUMMYFUNCTION("""COMPUTED_VALUE"""),369.98)</f>
        <v>369.98</v>
      </c>
      <c r="F2419" s="2">
        <f>IFERROR(__xludf.DUMMYFUNCTION("""COMPUTED_VALUE"""),2700412.0)</f>
        <v>2700412</v>
      </c>
    </row>
    <row r="2420">
      <c r="A2420" s="3">
        <f>IFERROR(__xludf.DUMMYFUNCTION("""COMPUTED_VALUE"""),41008.645833333336)</f>
        <v>41008.64583</v>
      </c>
      <c r="B2420" s="2">
        <f>IFERROR(__xludf.DUMMYFUNCTION("""COMPUTED_VALUE"""),366.54)</f>
        <v>366.54</v>
      </c>
      <c r="C2420" s="2">
        <f>IFERROR(__xludf.DUMMYFUNCTION("""COMPUTED_VALUE"""),370.47)</f>
        <v>370.47</v>
      </c>
      <c r="D2420" s="2">
        <f>IFERROR(__xludf.DUMMYFUNCTION("""COMPUTED_VALUE"""),363.59)</f>
        <v>363.59</v>
      </c>
      <c r="E2420" s="2">
        <f>IFERROR(__xludf.DUMMYFUNCTION("""COMPUTED_VALUE"""),367.58)</f>
        <v>367.58</v>
      </c>
      <c r="F2420" s="2">
        <f>IFERROR(__xludf.DUMMYFUNCTION("""COMPUTED_VALUE"""),2608520.0)</f>
        <v>2608520</v>
      </c>
    </row>
    <row r="2421">
      <c r="A2421" s="3">
        <f>IFERROR(__xludf.DUMMYFUNCTION("""COMPUTED_VALUE"""),41009.645833333336)</f>
        <v>41009.64583</v>
      </c>
      <c r="B2421" s="2">
        <f>IFERROR(__xludf.DUMMYFUNCTION("""COMPUTED_VALUE"""),369.48)</f>
        <v>369.48</v>
      </c>
      <c r="C2421" s="2">
        <f>IFERROR(__xludf.DUMMYFUNCTION("""COMPUTED_VALUE"""),369.98)</f>
        <v>369.98</v>
      </c>
      <c r="D2421" s="2">
        <f>IFERROR(__xludf.DUMMYFUNCTION("""COMPUTED_VALUE"""),365.57)</f>
        <v>365.57</v>
      </c>
      <c r="E2421" s="2">
        <f>IFERROR(__xludf.DUMMYFUNCTION("""COMPUTED_VALUE"""),367.82)</f>
        <v>367.82</v>
      </c>
      <c r="F2421" s="2">
        <f>IFERROR(__xludf.DUMMYFUNCTION("""COMPUTED_VALUE"""),1913265.0)</f>
        <v>1913265</v>
      </c>
    </row>
    <row r="2422">
      <c r="A2422" s="3">
        <f>IFERROR(__xludf.DUMMYFUNCTION("""COMPUTED_VALUE"""),41010.645833333336)</f>
        <v>41010.64583</v>
      </c>
      <c r="B2422" s="2">
        <f>IFERROR(__xludf.DUMMYFUNCTION("""COMPUTED_VALUE"""),366.02)</f>
        <v>366.02</v>
      </c>
      <c r="C2422" s="2">
        <f>IFERROR(__xludf.DUMMYFUNCTION("""COMPUTED_VALUE"""),366.02)</f>
        <v>366.02</v>
      </c>
      <c r="D2422" s="2">
        <f>IFERROR(__xludf.DUMMYFUNCTION("""COMPUTED_VALUE"""),359.73)</f>
        <v>359.73</v>
      </c>
      <c r="E2422" s="2">
        <f>IFERROR(__xludf.DUMMYFUNCTION("""COMPUTED_VALUE"""),361.71)</f>
        <v>361.71</v>
      </c>
      <c r="F2422" s="2">
        <f>IFERROR(__xludf.DUMMYFUNCTION("""COMPUTED_VALUE"""),3726842.0)</f>
        <v>3726842</v>
      </c>
    </row>
    <row r="2423">
      <c r="A2423" s="3">
        <f>IFERROR(__xludf.DUMMYFUNCTION("""COMPUTED_VALUE"""),41011.645833333336)</f>
        <v>41011.64583</v>
      </c>
      <c r="B2423" s="2">
        <f>IFERROR(__xludf.DUMMYFUNCTION("""COMPUTED_VALUE"""),363.19)</f>
        <v>363.19</v>
      </c>
      <c r="C2423" s="2">
        <f>IFERROR(__xludf.DUMMYFUNCTION("""COMPUTED_VALUE"""),369.29)</f>
        <v>369.29</v>
      </c>
      <c r="D2423" s="2">
        <f>IFERROR(__xludf.DUMMYFUNCTION("""COMPUTED_VALUE"""),363.19)</f>
        <v>363.19</v>
      </c>
      <c r="E2423" s="2">
        <f>IFERROR(__xludf.DUMMYFUNCTION("""COMPUTED_VALUE"""),368.15)</f>
        <v>368.15</v>
      </c>
      <c r="F2423" s="2">
        <f>IFERROR(__xludf.DUMMYFUNCTION("""COMPUTED_VALUE"""),2692505.0)</f>
        <v>2692505</v>
      </c>
    </row>
    <row r="2424">
      <c r="A2424" s="3">
        <f>IFERROR(__xludf.DUMMYFUNCTION("""COMPUTED_VALUE"""),41012.645833333336)</f>
        <v>41012.64583</v>
      </c>
      <c r="B2424" s="2">
        <f>IFERROR(__xludf.DUMMYFUNCTION("""COMPUTED_VALUE"""),369.51)</f>
        <v>369.51</v>
      </c>
      <c r="C2424" s="2">
        <f>IFERROR(__xludf.DUMMYFUNCTION("""COMPUTED_VALUE"""),377.41)</f>
        <v>377.41</v>
      </c>
      <c r="D2424" s="2">
        <f>IFERROR(__xludf.DUMMYFUNCTION("""COMPUTED_VALUE"""),365.27)</f>
        <v>365.27</v>
      </c>
      <c r="E2424" s="2">
        <f>IFERROR(__xludf.DUMMYFUNCTION("""COMPUTED_VALUE"""),372.23)</f>
        <v>372.23</v>
      </c>
      <c r="F2424" s="2">
        <f>IFERROR(__xludf.DUMMYFUNCTION("""COMPUTED_VALUE"""),3249224.0)</f>
        <v>3249224</v>
      </c>
    </row>
    <row r="2425">
      <c r="A2425" s="3">
        <f>IFERROR(__xludf.DUMMYFUNCTION("""COMPUTED_VALUE"""),41015.645833333336)</f>
        <v>41015.64583</v>
      </c>
      <c r="B2425" s="2">
        <f>IFERROR(__xludf.DUMMYFUNCTION("""COMPUTED_VALUE"""),370.03)</f>
        <v>370.03</v>
      </c>
      <c r="C2425" s="2">
        <f>IFERROR(__xludf.DUMMYFUNCTION("""COMPUTED_VALUE"""),373.17)</f>
        <v>373.17</v>
      </c>
      <c r="D2425" s="2">
        <f>IFERROR(__xludf.DUMMYFUNCTION("""COMPUTED_VALUE"""),364.53)</f>
        <v>364.53</v>
      </c>
      <c r="E2425" s="2">
        <f>IFERROR(__xludf.DUMMYFUNCTION("""COMPUTED_VALUE"""),370.52)</f>
        <v>370.52</v>
      </c>
      <c r="F2425" s="2">
        <f>IFERROR(__xludf.DUMMYFUNCTION("""COMPUTED_VALUE"""),2404246.0)</f>
        <v>2404246</v>
      </c>
    </row>
    <row r="2426">
      <c r="A2426" s="3">
        <f>IFERROR(__xludf.DUMMYFUNCTION("""COMPUTED_VALUE"""),41016.645833333336)</f>
        <v>41016.64583</v>
      </c>
      <c r="B2426" s="2">
        <f>IFERROR(__xludf.DUMMYFUNCTION("""COMPUTED_VALUE"""),373.84)</f>
        <v>373.84</v>
      </c>
      <c r="C2426" s="2">
        <f>IFERROR(__xludf.DUMMYFUNCTION("""COMPUTED_VALUE"""),373.84)</f>
        <v>373.84</v>
      </c>
      <c r="D2426" s="2">
        <f>IFERROR(__xludf.DUMMYFUNCTION("""COMPUTED_VALUE"""),366.69)</f>
        <v>366.69</v>
      </c>
      <c r="E2426" s="2">
        <f>IFERROR(__xludf.DUMMYFUNCTION("""COMPUTED_VALUE"""),369.68)</f>
        <v>369.68</v>
      </c>
      <c r="F2426" s="2">
        <f>IFERROR(__xludf.DUMMYFUNCTION("""COMPUTED_VALUE"""),3175927.0)</f>
        <v>3175927</v>
      </c>
    </row>
    <row r="2427">
      <c r="A2427" s="3">
        <f>IFERROR(__xludf.DUMMYFUNCTION("""COMPUTED_VALUE"""),41017.645833333336)</f>
        <v>41017.64583</v>
      </c>
      <c r="B2427" s="2">
        <f>IFERROR(__xludf.DUMMYFUNCTION("""COMPUTED_VALUE"""),371.47)</f>
        <v>371.47</v>
      </c>
      <c r="C2427" s="2">
        <f>IFERROR(__xludf.DUMMYFUNCTION("""COMPUTED_VALUE"""),374.83)</f>
        <v>374.83</v>
      </c>
      <c r="D2427" s="2">
        <f>IFERROR(__xludf.DUMMYFUNCTION("""COMPUTED_VALUE"""),367.85)</f>
        <v>367.85</v>
      </c>
      <c r="E2427" s="2">
        <f>IFERROR(__xludf.DUMMYFUNCTION("""COMPUTED_VALUE"""),370.77)</f>
        <v>370.77</v>
      </c>
      <c r="F2427" s="2">
        <f>IFERROR(__xludf.DUMMYFUNCTION("""COMPUTED_VALUE"""),3428345.0)</f>
        <v>3428345</v>
      </c>
    </row>
    <row r="2428">
      <c r="A2428" s="3">
        <f>IFERROR(__xludf.DUMMYFUNCTION("""COMPUTED_VALUE"""),41018.645833333336)</f>
        <v>41018.64583</v>
      </c>
      <c r="B2428" s="2">
        <f>IFERROR(__xludf.DUMMYFUNCTION("""COMPUTED_VALUE"""),373.4)</f>
        <v>373.4</v>
      </c>
      <c r="C2428" s="2">
        <f>IFERROR(__xludf.DUMMYFUNCTION("""COMPUTED_VALUE"""),373.4)</f>
        <v>373.4</v>
      </c>
      <c r="D2428" s="2">
        <f>IFERROR(__xludf.DUMMYFUNCTION("""COMPUTED_VALUE"""),365.77)</f>
        <v>365.77</v>
      </c>
      <c r="E2428" s="2">
        <f>IFERROR(__xludf.DUMMYFUNCTION("""COMPUTED_VALUE"""),367.33)</f>
        <v>367.33</v>
      </c>
      <c r="F2428" s="2">
        <f>IFERROR(__xludf.DUMMYFUNCTION("""COMPUTED_VALUE"""),4205746.0)</f>
        <v>4205746</v>
      </c>
    </row>
    <row r="2429">
      <c r="A2429" s="3">
        <f>IFERROR(__xludf.DUMMYFUNCTION("""COMPUTED_VALUE"""),41019.645833333336)</f>
        <v>41019.64583</v>
      </c>
      <c r="B2429" s="2">
        <f>IFERROR(__xludf.DUMMYFUNCTION("""COMPUTED_VALUE"""),366.54)</f>
        <v>366.54</v>
      </c>
      <c r="C2429" s="2">
        <f>IFERROR(__xludf.DUMMYFUNCTION("""COMPUTED_VALUE"""),367.01)</f>
        <v>367.01</v>
      </c>
      <c r="D2429" s="2">
        <f>IFERROR(__xludf.DUMMYFUNCTION("""COMPUTED_VALUE"""),360.57)</f>
        <v>360.57</v>
      </c>
      <c r="E2429" s="2">
        <f>IFERROR(__xludf.DUMMYFUNCTION("""COMPUTED_VALUE"""),361.98)</f>
        <v>361.98</v>
      </c>
      <c r="F2429" s="2">
        <f>IFERROR(__xludf.DUMMYFUNCTION("""COMPUTED_VALUE"""),3410977.0)</f>
        <v>3410977</v>
      </c>
    </row>
    <row r="2430">
      <c r="A2430" s="3">
        <f>IFERROR(__xludf.DUMMYFUNCTION("""COMPUTED_VALUE"""),41022.645833333336)</f>
        <v>41022.64583</v>
      </c>
      <c r="B2430" s="2">
        <f>IFERROR(__xludf.DUMMYFUNCTION("""COMPUTED_VALUE"""),359.5)</f>
        <v>359.5</v>
      </c>
      <c r="C2430" s="2">
        <f>IFERROR(__xludf.DUMMYFUNCTION("""COMPUTED_VALUE"""),369.36)</f>
        <v>369.36</v>
      </c>
      <c r="D2430" s="2">
        <f>IFERROR(__xludf.DUMMYFUNCTION("""COMPUTED_VALUE"""),358.69)</f>
        <v>358.69</v>
      </c>
      <c r="E2430" s="2">
        <f>IFERROR(__xludf.DUMMYFUNCTION("""COMPUTED_VALUE"""),364.68)</f>
        <v>364.68</v>
      </c>
      <c r="F2430" s="2">
        <f>IFERROR(__xludf.DUMMYFUNCTION("""COMPUTED_VALUE"""),5053199.0)</f>
        <v>5053199</v>
      </c>
    </row>
    <row r="2431">
      <c r="A2431" s="3">
        <f>IFERROR(__xludf.DUMMYFUNCTION("""COMPUTED_VALUE"""),41023.645833333336)</f>
        <v>41023.64583</v>
      </c>
      <c r="B2431" s="2">
        <f>IFERROR(__xludf.DUMMYFUNCTION("""COMPUTED_VALUE"""),366.02)</f>
        <v>366.02</v>
      </c>
      <c r="C2431" s="2">
        <f>IFERROR(__xludf.DUMMYFUNCTION("""COMPUTED_VALUE"""),366.76)</f>
        <v>366.76</v>
      </c>
      <c r="D2431" s="2">
        <f>IFERROR(__xludf.DUMMYFUNCTION("""COMPUTED_VALUE"""),358.44)</f>
        <v>358.44</v>
      </c>
      <c r="E2431" s="2">
        <f>IFERROR(__xludf.DUMMYFUNCTION("""COMPUTED_VALUE"""),364.09)</f>
        <v>364.09</v>
      </c>
      <c r="F2431" s="2">
        <f>IFERROR(__xludf.DUMMYFUNCTION("""COMPUTED_VALUE"""),3809316.0)</f>
        <v>3809316</v>
      </c>
    </row>
    <row r="2432">
      <c r="A2432" s="3">
        <f>IFERROR(__xludf.DUMMYFUNCTION("""COMPUTED_VALUE"""),41024.645833333336)</f>
        <v>41024.64583</v>
      </c>
      <c r="B2432" s="2">
        <f>IFERROR(__xludf.DUMMYFUNCTION("""COMPUTED_VALUE"""),363.59)</f>
        <v>363.59</v>
      </c>
      <c r="C2432" s="2">
        <f>IFERROR(__xludf.DUMMYFUNCTION("""COMPUTED_VALUE"""),367.95)</f>
        <v>367.95</v>
      </c>
      <c r="D2432" s="2">
        <f>IFERROR(__xludf.DUMMYFUNCTION("""COMPUTED_VALUE"""),360.59)</f>
        <v>360.59</v>
      </c>
      <c r="E2432" s="2">
        <f>IFERROR(__xludf.DUMMYFUNCTION("""COMPUTED_VALUE"""),364.68)</f>
        <v>364.68</v>
      </c>
      <c r="F2432" s="2">
        <f>IFERROR(__xludf.DUMMYFUNCTION("""COMPUTED_VALUE"""),3105631.0)</f>
        <v>3105631</v>
      </c>
    </row>
    <row r="2433">
      <c r="A2433" s="3">
        <f>IFERROR(__xludf.DUMMYFUNCTION("""COMPUTED_VALUE"""),41025.645833333336)</f>
        <v>41025.64583</v>
      </c>
      <c r="B2433" s="2">
        <f>IFERROR(__xludf.DUMMYFUNCTION("""COMPUTED_VALUE"""),365.08)</f>
        <v>365.08</v>
      </c>
      <c r="C2433" s="2">
        <f>IFERROR(__xludf.DUMMYFUNCTION("""COMPUTED_VALUE"""),370.97)</f>
        <v>370.97</v>
      </c>
      <c r="D2433" s="2">
        <f>IFERROR(__xludf.DUMMYFUNCTION("""COMPUTED_VALUE"""),363.34)</f>
        <v>363.34</v>
      </c>
      <c r="E2433" s="2">
        <f>IFERROR(__xludf.DUMMYFUNCTION("""COMPUTED_VALUE"""),369.01)</f>
        <v>369.01</v>
      </c>
      <c r="F2433" s="2">
        <f>IFERROR(__xludf.DUMMYFUNCTION("""COMPUTED_VALUE"""),3469984.0)</f>
        <v>3469984</v>
      </c>
    </row>
    <row r="2434">
      <c r="A2434" s="3">
        <f>IFERROR(__xludf.DUMMYFUNCTION("""COMPUTED_VALUE"""),41026.645833333336)</f>
        <v>41026.64583</v>
      </c>
      <c r="B2434" s="2">
        <f>IFERROR(__xludf.DUMMYFUNCTION("""COMPUTED_VALUE"""),367.16)</f>
        <v>367.16</v>
      </c>
      <c r="C2434" s="2">
        <f>IFERROR(__xludf.DUMMYFUNCTION("""COMPUTED_VALUE"""),370.05)</f>
        <v>370.05</v>
      </c>
      <c r="D2434" s="2">
        <f>IFERROR(__xludf.DUMMYFUNCTION("""COMPUTED_VALUE"""),364.78)</f>
        <v>364.78</v>
      </c>
      <c r="E2434" s="2">
        <f>IFERROR(__xludf.DUMMYFUNCTION("""COMPUTED_VALUE"""),367.5)</f>
        <v>367.5</v>
      </c>
      <c r="F2434" s="2">
        <f>IFERROR(__xludf.DUMMYFUNCTION("""COMPUTED_VALUE"""),2857701.0)</f>
        <v>2857701</v>
      </c>
    </row>
    <row r="2435">
      <c r="A2435" s="3">
        <f>IFERROR(__xludf.DUMMYFUNCTION("""COMPUTED_VALUE"""),41029.645833333336)</f>
        <v>41029.64583</v>
      </c>
      <c r="B2435" s="2">
        <f>IFERROR(__xludf.DUMMYFUNCTION("""COMPUTED_VALUE"""),365.27)</f>
        <v>365.27</v>
      </c>
      <c r="C2435" s="2">
        <f>IFERROR(__xludf.DUMMYFUNCTION("""COMPUTED_VALUE"""),370.43)</f>
        <v>370.43</v>
      </c>
      <c r="D2435" s="2">
        <f>IFERROR(__xludf.DUMMYFUNCTION("""COMPUTED_VALUE"""),365.27)</f>
        <v>365.27</v>
      </c>
      <c r="E2435" s="2">
        <f>IFERROR(__xludf.DUMMYFUNCTION("""COMPUTED_VALUE"""),369.04)</f>
        <v>369.04</v>
      </c>
      <c r="F2435" s="2">
        <f>IFERROR(__xludf.DUMMYFUNCTION("""COMPUTED_VALUE"""),2776770.0)</f>
        <v>2776770</v>
      </c>
    </row>
    <row r="2436">
      <c r="A2436" s="3">
        <f>IFERROR(__xludf.DUMMYFUNCTION("""COMPUTED_VALUE"""),41031.645833333336)</f>
        <v>41031.64583</v>
      </c>
      <c r="B2436" s="2">
        <f>IFERROR(__xludf.DUMMYFUNCTION("""COMPUTED_VALUE"""),370.43)</f>
        <v>370.43</v>
      </c>
      <c r="C2436" s="2">
        <f>IFERROR(__xludf.DUMMYFUNCTION("""COMPUTED_VALUE"""),372.16)</f>
        <v>372.16</v>
      </c>
      <c r="D2436" s="2">
        <f>IFERROR(__xludf.DUMMYFUNCTION("""COMPUTED_VALUE"""),366.51)</f>
        <v>366.51</v>
      </c>
      <c r="E2436" s="2">
        <f>IFERROR(__xludf.DUMMYFUNCTION("""COMPUTED_VALUE"""),368.27)</f>
        <v>368.27</v>
      </c>
      <c r="F2436" s="2">
        <f>IFERROR(__xludf.DUMMYFUNCTION("""COMPUTED_VALUE"""),2861902.0)</f>
        <v>2861902</v>
      </c>
    </row>
    <row r="2437">
      <c r="A2437" s="3">
        <f>IFERROR(__xludf.DUMMYFUNCTION("""COMPUTED_VALUE"""),41032.645833333336)</f>
        <v>41032.64583</v>
      </c>
      <c r="B2437" s="2">
        <f>IFERROR(__xludf.DUMMYFUNCTION("""COMPUTED_VALUE"""),365.77)</f>
        <v>365.77</v>
      </c>
      <c r="C2437" s="2">
        <f>IFERROR(__xludf.DUMMYFUNCTION("""COMPUTED_VALUE"""),368.72)</f>
        <v>368.72</v>
      </c>
      <c r="D2437" s="2">
        <f>IFERROR(__xludf.DUMMYFUNCTION("""COMPUTED_VALUE"""),364.11)</f>
        <v>364.11</v>
      </c>
      <c r="E2437" s="2">
        <f>IFERROR(__xludf.DUMMYFUNCTION("""COMPUTED_VALUE"""),365.94)</f>
        <v>365.94</v>
      </c>
      <c r="F2437" s="2">
        <f>IFERROR(__xludf.DUMMYFUNCTION("""COMPUTED_VALUE"""),1897162.0)</f>
        <v>1897162</v>
      </c>
    </row>
    <row r="2438">
      <c r="A2438" s="3">
        <f>IFERROR(__xludf.DUMMYFUNCTION("""COMPUTED_VALUE"""),41033.645833333336)</f>
        <v>41033.64583</v>
      </c>
      <c r="B2438" s="2">
        <f>IFERROR(__xludf.DUMMYFUNCTION("""COMPUTED_VALUE"""),363.24)</f>
        <v>363.24</v>
      </c>
      <c r="C2438" s="2">
        <f>IFERROR(__xludf.DUMMYFUNCTION("""COMPUTED_VALUE"""),366.51)</f>
        <v>366.51</v>
      </c>
      <c r="D2438" s="2">
        <f>IFERROR(__xludf.DUMMYFUNCTION("""COMPUTED_VALUE"""),357.6)</f>
        <v>357.6</v>
      </c>
      <c r="E2438" s="2">
        <f>IFERROR(__xludf.DUMMYFUNCTION("""COMPUTED_VALUE"""),359.8)</f>
        <v>359.8</v>
      </c>
      <c r="F2438" s="2">
        <f>IFERROR(__xludf.DUMMYFUNCTION("""COMPUTED_VALUE"""),3778468.0)</f>
        <v>3778468</v>
      </c>
    </row>
    <row r="2439">
      <c r="A2439" s="3">
        <f>IFERROR(__xludf.DUMMYFUNCTION("""COMPUTED_VALUE"""),41036.645833333336)</f>
        <v>41036.64583</v>
      </c>
      <c r="B2439" s="2">
        <f>IFERROR(__xludf.DUMMYFUNCTION("""COMPUTED_VALUE"""),354.13)</f>
        <v>354.13</v>
      </c>
      <c r="C2439" s="2">
        <f>IFERROR(__xludf.DUMMYFUNCTION("""COMPUTED_VALUE"""),357.6)</f>
        <v>357.6</v>
      </c>
      <c r="D2439" s="2">
        <f>IFERROR(__xludf.DUMMYFUNCTION("""COMPUTED_VALUE"""),349.23)</f>
        <v>349.23</v>
      </c>
      <c r="E2439" s="2">
        <f>IFERROR(__xludf.DUMMYFUNCTION("""COMPUTED_VALUE"""),354.48)</f>
        <v>354.48</v>
      </c>
      <c r="F2439" s="2">
        <f>IFERROR(__xludf.DUMMYFUNCTION("""COMPUTED_VALUE"""),4591050.0)</f>
        <v>4591050</v>
      </c>
    </row>
    <row r="2440">
      <c r="A2440" s="3">
        <f>IFERROR(__xludf.DUMMYFUNCTION("""COMPUTED_VALUE"""),41037.645833333336)</f>
        <v>41037.64583</v>
      </c>
      <c r="B2440" s="2">
        <f>IFERROR(__xludf.DUMMYFUNCTION("""COMPUTED_VALUE"""),355.62)</f>
        <v>355.62</v>
      </c>
      <c r="C2440" s="2">
        <f>IFERROR(__xludf.DUMMYFUNCTION("""COMPUTED_VALUE"""),356.06)</f>
        <v>356.06</v>
      </c>
      <c r="D2440" s="2">
        <f>IFERROR(__xludf.DUMMYFUNCTION("""COMPUTED_VALUE"""),346.21)</f>
        <v>346.21</v>
      </c>
      <c r="E2440" s="2">
        <f>IFERROR(__xludf.DUMMYFUNCTION("""COMPUTED_VALUE"""),350.84)</f>
        <v>350.84</v>
      </c>
      <c r="F2440" s="2">
        <f>IFERROR(__xludf.DUMMYFUNCTION("""COMPUTED_VALUE"""),3885415.0)</f>
        <v>3885415</v>
      </c>
    </row>
    <row r="2441">
      <c r="A2441" s="3">
        <f>IFERROR(__xludf.DUMMYFUNCTION("""COMPUTED_VALUE"""),41038.645833333336)</f>
        <v>41038.64583</v>
      </c>
      <c r="B2441" s="2">
        <f>IFERROR(__xludf.DUMMYFUNCTION("""COMPUTED_VALUE"""),347.69)</f>
        <v>347.69</v>
      </c>
      <c r="C2441" s="2">
        <f>IFERROR(__xludf.DUMMYFUNCTION("""COMPUTED_VALUE"""),350.81)</f>
        <v>350.81</v>
      </c>
      <c r="D2441" s="2">
        <f>IFERROR(__xludf.DUMMYFUNCTION("""COMPUTED_VALUE"""),342.27)</f>
        <v>342.27</v>
      </c>
      <c r="E2441" s="2">
        <f>IFERROR(__xludf.DUMMYFUNCTION("""COMPUTED_VALUE"""),344.27)</f>
        <v>344.27</v>
      </c>
      <c r="F2441" s="2">
        <f>IFERROR(__xludf.DUMMYFUNCTION("""COMPUTED_VALUE"""),3670660.0)</f>
        <v>3670660</v>
      </c>
    </row>
    <row r="2442">
      <c r="A2442" s="3">
        <f>IFERROR(__xludf.DUMMYFUNCTION("""COMPUTED_VALUE"""),41039.645833333336)</f>
        <v>41039.64583</v>
      </c>
      <c r="B2442" s="2">
        <f>IFERROR(__xludf.DUMMYFUNCTION("""COMPUTED_VALUE"""),345.34)</f>
        <v>345.34</v>
      </c>
      <c r="C2442" s="2">
        <f>IFERROR(__xludf.DUMMYFUNCTION("""COMPUTED_VALUE"""),350.86)</f>
        <v>350.86</v>
      </c>
      <c r="D2442" s="2">
        <f>IFERROR(__xludf.DUMMYFUNCTION("""COMPUTED_VALUE"""),342.02)</f>
        <v>342.02</v>
      </c>
      <c r="E2442" s="2">
        <f>IFERROR(__xludf.DUMMYFUNCTION("""COMPUTED_VALUE"""),343.8)</f>
        <v>343.8</v>
      </c>
      <c r="F2442" s="2">
        <f>IFERROR(__xludf.DUMMYFUNCTION("""COMPUTED_VALUE"""),3391819.0)</f>
        <v>3391819</v>
      </c>
    </row>
    <row r="2443">
      <c r="A2443" s="3">
        <f>IFERROR(__xludf.DUMMYFUNCTION("""COMPUTED_VALUE"""),41040.645833333336)</f>
        <v>41040.64583</v>
      </c>
      <c r="B2443" s="2">
        <f>IFERROR(__xludf.DUMMYFUNCTION("""COMPUTED_VALUE"""),343.23)</f>
        <v>343.23</v>
      </c>
      <c r="C2443" s="2">
        <f>IFERROR(__xludf.DUMMYFUNCTION("""COMPUTED_VALUE"""),348.19)</f>
        <v>348.19</v>
      </c>
      <c r="D2443" s="2">
        <f>IFERROR(__xludf.DUMMYFUNCTION("""COMPUTED_VALUE"""),340.91)</f>
        <v>340.91</v>
      </c>
      <c r="E2443" s="2">
        <f>IFERROR(__xludf.DUMMYFUNCTION("""COMPUTED_VALUE"""),345.31)</f>
        <v>345.31</v>
      </c>
      <c r="F2443" s="2">
        <f>IFERROR(__xludf.DUMMYFUNCTION("""COMPUTED_VALUE"""),3042510.0)</f>
        <v>3042510</v>
      </c>
    </row>
    <row r="2444">
      <c r="A2444" s="3">
        <f>IFERROR(__xludf.DUMMYFUNCTION("""COMPUTED_VALUE"""),41043.645833333336)</f>
        <v>41043.64583</v>
      </c>
      <c r="B2444" s="2">
        <f>IFERROR(__xludf.DUMMYFUNCTION("""COMPUTED_VALUE"""),345.71)</f>
        <v>345.71</v>
      </c>
      <c r="C2444" s="2">
        <f>IFERROR(__xludf.DUMMYFUNCTION("""COMPUTED_VALUE"""),348.09)</f>
        <v>348.09</v>
      </c>
      <c r="D2444" s="2">
        <f>IFERROR(__xludf.DUMMYFUNCTION("""COMPUTED_VALUE"""),336.08)</f>
        <v>336.08</v>
      </c>
      <c r="E2444" s="2">
        <f>IFERROR(__xludf.DUMMYFUNCTION("""COMPUTED_VALUE"""),337.44)</f>
        <v>337.44</v>
      </c>
      <c r="F2444" s="2">
        <f>IFERROR(__xludf.DUMMYFUNCTION("""COMPUTED_VALUE"""),4081094.0)</f>
        <v>4081094</v>
      </c>
    </row>
    <row r="2445">
      <c r="A2445" s="3">
        <f>IFERROR(__xludf.DUMMYFUNCTION("""COMPUTED_VALUE"""),41044.645833333336)</f>
        <v>41044.64583</v>
      </c>
      <c r="B2445" s="2">
        <f>IFERROR(__xludf.DUMMYFUNCTION("""COMPUTED_VALUE"""),336.3)</f>
        <v>336.3</v>
      </c>
      <c r="C2445" s="2">
        <f>IFERROR(__xludf.DUMMYFUNCTION("""COMPUTED_VALUE"""),340.76)</f>
        <v>340.76</v>
      </c>
      <c r="D2445" s="2">
        <f>IFERROR(__xludf.DUMMYFUNCTION("""COMPUTED_VALUE"""),333.87)</f>
        <v>333.87</v>
      </c>
      <c r="E2445" s="2">
        <f>IFERROR(__xludf.DUMMYFUNCTION("""COMPUTED_VALUE"""),337.61)</f>
        <v>337.61</v>
      </c>
      <c r="F2445" s="2">
        <f>IFERROR(__xludf.DUMMYFUNCTION("""COMPUTED_VALUE"""),3696346.0)</f>
        <v>3696346</v>
      </c>
    </row>
    <row r="2446">
      <c r="A2446" s="3">
        <f>IFERROR(__xludf.DUMMYFUNCTION("""COMPUTED_VALUE"""),41045.645833333336)</f>
        <v>41045.64583</v>
      </c>
      <c r="B2446" s="2">
        <f>IFERROR(__xludf.DUMMYFUNCTION("""COMPUTED_VALUE"""),334.32)</f>
        <v>334.32</v>
      </c>
      <c r="C2446" s="2">
        <f>IFERROR(__xludf.DUMMYFUNCTION("""COMPUTED_VALUE"""),338.18)</f>
        <v>338.18</v>
      </c>
      <c r="D2446" s="2">
        <f>IFERROR(__xludf.DUMMYFUNCTION("""COMPUTED_VALUE"""),333.35)</f>
        <v>333.35</v>
      </c>
      <c r="E2446" s="2">
        <f>IFERROR(__xludf.DUMMYFUNCTION("""COMPUTED_VALUE"""),334.86)</f>
        <v>334.86</v>
      </c>
      <c r="F2446" s="2">
        <f>IFERROR(__xludf.DUMMYFUNCTION("""COMPUTED_VALUE"""),3101760.0)</f>
        <v>3101760</v>
      </c>
    </row>
    <row r="2447">
      <c r="A2447" s="3">
        <f>IFERROR(__xludf.DUMMYFUNCTION("""COMPUTED_VALUE"""),41046.645833333336)</f>
        <v>41046.64583</v>
      </c>
      <c r="B2447" s="2">
        <f>IFERROR(__xludf.DUMMYFUNCTION("""COMPUTED_VALUE"""),336.92)</f>
        <v>336.92</v>
      </c>
      <c r="C2447" s="2">
        <f>IFERROR(__xludf.DUMMYFUNCTION("""COMPUTED_VALUE"""),341.67)</f>
        <v>341.67</v>
      </c>
      <c r="D2447" s="2">
        <f>IFERROR(__xludf.DUMMYFUNCTION("""COMPUTED_VALUE"""),335.71)</f>
        <v>335.71</v>
      </c>
      <c r="E2447" s="2">
        <f>IFERROR(__xludf.DUMMYFUNCTION("""COMPUTED_VALUE"""),339.35)</f>
        <v>339.35</v>
      </c>
      <c r="F2447" s="2">
        <f>IFERROR(__xludf.DUMMYFUNCTION("""COMPUTED_VALUE"""),3560488.0)</f>
        <v>3560488</v>
      </c>
    </row>
    <row r="2448">
      <c r="A2448" s="3">
        <f>IFERROR(__xludf.DUMMYFUNCTION("""COMPUTED_VALUE"""),41047.645833333336)</f>
        <v>41047.64583</v>
      </c>
      <c r="B2448" s="2">
        <f>IFERROR(__xludf.DUMMYFUNCTION("""COMPUTED_VALUE"""),335.26)</f>
        <v>335.26</v>
      </c>
      <c r="C2448" s="2">
        <f>IFERROR(__xludf.DUMMYFUNCTION("""COMPUTED_VALUE"""),344.92)</f>
        <v>344.92</v>
      </c>
      <c r="D2448" s="2">
        <f>IFERROR(__xludf.DUMMYFUNCTION("""COMPUTED_VALUE"""),334.32)</f>
        <v>334.32</v>
      </c>
      <c r="E2448" s="2">
        <f>IFERROR(__xludf.DUMMYFUNCTION("""COMPUTED_VALUE"""),341.03)</f>
        <v>341.03</v>
      </c>
      <c r="F2448" s="2">
        <f>IFERROR(__xludf.DUMMYFUNCTION("""COMPUTED_VALUE"""),2363960.0)</f>
        <v>2363960</v>
      </c>
    </row>
    <row r="2449">
      <c r="A2449" s="3">
        <f>IFERROR(__xludf.DUMMYFUNCTION("""COMPUTED_VALUE"""),41050.645833333336)</f>
        <v>41050.64583</v>
      </c>
      <c r="B2449" s="2">
        <f>IFERROR(__xludf.DUMMYFUNCTION("""COMPUTED_VALUE"""),340.01)</f>
        <v>340.01</v>
      </c>
      <c r="C2449" s="2">
        <f>IFERROR(__xludf.DUMMYFUNCTION("""COMPUTED_VALUE"""),347.05)</f>
        <v>347.05</v>
      </c>
      <c r="D2449" s="2">
        <f>IFERROR(__xludf.DUMMYFUNCTION("""COMPUTED_VALUE"""),339.77)</f>
        <v>339.77</v>
      </c>
      <c r="E2449" s="2">
        <f>IFERROR(__xludf.DUMMYFUNCTION("""COMPUTED_VALUE"""),344.47)</f>
        <v>344.47</v>
      </c>
      <c r="F2449" s="2">
        <f>IFERROR(__xludf.DUMMYFUNCTION("""COMPUTED_VALUE"""),2334127.0)</f>
        <v>2334127</v>
      </c>
    </row>
    <row r="2450">
      <c r="A2450" s="3">
        <f>IFERROR(__xludf.DUMMYFUNCTION("""COMPUTED_VALUE"""),41051.645833333336)</f>
        <v>41051.64583</v>
      </c>
      <c r="B2450" s="2">
        <f>IFERROR(__xludf.DUMMYFUNCTION("""COMPUTED_VALUE"""),348.98)</f>
        <v>348.98</v>
      </c>
      <c r="C2450" s="2">
        <f>IFERROR(__xludf.DUMMYFUNCTION("""COMPUTED_VALUE"""),348.98)</f>
        <v>348.98</v>
      </c>
      <c r="D2450" s="2">
        <f>IFERROR(__xludf.DUMMYFUNCTION("""COMPUTED_VALUE"""),341.13)</f>
        <v>341.13</v>
      </c>
      <c r="E2450" s="2">
        <f>IFERROR(__xludf.DUMMYFUNCTION("""COMPUTED_VALUE"""),342.29)</f>
        <v>342.29</v>
      </c>
      <c r="F2450" s="2">
        <f>IFERROR(__xludf.DUMMYFUNCTION("""COMPUTED_VALUE"""),2938047.0)</f>
        <v>2938047</v>
      </c>
    </row>
    <row r="2451">
      <c r="A2451" s="3">
        <f>IFERROR(__xludf.DUMMYFUNCTION("""COMPUTED_VALUE"""),41052.645833333336)</f>
        <v>41052.64583</v>
      </c>
      <c r="B2451" s="2">
        <f>IFERROR(__xludf.DUMMYFUNCTION("""COMPUTED_VALUE"""),339.37)</f>
        <v>339.37</v>
      </c>
      <c r="C2451" s="2">
        <f>IFERROR(__xludf.DUMMYFUNCTION("""COMPUTED_VALUE"""),341.72)</f>
        <v>341.72</v>
      </c>
      <c r="D2451" s="2">
        <f>IFERROR(__xludf.DUMMYFUNCTION("""COMPUTED_VALUE"""),336.57)</f>
        <v>336.57</v>
      </c>
      <c r="E2451" s="2">
        <f>IFERROR(__xludf.DUMMYFUNCTION("""COMPUTED_VALUE"""),340.19)</f>
        <v>340.19</v>
      </c>
      <c r="F2451" s="2">
        <f>IFERROR(__xludf.DUMMYFUNCTION("""COMPUTED_VALUE"""),2583348.0)</f>
        <v>2583348</v>
      </c>
    </row>
    <row r="2452">
      <c r="A2452" s="3">
        <f>IFERROR(__xludf.DUMMYFUNCTION("""COMPUTED_VALUE"""),41053.645833333336)</f>
        <v>41053.64583</v>
      </c>
      <c r="B2452" s="2">
        <f>IFERROR(__xludf.DUMMYFUNCTION("""COMPUTED_VALUE"""),343.73)</f>
        <v>343.73</v>
      </c>
      <c r="C2452" s="2">
        <f>IFERROR(__xludf.DUMMYFUNCTION("""COMPUTED_VALUE"""),346.7)</f>
        <v>346.7</v>
      </c>
      <c r="D2452" s="2">
        <f>IFERROR(__xludf.DUMMYFUNCTION("""COMPUTED_VALUE"""),339.82)</f>
        <v>339.82</v>
      </c>
      <c r="E2452" s="2">
        <f>IFERROR(__xludf.DUMMYFUNCTION("""COMPUTED_VALUE"""),344.37)</f>
        <v>344.37</v>
      </c>
      <c r="F2452" s="2">
        <f>IFERROR(__xludf.DUMMYFUNCTION("""COMPUTED_VALUE"""),2399818.0)</f>
        <v>2399818</v>
      </c>
    </row>
    <row r="2453">
      <c r="A2453" s="3">
        <f>IFERROR(__xludf.DUMMYFUNCTION("""COMPUTED_VALUE"""),41054.645833333336)</f>
        <v>41054.64583</v>
      </c>
      <c r="B2453" s="2">
        <f>IFERROR(__xludf.DUMMYFUNCTION("""COMPUTED_VALUE"""),344.22)</f>
        <v>344.22</v>
      </c>
      <c r="C2453" s="2">
        <f>IFERROR(__xludf.DUMMYFUNCTION("""COMPUTED_VALUE"""),344.37)</f>
        <v>344.37</v>
      </c>
      <c r="D2453" s="2">
        <f>IFERROR(__xludf.DUMMYFUNCTION("""COMPUTED_VALUE"""),341.03)</f>
        <v>341.03</v>
      </c>
      <c r="E2453" s="2">
        <f>IFERROR(__xludf.DUMMYFUNCTION("""COMPUTED_VALUE"""),342.34)</f>
        <v>342.34</v>
      </c>
      <c r="F2453" s="2">
        <f>IFERROR(__xludf.DUMMYFUNCTION("""COMPUTED_VALUE"""),3085023.0)</f>
        <v>3085023</v>
      </c>
    </row>
    <row r="2454">
      <c r="A2454" s="3">
        <f>IFERROR(__xludf.DUMMYFUNCTION("""COMPUTED_VALUE"""),41057.645833333336)</f>
        <v>41057.64583</v>
      </c>
      <c r="B2454" s="2">
        <f>IFERROR(__xludf.DUMMYFUNCTION("""COMPUTED_VALUE"""),342.74)</f>
        <v>342.74</v>
      </c>
      <c r="C2454" s="2">
        <f>IFERROR(__xludf.DUMMYFUNCTION("""COMPUTED_VALUE"""),348.19)</f>
        <v>348.19</v>
      </c>
      <c r="D2454" s="2">
        <f>IFERROR(__xludf.DUMMYFUNCTION("""COMPUTED_VALUE"""),342.74)</f>
        <v>342.74</v>
      </c>
      <c r="E2454" s="2">
        <f>IFERROR(__xludf.DUMMYFUNCTION("""COMPUTED_VALUE"""),347.52)</f>
        <v>347.52</v>
      </c>
      <c r="F2454" s="2">
        <f>IFERROR(__xludf.DUMMYFUNCTION("""COMPUTED_VALUE"""),2575102.0)</f>
        <v>2575102</v>
      </c>
    </row>
    <row r="2455">
      <c r="A2455" s="3">
        <f>IFERROR(__xludf.DUMMYFUNCTION("""COMPUTED_VALUE"""),41058.645833333336)</f>
        <v>41058.64583</v>
      </c>
      <c r="B2455" s="2">
        <f>IFERROR(__xludf.DUMMYFUNCTION("""COMPUTED_VALUE"""),347.79)</f>
        <v>347.79</v>
      </c>
      <c r="C2455" s="2">
        <f>IFERROR(__xludf.DUMMYFUNCTION("""COMPUTED_VALUE"""),351.55)</f>
        <v>351.55</v>
      </c>
      <c r="D2455" s="2">
        <f>IFERROR(__xludf.DUMMYFUNCTION("""COMPUTED_VALUE"""),345.49)</f>
        <v>345.49</v>
      </c>
      <c r="E2455" s="2">
        <f>IFERROR(__xludf.DUMMYFUNCTION("""COMPUTED_VALUE"""),347.62)</f>
        <v>347.62</v>
      </c>
      <c r="F2455" s="2">
        <f>IFERROR(__xludf.DUMMYFUNCTION("""COMPUTED_VALUE"""),3434316.0)</f>
        <v>3434316</v>
      </c>
    </row>
    <row r="2456">
      <c r="A2456" s="3">
        <f>IFERROR(__xludf.DUMMYFUNCTION("""COMPUTED_VALUE"""),41059.645833333336)</f>
        <v>41059.64583</v>
      </c>
      <c r="B2456" s="2">
        <f>IFERROR(__xludf.DUMMYFUNCTION("""COMPUTED_VALUE"""),346.53)</f>
        <v>346.53</v>
      </c>
      <c r="C2456" s="2">
        <f>IFERROR(__xludf.DUMMYFUNCTION("""COMPUTED_VALUE"""),350.99)</f>
        <v>350.99</v>
      </c>
      <c r="D2456" s="2">
        <f>IFERROR(__xludf.DUMMYFUNCTION("""COMPUTED_VALUE"""),344.3)</f>
        <v>344.3</v>
      </c>
      <c r="E2456" s="2">
        <f>IFERROR(__xludf.DUMMYFUNCTION("""COMPUTED_VALUE"""),349.8)</f>
        <v>349.8</v>
      </c>
      <c r="F2456" s="2">
        <f>IFERROR(__xludf.DUMMYFUNCTION("""COMPUTED_VALUE"""),3521032.0)</f>
        <v>3521032</v>
      </c>
    </row>
    <row r="2457">
      <c r="A2457" s="3">
        <f>IFERROR(__xludf.DUMMYFUNCTION("""COMPUTED_VALUE"""),41060.645833333336)</f>
        <v>41060.64583</v>
      </c>
      <c r="B2457" s="2">
        <f>IFERROR(__xludf.DUMMYFUNCTION("""COMPUTED_VALUE"""),345.21)</f>
        <v>345.21</v>
      </c>
      <c r="C2457" s="2">
        <f>IFERROR(__xludf.DUMMYFUNCTION("""COMPUTED_VALUE"""),361.09)</f>
        <v>361.09</v>
      </c>
      <c r="D2457" s="2">
        <f>IFERROR(__xludf.DUMMYFUNCTION("""COMPUTED_VALUE"""),337.96)</f>
        <v>337.96</v>
      </c>
      <c r="E2457" s="2">
        <f>IFERROR(__xludf.DUMMYFUNCTION("""COMPUTED_VALUE"""),349.47)</f>
        <v>349.47</v>
      </c>
      <c r="F2457" s="2">
        <f>IFERROR(__xludf.DUMMYFUNCTION("""COMPUTED_VALUE"""),9024961.0)</f>
        <v>9024961</v>
      </c>
    </row>
    <row r="2458">
      <c r="A2458" s="3">
        <f>IFERROR(__xludf.DUMMYFUNCTION("""COMPUTED_VALUE"""),41061.645833333336)</f>
        <v>41061.64583</v>
      </c>
      <c r="B2458" s="2">
        <f>IFERROR(__xludf.DUMMYFUNCTION("""COMPUTED_VALUE"""),350.34)</f>
        <v>350.34</v>
      </c>
      <c r="C2458" s="2">
        <f>IFERROR(__xludf.DUMMYFUNCTION("""COMPUTED_VALUE"""),351.38)</f>
        <v>351.38</v>
      </c>
      <c r="D2458" s="2">
        <f>IFERROR(__xludf.DUMMYFUNCTION("""COMPUTED_VALUE"""),335.83)</f>
        <v>335.83</v>
      </c>
      <c r="E2458" s="2">
        <f>IFERROR(__xludf.DUMMYFUNCTION("""COMPUTED_VALUE"""),339.4)</f>
        <v>339.4</v>
      </c>
      <c r="F2458" s="2">
        <f>IFERROR(__xludf.DUMMYFUNCTION("""COMPUTED_VALUE"""),4096569.0)</f>
        <v>4096569</v>
      </c>
    </row>
    <row r="2459">
      <c r="A2459" s="3">
        <f>IFERROR(__xludf.DUMMYFUNCTION("""COMPUTED_VALUE"""),41064.645833333336)</f>
        <v>41064.64583</v>
      </c>
      <c r="B2459" s="2">
        <f>IFERROR(__xludf.DUMMYFUNCTION("""COMPUTED_VALUE"""),335.31)</f>
        <v>335.31</v>
      </c>
      <c r="C2459" s="2">
        <f>IFERROR(__xludf.DUMMYFUNCTION("""COMPUTED_VALUE"""),345.21)</f>
        <v>345.21</v>
      </c>
      <c r="D2459" s="2">
        <f>IFERROR(__xludf.DUMMYFUNCTION("""COMPUTED_VALUE"""),333.53)</f>
        <v>333.53</v>
      </c>
      <c r="E2459" s="2">
        <f>IFERROR(__xludf.DUMMYFUNCTION("""COMPUTED_VALUE"""),343.11)</f>
        <v>343.11</v>
      </c>
      <c r="F2459" s="2">
        <f>IFERROR(__xludf.DUMMYFUNCTION("""COMPUTED_VALUE"""),3261847.0)</f>
        <v>3261847</v>
      </c>
    </row>
    <row r="2460">
      <c r="A2460" s="3">
        <f>IFERROR(__xludf.DUMMYFUNCTION("""COMPUTED_VALUE"""),41065.645833333336)</f>
        <v>41065.64583</v>
      </c>
      <c r="B2460" s="2">
        <f>IFERROR(__xludf.DUMMYFUNCTION("""COMPUTED_VALUE"""),344.72)</f>
        <v>344.72</v>
      </c>
      <c r="C2460" s="2">
        <f>IFERROR(__xludf.DUMMYFUNCTION("""COMPUTED_VALUE"""),349.67)</f>
        <v>349.67</v>
      </c>
      <c r="D2460" s="2">
        <f>IFERROR(__xludf.DUMMYFUNCTION("""COMPUTED_VALUE"""),344.27)</f>
        <v>344.27</v>
      </c>
      <c r="E2460" s="2">
        <f>IFERROR(__xludf.DUMMYFUNCTION("""COMPUTED_VALUE"""),347.96)</f>
        <v>347.96</v>
      </c>
      <c r="F2460" s="2">
        <f>IFERROR(__xludf.DUMMYFUNCTION("""COMPUTED_VALUE"""),3036638.0)</f>
        <v>3036638</v>
      </c>
    </row>
    <row r="2461">
      <c r="A2461" s="3">
        <f>IFERROR(__xludf.DUMMYFUNCTION("""COMPUTED_VALUE"""),41066.645833333336)</f>
        <v>41066.64583</v>
      </c>
      <c r="B2461" s="2">
        <f>IFERROR(__xludf.DUMMYFUNCTION("""COMPUTED_VALUE"""),348.9)</f>
        <v>348.9</v>
      </c>
      <c r="C2461" s="2">
        <f>IFERROR(__xludf.DUMMYFUNCTION("""COMPUTED_VALUE"""),355.62)</f>
        <v>355.62</v>
      </c>
      <c r="D2461" s="2">
        <f>IFERROR(__xludf.DUMMYFUNCTION("""COMPUTED_VALUE"""),345.96)</f>
        <v>345.96</v>
      </c>
      <c r="E2461" s="2">
        <f>IFERROR(__xludf.DUMMYFUNCTION("""COMPUTED_VALUE"""),354.58)</f>
        <v>354.58</v>
      </c>
      <c r="F2461" s="2">
        <f>IFERROR(__xludf.DUMMYFUNCTION("""COMPUTED_VALUE"""),5315222.0)</f>
        <v>5315222</v>
      </c>
    </row>
    <row r="2462">
      <c r="A2462" s="3">
        <f>IFERROR(__xludf.DUMMYFUNCTION("""COMPUTED_VALUE"""),41067.645833333336)</f>
        <v>41067.64583</v>
      </c>
      <c r="B2462" s="2">
        <f>IFERROR(__xludf.DUMMYFUNCTION("""COMPUTED_VALUE"""),357.13)</f>
        <v>357.13</v>
      </c>
      <c r="C2462" s="2">
        <f>IFERROR(__xludf.DUMMYFUNCTION("""COMPUTED_VALUE"""),362.5)</f>
        <v>362.5</v>
      </c>
      <c r="D2462" s="2">
        <f>IFERROR(__xludf.DUMMYFUNCTION("""COMPUTED_VALUE"""),354.75)</f>
        <v>354.75</v>
      </c>
      <c r="E2462" s="2">
        <f>IFERROR(__xludf.DUMMYFUNCTION("""COMPUTED_VALUE"""),357.23)</f>
        <v>357.23</v>
      </c>
      <c r="F2462" s="2">
        <f>IFERROR(__xludf.DUMMYFUNCTION("""COMPUTED_VALUE"""),6387716.0)</f>
        <v>6387716</v>
      </c>
    </row>
    <row r="2463">
      <c r="A2463" s="3">
        <f>IFERROR(__xludf.DUMMYFUNCTION("""COMPUTED_VALUE"""),41068.645833333336)</f>
        <v>41068.64583</v>
      </c>
      <c r="B2463" s="2">
        <f>IFERROR(__xludf.DUMMYFUNCTION("""COMPUTED_VALUE"""),355.62)</f>
        <v>355.62</v>
      </c>
      <c r="C2463" s="2">
        <f>IFERROR(__xludf.DUMMYFUNCTION("""COMPUTED_VALUE"""),362.5)</f>
        <v>362.5</v>
      </c>
      <c r="D2463" s="2">
        <f>IFERROR(__xludf.DUMMYFUNCTION("""COMPUTED_VALUE"""),352.79)</f>
        <v>352.79</v>
      </c>
      <c r="E2463" s="2">
        <f>IFERROR(__xludf.DUMMYFUNCTION("""COMPUTED_VALUE"""),361.41)</f>
        <v>361.41</v>
      </c>
      <c r="F2463" s="2">
        <f>IFERROR(__xludf.DUMMYFUNCTION("""COMPUTED_VALUE"""),2907005.0)</f>
        <v>2907005</v>
      </c>
    </row>
    <row r="2464">
      <c r="A2464" s="3">
        <f>IFERROR(__xludf.DUMMYFUNCTION("""COMPUTED_VALUE"""),41071.645833333336)</f>
        <v>41071.64583</v>
      </c>
      <c r="B2464" s="2">
        <f>IFERROR(__xludf.DUMMYFUNCTION("""COMPUTED_VALUE"""),362.9)</f>
        <v>362.9</v>
      </c>
      <c r="C2464" s="2">
        <f>IFERROR(__xludf.DUMMYFUNCTION("""COMPUTED_VALUE"""),364.73)</f>
        <v>364.73</v>
      </c>
      <c r="D2464" s="2">
        <f>IFERROR(__xludf.DUMMYFUNCTION("""COMPUTED_VALUE"""),355.67)</f>
        <v>355.67</v>
      </c>
      <c r="E2464" s="2">
        <f>IFERROR(__xludf.DUMMYFUNCTION("""COMPUTED_VALUE"""),357.72)</f>
        <v>357.72</v>
      </c>
      <c r="F2464" s="2">
        <f>IFERROR(__xludf.DUMMYFUNCTION("""COMPUTED_VALUE"""),2275396.0)</f>
        <v>2275396</v>
      </c>
    </row>
    <row r="2465">
      <c r="A2465" s="3">
        <f>IFERROR(__xludf.DUMMYFUNCTION("""COMPUTED_VALUE"""),41072.645833333336)</f>
        <v>41072.64583</v>
      </c>
      <c r="B2465" s="2">
        <f>IFERROR(__xludf.DUMMYFUNCTION("""COMPUTED_VALUE"""),354.13)</f>
        <v>354.13</v>
      </c>
      <c r="C2465" s="2">
        <f>IFERROR(__xludf.DUMMYFUNCTION("""COMPUTED_VALUE"""),359.58)</f>
        <v>359.58</v>
      </c>
      <c r="D2465" s="2">
        <f>IFERROR(__xludf.DUMMYFUNCTION("""COMPUTED_VALUE"""),353.83)</f>
        <v>353.83</v>
      </c>
      <c r="E2465" s="2">
        <f>IFERROR(__xludf.DUMMYFUNCTION("""COMPUTED_VALUE"""),358.07)</f>
        <v>358.07</v>
      </c>
      <c r="F2465" s="2">
        <f>IFERROR(__xludf.DUMMYFUNCTION("""COMPUTED_VALUE"""),2734310.0)</f>
        <v>2734310</v>
      </c>
    </row>
    <row r="2466">
      <c r="A2466" s="3">
        <f>IFERROR(__xludf.DUMMYFUNCTION("""COMPUTED_VALUE"""),41073.645833333336)</f>
        <v>41073.64583</v>
      </c>
      <c r="B2466" s="2">
        <f>IFERROR(__xludf.DUMMYFUNCTION("""COMPUTED_VALUE"""),357.72)</f>
        <v>357.72</v>
      </c>
      <c r="C2466" s="2">
        <f>IFERROR(__xludf.DUMMYFUNCTION("""COMPUTED_VALUE"""),358.56)</f>
        <v>358.56</v>
      </c>
      <c r="D2466" s="2">
        <f>IFERROR(__xludf.DUMMYFUNCTION("""COMPUTED_VALUE"""),352.84)</f>
        <v>352.84</v>
      </c>
      <c r="E2466" s="2">
        <f>IFERROR(__xludf.DUMMYFUNCTION("""COMPUTED_VALUE"""),354.77)</f>
        <v>354.77</v>
      </c>
      <c r="F2466" s="2">
        <f>IFERROR(__xludf.DUMMYFUNCTION("""COMPUTED_VALUE"""),2274408.0)</f>
        <v>2274408</v>
      </c>
    </row>
    <row r="2467">
      <c r="A2467" s="3">
        <f>IFERROR(__xludf.DUMMYFUNCTION("""COMPUTED_VALUE"""),41074.645833333336)</f>
        <v>41074.64583</v>
      </c>
      <c r="B2467" s="2">
        <f>IFERROR(__xludf.DUMMYFUNCTION("""COMPUTED_VALUE"""),354.63)</f>
        <v>354.63</v>
      </c>
      <c r="C2467" s="2">
        <f>IFERROR(__xludf.DUMMYFUNCTION("""COMPUTED_VALUE"""),357.0)</f>
        <v>357</v>
      </c>
      <c r="D2467" s="2">
        <f>IFERROR(__xludf.DUMMYFUNCTION("""COMPUTED_VALUE"""),352.17)</f>
        <v>352.17</v>
      </c>
      <c r="E2467" s="2">
        <f>IFERROR(__xludf.DUMMYFUNCTION("""COMPUTED_VALUE"""),354.8)</f>
        <v>354.8</v>
      </c>
      <c r="F2467" s="2">
        <f>IFERROR(__xludf.DUMMYFUNCTION("""COMPUTED_VALUE"""),1709717.0)</f>
        <v>1709717</v>
      </c>
    </row>
    <row r="2468">
      <c r="A2468" s="3">
        <f>IFERROR(__xludf.DUMMYFUNCTION("""COMPUTED_VALUE"""),41075.645833333336)</f>
        <v>41075.64583</v>
      </c>
      <c r="B2468" s="2">
        <f>IFERROR(__xludf.DUMMYFUNCTION("""COMPUTED_VALUE"""),355.86)</f>
        <v>355.86</v>
      </c>
      <c r="C2468" s="2">
        <f>IFERROR(__xludf.DUMMYFUNCTION("""COMPUTED_VALUE"""),361.46)</f>
        <v>361.46</v>
      </c>
      <c r="D2468" s="2">
        <f>IFERROR(__xludf.DUMMYFUNCTION("""COMPUTED_VALUE"""),355.86)</f>
        <v>355.86</v>
      </c>
      <c r="E2468" s="2">
        <f>IFERROR(__xludf.DUMMYFUNCTION("""COMPUTED_VALUE"""),359.95)</f>
        <v>359.95</v>
      </c>
      <c r="F2468" s="2">
        <f>IFERROR(__xludf.DUMMYFUNCTION("""COMPUTED_VALUE"""),2271367.0)</f>
        <v>2271367</v>
      </c>
    </row>
    <row r="2469">
      <c r="A2469" s="3">
        <f>IFERROR(__xludf.DUMMYFUNCTION("""COMPUTED_VALUE"""),41078.645833333336)</f>
        <v>41078.64583</v>
      </c>
      <c r="B2469" s="2">
        <f>IFERROR(__xludf.DUMMYFUNCTION("""COMPUTED_VALUE"""),361.73)</f>
        <v>361.73</v>
      </c>
      <c r="C2469" s="2">
        <f>IFERROR(__xludf.DUMMYFUNCTION("""COMPUTED_VALUE"""),363.79)</f>
        <v>363.79</v>
      </c>
      <c r="D2469" s="2">
        <f>IFERROR(__xludf.DUMMYFUNCTION("""COMPUTED_VALUE"""),352.64)</f>
        <v>352.64</v>
      </c>
      <c r="E2469" s="2">
        <f>IFERROR(__xludf.DUMMYFUNCTION("""COMPUTED_VALUE"""),356.06)</f>
        <v>356.06</v>
      </c>
      <c r="F2469" s="2">
        <f>IFERROR(__xludf.DUMMYFUNCTION("""COMPUTED_VALUE"""),2293698.0)</f>
        <v>2293698</v>
      </c>
    </row>
    <row r="2470">
      <c r="A2470" s="3">
        <f>IFERROR(__xludf.DUMMYFUNCTION("""COMPUTED_VALUE"""),41079.645833333336)</f>
        <v>41079.64583</v>
      </c>
      <c r="B2470" s="2">
        <f>IFERROR(__xludf.DUMMYFUNCTION("""COMPUTED_VALUE"""),355.12)</f>
        <v>355.12</v>
      </c>
      <c r="C2470" s="2">
        <f>IFERROR(__xludf.DUMMYFUNCTION("""COMPUTED_VALUE"""),366.22)</f>
        <v>366.22</v>
      </c>
      <c r="D2470" s="2">
        <f>IFERROR(__xludf.DUMMYFUNCTION("""COMPUTED_VALUE"""),355.12)</f>
        <v>355.12</v>
      </c>
      <c r="E2470" s="2">
        <f>IFERROR(__xludf.DUMMYFUNCTION("""COMPUTED_VALUE"""),365.25)</f>
        <v>365.25</v>
      </c>
      <c r="F2470" s="2">
        <f>IFERROR(__xludf.DUMMYFUNCTION("""COMPUTED_VALUE"""),1783875.0)</f>
        <v>1783875</v>
      </c>
    </row>
    <row r="2471">
      <c r="A2471" s="3">
        <f>IFERROR(__xludf.DUMMYFUNCTION("""COMPUTED_VALUE"""),41080.645833333336)</f>
        <v>41080.64583</v>
      </c>
      <c r="B2471" s="2">
        <f>IFERROR(__xludf.DUMMYFUNCTION("""COMPUTED_VALUE"""),365.52)</f>
        <v>365.52</v>
      </c>
      <c r="C2471" s="2">
        <f>IFERROR(__xludf.DUMMYFUNCTION("""COMPUTED_VALUE"""),367.97)</f>
        <v>367.97</v>
      </c>
      <c r="D2471" s="2">
        <f>IFERROR(__xludf.DUMMYFUNCTION("""COMPUTED_VALUE"""),363.05)</f>
        <v>363.05</v>
      </c>
      <c r="E2471" s="2">
        <f>IFERROR(__xludf.DUMMYFUNCTION("""COMPUTED_VALUE"""),365.22)</f>
        <v>365.22</v>
      </c>
      <c r="F2471" s="2">
        <f>IFERROR(__xludf.DUMMYFUNCTION("""COMPUTED_VALUE"""),2357462.0)</f>
        <v>2357462</v>
      </c>
    </row>
    <row r="2472">
      <c r="A2472" s="3">
        <f>IFERROR(__xludf.DUMMYFUNCTION("""COMPUTED_VALUE"""),41081.645833333336)</f>
        <v>41081.64583</v>
      </c>
      <c r="B2472" s="2">
        <f>IFERROR(__xludf.DUMMYFUNCTION("""COMPUTED_VALUE"""),363.54)</f>
        <v>363.54</v>
      </c>
      <c r="C2472" s="2">
        <f>IFERROR(__xludf.DUMMYFUNCTION("""COMPUTED_VALUE"""),363.54)</f>
        <v>363.54</v>
      </c>
      <c r="D2472" s="2">
        <f>IFERROR(__xludf.DUMMYFUNCTION("""COMPUTED_VALUE"""),351.85)</f>
        <v>351.85</v>
      </c>
      <c r="E2472" s="2">
        <f>IFERROR(__xludf.DUMMYFUNCTION("""COMPUTED_VALUE"""),355.96)</f>
        <v>355.96</v>
      </c>
      <c r="F2472" s="2">
        <f>IFERROR(__xludf.DUMMYFUNCTION("""COMPUTED_VALUE"""),5168092.0)</f>
        <v>5168092</v>
      </c>
    </row>
    <row r="2473">
      <c r="A2473" s="3">
        <f>IFERROR(__xludf.DUMMYFUNCTION("""COMPUTED_VALUE"""),41082.645833333336)</f>
        <v>41082.64583</v>
      </c>
      <c r="B2473" s="2">
        <f>IFERROR(__xludf.DUMMYFUNCTION("""COMPUTED_VALUE"""),353.41)</f>
        <v>353.41</v>
      </c>
      <c r="C2473" s="2">
        <f>IFERROR(__xludf.DUMMYFUNCTION("""COMPUTED_VALUE"""),354.08)</f>
        <v>354.08</v>
      </c>
      <c r="D2473" s="2">
        <f>IFERROR(__xludf.DUMMYFUNCTION("""COMPUTED_VALUE"""),348.46)</f>
        <v>348.46</v>
      </c>
      <c r="E2473" s="2">
        <f>IFERROR(__xludf.DUMMYFUNCTION("""COMPUTED_VALUE"""),352.15)</f>
        <v>352.15</v>
      </c>
      <c r="F2473" s="2">
        <f>IFERROR(__xludf.DUMMYFUNCTION("""COMPUTED_VALUE"""),4372864.0)</f>
        <v>4372864</v>
      </c>
    </row>
    <row r="2474">
      <c r="A2474" s="3">
        <f>IFERROR(__xludf.DUMMYFUNCTION("""COMPUTED_VALUE"""),41085.645833333336)</f>
        <v>41085.64583</v>
      </c>
      <c r="B2474" s="2">
        <f>IFERROR(__xludf.DUMMYFUNCTION("""COMPUTED_VALUE"""),353.73)</f>
        <v>353.73</v>
      </c>
      <c r="C2474" s="2">
        <f>IFERROR(__xludf.DUMMYFUNCTION("""COMPUTED_VALUE"""),358.07)</f>
        <v>358.07</v>
      </c>
      <c r="D2474" s="2">
        <f>IFERROR(__xludf.DUMMYFUNCTION("""COMPUTED_VALUE"""),352.64)</f>
        <v>352.64</v>
      </c>
      <c r="E2474" s="2">
        <f>IFERROR(__xludf.DUMMYFUNCTION("""COMPUTED_VALUE"""),354.72)</f>
        <v>354.72</v>
      </c>
      <c r="F2474" s="2">
        <f>IFERROR(__xludf.DUMMYFUNCTION("""COMPUTED_VALUE"""),2540620.0)</f>
        <v>2540620</v>
      </c>
    </row>
    <row r="2475">
      <c r="A2475" s="3">
        <f>IFERROR(__xludf.DUMMYFUNCTION("""COMPUTED_VALUE"""),41086.645833333336)</f>
        <v>41086.64583</v>
      </c>
      <c r="B2475" s="2">
        <f>IFERROR(__xludf.DUMMYFUNCTION("""COMPUTED_VALUE"""),355.37)</f>
        <v>355.37</v>
      </c>
      <c r="C2475" s="2">
        <f>IFERROR(__xludf.DUMMYFUNCTION("""COMPUTED_VALUE"""),359.33)</f>
        <v>359.33</v>
      </c>
      <c r="D2475" s="2">
        <f>IFERROR(__xludf.DUMMYFUNCTION("""COMPUTED_VALUE"""),353.86)</f>
        <v>353.86</v>
      </c>
      <c r="E2475" s="2">
        <f>IFERROR(__xludf.DUMMYFUNCTION("""COMPUTED_VALUE"""),358.34)</f>
        <v>358.34</v>
      </c>
      <c r="F2475" s="2">
        <f>IFERROR(__xludf.DUMMYFUNCTION("""COMPUTED_VALUE"""),3676587.0)</f>
        <v>3676587</v>
      </c>
    </row>
    <row r="2476">
      <c r="A2476" s="3">
        <f>IFERROR(__xludf.DUMMYFUNCTION("""COMPUTED_VALUE"""),41087.645833333336)</f>
        <v>41087.64583</v>
      </c>
      <c r="B2476" s="2">
        <f>IFERROR(__xludf.DUMMYFUNCTION("""COMPUTED_VALUE"""),359.78)</f>
        <v>359.78</v>
      </c>
      <c r="C2476" s="2">
        <f>IFERROR(__xludf.DUMMYFUNCTION("""COMPUTED_VALUE"""),361.36)</f>
        <v>361.36</v>
      </c>
      <c r="D2476" s="2">
        <f>IFERROR(__xludf.DUMMYFUNCTION("""COMPUTED_VALUE"""),355.62)</f>
        <v>355.62</v>
      </c>
      <c r="E2476" s="2">
        <f>IFERROR(__xludf.DUMMYFUNCTION("""COMPUTED_VALUE"""),357.84)</f>
        <v>357.84</v>
      </c>
      <c r="F2476" s="2">
        <f>IFERROR(__xludf.DUMMYFUNCTION("""COMPUTED_VALUE"""),1761932.0)</f>
        <v>1761932</v>
      </c>
    </row>
    <row r="2477">
      <c r="A2477" s="3">
        <f>IFERROR(__xludf.DUMMYFUNCTION("""COMPUTED_VALUE"""),41088.645833333336)</f>
        <v>41088.64583</v>
      </c>
      <c r="B2477" s="2">
        <f>IFERROR(__xludf.DUMMYFUNCTION("""COMPUTED_VALUE"""),358.79)</f>
        <v>358.79</v>
      </c>
      <c r="C2477" s="2">
        <f>IFERROR(__xludf.DUMMYFUNCTION("""COMPUTED_VALUE"""),360.47)</f>
        <v>360.47</v>
      </c>
      <c r="D2477" s="2">
        <f>IFERROR(__xludf.DUMMYFUNCTION("""COMPUTED_VALUE"""),354.95)</f>
        <v>354.95</v>
      </c>
      <c r="E2477" s="2">
        <f>IFERROR(__xludf.DUMMYFUNCTION("""COMPUTED_VALUE"""),356.56)</f>
        <v>356.56</v>
      </c>
      <c r="F2477" s="2">
        <f>IFERROR(__xludf.DUMMYFUNCTION("""COMPUTED_VALUE"""),2720915.0)</f>
        <v>2720915</v>
      </c>
    </row>
    <row r="2478">
      <c r="A2478" s="3">
        <f>IFERROR(__xludf.DUMMYFUNCTION("""COMPUTED_VALUE"""),41089.645833333336)</f>
        <v>41089.64583</v>
      </c>
      <c r="B2478" s="2">
        <f>IFERROR(__xludf.DUMMYFUNCTION("""COMPUTED_VALUE"""),359.13)</f>
        <v>359.13</v>
      </c>
      <c r="C2478" s="2">
        <f>IFERROR(__xludf.DUMMYFUNCTION("""COMPUTED_VALUE"""),366.96)</f>
        <v>366.96</v>
      </c>
      <c r="D2478" s="2">
        <f>IFERROR(__xludf.DUMMYFUNCTION("""COMPUTED_VALUE"""),359.13)</f>
        <v>359.13</v>
      </c>
      <c r="E2478" s="2">
        <f>IFERROR(__xludf.DUMMYFUNCTION("""COMPUTED_VALUE"""),365.45)</f>
        <v>365.45</v>
      </c>
      <c r="F2478" s="2">
        <f>IFERROR(__xludf.DUMMYFUNCTION("""COMPUTED_VALUE"""),3833575.0)</f>
        <v>3833575</v>
      </c>
    </row>
    <row r="2479">
      <c r="A2479" s="3">
        <f>IFERROR(__xludf.DUMMYFUNCTION("""COMPUTED_VALUE"""),41092.645833333336)</f>
        <v>41092.64583</v>
      </c>
      <c r="B2479" s="2">
        <f>IFERROR(__xludf.DUMMYFUNCTION("""COMPUTED_VALUE"""),364.28)</f>
        <v>364.28</v>
      </c>
      <c r="C2479" s="2">
        <f>IFERROR(__xludf.DUMMYFUNCTION("""COMPUTED_VALUE"""),366.91)</f>
        <v>366.91</v>
      </c>
      <c r="D2479" s="2">
        <f>IFERROR(__xludf.DUMMYFUNCTION("""COMPUTED_VALUE"""),361.63)</f>
        <v>361.63</v>
      </c>
      <c r="E2479" s="2">
        <f>IFERROR(__xludf.DUMMYFUNCTION("""COMPUTED_VALUE"""),365.22)</f>
        <v>365.22</v>
      </c>
      <c r="F2479" s="2">
        <f>IFERROR(__xludf.DUMMYFUNCTION("""COMPUTED_VALUE"""),1561673.0)</f>
        <v>1561673</v>
      </c>
    </row>
    <row r="2480">
      <c r="A2480" s="3">
        <f>IFERROR(__xludf.DUMMYFUNCTION("""COMPUTED_VALUE"""),41093.645833333336)</f>
        <v>41093.64583</v>
      </c>
      <c r="B2480" s="2">
        <f>IFERROR(__xludf.DUMMYFUNCTION("""COMPUTED_VALUE"""),366.49)</f>
        <v>366.49</v>
      </c>
      <c r="C2480" s="2">
        <f>IFERROR(__xludf.DUMMYFUNCTION("""COMPUTED_VALUE"""),367.82)</f>
        <v>367.82</v>
      </c>
      <c r="D2480" s="2">
        <f>IFERROR(__xludf.DUMMYFUNCTION("""COMPUTED_VALUE"""),362.2)</f>
        <v>362.2</v>
      </c>
      <c r="E2480" s="2">
        <f>IFERROR(__xludf.DUMMYFUNCTION("""COMPUTED_VALUE"""),364.7)</f>
        <v>364.7</v>
      </c>
      <c r="F2480" s="2">
        <f>IFERROR(__xludf.DUMMYFUNCTION("""COMPUTED_VALUE"""),2353246.0)</f>
        <v>2353246</v>
      </c>
    </row>
    <row r="2481">
      <c r="A2481" s="3">
        <f>IFERROR(__xludf.DUMMYFUNCTION("""COMPUTED_VALUE"""),41094.645833333336)</f>
        <v>41094.64583</v>
      </c>
      <c r="B2481" s="2">
        <f>IFERROR(__xludf.DUMMYFUNCTION("""COMPUTED_VALUE"""),366.51)</f>
        <v>366.51</v>
      </c>
      <c r="C2481" s="2">
        <f>IFERROR(__xludf.DUMMYFUNCTION("""COMPUTED_VALUE"""),366.51)</f>
        <v>366.51</v>
      </c>
      <c r="D2481" s="2">
        <f>IFERROR(__xludf.DUMMYFUNCTION("""COMPUTED_VALUE"""),360.99)</f>
        <v>360.99</v>
      </c>
      <c r="E2481" s="2">
        <f>IFERROR(__xludf.DUMMYFUNCTION("""COMPUTED_VALUE"""),363.66)</f>
        <v>363.66</v>
      </c>
      <c r="F2481" s="2">
        <f>IFERROR(__xludf.DUMMYFUNCTION("""COMPUTED_VALUE"""),2136594.0)</f>
        <v>2136594</v>
      </c>
    </row>
    <row r="2482">
      <c r="A2482" s="3">
        <f>IFERROR(__xludf.DUMMYFUNCTION("""COMPUTED_VALUE"""),41095.645833333336)</f>
        <v>41095.64583</v>
      </c>
      <c r="B2482" s="2">
        <f>IFERROR(__xludf.DUMMYFUNCTION("""COMPUTED_VALUE"""),364.01)</f>
        <v>364.01</v>
      </c>
      <c r="C2482" s="2">
        <f>IFERROR(__xludf.DUMMYFUNCTION("""COMPUTED_VALUE"""),367.7)</f>
        <v>367.7</v>
      </c>
      <c r="D2482" s="2">
        <f>IFERROR(__xludf.DUMMYFUNCTION("""COMPUTED_VALUE"""),362.57)</f>
        <v>362.57</v>
      </c>
      <c r="E2482" s="2">
        <f>IFERROR(__xludf.DUMMYFUNCTION("""COMPUTED_VALUE"""),365.87)</f>
        <v>365.87</v>
      </c>
      <c r="F2482" s="2">
        <f>IFERROR(__xludf.DUMMYFUNCTION("""COMPUTED_VALUE"""),1784218.0)</f>
        <v>1784218</v>
      </c>
    </row>
    <row r="2483">
      <c r="A2483" s="3">
        <f>IFERROR(__xludf.DUMMYFUNCTION("""COMPUTED_VALUE"""),41096.645833333336)</f>
        <v>41096.64583</v>
      </c>
      <c r="B2483" s="2">
        <f>IFERROR(__xludf.DUMMYFUNCTION("""COMPUTED_VALUE"""),365.52)</f>
        <v>365.52</v>
      </c>
      <c r="C2483" s="2">
        <f>IFERROR(__xludf.DUMMYFUNCTION("""COMPUTED_VALUE"""),365.52)</f>
        <v>365.52</v>
      </c>
      <c r="D2483" s="2">
        <f>IFERROR(__xludf.DUMMYFUNCTION("""COMPUTED_VALUE"""),361.31)</f>
        <v>361.31</v>
      </c>
      <c r="E2483" s="2">
        <f>IFERROR(__xludf.DUMMYFUNCTION("""COMPUTED_VALUE"""),363.96)</f>
        <v>363.96</v>
      </c>
      <c r="F2483" s="2">
        <f>IFERROR(__xludf.DUMMYFUNCTION("""COMPUTED_VALUE"""),2116579.0)</f>
        <v>2116579</v>
      </c>
    </row>
    <row r="2484">
      <c r="A2484" s="3">
        <f>IFERROR(__xludf.DUMMYFUNCTION("""COMPUTED_VALUE"""),41099.645833333336)</f>
        <v>41099.64583</v>
      </c>
      <c r="B2484" s="2">
        <f>IFERROR(__xludf.DUMMYFUNCTION("""COMPUTED_VALUE"""),361.06)</f>
        <v>361.06</v>
      </c>
      <c r="C2484" s="2">
        <f>IFERROR(__xludf.DUMMYFUNCTION("""COMPUTED_VALUE"""),363.44)</f>
        <v>363.44</v>
      </c>
      <c r="D2484" s="2">
        <f>IFERROR(__xludf.DUMMYFUNCTION("""COMPUTED_VALUE"""),359.63)</f>
        <v>359.63</v>
      </c>
      <c r="E2484" s="2">
        <f>IFERROR(__xludf.DUMMYFUNCTION("""COMPUTED_VALUE"""),362.45)</f>
        <v>362.45</v>
      </c>
      <c r="F2484" s="2">
        <f>IFERROR(__xludf.DUMMYFUNCTION("""COMPUTED_VALUE"""),1782674.0)</f>
        <v>1782674</v>
      </c>
    </row>
    <row r="2485">
      <c r="A2485" s="3">
        <f>IFERROR(__xludf.DUMMYFUNCTION("""COMPUTED_VALUE"""),41100.645833333336)</f>
        <v>41100.64583</v>
      </c>
      <c r="B2485" s="2">
        <f>IFERROR(__xludf.DUMMYFUNCTION("""COMPUTED_VALUE"""),362.28)</f>
        <v>362.28</v>
      </c>
      <c r="C2485" s="2">
        <f>IFERROR(__xludf.DUMMYFUNCTION("""COMPUTED_VALUE"""),367.5)</f>
        <v>367.5</v>
      </c>
      <c r="D2485" s="2">
        <f>IFERROR(__xludf.DUMMYFUNCTION("""COMPUTED_VALUE"""),361.96)</f>
        <v>361.96</v>
      </c>
      <c r="E2485" s="2">
        <f>IFERROR(__xludf.DUMMYFUNCTION("""COMPUTED_VALUE"""),366.36)</f>
        <v>366.36</v>
      </c>
      <c r="F2485" s="2">
        <f>IFERROR(__xludf.DUMMYFUNCTION("""COMPUTED_VALUE"""),1365637.0)</f>
        <v>1365637</v>
      </c>
    </row>
    <row r="2486">
      <c r="A2486" s="3">
        <f>IFERROR(__xludf.DUMMYFUNCTION("""COMPUTED_VALUE"""),41101.645833333336)</f>
        <v>41101.64583</v>
      </c>
      <c r="B2486" s="2">
        <f>IFERROR(__xludf.DUMMYFUNCTION("""COMPUTED_VALUE"""),363.27)</f>
        <v>363.27</v>
      </c>
      <c r="C2486" s="2">
        <f>IFERROR(__xludf.DUMMYFUNCTION("""COMPUTED_VALUE"""),364.83)</f>
        <v>364.83</v>
      </c>
      <c r="D2486" s="2">
        <f>IFERROR(__xludf.DUMMYFUNCTION("""COMPUTED_VALUE"""),357.6)</f>
        <v>357.6</v>
      </c>
      <c r="E2486" s="2">
        <f>IFERROR(__xludf.DUMMYFUNCTION("""COMPUTED_VALUE"""),359.4)</f>
        <v>359.4</v>
      </c>
      <c r="F2486" s="2">
        <f>IFERROR(__xludf.DUMMYFUNCTION("""COMPUTED_VALUE"""),2728637.0)</f>
        <v>2728637</v>
      </c>
    </row>
    <row r="2487">
      <c r="A2487" s="3">
        <f>IFERROR(__xludf.DUMMYFUNCTION("""COMPUTED_VALUE"""),41102.645833333336)</f>
        <v>41102.64583</v>
      </c>
      <c r="B2487" s="2">
        <f>IFERROR(__xludf.DUMMYFUNCTION("""COMPUTED_VALUE"""),357.55)</f>
        <v>357.55</v>
      </c>
      <c r="C2487" s="2">
        <f>IFERROR(__xludf.DUMMYFUNCTION("""COMPUTED_VALUE"""),361.46)</f>
        <v>361.46</v>
      </c>
      <c r="D2487" s="2">
        <f>IFERROR(__xludf.DUMMYFUNCTION("""COMPUTED_VALUE"""),355.17)</f>
        <v>355.17</v>
      </c>
      <c r="E2487" s="2">
        <f>IFERROR(__xludf.DUMMYFUNCTION("""COMPUTED_VALUE"""),357.2)</f>
        <v>357.2</v>
      </c>
      <c r="F2487" s="2">
        <f>IFERROR(__xludf.DUMMYFUNCTION("""COMPUTED_VALUE"""),2301028.0)</f>
        <v>2301028</v>
      </c>
    </row>
    <row r="2488">
      <c r="A2488" s="3">
        <f>IFERROR(__xludf.DUMMYFUNCTION("""COMPUTED_VALUE"""),41103.645833333336)</f>
        <v>41103.64583</v>
      </c>
      <c r="B2488" s="2">
        <f>IFERROR(__xludf.DUMMYFUNCTION("""COMPUTED_VALUE"""),356.61)</f>
        <v>356.61</v>
      </c>
      <c r="C2488" s="2">
        <f>IFERROR(__xludf.DUMMYFUNCTION("""COMPUTED_VALUE"""),359.83)</f>
        <v>359.83</v>
      </c>
      <c r="D2488" s="2">
        <f>IFERROR(__xludf.DUMMYFUNCTION("""COMPUTED_VALUE"""),354.13)</f>
        <v>354.13</v>
      </c>
      <c r="E2488" s="2">
        <f>IFERROR(__xludf.DUMMYFUNCTION("""COMPUTED_VALUE"""),355.86)</f>
        <v>355.86</v>
      </c>
      <c r="F2488" s="2">
        <f>IFERROR(__xludf.DUMMYFUNCTION("""COMPUTED_VALUE"""),2599717.0)</f>
        <v>2599717</v>
      </c>
    </row>
    <row r="2489">
      <c r="A2489" s="3">
        <f>IFERROR(__xludf.DUMMYFUNCTION("""COMPUTED_VALUE"""),41106.645833333336)</f>
        <v>41106.64583</v>
      </c>
      <c r="B2489" s="2">
        <f>IFERROR(__xludf.DUMMYFUNCTION("""COMPUTED_VALUE"""),356.61)</f>
        <v>356.61</v>
      </c>
      <c r="C2489" s="2">
        <f>IFERROR(__xludf.DUMMYFUNCTION("""COMPUTED_VALUE"""),358.66)</f>
        <v>358.66</v>
      </c>
      <c r="D2489" s="2">
        <f>IFERROR(__xludf.DUMMYFUNCTION("""COMPUTED_VALUE"""),354.15)</f>
        <v>354.15</v>
      </c>
      <c r="E2489" s="2">
        <f>IFERROR(__xludf.DUMMYFUNCTION("""COMPUTED_VALUE"""),356.78)</f>
        <v>356.78</v>
      </c>
      <c r="F2489" s="2">
        <f>IFERROR(__xludf.DUMMYFUNCTION("""COMPUTED_VALUE"""),1670329.0)</f>
        <v>1670329</v>
      </c>
    </row>
    <row r="2490">
      <c r="A2490" s="3">
        <f>IFERROR(__xludf.DUMMYFUNCTION("""COMPUTED_VALUE"""),41107.645833333336)</f>
        <v>41107.64583</v>
      </c>
      <c r="B2490" s="2">
        <f>IFERROR(__xludf.DUMMYFUNCTION("""COMPUTED_VALUE"""),358.98)</f>
        <v>358.98</v>
      </c>
      <c r="C2490" s="2">
        <f>IFERROR(__xludf.DUMMYFUNCTION("""COMPUTED_VALUE"""),360.54)</f>
        <v>360.54</v>
      </c>
      <c r="D2490" s="2">
        <f>IFERROR(__xludf.DUMMYFUNCTION("""COMPUTED_VALUE"""),355.27)</f>
        <v>355.27</v>
      </c>
      <c r="E2490" s="2">
        <f>IFERROR(__xludf.DUMMYFUNCTION("""COMPUTED_VALUE"""),356.28)</f>
        <v>356.28</v>
      </c>
      <c r="F2490" s="2">
        <f>IFERROR(__xludf.DUMMYFUNCTION("""COMPUTED_VALUE"""),2605134.0)</f>
        <v>2605134</v>
      </c>
    </row>
    <row r="2491">
      <c r="A2491" s="3">
        <f>IFERROR(__xludf.DUMMYFUNCTION("""COMPUTED_VALUE"""),41108.645833333336)</f>
        <v>41108.64583</v>
      </c>
      <c r="B2491" s="2">
        <f>IFERROR(__xludf.DUMMYFUNCTION("""COMPUTED_VALUE"""),355.62)</f>
        <v>355.62</v>
      </c>
      <c r="C2491" s="2">
        <f>IFERROR(__xludf.DUMMYFUNCTION("""COMPUTED_VALUE"""),357.52)</f>
        <v>357.52</v>
      </c>
      <c r="D2491" s="2">
        <f>IFERROR(__xludf.DUMMYFUNCTION("""COMPUTED_VALUE"""),352.74)</f>
        <v>352.74</v>
      </c>
      <c r="E2491" s="2">
        <f>IFERROR(__xludf.DUMMYFUNCTION("""COMPUTED_VALUE"""),354.53)</f>
        <v>354.53</v>
      </c>
      <c r="F2491" s="2">
        <f>IFERROR(__xludf.DUMMYFUNCTION("""COMPUTED_VALUE"""),1955014.0)</f>
        <v>1955014</v>
      </c>
    </row>
    <row r="2492">
      <c r="A2492" s="3">
        <f>IFERROR(__xludf.DUMMYFUNCTION("""COMPUTED_VALUE"""),41109.645833333336)</f>
        <v>41109.64583</v>
      </c>
      <c r="B2492" s="2">
        <f>IFERROR(__xludf.DUMMYFUNCTION("""COMPUTED_VALUE"""),356.71)</f>
        <v>356.71</v>
      </c>
      <c r="C2492" s="2">
        <f>IFERROR(__xludf.DUMMYFUNCTION("""COMPUTED_VALUE"""),361.51)</f>
        <v>361.51</v>
      </c>
      <c r="D2492" s="2">
        <f>IFERROR(__xludf.DUMMYFUNCTION("""COMPUTED_VALUE"""),355.62)</f>
        <v>355.62</v>
      </c>
      <c r="E2492" s="2">
        <f>IFERROR(__xludf.DUMMYFUNCTION("""COMPUTED_VALUE"""),360.47)</f>
        <v>360.47</v>
      </c>
      <c r="F2492" s="2">
        <f>IFERROR(__xludf.DUMMYFUNCTION("""COMPUTED_VALUE"""),2670132.0)</f>
        <v>2670132</v>
      </c>
    </row>
    <row r="2493">
      <c r="A2493" s="3">
        <f>IFERROR(__xludf.DUMMYFUNCTION("""COMPUTED_VALUE"""),41110.645833333336)</f>
        <v>41110.64583</v>
      </c>
      <c r="B2493" s="2">
        <f>IFERROR(__xludf.DUMMYFUNCTION("""COMPUTED_VALUE"""),357.75)</f>
        <v>357.75</v>
      </c>
      <c r="C2493" s="2">
        <f>IFERROR(__xludf.DUMMYFUNCTION("""COMPUTED_VALUE"""),360.99)</f>
        <v>360.99</v>
      </c>
      <c r="D2493" s="2">
        <f>IFERROR(__xludf.DUMMYFUNCTION("""COMPUTED_VALUE"""),355.15)</f>
        <v>355.15</v>
      </c>
      <c r="E2493" s="2">
        <f>IFERROR(__xludf.DUMMYFUNCTION("""COMPUTED_VALUE"""),357.92)</f>
        <v>357.92</v>
      </c>
      <c r="F2493" s="2">
        <f>IFERROR(__xludf.DUMMYFUNCTION("""COMPUTED_VALUE"""),2836027.0)</f>
        <v>2836027</v>
      </c>
    </row>
    <row r="2494">
      <c r="A2494" s="3">
        <f>IFERROR(__xludf.DUMMYFUNCTION("""COMPUTED_VALUE"""),41113.645833333336)</f>
        <v>41113.64583</v>
      </c>
      <c r="B2494" s="2">
        <f>IFERROR(__xludf.DUMMYFUNCTION("""COMPUTED_VALUE"""),354.13)</f>
        <v>354.13</v>
      </c>
      <c r="C2494" s="2">
        <f>IFERROR(__xludf.DUMMYFUNCTION("""COMPUTED_VALUE"""),359.48)</f>
        <v>359.48</v>
      </c>
      <c r="D2494" s="2">
        <f>IFERROR(__xludf.DUMMYFUNCTION("""COMPUTED_VALUE"""),353.29)</f>
        <v>353.29</v>
      </c>
      <c r="E2494" s="2">
        <f>IFERROR(__xludf.DUMMYFUNCTION("""COMPUTED_VALUE"""),356.11)</f>
        <v>356.11</v>
      </c>
      <c r="F2494" s="2">
        <f>IFERROR(__xludf.DUMMYFUNCTION("""COMPUTED_VALUE"""),2336356.0)</f>
        <v>2336356</v>
      </c>
    </row>
    <row r="2495">
      <c r="A2495" s="3">
        <f>IFERROR(__xludf.DUMMYFUNCTION("""COMPUTED_VALUE"""),41114.645833333336)</f>
        <v>41114.64583</v>
      </c>
      <c r="B2495" s="2">
        <f>IFERROR(__xludf.DUMMYFUNCTION("""COMPUTED_VALUE"""),357.1)</f>
        <v>357.1</v>
      </c>
      <c r="C2495" s="2">
        <f>IFERROR(__xludf.DUMMYFUNCTION("""COMPUTED_VALUE"""),360.0)</f>
        <v>360</v>
      </c>
      <c r="D2495" s="2">
        <f>IFERROR(__xludf.DUMMYFUNCTION("""COMPUTED_VALUE"""),355.79)</f>
        <v>355.79</v>
      </c>
      <c r="E2495" s="2">
        <f>IFERROR(__xludf.DUMMYFUNCTION("""COMPUTED_VALUE"""),358.84)</f>
        <v>358.84</v>
      </c>
      <c r="F2495" s="2">
        <f>IFERROR(__xludf.DUMMYFUNCTION("""COMPUTED_VALUE"""),1836693.0)</f>
        <v>1836693</v>
      </c>
    </row>
    <row r="2496">
      <c r="A2496" s="3">
        <f>IFERROR(__xludf.DUMMYFUNCTION("""COMPUTED_VALUE"""),41115.645833333336)</f>
        <v>41115.64583</v>
      </c>
      <c r="B2496" s="2">
        <f>IFERROR(__xludf.DUMMYFUNCTION("""COMPUTED_VALUE"""),356.8)</f>
        <v>356.8</v>
      </c>
      <c r="C2496" s="2">
        <f>IFERROR(__xludf.DUMMYFUNCTION("""COMPUTED_VALUE"""),358.86)</f>
        <v>358.86</v>
      </c>
      <c r="D2496" s="2">
        <f>IFERROR(__xludf.DUMMYFUNCTION("""COMPUTED_VALUE"""),352.72)</f>
        <v>352.72</v>
      </c>
      <c r="E2496" s="2">
        <f>IFERROR(__xludf.DUMMYFUNCTION("""COMPUTED_VALUE"""),356.24)</f>
        <v>356.24</v>
      </c>
      <c r="F2496" s="2">
        <f>IFERROR(__xludf.DUMMYFUNCTION("""COMPUTED_VALUE"""),1999696.0)</f>
        <v>1999696</v>
      </c>
    </row>
    <row r="2497">
      <c r="A2497" s="3">
        <f>IFERROR(__xludf.DUMMYFUNCTION("""COMPUTED_VALUE"""),41116.645833333336)</f>
        <v>41116.64583</v>
      </c>
      <c r="B2497" s="2">
        <f>IFERROR(__xludf.DUMMYFUNCTION("""COMPUTED_VALUE"""),357.05)</f>
        <v>357.05</v>
      </c>
      <c r="C2497" s="2">
        <f>IFERROR(__xludf.DUMMYFUNCTION("""COMPUTED_VALUE"""),357.05)</f>
        <v>357.05</v>
      </c>
      <c r="D2497" s="2">
        <f>IFERROR(__xludf.DUMMYFUNCTION("""COMPUTED_VALUE"""),349.99)</f>
        <v>349.99</v>
      </c>
      <c r="E2497" s="2">
        <f>IFERROR(__xludf.DUMMYFUNCTION("""COMPUTED_VALUE"""),351.73)</f>
        <v>351.73</v>
      </c>
      <c r="F2497" s="2">
        <f>IFERROR(__xludf.DUMMYFUNCTION("""COMPUTED_VALUE"""),3204015.0)</f>
        <v>3204015</v>
      </c>
    </row>
    <row r="2498">
      <c r="A2498" s="3">
        <f>IFERROR(__xludf.DUMMYFUNCTION("""COMPUTED_VALUE"""),41117.645833333336)</f>
        <v>41117.64583</v>
      </c>
      <c r="B2498" s="2">
        <f>IFERROR(__xludf.DUMMYFUNCTION("""COMPUTED_VALUE"""),356.11)</f>
        <v>356.11</v>
      </c>
      <c r="C2498" s="2">
        <f>IFERROR(__xludf.DUMMYFUNCTION("""COMPUTED_VALUE"""),359.97)</f>
        <v>359.97</v>
      </c>
      <c r="D2498" s="2">
        <f>IFERROR(__xludf.DUMMYFUNCTION("""COMPUTED_VALUE"""),354.7)</f>
        <v>354.7</v>
      </c>
      <c r="E2498" s="2">
        <f>IFERROR(__xludf.DUMMYFUNCTION("""COMPUTED_VALUE"""),357.1)</f>
        <v>357.1</v>
      </c>
      <c r="F2498" s="2">
        <f>IFERROR(__xludf.DUMMYFUNCTION("""COMPUTED_VALUE"""),3078195.0)</f>
        <v>3078195</v>
      </c>
    </row>
    <row r="2499">
      <c r="A2499" s="3">
        <f>IFERROR(__xludf.DUMMYFUNCTION("""COMPUTED_VALUE"""),41120.645833333336)</f>
        <v>41120.64583</v>
      </c>
      <c r="B2499" s="2">
        <f>IFERROR(__xludf.DUMMYFUNCTION("""COMPUTED_VALUE"""),358.09)</f>
        <v>358.09</v>
      </c>
      <c r="C2499" s="2">
        <f>IFERROR(__xludf.DUMMYFUNCTION("""COMPUTED_VALUE"""),362.45)</f>
        <v>362.45</v>
      </c>
      <c r="D2499" s="2">
        <f>IFERROR(__xludf.DUMMYFUNCTION("""COMPUTED_VALUE"""),357.52)</f>
        <v>357.52</v>
      </c>
      <c r="E2499" s="2">
        <f>IFERROR(__xludf.DUMMYFUNCTION("""COMPUTED_VALUE"""),361.36)</f>
        <v>361.36</v>
      </c>
      <c r="F2499" s="2">
        <f>IFERROR(__xludf.DUMMYFUNCTION("""COMPUTED_VALUE"""),1591825.0)</f>
        <v>1591825</v>
      </c>
    </row>
    <row r="2500">
      <c r="A2500" s="3">
        <f>IFERROR(__xludf.DUMMYFUNCTION("""COMPUTED_VALUE"""),41121.645833333336)</f>
        <v>41121.64583</v>
      </c>
      <c r="B2500" s="2">
        <f>IFERROR(__xludf.DUMMYFUNCTION("""COMPUTED_VALUE"""),362.35)</f>
        <v>362.35</v>
      </c>
      <c r="C2500" s="2">
        <f>IFERROR(__xludf.DUMMYFUNCTION("""COMPUTED_VALUE"""),369.53)</f>
        <v>369.53</v>
      </c>
      <c r="D2500" s="2">
        <f>IFERROR(__xludf.DUMMYFUNCTION("""COMPUTED_VALUE"""),357.1)</f>
        <v>357.1</v>
      </c>
      <c r="E2500" s="2">
        <f>IFERROR(__xludf.DUMMYFUNCTION("""COMPUTED_VALUE"""),368.3)</f>
        <v>368.3</v>
      </c>
      <c r="F2500" s="2">
        <f>IFERROR(__xludf.DUMMYFUNCTION("""COMPUTED_VALUE"""),3081258.0)</f>
        <v>3081258</v>
      </c>
    </row>
    <row r="2501">
      <c r="A2501" s="3">
        <f>IFERROR(__xludf.DUMMYFUNCTION("""COMPUTED_VALUE"""),41122.645833333336)</f>
        <v>41122.64583</v>
      </c>
      <c r="B2501" s="2">
        <f>IFERROR(__xludf.DUMMYFUNCTION("""COMPUTED_VALUE"""),366.64)</f>
        <v>366.64</v>
      </c>
      <c r="C2501" s="2">
        <f>IFERROR(__xludf.DUMMYFUNCTION("""COMPUTED_VALUE"""),371.91)</f>
        <v>371.91</v>
      </c>
      <c r="D2501" s="2">
        <f>IFERROR(__xludf.DUMMYFUNCTION("""COMPUTED_VALUE"""),365.82)</f>
        <v>365.82</v>
      </c>
      <c r="E2501" s="2">
        <f>IFERROR(__xludf.DUMMYFUNCTION("""COMPUTED_VALUE"""),369.86)</f>
        <v>369.86</v>
      </c>
      <c r="F2501" s="2">
        <f>IFERROR(__xludf.DUMMYFUNCTION("""COMPUTED_VALUE"""),3298891.0)</f>
        <v>3298891</v>
      </c>
    </row>
    <row r="2502">
      <c r="A2502" s="3">
        <f>IFERROR(__xludf.DUMMYFUNCTION("""COMPUTED_VALUE"""),41123.645833333336)</f>
        <v>41123.64583</v>
      </c>
      <c r="B2502" s="2">
        <f>IFERROR(__xludf.DUMMYFUNCTION("""COMPUTED_VALUE"""),367.55)</f>
        <v>367.55</v>
      </c>
      <c r="C2502" s="2">
        <f>IFERROR(__xludf.DUMMYFUNCTION("""COMPUTED_VALUE"""),370.28)</f>
        <v>370.28</v>
      </c>
      <c r="D2502" s="2">
        <f>IFERROR(__xludf.DUMMYFUNCTION("""COMPUTED_VALUE"""),364.9)</f>
        <v>364.9</v>
      </c>
      <c r="E2502" s="2">
        <f>IFERROR(__xludf.DUMMYFUNCTION("""COMPUTED_VALUE"""),366.29)</f>
        <v>366.29</v>
      </c>
      <c r="F2502" s="2">
        <f>IFERROR(__xludf.DUMMYFUNCTION("""COMPUTED_VALUE"""),1822852.0)</f>
        <v>1822852</v>
      </c>
    </row>
    <row r="2503">
      <c r="A2503" s="3">
        <f>IFERROR(__xludf.DUMMYFUNCTION("""COMPUTED_VALUE"""),41124.645833333336)</f>
        <v>41124.64583</v>
      </c>
      <c r="B2503" s="2">
        <f>IFERROR(__xludf.DUMMYFUNCTION("""COMPUTED_VALUE"""),364.04)</f>
        <v>364.04</v>
      </c>
      <c r="C2503" s="2">
        <f>IFERROR(__xludf.DUMMYFUNCTION("""COMPUTED_VALUE"""),370.47)</f>
        <v>370.47</v>
      </c>
      <c r="D2503" s="2">
        <f>IFERROR(__xludf.DUMMYFUNCTION("""COMPUTED_VALUE"""),361.83)</f>
        <v>361.83</v>
      </c>
      <c r="E2503" s="2">
        <f>IFERROR(__xludf.DUMMYFUNCTION("""COMPUTED_VALUE"""),367.78)</f>
        <v>367.78</v>
      </c>
      <c r="F2503" s="2">
        <f>IFERROR(__xludf.DUMMYFUNCTION("""COMPUTED_VALUE"""),2501572.0)</f>
        <v>2501572</v>
      </c>
    </row>
    <row r="2504">
      <c r="A2504" s="3">
        <f>IFERROR(__xludf.DUMMYFUNCTION("""COMPUTED_VALUE"""),41127.645833333336)</f>
        <v>41127.64583</v>
      </c>
      <c r="B2504" s="2">
        <f>IFERROR(__xludf.DUMMYFUNCTION("""COMPUTED_VALUE"""),370.5)</f>
        <v>370.5</v>
      </c>
      <c r="C2504" s="2">
        <f>IFERROR(__xludf.DUMMYFUNCTION("""COMPUTED_VALUE"""),390.98)</f>
        <v>390.98</v>
      </c>
      <c r="D2504" s="2">
        <f>IFERROR(__xludf.DUMMYFUNCTION("""COMPUTED_VALUE"""),370.5)</f>
        <v>370.5</v>
      </c>
      <c r="E2504" s="2">
        <f>IFERROR(__xludf.DUMMYFUNCTION("""COMPUTED_VALUE"""),389.32)</f>
        <v>389.32</v>
      </c>
      <c r="F2504" s="2">
        <f>IFERROR(__xludf.DUMMYFUNCTION("""COMPUTED_VALUE"""),8545516.0)</f>
        <v>8545516</v>
      </c>
    </row>
    <row r="2505">
      <c r="A2505" s="3">
        <f>IFERROR(__xludf.DUMMYFUNCTION("""COMPUTED_VALUE"""),41128.645833333336)</f>
        <v>41128.64583</v>
      </c>
      <c r="B2505" s="2">
        <f>IFERROR(__xludf.DUMMYFUNCTION("""COMPUTED_VALUE"""),389.32)</f>
        <v>389.32</v>
      </c>
      <c r="C2505" s="2">
        <f>IFERROR(__xludf.DUMMYFUNCTION("""COMPUTED_VALUE"""),394.22)</f>
        <v>394.22</v>
      </c>
      <c r="D2505" s="2">
        <f>IFERROR(__xludf.DUMMYFUNCTION("""COMPUTED_VALUE"""),385.21)</f>
        <v>385.21</v>
      </c>
      <c r="E2505" s="2">
        <f>IFERROR(__xludf.DUMMYFUNCTION("""COMPUTED_VALUE"""),388.18)</f>
        <v>388.18</v>
      </c>
      <c r="F2505" s="2">
        <f>IFERROR(__xludf.DUMMYFUNCTION("""COMPUTED_VALUE"""),4496299.0)</f>
        <v>4496299</v>
      </c>
    </row>
    <row r="2506">
      <c r="A2506" s="3">
        <f>IFERROR(__xludf.DUMMYFUNCTION("""COMPUTED_VALUE"""),41129.645833333336)</f>
        <v>41129.64583</v>
      </c>
      <c r="B2506" s="2">
        <f>IFERROR(__xludf.DUMMYFUNCTION("""COMPUTED_VALUE"""),388.82)</f>
        <v>388.82</v>
      </c>
      <c r="C2506" s="2">
        <f>IFERROR(__xludf.DUMMYFUNCTION("""COMPUTED_VALUE"""),395.73)</f>
        <v>395.73</v>
      </c>
      <c r="D2506" s="2">
        <f>IFERROR(__xludf.DUMMYFUNCTION("""COMPUTED_VALUE"""),387.59)</f>
        <v>387.59</v>
      </c>
      <c r="E2506" s="2">
        <f>IFERROR(__xludf.DUMMYFUNCTION("""COMPUTED_VALUE"""),391.67)</f>
        <v>391.67</v>
      </c>
      <c r="F2506" s="2">
        <f>IFERROR(__xludf.DUMMYFUNCTION("""COMPUTED_VALUE"""),4199284.0)</f>
        <v>4199284</v>
      </c>
    </row>
    <row r="2507">
      <c r="A2507" s="3">
        <f>IFERROR(__xludf.DUMMYFUNCTION("""COMPUTED_VALUE"""),41130.645833333336)</f>
        <v>41130.64583</v>
      </c>
      <c r="B2507" s="2">
        <f>IFERROR(__xludf.DUMMYFUNCTION("""COMPUTED_VALUE"""),390.73)</f>
        <v>390.73</v>
      </c>
      <c r="C2507" s="2">
        <f>IFERROR(__xludf.DUMMYFUNCTION("""COMPUTED_VALUE"""),394.45)</f>
        <v>394.45</v>
      </c>
      <c r="D2507" s="2">
        <f>IFERROR(__xludf.DUMMYFUNCTION("""COMPUTED_VALUE"""),384.66)</f>
        <v>384.66</v>
      </c>
      <c r="E2507" s="2">
        <f>IFERROR(__xludf.DUMMYFUNCTION("""COMPUTED_VALUE"""),386.4)</f>
        <v>386.4</v>
      </c>
      <c r="F2507" s="2">
        <f>IFERROR(__xludf.DUMMYFUNCTION("""COMPUTED_VALUE"""),2914451.0)</f>
        <v>2914451</v>
      </c>
    </row>
    <row r="2508">
      <c r="A2508" s="3">
        <f>IFERROR(__xludf.DUMMYFUNCTION("""COMPUTED_VALUE"""),41131.645833333336)</f>
        <v>41131.64583</v>
      </c>
      <c r="B2508" s="2">
        <f>IFERROR(__xludf.DUMMYFUNCTION("""COMPUTED_VALUE"""),385.16)</f>
        <v>385.16</v>
      </c>
      <c r="C2508" s="2">
        <f>IFERROR(__xludf.DUMMYFUNCTION("""COMPUTED_VALUE"""),390.78)</f>
        <v>390.78</v>
      </c>
      <c r="D2508" s="2">
        <f>IFERROR(__xludf.DUMMYFUNCTION("""COMPUTED_VALUE"""),383.43)</f>
        <v>383.43</v>
      </c>
      <c r="E2508" s="2">
        <f>IFERROR(__xludf.DUMMYFUNCTION("""COMPUTED_VALUE"""),387.36)</f>
        <v>387.36</v>
      </c>
      <c r="F2508" s="2">
        <f>IFERROR(__xludf.DUMMYFUNCTION("""COMPUTED_VALUE"""),2440868.0)</f>
        <v>2440868</v>
      </c>
    </row>
    <row r="2509">
      <c r="A2509" s="3">
        <f>IFERROR(__xludf.DUMMYFUNCTION("""COMPUTED_VALUE"""),41134.645833333336)</f>
        <v>41134.64583</v>
      </c>
      <c r="B2509" s="2">
        <f>IFERROR(__xludf.DUMMYFUNCTION("""COMPUTED_VALUE"""),386.08)</f>
        <v>386.08</v>
      </c>
      <c r="C2509" s="2">
        <f>IFERROR(__xludf.DUMMYFUNCTION("""COMPUTED_VALUE"""),391.28)</f>
        <v>391.28</v>
      </c>
      <c r="D2509" s="2">
        <f>IFERROR(__xludf.DUMMYFUNCTION("""COMPUTED_VALUE"""),386.08)</f>
        <v>386.08</v>
      </c>
      <c r="E2509" s="2">
        <f>IFERROR(__xludf.DUMMYFUNCTION("""COMPUTED_VALUE"""),390.36)</f>
        <v>390.36</v>
      </c>
      <c r="F2509" s="2">
        <f>IFERROR(__xludf.DUMMYFUNCTION("""COMPUTED_VALUE"""),1413458.0)</f>
        <v>1413458</v>
      </c>
    </row>
    <row r="2510">
      <c r="A2510" s="3">
        <f>IFERROR(__xludf.DUMMYFUNCTION("""COMPUTED_VALUE"""),41135.645833333336)</f>
        <v>41135.64583</v>
      </c>
      <c r="B2510" s="2">
        <f>IFERROR(__xludf.DUMMYFUNCTION("""COMPUTED_VALUE"""),390.24)</f>
        <v>390.24</v>
      </c>
      <c r="C2510" s="2">
        <f>IFERROR(__xludf.DUMMYFUNCTION("""COMPUTED_VALUE"""),397.22)</f>
        <v>397.22</v>
      </c>
      <c r="D2510" s="2">
        <f>IFERROR(__xludf.DUMMYFUNCTION("""COMPUTED_VALUE"""),389.79)</f>
        <v>389.79</v>
      </c>
      <c r="E2510" s="2">
        <f>IFERROR(__xludf.DUMMYFUNCTION("""COMPUTED_VALUE"""),396.01)</f>
        <v>396.01</v>
      </c>
      <c r="F2510" s="2">
        <f>IFERROR(__xludf.DUMMYFUNCTION("""COMPUTED_VALUE"""),3773614.0)</f>
        <v>3773614</v>
      </c>
    </row>
    <row r="2511">
      <c r="A2511" s="3">
        <f>IFERROR(__xludf.DUMMYFUNCTION("""COMPUTED_VALUE"""),41137.645833333336)</f>
        <v>41137.64583</v>
      </c>
      <c r="B2511" s="2">
        <f>IFERROR(__xludf.DUMMYFUNCTION("""COMPUTED_VALUE"""),397.24)</f>
        <v>397.24</v>
      </c>
      <c r="C2511" s="2">
        <f>IFERROR(__xludf.DUMMYFUNCTION("""COMPUTED_VALUE"""),407.05)</f>
        <v>407.05</v>
      </c>
      <c r="D2511" s="2">
        <f>IFERROR(__xludf.DUMMYFUNCTION("""COMPUTED_VALUE"""),395.78)</f>
        <v>395.78</v>
      </c>
      <c r="E2511" s="2">
        <f>IFERROR(__xludf.DUMMYFUNCTION("""COMPUTED_VALUE"""),404.23)</f>
        <v>404.23</v>
      </c>
      <c r="F2511" s="2">
        <f>IFERROR(__xludf.DUMMYFUNCTION("""COMPUTED_VALUE"""),4944737.0)</f>
        <v>4944737</v>
      </c>
    </row>
    <row r="2512">
      <c r="A2512" s="3">
        <f>IFERROR(__xludf.DUMMYFUNCTION("""COMPUTED_VALUE"""),41138.645833333336)</f>
        <v>41138.64583</v>
      </c>
      <c r="B2512" s="2">
        <f>IFERROR(__xludf.DUMMYFUNCTION("""COMPUTED_VALUE"""),405.1)</f>
        <v>405.1</v>
      </c>
      <c r="C2512" s="2">
        <f>IFERROR(__xludf.DUMMYFUNCTION("""COMPUTED_VALUE"""),408.56)</f>
        <v>408.56</v>
      </c>
      <c r="D2512" s="2">
        <f>IFERROR(__xludf.DUMMYFUNCTION("""COMPUTED_VALUE"""),401.01)</f>
        <v>401.01</v>
      </c>
      <c r="E2512" s="2">
        <f>IFERROR(__xludf.DUMMYFUNCTION("""COMPUTED_VALUE"""),404.2)</f>
        <v>404.2</v>
      </c>
      <c r="F2512" s="2">
        <f>IFERROR(__xludf.DUMMYFUNCTION("""COMPUTED_VALUE"""),3275638.0)</f>
        <v>3275638</v>
      </c>
    </row>
    <row r="2513">
      <c r="A2513" s="3">
        <f>IFERROR(__xludf.DUMMYFUNCTION("""COMPUTED_VALUE"""),41142.645833333336)</f>
        <v>41142.64583</v>
      </c>
      <c r="B2513" s="2">
        <f>IFERROR(__xludf.DUMMYFUNCTION("""COMPUTED_VALUE"""),404.15)</f>
        <v>404.15</v>
      </c>
      <c r="C2513" s="2">
        <f>IFERROR(__xludf.DUMMYFUNCTION("""COMPUTED_VALUE"""),408.07)</f>
        <v>408.07</v>
      </c>
      <c r="D2513" s="2">
        <f>IFERROR(__xludf.DUMMYFUNCTION("""COMPUTED_VALUE"""),402.32)</f>
        <v>402.32</v>
      </c>
      <c r="E2513" s="2">
        <f>IFERROR(__xludf.DUMMYFUNCTION("""COMPUTED_VALUE"""),403.29)</f>
        <v>403.29</v>
      </c>
      <c r="F2513" s="2">
        <f>IFERROR(__xludf.DUMMYFUNCTION("""COMPUTED_VALUE"""),2527532.0)</f>
        <v>2527532</v>
      </c>
    </row>
    <row r="2514">
      <c r="A2514" s="3">
        <f>IFERROR(__xludf.DUMMYFUNCTION("""COMPUTED_VALUE"""),41143.645833333336)</f>
        <v>41143.64583</v>
      </c>
      <c r="B2514" s="2">
        <f>IFERROR(__xludf.DUMMYFUNCTION("""COMPUTED_VALUE"""),400.79)</f>
        <v>400.79</v>
      </c>
      <c r="C2514" s="2">
        <f>IFERROR(__xludf.DUMMYFUNCTION("""COMPUTED_VALUE"""),403.91)</f>
        <v>403.91</v>
      </c>
      <c r="D2514" s="2">
        <f>IFERROR(__xludf.DUMMYFUNCTION("""COMPUTED_VALUE"""),399.05)</f>
        <v>399.05</v>
      </c>
      <c r="E2514" s="2">
        <f>IFERROR(__xludf.DUMMYFUNCTION("""COMPUTED_VALUE"""),400.09)</f>
        <v>400.09</v>
      </c>
      <c r="F2514" s="2">
        <f>IFERROR(__xludf.DUMMYFUNCTION("""COMPUTED_VALUE"""),1999746.0)</f>
        <v>1999746</v>
      </c>
    </row>
    <row r="2515">
      <c r="A2515" s="3">
        <f>IFERROR(__xludf.DUMMYFUNCTION("""COMPUTED_VALUE"""),41144.645833333336)</f>
        <v>41144.64583</v>
      </c>
      <c r="B2515" s="2">
        <f>IFERROR(__xludf.DUMMYFUNCTION("""COMPUTED_VALUE"""),401.45)</f>
        <v>401.45</v>
      </c>
      <c r="C2515" s="2">
        <f>IFERROR(__xludf.DUMMYFUNCTION("""COMPUTED_VALUE"""),401.88)</f>
        <v>401.88</v>
      </c>
      <c r="D2515" s="2">
        <f>IFERROR(__xludf.DUMMYFUNCTION("""COMPUTED_VALUE"""),390.26)</f>
        <v>390.26</v>
      </c>
      <c r="E2515" s="2">
        <f>IFERROR(__xludf.DUMMYFUNCTION("""COMPUTED_VALUE"""),393.51)</f>
        <v>393.51</v>
      </c>
      <c r="F2515" s="2">
        <f>IFERROR(__xludf.DUMMYFUNCTION("""COMPUTED_VALUE"""),3808432.0)</f>
        <v>3808432</v>
      </c>
    </row>
    <row r="2516">
      <c r="A2516" s="3">
        <f>IFERROR(__xludf.DUMMYFUNCTION("""COMPUTED_VALUE"""),41145.645833333336)</f>
        <v>41145.64583</v>
      </c>
      <c r="B2516" s="2">
        <f>IFERROR(__xludf.DUMMYFUNCTION("""COMPUTED_VALUE"""),392.14)</f>
        <v>392.14</v>
      </c>
      <c r="C2516" s="2">
        <f>IFERROR(__xludf.DUMMYFUNCTION("""COMPUTED_VALUE"""),393.51)</f>
        <v>393.51</v>
      </c>
      <c r="D2516" s="2">
        <f>IFERROR(__xludf.DUMMYFUNCTION("""COMPUTED_VALUE"""),385.68)</f>
        <v>385.68</v>
      </c>
      <c r="E2516" s="2">
        <f>IFERROR(__xludf.DUMMYFUNCTION("""COMPUTED_VALUE"""),387.36)</f>
        <v>387.36</v>
      </c>
      <c r="F2516" s="2">
        <f>IFERROR(__xludf.DUMMYFUNCTION("""COMPUTED_VALUE"""),3455630.0)</f>
        <v>3455630</v>
      </c>
    </row>
    <row r="2517">
      <c r="A2517" s="3">
        <f>IFERROR(__xludf.DUMMYFUNCTION("""COMPUTED_VALUE"""),41148.645833333336)</f>
        <v>41148.64583</v>
      </c>
      <c r="B2517" s="2">
        <f>IFERROR(__xludf.DUMMYFUNCTION("""COMPUTED_VALUE"""),389.3)</f>
        <v>389.3</v>
      </c>
      <c r="C2517" s="2">
        <f>IFERROR(__xludf.DUMMYFUNCTION("""COMPUTED_VALUE"""),394.35)</f>
        <v>394.35</v>
      </c>
      <c r="D2517" s="2">
        <f>IFERROR(__xludf.DUMMYFUNCTION("""COMPUTED_VALUE"""),388.06)</f>
        <v>388.06</v>
      </c>
      <c r="E2517" s="2">
        <f>IFERROR(__xludf.DUMMYFUNCTION("""COMPUTED_VALUE"""),389.96)</f>
        <v>389.96</v>
      </c>
      <c r="F2517" s="2">
        <f>IFERROR(__xludf.DUMMYFUNCTION("""COMPUTED_VALUE"""),2092529.0)</f>
        <v>2092529</v>
      </c>
    </row>
    <row r="2518">
      <c r="A2518" s="3">
        <f>IFERROR(__xludf.DUMMYFUNCTION("""COMPUTED_VALUE"""),41149.645833333336)</f>
        <v>41149.64583</v>
      </c>
      <c r="B2518" s="2">
        <f>IFERROR(__xludf.DUMMYFUNCTION("""COMPUTED_VALUE"""),389.72)</f>
        <v>389.72</v>
      </c>
      <c r="C2518" s="2">
        <f>IFERROR(__xludf.DUMMYFUNCTION("""COMPUTED_VALUE"""),393.21)</f>
        <v>393.21</v>
      </c>
      <c r="D2518" s="2">
        <f>IFERROR(__xludf.DUMMYFUNCTION("""COMPUTED_VALUE"""),385.61)</f>
        <v>385.61</v>
      </c>
      <c r="E2518" s="2">
        <f>IFERROR(__xludf.DUMMYFUNCTION("""COMPUTED_VALUE"""),391.38)</f>
        <v>391.38</v>
      </c>
      <c r="F2518" s="2">
        <f>IFERROR(__xludf.DUMMYFUNCTION("""COMPUTED_VALUE"""),2005624.0)</f>
        <v>2005624</v>
      </c>
    </row>
    <row r="2519">
      <c r="A2519" s="3">
        <f>IFERROR(__xludf.DUMMYFUNCTION("""COMPUTED_VALUE"""),41150.645833333336)</f>
        <v>41150.64583</v>
      </c>
      <c r="B2519" s="2">
        <f>IFERROR(__xludf.DUMMYFUNCTION("""COMPUTED_VALUE"""),391.77)</f>
        <v>391.77</v>
      </c>
      <c r="C2519" s="2">
        <f>IFERROR(__xludf.DUMMYFUNCTION("""COMPUTED_VALUE"""),394.99)</f>
        <v>394.99</v>
      </c>
      <c r="D2519" s="2">
        <f>IFERROR(__xludf.DUMMYFUNCTION("""COMPUTED_VALUE"""),386.47)</f>
        <v>386.47</v>
      </c>
      <c r="E2519" s="2">
        <f>IFERROR(__xludf.DUMMYFUNCTION("""COMPUTED_VALUE"""),387.39)</f>
        <v>387.39</v>
      </c>
      <c r="F2519" s="2">
        <f>IFERROR(__xludf.DUMMYFUNCTION("""COMPUTED_VALUE"""),2021201.0)</f>
        <v>2021201</v>
      </c>
    </row>
    <row r="2520">
      <c r="A2520" s="3">
        <f>IFERROR(__xludf.DUMMYFUNCTION("""COMPUTED_VALUE"""),41151.645833333336)</f>
        <v>41151.64583</v>
      </c>
      <c r="B2520" s="2">
        <f>IFERROR(__xludf.DUMMYFUNCTION("""COMPUTED_VALUE"""),386.2)</f>
        <v>386.2</v>
      </c>
      <c r="C2520" s="2">
        <f>IFERROR(__xludf.DUMMYFUNCTION("""COMPUTED_VALUE"""),392.19)</f>
        <v>392.19</v>
      </c>
      <c r="D2520" s="2">
        <f>IFERROR(__xludf.DUMMYFUNCTION("""COMPUTED_VALUE"""),380.68)</f>
        <v>380.68</v>
      </c>
      <c r="E2520" s="2">
        <f>IFERROR(__xludf.DUMMYFUNCTION("""COMPUTED_VALUE"""),388.01)</f>
        <v>388.01</v>
      </c>
      <c r="F2520" s="2">
        <f>IFERROR(__xludf.DUMMYFUNCTION("""COMPUTED_VALUE"""),6227911.0)</f>
        <v>6227911</v>
      </c>
    </row>
    <row r="2521">
      <c r="A2521" s="3">
        <f>IFERROR(__xludf.DUMMYFUNCTION("""COMPUTED_VALUE"""),41152.645833333336)</f>
        <v>41152.64583</v>
      </c>
      <c r="B2521" s="2">
        <f>IFERROR(__xludf.DUMMYFUNCTION("""COMPUTED_VALUE"""),386.32)</f>
        <v>386.32</v>
      </c>
      <c r="C2521" s="2">
        <f>IFERROR(__xludf.DUMMYFUNCTION("""COMPUTED_VALUE"""),388.5)</f>
        <v>388.5</v>
      </c>
      <c r="D2521" s="2">
        <f>IFERROR(__xludf.DUMMYFUNCTION("""COMPUTED_VALUE"""),377.76)</f>
        <v>377.76</v>
      </c>
      <c r="E2521" s="2">
        <f>IFERROR(__xludf.DUMMYFUNCTION("""COMPUTED_VALUE"""),379.59)</f>
        <v>379.59</v>
      </c>
      <c r="F2521" s="2">
        <f>IFERROR(__xludf.DUMMYFUNCTION("""COMPUTED_VALUE"""),3378863.0)</f>
        <v>3378863</v>
      </c>
    </row>
    <row r="2522">
      <c r="A2522" s="3">
        <f>IFERROR(__xludf.DUMMYFUNCTION("""COMPUTED_VALUE"""),41155.645833333336)</f>
        <v>41155.64583</v>
      </c>
      <c r="B2522" s="2">
        <f>IFERROR(__xludf.DUMMYFUNCTION("""COMPUTED_VALUE"""),380.38)</f>
        <v>380.38</v>
      </c>
      <c r="C2522" s="2">
        <f>IFERROR(__xludf.DUMMYFUNCTION("""COMPUTED_VALUE"""),381.35)</f>
        <v>381.35</v>
      </c>
      <c r="D2522" s="2">
        <f>IFERROR(__xludf.DUMMYFUNCTION("""COMPUTED_VALUE"""),376.44)</f>
        <v>376.44</v>
      </c>
      <c r="E2522" s="2">
        <f>IFERROR(__xludf.DUMMYFUNCTION("""COMPUTED_VALUE"""),377.93)</f>
        <v>377.93</v>
      </c>
      <c r="F2522" s="2">
        <f>IFERROR(__xludf.DUMMYFUNCTION("""COMPUTED_VALUE"""),2237861.0)</f>
        <v>2237861</v>
      </c>
    </row>
    <row r="2523">
      <c r="A2523" s="3">
        <f>IFERROR(__xludf.DUMMYFUNCTION("""COMPUTED_VALUE"""),41156.645833333336)</f>
        <v>41156.64583</v>
      </c>
      <c r="B2523" s="2">
        <f>IFERROR(__xludf.DUMMYFUNCTION("""COMPUTED_VALUE"""),378.37)</f>
        <v>378.37</v>
      </c>
      <c r="C2523" s="2">
        <f>IFERROR(__xludf.DUMMYFUNCTION("""COMPUTED_VALUE"""),386.89)</f>
        <v>386.89</v>
      </c>
      <c r="D2523" s="2">
        <f>IFERROR(__xludf.DUMMYFUNCTION("""COMPUTED_VALUE"""),377.51)</f>
        <v>377.51</v>
      </c>
      <c r="E2523" s="2">
        <f>IFERROR(__xludf.DUMMYFUNCTION("""COMPUTED_VALUE"""),386.13)</f>
        <v>386.13</v>
      </c>
      <c r="F2523" s="2">
        <f>IFERROR(__xludf.DUMMYFUNCTION("""COMPUTED_VALUE"""),2001239.0)</f>
        <v>2001239</v>
      </c>
    </row>
    <row r="2524">
      <c r="A2524" s="3">
        <f>IFERROR(__xludf.DUMMYFUNCTION("""COMPUTED_VALUE"""),41157.645833333336)</f>
        <v>41157.64583</v>
      </c>
      <c r="B2524" s="2">
        <f>IFERROR(__xludf.DUMMYFUNCTION("""COMPUTED_VALUE"""),383.97)</f>
        <v>383.97</v>
      </c>
      <c r="C2524" s="2">
        <f>IFERROR(__xludf.DUMMYFUNCTION("""COMPUTED_VALUE"""),386.3)</f>
        <v>386.3</v>
      </c>
      <c r="D2524" s="2">
        <f>IFERROR(__xludf.DUMMYFUNCTION("""COMPUTED_VALUE"""),378.5)</f>
        <v>378.5</v>
      </c>
      <c r="E2524" s="2">
        <f>IFERROR(__xludf.DUMMYFUNCTION("""COMPUTED_VALUE"""),381.94)</f>
        <v>381.94</v>
      </c>
      <c r="F2524" s="2">
        <f>IFERROR(__xludf.DUMMYFUNCTION("""COMPUTED_VALUE"""),3012632.0)</f>
        <v>3012632</v>
      </c>
    </row>
    <row r="2525">
      <c r="A2525" s="3">
        <f>IFERROR(__xludf.DUMMYFUNCTION("""COMPUTED_VALUE"""),41158.645833333336)</f>
        <v>41158.64583</v>
      </c>
      <c r="B2525" s="2">
        <f>IFERROR(__xludf.DUMMYFUNCTION("""COMPUTED_VALUE"""),379.54)</f>
        <v>379.54</v>
      </c>
      <c r="C2525" s="2">
        <f>IFERROR(__xludf.DUMMYFUNCTION("""COMPUTED_VALUE"""),383.65)</f>
        <v>383.65</v>
      </c>
      <c r="D2525" s="2">
        <f>IFERROR(__xludf.DUMMYFUNCTION("""COMPUTED_VALUE"""),378.4)</f>
        <v>378.4</v>
      </c>
      <c r="E2525" s="2">
        <f>IFERROR(__xludf.DUMMYFUNCTION("""COMPUTED_VALUE"""),380.48)</f>
        <v>380.48</v>
      </c>
      <c r="F2525" s="2">
        <f>IFERROR(__xludf.DUMMYFUNCTION("""COMPUTED_VALUE"""),1212105.0)</f>
        <v>1212105</v>
      </c>
    </row>
    <row r="2526">
      <c r="A2526" s="3">
        <f>IFERROR(__xludf.DUMMYFUNCTION("""COMPUTED_VALUE"""),41159.645833333336)</f>
        <v>41159.64583</v>
      </c>
      <c r="B2526" s="2">
        <f>IFERROR(__xludf.DUMMYFUNCTION("""COMPUTED_VALUE"""),385.68)</f>
        <v>385.68</v>
      </c>
      <c r="C2526" s="2">
        <f>IFERROR(__xludf.DUMMYFUNCTION("""COMPUTED_VALUE"""),394.5)</f>
        <v>394.5</v>
      </c>
      <c r="D2526" s="2">
        <f>IFERROR(__xludf.DUMMYFUNCTION("""COMPUTED_VALUE"""),385.58)</f>
        <v>385.58</v>
      </c>
      <c r="E2526" s="2">
        <f>IFERROR(__xludf.DUMMYFUNCTION("""COMPUTED_VALUE"""),392.14)</f>
        <v>392.14</v>
      </c>
      <c r="F2526" s="2">
        <f>IFERROR(__xludf.DUMMYFUNCTION("""COMPUTED_VALUE"""),3159455.0)</f>
        <v>3159455</v>
      </c>
    </row>
    <row r="2527">
      <c r="A2527" s="3">
        <f>IFERROR(__xludf.DUMMYFUNCTION("""COMPUTED_VALUE"""),41162.645833333336)</f>
        <v>41162.64583</v>
      </c>
      <c r="B2527" s="2">
        <f>IFERROR(__xludf.DUMMYFUNCTION("""COMPUTED_VALUE"""),396.23)</f>
        <v>396.23</v>
      </c>
      <c r="C2527" s="2">
        <f>IFERROR(__xludf.DUMMYFUNCTION("""COMPUTED_VALUE"""),397.89)</f>
        <v>397.89</v>
      </c>
      <c r="D2527" s="2">
        <f>IFERROR(__xludf.DUMMYFUNCTION("""COMPUTED_VALUE"""),390.86)</f>
        <v>390.86</v>
      </c>
      <c r="E2527" s="2">
        <f>IFERROR(__xludf.DUMMYFUNCTION("""COMPUTED_VALUE"""),392.29)</f>
        <v>392.29</v>
      </c>
      <c r="F2527" s="2">
        <f>IFERROR(__xludf.DUMMYFUNCTION("""COMPUTED_VALUE"""),2006068.0)</f>
        <v>2006068</v>
      </c>
    </row>
    <row r="2528">
      <c r="A2528" s="3">
        <f>IFERROR(__xludf.DUMMYFUNCTION("""COMPUTED_VALUE"""),41163.645833333336)</f>
        <v>41163.64583</v>
      </c>
      <c r="B2528" s="2">
        <f>IFERROR(__xludf.DUMMYFUNCTION("""COMPUTED_VALUE"""),391.03)</f>
        <v>391.03</v>
      </c>
      <c r="C2528" s="2">
        <f>IFERROR(__xludf.DUMMYFUNCTION("""COMPUTED_VALUE"""),394.17)</f>
        <v>394.17</v>
      </c>
      <c r="D2528" s="2">
        <f>IFERROR(__xludf.DUMMYFUNCTION("""COMPUTED_VALUE"""),387.91)</f>
        <v>387.91</v>
      </c>
      <c r="E2528" s="2">
        <f>IFERROR(__xludf.DUMMYFUNCTION("""COMPUTED_VALUE"""),391.77)</f>
        <v>391.77</v>
      </c>
      <c r="F2528" s="2">
        <f>IFERROR(__xludf.DUMMYFUNCTION("""COMPUTED_VALUE"""),3122198.0)</f>
        <v>3122198</v>
      </c>
    </row>
    <row r="2529">
      <c r="A2529" s="3">
        <f>IFERROR(__xludf.DUMMYFUNCTION("""COMPUTED_VALUE"""),41164.645833333336)</f>
        <v>41164.64583</v>
      </c>
      <c r="B2529" s="2">
        <f>IFERROR(__xludf.DUMMYFUNCTION("""COMPUTED_VALUE"""),393.01)</f>
        <v>393.01</v>
      </c>
      <c r="C2529" s="2">
        <f>IFERROR(__xludf.DUMMYFUNCTION("""COMPUTED_VALUE"""),396.08)</f>
        <v>396.08</v>
      </c>
      <c r="D2529" s="2">
        <f>IFERROR(__xludf.DUMMYFUNCTION("""COMPUTED_VALUE"""),391.0)</f>
        <v>391</v>
      </c>
      <c r="E2529" s="2">
        <f>IFERROR(__xludf.DUMMYFUNCTION("""COMPUTED_VALUE"""),395.29)</f>
        <v>395.29</v>
      </c>
      <c r="F2529" s="2">
        <f>IFERROR(__xludf.DUMMYFUNCTION("""COMPUTED_VALUE"""),1776753.0)</f>
        <v>1776753</v>
      </c>
    </row>
    <row r="2530">
      <c r="A2530" s="3">
        <f>IFERROR(__xludf.DUMMYFUNCTION("""COMPUTED_VALUE"""),41165.645833333336)</f>
        <v>41165.64583</v>
      </c>
      <c r="B2530" s="2">
        <f>IFERROR(__xludf.DUMMYFUNCTION("""COMPUTED_VALUE"""),395.29)</f>
        <v>395.29</v>
      </c>
      <c r="C2530" s="2">
        <f>IFERROR(__xludf.DUMMYFUNCTION("""COMPUTED_VALUE"""),400.44)</f>
        <v>400.44</v>
      </c>
      <c r="D2530" s="2">
        <f>IFERROR(__xludf.DUMMYFUNCTION("""COMPUTED_VALUE"""),393.41)</f>
        <v>393.41</v>
      </c>
      <c r="E2530" s="2">
        <f>IFERROR(__xludf.DUMMYFUNCTION("""COMPUTED_VALUE"""),395.81)</f>
        <v>395.81</v>
      </c>
      <c r="F2530" s="2">
        <f>IFERROR(__xludf.DUMMYFUNCTION("""COMPUTED_VALUE"""),2669369.0)</f>
        <v>2669369</v>
      </c>
    </row>
    <row r="2531">
      <c r="A2531" s="3">
        <f>IFERROR(__xludf.DUMMYFUNCTION("""COMPUTED_VALUE"""),41166.645833333336)</f>
        <v>41166.64583</v>
      </c>
      <c r="B2531" s="2">
        <f>IFERROR(__xludf.DUMMYFUNCTION("""COMPUTED_VALUE"""),402.67)</f>
        <v>402.67</v>
      </c>
      <c r="C2531" s="2">
        <f>IFERROR(__xludf.DUMMYFUNCTION("""COMPUTED_VALUE"""),418.86)</f>
        <v>418.86</v>
      </c>
      <c r="D2531" s="2">
        <f>IFERROR(__xludf.DUMMYFUNCTION("""COMPUTED_VALUE"""),400.96)</f>
        <v>400.96</v>
      </c>
      <c r="E2531" s="2">
        <f>IFERROR(__xludf.DUMMYFUNCTION("""COMPUTED_VALUE"""),416.91)</f>
        <v>416.91</v>
      </c>
      <c r="F2531" s="2">
        <f>IFERROR(__xludf.DUMMYFUNCTION("""COMPUTED_VALUE"""),8300472.0)</f>
        <v>8300472</v>
      </c>
    </row>
    <row r="2532">
      <c r="A2532" s="3">
        <f>IFERROR(__xludf.DUMMYFUNCTION("""COMPUTED_VALUE"""),41169.645833333336)</f>
        <v>41169.64583</v>
      </c>
      <c r="B2532" s="2">
        <f>IFERROR(__xludf.DUMMYFUNCTION("""COMPUTED_VALUE"""),420.05)</f>
        <v>420.05</v>
      </c>
      <c r="C2532" s="2">
        <f>IFERROR(__xludf.DUMMYFUNCTION("""COMPUTED_VALUE"""),436.64)</f>
        <v>436.64</v>
      </c>
      <c r="D2532" s="2">
        <f>IFERROR(__xludf.DUMMYFUNCTION("""COMPUTED_VALUE"""),420.05)</f>
        <v>420.05</v>
      </c>
      <c r="E2532" s="2">
        <f>IFERROR(__xludf.DUMMYFUNCTION("""COMPUTED_VALUE"""),432.76)</f>
        <v>432.76</v>
      </c>
      <c r="F2532" s="2">
        <f>IFERROR(__xludf.DUMMYFUNCTION("""COMPUTED_VALUE"""),9698936.0)</f>
        <v>9698936</v>
      </c>
    </row>
    <row r="2533">
      <c r="A2533" s="3">
        <f>IFERROR(__xludf.DUMMYFUNCTION("""COMPUTED_VALUE"""),41170.645833333336)</f>
        <v>41170.64583</v>
      </c>
      <c r="B2533" s="2">
        <f>IFERROR(__xludf.DUMMYFUNCTION("""COMPUTED_VALUE"""),431.0)</f>
        <v>431</v>
      </c>
      <c r="C2533" s="2">
        <f>IFERROR(__xludf.DUMMYFUNCTION("""COMPUTED_VALUE"""),432.83)</f>
        <v>432.83</v>
      </c>
      <c r="D2533" s="2">
        <f>IFERROR(__xludf.DUMMYFUNCTION("""COMPUTED_VALUE"""),421.64)</f>
        <v>421.64</v>
      </c>
      <c r="E2533" s="2">
        <f>IFERROR(__xludf.DUMMYFUNCTION("""COMPUTED_VALUE"""),423.77)</f>
        <v>423.77</v>
      </c>
      <c r="F2533" s="2">
        <f>IFERROR(__xludf.DUMMYFUNCTION("""COMPUTED_VALUE"""),3953604.0)</f>
        <v>3953604</v>
      </c>
    </row>
    <row r="2534">
      <c r="A2534" s="3">
        <f>IFERROR(__xludf.DUMMYFUNCTION("""COMPUTED_VALUE"""),41172.645833333336)</f>
        <v>41172.64583</v>
      </c>
      <c r="B2534" s="2">
        <f>IFERROR(__xludf.DUMMYFUNCTION("""COMPUTED_VALUE"""),416.39)</f>
        <v>416.39</v>
      </c>
      <c r="C2534" s="2">
        <f>IFERROR(__xludf.DUMMYFUNCTION("""COMPUTED_VALUE"""),420.15)</f>
        <v>420.15</v>
      </c>
      <c r="D2534" s="2">
        <f>IFERROR(__xludf.DUMMYFUNCTION("""COMPUTED_VALUE"""),410.22)</f>
        <v>410.22</v>
      </c>
      <c r="E2534" s="2">
        <f>IFERROR(__xludf.DUMMYFUNCTION("""COMPUTED_VALUE"""),412.33)</f>
        <v>412.33</v>
      </c>
      <c r="F2534" s="2">
        <f>IFERROR(__xludf.DUMMYFUNCTION("""COMPUTED_VALUE"""),3499635.0)</f>
        <v>3499635</v>
      </c>
    </row>
    <row r="2535">
      <c r="A2535" s="3">
        <f>IFERROR(__xludf.DUMMYFUNCTION("""COMPUTED_VALUE"""),41173.645833333336)</f>
        <v>41173.64583</v>
      </c>
      <c r="B2535" s="2">
        <f>IFERROR(__xludf.DUMMYFUNCTION("""COMPUTED_VALUE"""),412.57)</f>
        <v>412.57</v>
      </c>
      <c r="C2535" s="2">
        <f>IFERROR(__xludf.DUMMYFUNCTION("""COMPUTED_VALUE"""),423.32)</f>
        <v>423.32</v>
      </c>
      <c r="D2535" s="2">
        <f>IFERROR(__xludf.DUMMYFUNCTION("""COMPUTED_VALUE"""),412.08)</f>
        <v>412.08</v>
      </c>
      <c r="E2535" s="2">
        <f>IFERROR(__xludf.DUMMYFUNCTION("""COMPUTED_VALUE"""),421.14)</f>
        <v>421.14</v>
      </c>
      <c r="F2535" s="2">
        <f>IFERROR(__xludf.DUMMYFUNCTION("""COMPUTED_VALUE"""),8214274.0)</f>
        <v>8214274</v>
      </c>
    </row>
    <row r="2536">
      <c r="A2536" s="3">
        <f>IFERROR(__xludf.DUMMYFUNCTION("""COMPUTED_VALUE"""),41176.645833333336)</f>
        <v>41176.64583</v>
      </c>
      <c r="B2536" s="2">
        <f>IFERROR(__xludf.DUMMYFUNCTION("""COMPUTED_VALUE"""),420.99)</f>
        <v>420.99</v>
      </c>
      <c r="C2536" s="2">
        <f>IFERROR(__xludf.DUMMYFUNCTION("""COMPUTED_VALUE"""),424.86)</f>
        <v>424.86</v>
      </c>
      <c r="D2536" s="2">
        <f>IFERROR(__xludf.DUMMYFUNCTION("""COMPUTED_VALUE"""),412.45)</f>
        <v>412.45</v>
      </c>
      <c r="E2536" s="2">
        <f>IFERROR(__xludf.DUMMYFUNCTION("""COMPUTED_VALUE"""),414.23)</f>
        <v>414.23</v>
      </c>
      <c r="F2536" s="2">
        <f>IFERROR(__xludf.DUMMYFUNCTION("""COMPUTED_VALUE"""),3407033.0)</f>
        <v>3407033</v>
      </c>
    </row>
    <row r="2537">
      <c r="A2537" s="3">
        <f>IFERROR(__xludf.DUMMYFUNCTION("""COMPUTED_VALUE"""),41177.645833333336)</f>
        <v>41177.64583</v>
      </c>
      <c r="B2537" s="2">
        <f>IFERROR(__xludf.DUMMYFUNCTION("""COMPUTED_VALUE"""),415.05)</f>
        <v>415.05</v>
      </c>
      <c r="C2537" s="2">
        <f>IFERROR(__xludf.DUMMYFUNCTION("""COMPUTED_VALUE"""),418.42)</f>
        <v>418.42</v>
      </c>
      <c r="D2537" s="2">
        <f>IFERROR(__xludf.DUMMYFUNCTION("""COMPUTED_VALUE"""),411.21)</f>
        <v>411.21</v>
      </c>
      <c r="E2537" s="2">
        <f>IFERROR(__xludf.DUMMYFUNCTION("""COMPUTED_VALUE"""),415.92)</f>
        <v>415.92</v>
      </c>
      <c r="F2537" s="2">
        <f>IFERROR(__xludf.DUMMYFUNCTION("""COMPUTED_VALUE"""),3163188.0)</f>
        <v>3163188</v>
      </c>
    </row>
    <row r="2538">
      <c r="A2538" s="3">
        <f>IFERROR(__xludf.DUMMYFUNCTION("""COMPUTED_VALUE"""),41178.645833333336)</f>
        <v>41178.64583</v>
      </c>
      <c r="B2538" s="2">
        <f>IFERROR(__xludf.DUMMYFUNCTION("""COMPUTED_VALUE"""),415.05)</f>
        <v>415.05</v>
      </c>
      <c r="C2538" s="2">
        <f>IFERROR(__xludf.DUMMYFUNCTION("""COMPUTED_VALUE"""),420.85)</f>
        <v>420.85</v>
      </c>
      <c r="D2538" s="2">
        <f>IFERROR(__xludf.DUMMYFUNCTION("""COMPUTED_VALUE"""),412.99)</f>
        <v>412.99</v>
      </c>
      <c r="E2538" s="2">
        <f>IFERROR(__xludf.DUMMYFUNCTION("""COMPUTED_VALUE"""),418.39)</f>
        <v>418.39</v>
      </c>
      <c r="F2538" s="2">
        <f>IFERROR(__xludf.DUMMYFUNCTION("""COMPUTED_VALUE"""),3807711.0)</f>
        <v>3807711</v>
      </c>
    </row>
    <row r="2539">
      <c r="A2539" s="3">
        <f>IFERROR(__xludf.DUMMYFUNCTION("""COMPUTED_VALUE"""),41179.645833333336)</f>
        <v>41179.64583</v>
      </c>
      <c r="B2539" s="2">
        <f>IFERROR(__xludf.DUMMYFUNCTION("""COMPUTED_VALUE"""),418.62)</f>
        <v>418.62</v>
      </c>
      <c r="C2539" s="2">
        <f>IFERROR(__xludf.DUMMYFUNCTION("""COMPUTED_VALUE"""),420.0)</f>
        <v>420</v>
      </c>
      <c r="D2539" s="2">
        <f>IFERROR(__xludf.DUMMYFUNCTION("""COMPUTED_VALUE"""),408.24)</f>
        <v>408.24</v>
      </c>
      <c r="E2539" s="2">
        <f>IFERROR(__xludf.DUMMYFUNCTION("""COMPUTED_VALUE"""),411.01)</f>
        <v>411.01</v>
      </c>
      <c r="F2539" s="2">
        <f>IFERROR(__xludf.DUMMYFUNCTION("""COMPUTED_VALUE"""),6953585.0)</f>
        <v>6953585</v>
      </c>
    </row>
    <row r="2540">
      <c r="A2540" s="3">
        <f>IFERROR(__xludf.DUMMYFUNCTION("""COMPUTED_VALUE"""),41180.645833333336)</f>
        <v>41180.64583</v>
      </c>
      <c r="B2540" s="2">
        <f>IFERROR(__xludf.DUMMYFUNCTION("""COMPUTED_VALUE"""),414.56)</f>
        <v>414.56</v>
      </c>
      <c r="C2540" s="2">
        <f>IFERROR(__xludf.DUMMYFUNCTION("""COMPUTED_VALUE"""),419.95)</f>
        <v>419.95</v>
      </c>
      <c r="D2540" s="2">
        <f>IFERROR(__xludf.DUMMYFUNCTION("""COMPUTED_VALUE"""),413.24)</f>
        <v>413.24</v>
      </c>
      <c r="E2540" s="2">
        <f>IFERROR(__xludf.DUMMYFUNCTION("""COMPUTED_VALUE"""),414.65)</f>
        <v>414.65</v>
      </c>
      <c r="F2540" s="2">
        <f>IFERROR(__xludf.DUMMYFUNCTION("""COMPUTED_VALUE"""),3227049.0)</f>
        <v>3227049</v>
      </c>
    </row>
    <row r="2541">
      <c r="A2541" s="3">
        <f>IFERROR(__xludf.DUMMYFUNCTION("""COMPUTED_VALUE"""),41183.645833333336)</f>
        <v>41183.64583</v>
      </c>
      <c r="B2541" s="2">
        <f>IFERROR(__xludf.DUMMYFUNCTION("""COMPUTED_VALUE"""),416.04)</f>
        <v>416.04</v>
      </c>
      <c r="C2541" s="2">
        <f>IFERROR(__xludf.DUMMYFUNCTION("""COMPUTED_VALUE"""),417.18)</f>
        <v>417.18</v>
      </c>
      <c r="D2541" s="2">
        <f>IFERROR(__xludf.DUMMYFUNCTION("""COMPUTED_VALUE"""),410.72)</f>
        <v>410.72</v>
      </c>
      <c r="E2541" s="2">
        <f>IFERROR(__xludf.DUMMYFUNCTION("""COMPUTED_VALUE"""),412.82)</f>
        <v>412.82</v>
      </c>
      <c r="F2541" s="2">
        <f>IFERROR(__xludf.DUMMYFUNCTION("""COMPUTED_VALUE"""),1991469.0)</f>
        <v>1991469</v>
      </c>
    </row>
    <row r="2542">
      <c r="A2542" s="3">
        <f>IFERROR(__xludf.DUMMYFUNCTION("""COMPUTED_VALUE"""),41185.645833333336)</f>
        <v>41185.64583</v>
      </c>
      <c r="B2542" s="2">
        <f>IFERROR(__xludf.DUMMYFUNCTION("""COMPUTED_VALUE"""),413.29)</f>
        <v>413.29</v>
      </c>
      <c r="C2542" s="2">
        <f>IFERROR(__xludf.DUMMYFUNCTION("""COMPUTED_VALUE"""),422.7)</f>
        <v>422.7</v>
      </c>
      <c r="D2542" s="2">
        <f>IFERROR(__xludf.DUMMYFUNCTION("""COMPUTED_VALUE"""),413.19)</f>
        <v>413.19</v>
      </c>
      <c r="E2542" s="2">
        <f>IFERROR(__xludf.DUMMYFUNCTION("""COMPUTED_VALUE"""),419.06)</f>
        <v>419.06</v>
      </c>
      <c r="F2542" s="2">
        <f>IFERROR(__xludf.DUMMYFUNCTION("""COMPUTED_VALUE"""),5006639.0)</f>
        <v>5006639</v>
      </c>
    </row>
    <row r="2543">
      <c r="A2543" s="3">
        <f>IFERROR(__xludf.DUMMYFUNCTION("""COMPUTED_VALUE"""),41186.645833333336)</f>
        <v>41186.64583</v>
      </c>
      <c r="B2543" s="2">
        <f>IFERROR(__xludf.DUMMYFUNCTION("""COMPUTED_VALUE"""),421.27)</f>
        <v>421.27</v>
      </c>
      <c r="C2543" s="2">
        <f>IFERROR(__xludf.DUMMYFUNCTION("""COMPUTED_VALUE"""),425.4)</f>
        <v>425.4</v>
      </c>
      <c r="D2543" s="2">
        <f>IFERROR(__xludf.DUMMYFUNCTION("""COMPUTED_VALUE"""),420.55)</f>
        <v>420.55</v>
      </c>
      <c r="E2543" s="2">
        <f>IFERROR(__xludf.DUMMYFUNCTION("""COMPUTED_VALUE"""),422.43)</f>
        <v>422.43</v>
      </c>
      <c r="F2543" s="2">
        <f>IFERROR(__xludf.DUMMYFUNCTION("""COMPUTED_VALUE"""),2886232.0)</f>
        <v>2886232</v>
      </c>
    </row>
    <row r="2544">
      <c r="A2544" s="3">
        <f>IFERROR(__xludf.DUMMYFUNCTION("""COMPUTED_VALUE"""),41187.645833333336)</f>
        <v>41187.64583</v>
      </c>
      <c r="B2544" s="2">
        <f>IFERROR(__xludf.DUMMYFUNCTION("""COMPUTED_VALUE"""),425.9)</f>
        <v>425.9</v>
      </c>
      <c r="C2544" s="2">
        <f>IFERROR(__xludf.DUMMYFUNCTION("""COMPUTED_VALUE"""),426.94)</f>
        <v>426.94</v>
      </c>
      <c r="D2544" s="2">
        <f>IFERROR(__xludf.DUMMYFUNCTION("""COMPUTED_VALUE"""),337.96)</f>
        <v>337.96</v>
      </c>
      <c r="E2544" s="2">
        <f>IFERROR(__xludf.DUMMYFUNCTION("""COMPUTED_VALUE"""),424.86)</f>
        <v>424.86</v>
      </c>
      <c r="F2544" s="2">
        <f>IFERROR(__xludf.DUMMYFUNCTION("""COMPUTED_VALUE"""),3592138.0)</f>
        <v>3592138</v>
      </c>
    </row>
    <row r="2545">
      <c r="A2545" s="3">
        <f>IFERROR(__xludf.DUMMYFUNCTION("""COMPUTED_VALUE"""),41190.645833333336)</f>
        <v>41190.64583</v>
      </c>
      <c r="B2545" s="2">
        <f>IFERROR(__xludf.DUMMYFUNCTION("""COMPUTED_VALUE"""),423.25)</f>
        <v>423.25</v>
      </c>
      <c r="C2545" s="2">
        <f>IFERROR(__xludf.DUMMYFUNCTION("""COMPUTED_VALUE"""),423.25)</f>
        <v>423.25</v>
      </c>
      <c r="D2545" s="2">
        <f>IFERROR(__xludf.DUMMYFUNCTION("""COMPUTED_VALUE"""),404.28)</f>
        <v>404.28</v>
      </c>
      <c r="E2545" s="2">
        <f>IFERROR(__xludf.DUMMYFUNCTION("""COMPUTED_VALUE"""),405.84)</f>
        <v>405.84</v>
      </c>
      <c r="F2545" s="2">
        <f>IFERROR(__xludf.DUMMYFUNCTION("""COMPUTED_VALUE"""),4775793.0)</f>
        <v>4775793</v>
      </c>
    </row>
    <row r="2546">
      <c r="A2546" s="3">
        <f>IFERROR(__xludf.DUMMYFUNCTION("""COMPUTED_VALUE"""),41191.645833333336)</f>
        <v>41191.64583</v>
      </c>
      <c r="B2546" s="2">
        <f>IFERROR(__xludf.DUMMYFUNCTION("""COMPUTED_VALUE"""),408.86)</f>
        <v>408.86</v>
      </c>
      <c r="C2546" s="2">
        <f>IFERROR(__xludf.DUMMYFUNCTION("""COMPUTED_VALUE"""),409.45)</f>
        <v>409.45</v>
      </c>
      <c r="D2546" s="2">
        <f>IFERROR(__xludf.DUMMYFUNCTION("""COMPUTED_VALUE"""),402.72)</f>
        <v>402.72</v>
      </c>
      <c r="E2546" s="2">
        <f>IFERROR(__xludf.DUMMYFUNCTION("""COMPUTED_VALUE"""),403.81)</f>
        <v>403.81</v>
      </c>
      <c r="F2546" s="2">
        <f>IFERROR(__xludf.DUMMYFUNCTION("""COMPUTED_VALUE"""),2651961.0)</f>
        <v>2651961</v>
      </c>
    </row>
    <row r="2547">
      <c r="A2547" s="3">
        <f>IFERROR(__xludf.DUMMYFUNCTION("""COMPUTED_VALUE"""),41192.645833333336)</f>
        <v>41192.64583</v>
      </c>
      <c r="B2547" s="2">
        <f>IFERROR(__xludf.DUMMYFUNCTION("""COMPUTED_VALUE"""),401.68)</f>
        <v>401.68</v>
      </c>
      <c r="C2547" s="2">
        <f>IFERROR(__xludf.DUMMYFUNCTION("""COMPUTED_VALUE"""),407.27)</f>
        <v>407.27</v>
      </c>
      <c r="D2547" s="2">
        <f>IFERROR(__xludf.DUMMYFUNCTION("""COMPUTED_VALUE"""),399.89)</f>
        <v>399.89</v>
      </c>
      <c r="E2547" s="2">
        <f>IFERROR(__xludf.DUMMYFUNCTION("""COMPUTED_VALUE"""),404.15)</f>
        <v>404.15</v>
      </c>
      <c r="F2547" s="2">
        <f>IFERROR(__xludf.DUMMYFUNCTION("""COMPUTED_VALUE"""),2144325.0)</f>
        <v>2144325</v>
      </c>
    </row>
    <row r="2548">
      <c r="A2548" s="3">
        <f>IFERROR(__xludf.DUMMYFUNCTION("""COMPUTED_VALUE"""),41193.645833333336)</f>
        <v>41193.64583</v>
      </c>
      <c r="B2548" s="2">
        <f>IFERROR(__xludf.DUMMYFUNCTION("""COMPUTED_VALUE"""),405.64)</f>
        <v>405.64</v>
      </c>
      <c r="C2548" s="2">
        <f>IFERROR(__xludf.DUMMYFUNCTION("""COMPUTED_VALUE"""),407.13)</f>
        <v>407.13</v>
      </c>
      <c r="D2548" s="2">
        <f>IFERROR(__xludf.DUMMYFUNCTION("""COMPUTED_VALUE"""),400.84)</f>
        <v>400.84</v>
      </c>
      <c r="E2548" s="2">
        <f>IFERROR(__xludf.DUMMYFUNCTION("""COMPUTED_VALUE"""),406.11)</f>
        <v>406.11</v>
      </c>
      <c r="F2548" s="2">
        <f>IFERROR(__xludf.DUMMYFUNCTION("""COMPUTED_VALUE"""),2710338.0)</f>
        <v>2710338</v>
      </c>
    </row>
    <row r="2549">
      <c r="A2549" s="3">
        <f>IFERROR(__xludf.DUMMYFUNCTION("""COMPUTED_VALUE"""),41194.645833333336)</f>
        <v>41194.64583</v>
      </c>
      <c r="B2549" s="2">
        <f>IFERROR(__xludf.DUMMYFUNCTION("""COMPUTED_VALUE"""),405.54)</f>
        <v>405.54</v>
      </c>
      <c r="C2549" s="2">
        <f>IFERROR(__xludf.DUMMYFUNCTION("""COMPUTED_VALUE"""),409.31)</f>
        <v>409.31</v>
      </c>
      <c r="D2549" s="2">
        <f>IFERROR(__xludf.DUMMYFUNCTION("""COMPUTED_VALUE"""),404.18)</f>
        <v>404.18</v>
      </c>
      <c r="E2549" s="2">
        <f>IFERROR(__xludf.DUMMYFUNCTION("""COMPUTED_VALUE"""),405.59)</f>
        <v>405.59</v>
      </c>
      <c r="F2549" s="2">
        <f>IFERROR(__xludf.DUMMYFUNCTION("""COMPUTED_VALUE"""),2429045.0)</f>
        <v>2429045</v>
      </c>
    </row>
    <row r="2550">
      <c r="A2550" s="3">
        <f>IFERROR(__xludf.DUMMYFUNCTION("""COMPUTED_VALUE"""),41197.645833333336)</f>
        <v>41197.64583</v>
      </c>
      <c r="B2550" s="2">
        <f>IFERROR(__xludf.DUMMYFUNCTION("""COMPUTED_VALUE"""),405.64)</f>
        <v>405.64</v>
      </c>
      <c r="C2550" s="2">
        <f>IFERROR(__xludf.DUMMYFUNCTION("""COMPUTED_VALUE"""),411.04)</f>
        <v>411.04</v>
      </c>
      <c r="D2550" s="2">
        <f>IFERROR(__xludf.DUMMYFUNCTION("""COMPUTED_VALUE"""),405.64)</f>
        <v>405.64</v>
      </c>
      <c r="E2550" s="2">
        <f>IFERROR(__xludf.DUMMYFUNCTION("""COMPUTED_VALUE"""),407.65)</f>
        <v>407.65</v>
      </c>
      <c r="F2550" s="2">
        <f>IFERROR(__xludf.DUMMYFUNCTION("""COMPUTED_VALUE"""),2555825.0)</f>
        <v>2555825</v>
      </c>
    </row>
    <row r="2551">
      <c r="A2551" s="3">
        <f>IFERROR(__xludf.DUMMYFUNCTION("""COMPUTED_VALUE"""),41198.645833333336)</f>
        <v>41198.64583</v>
      </c>
      <c r="B2551" s="2">
        <f>IFERROR(__xludf.DUMMYFUNCTION("""COMPUTED_VALUE"""),415.5)</f>
        <v>415.5</v>
      </c>
      <c r="C2551" s="2">
        <f>IFERROR(__xludf.DUMMYFUNCTION("""COMPUTED_VALUE"""),416.02)</f>
        <v>416.02</v>
      </c>
      <c r="D2551" s="2">
        <f>IFERROR(__xludf.DUMMYFUNCTION("""COMPUTED_VALUE"""),401.18)</f>
        <v>401.18</v>
      </c>
      <c r="E2551" s="2">
        <f>IFERROR(__xludf.DUMMYFUNCTION("""COMPUTED_VALUE"""),402.4)</f>
        <v>402.4</v>
      </c>
      <c r="F2551" s="2">
        <f>IFERROR(__xludf.DUMMYFUNCTION("""COMPUTED_VALUE"""),5068137.0)</f>
        <v>5068137</v>
      </c>
    </row>
    <row r="2552">
      <c r="A2552" s="3">
        <f>IFERROR(__xludf.DUMMYFUNCTION("""COMPUTED_VALUE"""),41199.645833333336)</f>
        <v>41199.64583</v>
      </c>
      <c r="B2552" s="2">
        <f>IFERROR(__xludf.DUMMYFUNCTION("""COMPUTED_VALUE"""),404.18)</f>
        <v>404.18</v>
      </c>
      <c r="C2552" s="2">
        <f>IFERROR(__xludf.DUMMYFUNCTION("""COMPUTED_VALUE"""),404.85)</f>
        <v>404.85</v>
      </c>
      <c r="D2552" s="2">
        <f>IFERROR(__xludf.DUMMYFUNCTION("""COMPUTED_VALUE"""),397.0)</f>
        <v>397</v>
      </c>
      <c r="E2552" s="2">
        <f>IFERROR(__xludf.DUMMYFUNCTION("""COMPUTED_VALUE"""),398.78)</f>
        <v>398.78</v>
      </c>
      <c r="F2552" s="2">
        <f>IFERROR(__xludf.DUMMYFUNCTION("""COMPUTED_VALUE"""),4780912.0)</f>
        <v>4780912</v>
      </c>
    </row>
    <row r="2553">
      <c r="A2553" s="3">
        <f>IFERROR(__xludf.DUMMYFUNCTION("""COMPUTED_VALUE"""),41200.645833333336)</f>
        <v>41200.64583</v>
      </c>
      <c r="B2553" s="2">
        <f>IFERROR(__xludf.DUMMYFUNCTION("""COMPUTED_VALUE"""),399.82)</f>
        <v>399.82</v>
      </c>
      <c r="C2553" s="2">
        <f>IFERROR(__xludf.DUMMYFUNCTION("""COMPUTED_VALUE"""),404.15)</f>
        <v>404.15</v>
      </c>
      <c r="D2553" s="2">
        <f>IFERROR(__xludf.DUMMYFUNCTION("""COMPUTED_VALUE"""),394.74)</f>
        <v>394.74</v>
      </c>
      <c r="E2553" s="2">
        <f>IFERROR(__xludf.DUMMYFUNCTION("""COMPUTED_VALUE"""),401.83)</f>
        <v>401.83</v>
      </c>
      <c r="F2553" s="2">
        <f>IFERROR(__xludf.DUMMYFUNCTION("""COMPUTED_VALUE"""),6080686.0)</f>
        <v>6080686</v>
      </c>
    </row>
    <row r="2554">
      <c r="A2554" s="3">
        <f>IFERROR(__xludf.DUMMYFUNCTION("""COMPUTED_VALUE"""),41201.645833333336)</f>
        <v>41201.64583</v>
      </c>
      <c r="B2554" s="2">
        <f>IFERROR(__xludf.DUMMYFUNCTION("""COMPUTED_VALUE"""),400.04)</f>
        <v>400.04</v>
      </c>
      <c r="C2554" s="2">
        <f>IFERROR(__xludf.DUMMYFUNCTION("""COMPUTED_VALUE"""),401.43)</f>
        <v>401.43</v>
      </c>
      <c r="D2554" s="2">
        <f>IFERROR(__xludf.DUMMYFUNCTION("""COMPUTED_VALUE"""),395.91)</f>
        <v>395.91</v>
      </c>
      <c r="E2554" s="2">
        <f>IFERROR(__xludf.DUMMYFUNCTION("""COMPUTED_VALUE"""),397.62)</f>
        <v>397.62</v>
      </c>
      <c r="F2554" s="2">
        <f>IFERROR(__xludf.DUMMYFUNCTION("""COMPUTED_VALUE"""),2891282.0)</f>
        <v>2891282</v>
      </c>
    </row>
    <row r="2555">
      <c r="A2555" s="3">
        <f>IFERROR(__xludf.DUMMYFUNCTION("""COMPUTED_VALUE"""),41204.645833333336)</f>
        <v>41204.64583</v>
      </c>
      <c r="B2555" s="2">
        <f>IFERROR(__xludf.DUMMYFUNCTION("""COMPUTED_VALUE"""),393.85)</f>
        <v>393.85</v>
      </c>
      <c r="C2555" s="2">
        <f>IFERROR(__xludf.DUMMYFUNCTION("""COMPUTED_VALUE"""),404.62)</f>
        <v>404.62</v>
      </c>
      <c r="D2555" s="2">
        <f>IFERROR(__xludf.DUMMYFUNCTION("""COMPUTED_VALUE"""),392.12)</f>
        <v>392.12</v>
      </c>
      <c r="E2555" s="2">
        <f>IFERROR(__xludf.DUMMYFUNCTION("""COMPUTED_VALUE"""),403.96)</f>
        <v>403.96</v>
      </c>
      <c r="F2555" s="2">
        <f>IFERROR(__xludf.DUMMYFUNCTION("""COMPUTED_VALUE"""),3237961.0)</f>
        <v>3237961</v>
      </c>
    </row>
    <row r="2556">
      <c r="A2556" s="3">
        <f>IFERROR(__xludf.DUMMYFUNCTION("""COMPUTED_VALUE"""),41205.645833333336)</f>
        <v>41205.64583</v>
      </c>
      <c r="B2556" s="2">
        <f>IFERROR(__xludf.DUMMYFUNCTION("""COMPUTED_VALUE"""),402.92)</f>
        <v>402.92</v>
      </c>
      <c r="C2556" s="2">
        <f>IFERROR(__xludf.DUMMYFUNCTION("""COMPUTED_VALUE"""),403.56)</f>
        <v>403.56</v>
      </c>
      <c r="D2556" s="2">
        <f>IFERROR(__xludf.DUMMYFUNCTION("""COMPUTED_VALUE"""),398.61)</f>
        <v>398.61</v>
      </c>
      <c r="E2556" s="2">
        <f>IFERROR(__xludf.DUMMYFUNCTION("""COMPUTED_VALUE"""),401.16)</f>
        <v>401.16</v>
      </c>
      <c r="F2556" s="2">
        <f>IFERROR(__xludf.DUMMYFUNCTION("""COMPUTED_VALUE"""),2170107.0)</f>
        <v>2170107</v>
      </c>
    </row>
    <row r="2557">
      <c r="A2557" s="3">
        <f>IFERROR(__xludf.DUMMYFUNCTION("""COMPUTED_VALUE"""),41207.645833333336)</f>
        <v>41207.64583</v>
      </c>
      <c r="B2557" s="2">
        <f>IFERROR(__xludf.DUMMYFUNCTION("""COMPUTED_VALUE"""),401.23)</f>
        <v>401.23</v>
      </c>
      <c r="C2557" s="2">
        <f>IFERROR(__xludf.DUMMYFUNCTION("""COMPUTED_VALUE"""),405.49)</f>
        <v>405.49</v>
      </c>
      <c r="D2557" s="2">
        <f>IFERROR(__xludf.DUMMYFUNCTION("""COMPUTED_VALUE"""),399.8)</f>
        <v>399.8</v>
      </c>
      <c r="E2557" s="2">
        <f>IFERROR(__xludf.DUMMYFUNCTION("""COMPUTED_VALUE"""),401.38)</f>
        <v>401.38</v>
      </c>
      <c r="F2557" s="2">
        <f>IFERROR(__xludf.DUMMYFUNCTION("""COMPUTED_VALUE"""),4127449.0)</f>
        <v>4127449</v>
      </c>
    </row>
    <row r="2558">
      <c r="A2558" s="3">
        <f>IFERROR(__xludf.DUMMYFUNCTION("""COMPUTED_VALUE"""),41208.645833333336)</f>
        <v>41208.64583</v>
      </c>
      <c r="B2558" s="2">
        <f>IFERROR(__xludf.DUMMYFUNCTION("""COMPUTED_VALUE"""),397.81)</f>
        <v>397.81</v>
      </c>
      <c r="C2558" s="2">
        <f>IFERROR(__xludf.DUMMYFUNCTION("""COMPUTED_VALUE"""),399.2)</f>
        <v>399.2</v>
      </c>
      <c r="D2558" s="2">
        <f>IFERROR(__xludf.DUMMYFUNCTION("""COMPUTED_VALUE"""),392.34)</f>
        <v>392.34</v>
      </c>
      <c r="E2558" s="2">
        <f>IFERROR(__xludf.DUMMYFUNCTION("""COMPUTED_VALUE"""),395.71)</f>
        <v>395.71</v>
      </c>
      <c r="F2558" s="2">
        <f>IFERROR(__xludf.DUMMYFUNCTION("""COMPUTED_VALUE"""),1936406.0)</f>
        <v>1936406</v>
      </c>
    </row>
    <row r="2559">
      <c r="A2559" s="3">
        <f>IFERROR(__xludf.DUMMYFUNCTION("""COMPUTED_VALUE"""),41211.645833333336)</f>
        <v>41211.64583</v>
      </c>
      <c r="B2559" s="2">
        <f>IFERROR(__xludf.DUMMYFUNCTION("""COMPUTED_VALUE"""),397.39)</f>
        <v>397.39</v>
      </c>
      <c r="C2559" s="2">
        <f>IFERROR(__xludf.DUMMYFUNCTION("""COMPUTED_VALUE"""),403.36)</f>
        <v>403.36</v>
      </c>
      <c r="D2559" s="2">
        <f>IFERROR(__xludf.DUMMYFUNCTION("""COMPUTED_VALUE"""),397.39)</f>
        <v>397.39</v>
      </c>
      <c r="E2559" s="2">
        <f>IFERROR(__xludf.DUMMYFUNCTION("""COMPUTED_VALUE"""),401.78)</f>
        <v>401.78</v>
      </c>
      <c r="F2559" s="2">
        <f>IFERROR(__xludf.DUMMYFUNCTION("""COMPUTED_VALUE"""),2511242.0)</f>
        <v>2511242</v>
      </c>
    </row>
    <row r="2560">
      <c r="A2560" s="3">
        <f>IFERROR(__xludf.DUMMYFUNCTION("""COMPUTED_VALUE"""),41212.645833333336)</f>
        <v>41212.64583</v>
      </c>
      <c r="B2560" s="2">
        <f>IFERROR(__xludf.DUMMYFUNCTION("""COMPUTED_VALUE"""),401.18)</f>
        <v>401.18</v>
      </c>
      <c r="C2560" s="2">
        <f>IFERROR(__xludf.DUMMYFUNCTION("""COMPUTED_VALUE"""),402.07)</f>
        <v>402.07</v>
      </c>
      <c r="D2560" s="2">
        <f>IFERROR(__xludf.DUMMYFUNCTION("""COMPUTED_VALUE"""),395.81)</f>
        <v>395.81</v>
      </c>
      <c r="E2560" s="2">
        <f>IFERROR(__xludf.DUMMYFUNCTION("""COMPUTED_VALUE"""),397.84)</f>
        <v>397.84</v>
      </c>
      <c r="F2560" s="2">
        <f>IFERROR(__xludf.DUMMYFUNCTION("""COMPUTED_VALUE"""),2134370.0)</f>
        <v>2134370</v>
      </c>
    </row>
    <row r="2561">
      <c r="A2561" s="3">
        <f>IFERROR(__xludf.DUMMYFUNCTION("""COMPUTED_VALUE"""),41213.645833333336)</f>
        <v>41213.64583</v>
      </c>
      <c r="B2561" s="2">
        <f>IFERROR(__xludf.DUMMYFUNCTION("""COMPUTED_VALUE"""),397.79)</f>
        <v>397.79</v>
      </c>
      <c r="C2561" s="2">
        <f>IFERROR(__xludf.DUMMYFUNCTION("""COMPUTED_VALUE"""),399.87)</f>
        <v>399.87</v>
      </c>
      <c r="D2561" s="2">
        <f>IFERROR(__xludf.DUMMYFUNCTION("""COMPUTED_VALUE"""),395.24)</f>
        <v>395.24</v>
      </c>
      <c r="E2561" s="2">
        <f>IFERROR(__xludf.DUMMYFUNCTION("""COMPUTED_VALUE"""),398.95)</f>
        <v>398.95</v>
      </c>
      <c r="F2561" s="2">
        <f>IFERROR(__xludf.DUMMYFUNCTION("""COMPUTED_VALUE"""),2153819.0)</f>
        <v>2153819</v>
      </c>
    </row>
    <row r="2562">
      <c r="A2562" s="3">
        <f>IFERROR(__xludf.DUMMYFUNCTION("""COMPUTED_VALUE"""),41214.645833333336)</f>
        <v>41214.64583</v>
      </c>
      <c r="B2562" s="2">
        <f>IFERROR(__xludf.DUMMYFUNCTION("""COMPUTED_VALUE"""),393.75)</f>
        <v>393.75</v>
      </c>
      <c r="C2562" s="2">
        <f>IFERROR(__xludf.DUMMYFUNCTION("""COMPUTED_VALUE"""),400.59)</f>
        <v>400.59</v>
      </c>
      <c r="D2562" s="2">
        <f>IFERROR(__xludf.DUMMYFUNCTION("""COMPUTED_VALUE"""),390.63)</f>
        <v>390.63</v>
      </c>
      <c r="E2562" s="2">
        <f>IFERROR(__xludf.DUMMYFUNCTION("""COMPUTED_VALUE"""),399.75)</f>
        <v>399.75</v>
      </c>
      <c r="F2562" s="2">
        <f>IFERROR(__xludf.DUMMYFUNCTION("""COMPUTED_VALUE"""),4201156.0)</f>
        <v>4201156</v>
      </c>
    </row>
    <row r="2563">
      <c r="A2563" s="3">
        <f>IFERROR(__xludf.DUMMYFUNCTION("""COMPUTED_VALUE"""),41215.645833333336)</f>
        <v>41215.64583</v>
      </c>
      <c r="B2563" s="2">
        <f>IFERROR(__xludf.DUMMYFUNCTION("""COMPUTED_VALUE"""),402.17)</f>
        <v>402.17</v>
      </c>
      <c r="C2563" s="2">
        <f>IFERROR(__xludf.DUMMYFUNCTION("""COMPUTED_VALUE"""),403.61)</f>
        <v>403.61</v>
      </c>
      <c r="D2563" s="2">
        <f>IFERROR(__xludf.DUMMYFUNCTION("""COMPUTED_VALUE"""),397.47)</f>
        <v>397.47</v>
      </c>
      <c r="E2563" s="2">
        <f>IFERROR(__xludf.DUMMYFUNCTION("""COMPUTED_VALUE"""),400.17)</f>
        <v>400.17</v>
      </c>
      <c r="F2563" s="2">
        <f>IFERROR(__xludf.DUMMYFUNCTION("""COMPUTED_VALUE"""),2639614.0)</f>
        <v>2639614</v>
      </c>
    </row>
    <row r="2564">
      <c r="A2564" s="3">
        <f>IFERROR(__xludf.DUMMYFUNCTION("""COMPUTED_VALUE"""),41218.645833333336)</f>
        <v>41218.64583</v>
      </c>
      <c r="B2564" s="2">
        <f>IFERROR(__xludf.DUMMYFUNCTION("""COMPUTED_VALUE"""),398.04)</f>
        <v>398.04</v>
      </c>
      <c r="C2564" s="2">
        <f>IFERROR(__xludf.DUMMYFUNCTION("""COMPUTED_VALUE"""),400.66)</f>
        <v>400.66</v>
      </c>
      <c r="D2564" s="2">
        <f>IFERROR(__xludf.DUMMYFUNCTION("""COMPUTED_VALUE"""),397.15)</f>
        <v>397.15</v>
      </c>
      <c r="E2564" s="2">
        <f>IFERROR(__xludf.DUMMYFUNCTION("""COMPUTED_VALUE"""),399.28)</f>
        <v>399.28</v>
      </c>
      <c r="F2564" s="2">
        <f>IFERROR(__xludf.DUMMYFUNCTION("""COMPUTED_VALUE"""),1158128.0)</f>
        <v>1158128</v>
      </c>
    </row>
    <row r="2565">
      <c r="A2565" s="3">
        <f>IFERROR(__xludf.DUMMYFUNCTION("""COMPUTED_VALUE"""),41219.645833333336)</f>
        <v>41219.64583</v>
      </c>
      <c r="B2565" s="2">
        <f>IFERROR(__xludf.DUMMYFUNCTION("""COMPUTED_VALUE"""),398.21)</f>
        <v>398.21</v>
      </c>
      <c r="C2565" s="2">
        <f>IFERROR(__xludf.DUMMYFUNCTION("""COMPUTED_VALUE"""),399.89)</f>
        <v>399.89</v>
      </c>
      <c r="D2565" s="2">
        <f>IFERROR(__xludf.DUMMYFUNCTION("""COMPUTED_VALUE"""),394.37)</f>
        <v>394.37</v>
      </c>
      <c r="E2565" s="2">
        <f>IFERROR(__xludf.DUMMYFUNCTION("""COMPUTED_VALUE"""),398.93)</f>
        <v>398.93</v>
      </c>
      <c r="F2565" s="2">
        <f>IFERROR(__xludf.DUMMYFUNCTION("""COMPUTED_VALUE"""),3531643.0)</f>
        <v>3531643</v>
      </c>
    </row>
    <row r="2566">
      <c r="A2566" s="3">
        <f>IFERROR(__xludf.DUMMYFUNCTION("""COMPUTED_VALUE"""),41220.645833333336)</f>
        <v>41220.64583</v>
      </c>
      <c r="B2566" s="2">
        <f>IFERROR(__xludf.DUMMYFUNCTION("""COMPUTED_VALUE"""),397.22)</f>
        <v>397.22</v>
      </c>
      <c r="C2566" s="2">
        <f>IFERROR(__xludf.DUMMYFUNCTION("""COMPUTED_VALUE"""),398.85)</f>
        <v>398.85</v>
      </c>
      <c r="D2566" s="2">
        <f>IFERROR(__xludf.DUMMYFUNCTION("""COMPUTED_VALUE"""),395.24)</f>
        <v>395.24</v>
      </c>
      <c r="E2566" s="2">
        <f>IFERROR(__xludf.DUMMYFUNCTION("""COMPUTED_VALUE"""),396.65)</f>
        <v>396.65</v>
      </c>
      <c r="F2566" s="2">
        <f>IFERROR(__xludf.DUMMYFUNCTION("""COMPUTED_VALUE"""),2381384.0)</f>
        <v>2381384</v>
      </c>
    </row>
    <row r="2567">
      <c r="A2567" s="3">
        <f>IFERROR(__xludf.DUMMYFUNCTION("""COMPUTED_VALUE"""),41221.645833333336)</f>
        <v>41221.64583</v>
      </c>
      <c r="B2567" s="2">
        <f>IFERROR(__xludf.DUMMYFUNCTION("""COMPUTED_VALUE"""),392.76)</f>
        <v>392.76</v>
      </c>
      <c r="C2567" s="2">
        <f>IFERROR(__xludf.DUMMYFUNCTION("""COMPUTED_VALUE"""),395.39)</f>
        <v>395.39</v>
      </c>
      <c r="D2567" s="2">
        <f>IFERROR(__xludf.DUMMYFUNCTION("""COMPUTED_VALUE"""),391.15)</f>
        <v>391.15</v>
      </c>
      <c r="E2567" s="2">
        <f>IFERROR(__xludf.DUMMYFUNCTION("""COMPUTED_VALUE"""),394.55)</f>
        <v>394.55</v>
      </c>
      <c r="F2567" s="2">
        <f>IFERROR(__xludf.DUMMYFUNCTION("""COMPUTED_VALUE"""),2837737.0)</f>
        <v>2837737</v>
      </c>
    </row>
    <row r="2568">
      <c r="A2568" s="3">
        <f>IFERROR(__xludf.DUMMYFUNCTION("""COMPUTED_VALUE"""),41222.645833333336)</f>
        <v>41222.64583</v>
      </c>
      <c r="B2568" s="2">
        <f>IFERROR(__xludf.DUMMYFUNCTION("""COMPUTED_VALUE"""),392.94)</f>
        <v>392.94</v>
      </c>
      <c r="C2568" s="2">
        <f>IFERROR(__xludf.DUMMYFUNCTION("""COMPUTED_VALUE"""),397.96)</f>
        <v>397.96</v>
      </c>
      <c r="D2568" s="2">
        <f>IFERROR(__xludf.DUMMYFUNCTION("""COMPUTED_VALUE"""),388.8)</f>
        <v>388.8</v>
      </c>
      <c r="E2568" s="2">
        <f>IFERROR(__xludf.DUMMYFUNCTION("""COMPUTED_VALUE"""),390.11)</f>
        <v>390.11</v>
      </c>
      <c r="F2568" s="2">
        <f>IFERROR(__xludf.DUMMYFUNCTION("""COMPUTED_VALUE"""),2421910.0)</f>
        <v>2421910</v>
      </c>
    </row>
    <row r="2569">
      <c r="A2569" s="3">
        <f>IFERROR(__xludf.DUMMYFUNCTION("""COMPUTED_VALUE"""),41225.645833333336)</f>
        <v>41225.64583</v>
      </c>
      <c r="B2569" s="2">
        <f>IFERROR(__xludf.DUMMYFUNCTION("""COMPUTED_VALUE"""),389.22)</f>
        <v>389.22</v>
      </c>
      <c r="C2569" s="2">
        <f>IFERROR(__xludf.DUMMYFUNCTION("""COMPUTED_VALUE"""),390.98)</f>
        <v>390.98</v>
      </c>
      <c r="D2569" s="2">
        <f>IFERROR(__xludf.DUMMYFUNCTION("""COMPUTED_VALUE"""),385.83)</f>
        <v>385.83</v>
      </c>
      <c r="E2569" s="2">
        <f>IFERROR(__xludf.DUMMYFUNCTION("""COMPUTED_VALUE"""),389.62)</f>
        <v>389.62</v>
      </c>
      <c r="F2569" s="2">
        <f>IFERROR(__xludf.DUMMYFUNCTION("""COMPUTED_VALUE"""),2894127.0)</f>
        <v>2894127</v>
      </c>
    </row>
    <row r="2570">
      <c r="A2570" s="3">
        <f>IFERROR(__xludf.DUMMYFUNCTION("""COMPUTED_VALUE"""),41226.645833333336)</f>
        <v>41226.64583</v>
      </c>
      <c r="B2570" s="2">
        <f>IFERROR(__xludf.DUMMYFUNCTION("""COMPUTED_VALUE"""),390.86)</f>
        <v>390.86</v>
      </c>
      <c r="C2570" s="2">
        <f>IFERROR(__xludf.DUMMYFUNCTION("""COMPUTED_VALUE"""),392.37)</f>
        <v>392.37</v>
      </c>
      <c r="D2570" s="2">
        <f>IFERROR(__xludf.DUMMYFUNCTION("""COMPUTED_VALUE"""),388.01)</f>
        <v>388.01</v>
      </c>
      <c r="E2570" s="2">
        <f>IFERROR(__xludf.DUMMYFUNCTION("""COMPUTED_VALUE"""),391.08)</f>
        <v>391.08</v>
      </c>
      <c r="F2570" s="2">
        <f>IFERROR(__xludf.DUMMYFUNCTION("""COMPUTED_VALUE"""),765533.0)</f>
        <v>765533</v>
      </c>
    </row>
    <row r="2571">
      <c r="A2571" s="3">
        <f>IFERROR(__xludf.DUMMYFUNCTION("""COMPUTED_VALUE"""),41228.645833333336)</f>
        <v>41228.64583</v>
      </c>
      <c r="B2571" s="2">
        <f>IFERROR(__xludf.DUMMYFUNCTION("""COMPUTED_VALUE"""),390.71)</f>
        <v>390.71</v>
      </c>
      <c r="C2571" s="2">
        <f>IFERROR(__xludf.DUMMYFUNCTION("""COMPUTED_VALUE"""),390.71)</f>
        <v>390.71</v>
      </c>
      <c r="D2571" s="2">
        <f>IFERROR(__xludf.DUMMYFUNCTION("""COMPUTED_VALUE"""),384.86)</f>
        <v>384.86</v>
      </c>
      <c r="E2571" s="2">
        <f>IFERROR(__xludf.DUMMYFUNCTION("""COMPUTED_VALUE"""),388.6)</f>
        <v>388.6</v>
      </c>
      <c r="F2571" s="2">
        <f>IFERROR(__xludf.DUMMYFUNCTION("""COMPUTED_VALUE"""),3486440.0)</f>
        <v>3486440</v>
      </c>
    </row>
    <row r="2572">
      <c r="A2572" s="3">
        <f>IFERROR(__xludf.DUMMYFUNCTION("""COMPUTED_VALUE"""),41229.645833333336)</f>
        <v>41229.64583</v>
      </c>
      <c r="B2572" s="2">
        <f>IFERROR(__xludf.DUMMYFUNCTION("""COMPUTED_VALUE"""),389.99)</f>
        <v>389.99</v>
      </c>
      <c r="C2572" s="2">
        <f>IFERROR(__xludf.DUMMYFUNCTION("""COMPUTED_VALUE"""),392.59)</f>
        <v>392.59</v>
      </c>
      <c r="D2572" s="2">
        <f>IFERROR(__xludf.DUMMYFUNCTION("""COMPUTED_VALUE"""),381.87)</f>
        <v>381.87</v>
      </c>
      <c r="E2572" s="2">
        <f>IFERROR(__xludf.DUMMYFUNCTION("""COMPUTED_VALUE"""),383.92)</f>
        <v>383.92</v>
      </c>
      <c r="F2572" s="2">
        <f>IFERROR(__xludf.DUMMYFUNCTION("""COMPUTED_VALUE"""),3281968.0)</f>
        <v>3281968</v>
      </c>
    </row>
    <row r="2573">
      <c r="A2573" s="3">
        <f>IFERROR(__xludf.DUMMYFUNCTION("""COMPUTED_VALUE"""),41232.645833333336)</f>
        <v>41232.64583</v>
      </c>
      <c r="B2573" s="2">
        <f>IFERROR(__xludf.DUMMYFUNCTION("""COMPUTED_VALUE"""),383.97)</f>
        <v>383.97</v>
      </c>
      <c r="C2573" s="2">
        <f>IFERROR(__xludf.DUMMYFUNCTION("""COMPUTED_VALUE"""),385.46)</f>
        <v>385.46</v>
      </c>
      <c r="D2573" s="2">
        <f>IFERROR(__xludf.DUMMYFUNCTION("""COMPUTED_VALUE"""),377.09)</f>
        <v>377.09</v>
      </c>
      <c r="E2573" s="2">
        <f>IFERROR(__xludf.DUMMYFUNCTION("""COMPUTED_VALUE"""),383.5)</f>
        <v>383.5</v>
      </c>
      <c r="F2573" s="2">
        <f>IFERROR(__xludf.DUMMYFUNCTION("""COMPUTED_VALUE"""),4737114.0)</f>
        <v>4737114</v>
      </c>
    </row>
    <row r="2574">
      <c r="A2574" s="3">
        <f>IFERROR(__xludf.DUMMYFUNCTION("""COMPUTED_VALUE"""),41233.645833333336)</f>
        <v>41233.64583</v>
      </c>
      <c r="B2574" s="2">
        <f>IFERROR(__xludf.DUMMYFUNCTION("""COMPUTED_VALUE"""),386.67)</f>
        <v>386.67</v>
      </c>
      <c r="C2574" s="2">
        <f>IFERROR(__xludf.DUMMYFUNCTION("""COMPUTED_VALUE"""),386.67)</f>
        <v>386.67</v>
      </c>
      <c r="D2574" s="2">
        <f>IFERROR(__xludf.DUMMYFUNCTION("""COMPUTED_VALUE"""),377.51)</f>
        <v>377.51</v>
      </c>
      <c r="E2574" s="2">
        <f>IFERROR(__xludf.DUMMYFUNCTION("""COMPUTED_VALUE"""),379.07)</f>
        <v>379.07</v>
      </c>
      <c r="F2574" s="2">
        <f>IFERROR(__xludf.DUMMYFUNCTION("""COMPUTED_VALUE"""),2156459.0)</f>
        <v>2156459</v>
      </c>
    </row>
    <row r="2575">
      <c r="A2575" s="3">
        <f>IFERROR(__xludf.DUMMYFUNCTION("""COMPUTED_VALUE"""),41234.645833333336)</f>
        <v>41234.64583</v>
      </c>
      <c r="B2575" s="2">
        <f>IFERROR(__xludf.DUMMYFUNCTION("""COMPUTED_VALUE"""),379.64)</f>
        <v>379.64</v>
      </c>
      <c r="C2575" s="2">
        <f>IFERROR(__xludf.DUMMYFUNCTION("""COMPUTED_VALUE"""),383.3)</f>
        <v>383.3</v>
      </c>
      <c r="D2575" s="2">
        <f>IFERROR(__xludf.DUMMYFUNCTION("""COMPUTED_VALUE"""),376.96)</f>
        <v>376.96</v>
      </c>
      <c r="E2575" s="2">
        <f>IFERROR(__xludf.DUMMYFUNCTION("""COMPUTED_VALUE"""),381.97)</f>
        <v>381.97</v>
      </c>
      <c r="F2575" s="2">
        <f>IFERROR(__xludf.DUMMYFUNCTION("""COMPUTED_VALUE"""),1968764.0)</f>
        <v>1968764</v>
      </c>
    </row>
    <row r="2576">
      <c r="A2576" s="3">
        <f>IFERROR(__xludf.DUMMYFUNCTION("""COMPUTED_VALUE"""),41235.645833333336)</f>
        <v>41235.64583</v>
      </c>
      <c r="B2576" s="2">
        <f>IFERROR(__xludf.DUMMYFUNCTION("""COMPUTED_VALUE"""),382.88)</f>
        <v>382.88</v>
      </c>
      <c r="C2576" s="2">
        <f>IFERROR(__xludf.DUMMYFUNCTION("""COMPUTED_VALUE"""),383.2)</f>
        <v>383.2</v>
      </c>
      <c r="D2576" s="2">
        <f>IFERROR(__xludf.DUMMYFUNCTION("""COMPUTED_VALUE"""),377.11)</f>
        <v>377.11</v>
      </c>
      <c r="E2576" s="2">
        <f>IFERROR(__xludf.DUMMYFUNCTION("""COMPUTED_VALUE"""),379.32)</f>
        <v>379.32</v>
      </c>
      <c r="F2576" s="2">
        <f>IFERROR(__xludf.DUMMYFUNCTION("""COMPUTED_VALUE"""),2397131.0)</f>
        <v>2397131</v>
      </c>
    </row>
    <row r="2577">
      <c r="A2577" s="3">
        <f>IFERROR(__xludf.DUMMYFUNCTION("""COMPUTED_VALUE"""),41236.645833333336)</f>
        <v>41236.64583</v>
      </c>
      <c r="B2577" s="2">
        <f>IFERROR(__xludf.DUMMYFUNCTION("""COMPUTED_VALUE"""),379.39)</f>
        <v>379.39</v>
      </c>
      <c r="C2577" s="2">
        <f>IFERROR(__xludf.DUMMYFUNCTION("""COMPUTED_VALUE"""),384.24)</f>
        <v>384.24</v>
      </c>
      <c r="D2577" s="2">
        <f>IFERROR(__xludf.DUMMYFUNCTION("""COMPUTED_VALUE"""),379.39)</f>
        <v>379.39</v>
      </c>
      <c r="E2577" s="2">
        <f>IFERROR(__xludf.DUMMYFUNCTION("""COMPUTED_VALUE"""),383.23)</f>
        <v>383.23</v>
      </c>
      <c r="F2577" s="2">
        <f>IFERROR(__xludf.DUMMYFUNCTION("""COMPUTED_VALUE"""),1707395.0)</f>
        <v>1707395</v>
      </c>
    </row>
    <row r="2578">
      <c r="A2578" s="3">
        <f>IFERROR(__xludf.DUMMYFUNCTION("""COMPUTED_VALUE"""),41239.645833333336)</f>
        <v>41239.64583</v>
      </c>
      <c r="B2578" s="2">
        <f>IFERROR(__xludf.DUMMYFUNCTION("""COMPUTED_VALUE"""),383.8)</f>
        <v>383.8</v>
      </c>
      <c r="C2578" s="2">
        <f>IFERROR(__xludf.DUMMYFUNCTION("""COMPUTED_VALUE"""),386.05)</f>
        <v>386.05</v>
      </c>
      <c r="D2578" s="2">
        <f>IFERROR(__xludf.DUMMYFUNCTION("""COMPUTED_VALUE"""),381.87)</f>
        <v>381.87</v>
      </c>
      <c r="E2578" s="2">
        <f>IFERROR(__xludf.DUMMYFUNCTION("""COMPUTED_VALUE"""),383.18)</f>
        <v>383.18</v>
      </c>
      <c r="F2578" s="2">
        <f>IFERROR(__xludf.DUMMYFUNCTION("""COMPUTED_VALUE"""),1038412.0)</f>
        <v>1038412</v>
      </c>
    </row>
    <row r="2579">
      <c r="A2579" s="3">
        <f>IFERROR(__xludf.DUMMYFUNCTION("""COMPUTED_VALUE"""),41240.645833333336)</f>
        <v>41240.64583</v>
      </c>
      <c r="B2579" s="2">
        <f>IFERROR(__xludf.DUMMYFUNCTION("""COMPUTED_VALUE"""),384.84)</f>
        <v>384.84</v>
      </c>
      <c r="C2579" s="2">
        <f>IFERROR(__xludf.DUMMYFUNCTION("""COMPUTED_VALUE"""),390.29)</f>
        <v>390.29</v>
      </c>
      <c r="D2579" s="2">
        <f>IFERROR(__xludf.DUMMYFUNCTION("""COMPUTED_VALUE"""),383.35)</f>
        <v>383.35</v>
      </c>
      <c r="E2579" s="2">
        <f>IFERROR(__xludf.DUMMYFUNCTION("""COMPUTED_VALUE"""),389.69)</f>
        <v>389.69</v>
      </c>
      <c r="F2579" s="2">
        <f>IFERROR(__xludf.DUMMYFUNCTION("""COMPUTED_VALUE"""),2470660.0)</f>
        <v>2470660</v>
      </c>
    </row>
    <row r="2580">
      <c r="A2580" s="3">
        <f>IFERROR(__xludf.DUMMYFUNCTION("""COMPUTED_VALUE"""),41242.645833333336)</f>
        <v>41242.64583</v>
      </c>
      <c r="B2580" s="2">
        <f>IFERROR(__xludf.DUMMYFUNCTION("""COMPUTED_VALUE"""),389.3)</f>
        <v>389.3</v>
      </c>
      <c r="C2580" s="2">
        <f>IFERROR(__xludf.DUMMYFUNCTION("""COMPUTED_VALUE"""),398.21)</f>
        <v>398.21</v>
      </c>
      <c r="D2580" s="2">
        <f>IFERROR(__xludf.DUMMYFUNCTION("""COMPUTED_VALUE"""),387.64)</f>
        <v>387.64</v>
      </c>
      <c r="E2580" s="2">
        <f>IFERROR(__xludf.DUMMYFUNCTION("""COMPUTED_VALUE"""),395.39)</f>
        <v>395.39</v>
      </c>
      <c r="F2580" s="2">
        <f>IFERROR(__xludf.DUMMYFUNCTION("""COMPUTED_VALUE"""),4483489.0)</f>
        <v>4483489</v>
      </c>
    </row>
    <row r="2581">
      <c r="A2581" s="3">
        <f>IFERROR(__xludf.DUMMYFUNCTION("""COMPUTED_VALUE"""),41243.645833333336)</f>
        <v>41243.64583</v>
      </c>
      <c r="B2581" s="2">
        <f>IFERROR(__xludf.DUMMYFUNCTION("""COMPUTED_VALUE"""),394.27)</f>
        <v>394.27</v>
      </c>
      <c r="C2581" s="2">
        <f>IFERROR(__xludf.DUMMYFUNCTION("""COMPUTED_VALUE"""),400.19)</f>
        <v>400.19</v>
      </c>
      <c r="D2581" s="2">
        <f>IFERROR(__xludf.DUMMYFUNCTION("""COMPUTED_VALUE"""),391.28)</f>
        <v>391.28</v>
      </c>
      <c r="E2581" s="2">
        <f>IFERROR(__xludf.DUMMYFUNCTION("""COMPUTED_VALUE"""),393.11)</f>
        <v>393.11</v>
      </c>
      <c r="F2581" s="2">
        <f>IFERROR(__xludf.DUMMYFUNCTION("""COMPUTED_VALUE"""),4170481.0)</f>
        <v>4170481</v>
      </c>
    </row>
    <row r="2582">
      <c r="A2582" s="3">
        <f>IFERROR(__xludf.DUMMYFUNCTION("""COMPUTED_VALUE"""),41246.645833333336)</f>
        <v>41246.64583</v>
      </c>
      <c r="B2582" s="2">
        <f>IFERROR(__xludf.DUMMYFUNCTION("""COMPUTED_VALUE"""),393.75)</f>
        <v>393.75</v>
      </c>
      <c r="C2582" s="2">
        <f>IFERROR(__xludf.DUMMYFUNCTION("""COMPUTED_VALUE"""),399.7)</f>
        <v>399.7</v>
      </c>
      <c r="D2582" s="2">
        <f>IFERROR(__xludf.DUMMYFUNCTION("""COMPUTED_VALUE"""),391.15)</f>
        <v>391.15</v>
      </c>
      <c r="E2582" s="2">
        <f>IFERROR(__xludf.DUMMYFUNCTION("""COMPUTED_VALUE"""),398.21)</f>
        <v>398.21</v>
      </c>
      <c r="F2582" s="2">
        <f>IFERROR(__xludf.DUMMYFUNCTION("""COMPUTED_VALUE"""),2359017.0)</f>
        <v>2359017</v>
      </c>
    </row>
    <row r="2583">
      <c r="A2583" s="3">
        <f>IFERROR(__xludf.DUMMYFUNCTION("""COMPUTED_VALUE"""),41247.645833333336)</f>
        <v>41247.64583</v>
      </c>
      <c r="B2583" s="2">
        <f>IFERROR(__xludf.DUMMYFUNCTION("""COMPUTED_VALUE"""),399.28)</f>
        <v>399.28</v>
      </c>
      <c r="C2583" s="2">
        <f>IFERROR(__xludf.DUMMYFUNCTION("""COMPUTED_VALUE"""),408.96)</f>
        <v>408.96</v>
      </c>
      <c r="D2583" s="2">
        <f>IFERROR(__xludf.DUMMYFUNCTION("""COMPUTED_VALUE"""),399.2)</f>
        <v>399.2</v>
      </c>
      <c r="E2583" s="2">
        <f>IFERROR(__xludf.DUMMYFUNCTION("""COMPUTED_VALUE"""),408.46)</f>
        <v>408.46</v>
      </c>
      <c r="F2583" s="2">
        <f>IFERROR(__xludf.DUMMYFUNCTION("""COMPUTED_VALUE"""),3492574.0)</f>
        <v>3492574</v>
      </c>
    </row>
    <row r="2584">
      <c r="A2584" s="3">
        <f>IFERROR(__xludf.DUMMYFUNCTION("""COMPUTED_VALUE"""),41248.645833333336)</f>
        <v>41248.64583</v>
      </c>
      <c r="B2584" s="2">
        <f>IFERROR(__xludf.DUMMYFUNCTION("""COMPUTED_VALUE"""),410.22)</f>
        <v>410.22</v>
      </c>
      <c r="C2584" s="2">
        <f>IFERROR(__xludf.DUMMYFUNCTION("""COMPUTED_VALUE"""),414.6)</f>
        <v>414.6</v>
      </c>
      <c r="D2584" s="2">
        <f>IFERROR(__xludf.DUMMYFUNCTION("""COMPUTED_VALUE"""),406.43)</f>
        <v>406.43</v>
      </c>
      <c r="E2584" s="2">
        <f>IFERROR(__xludf.DUMMYFUNCTION("""COMPUTED_VALUE"""),412.38)</f>
        <v>412.38</v>
      </c>
      <c r="F2584" s="2">
        <f>IFERROR(__xludf.DUMMYFUNCTION("""COMPUTED_VALUE"""),3089629.0)</f>
        <v>3089629</v>
      </c>
    </row>
    <row r="2585">
      <c r="A2585" s="3">
        <f>IFERROR(__xludf.DUMMYFUNCTION("""COMPUTED_VALUE"""),41249.645833333336)</f>
        <v>41249.64583</v>
      </c>
      <c r="B2585" s="2">
        <f>IFERROR(__xludf.DUMMYFUNCTION("""COMPUTED_VALUE"""),414.04)</f>
        <v>414.04</v>
      </c>
      <c r="C2585" s="2">
        <f>IFERROR(__xludf.DUMMYFUNCTION("""COMPUTED_VALUE"""),418.94)</f>
        <v>418.94</v>
      </c>
      <c r="D2585" s="2">
        <f>IFERROR(__xludf.DUMMYFUNCTION("""COMPUTED_VALUE"""),407.13)</f>
        <v>407.13</v>
      </c>
      <c r="E2585" s="2">
        <f>IFERROR(__xludf.DUMMYFUNCTION("""COMPUTED_VALUE"""),417.97)</f>
        <v>417.97</v>
      </c>
      <c r="F2585" s="2">
        <f>IFERROR(__xludf.DUMMYFUNCTION("""COMPUTED_VALUE"""),2636685.0)</f>
        <v>2636685</v>
      </c>
    </row>
    <row r="2586">
      <c r="A2586" s="3">
        <f>IFERROR(__xludf.DUMMYFUNCTION("""COMPUTED_VALUE"""),41250.645833333336)</f>
        <v>41250.64583</v>
      </c>
      <c r="B2586" s="2">
        <f>IFERROR(__xludf.DUMMYFUNCTION("""COMPUTED_VALUE"""),416.56)</f>
        <v>416.56</v>
      </c>
      <c r="C2586" s="2">
        <f>IFERROR(__xludf.DUMMYFUNCTION("""COMPUTED_VALUE"""),420.85)</f>
        <v>420.85</v>
      </c>
      <c r="D2586" s="2">
        <f>IFERROR(__xludf.DUMMYFUNCTION("""COMPUTED_VALUE"""),411.31)</f>
        <v>411.31</v>
      </c>
      <c r="E2586" s="2">
        <f>IFERROR(__xludf.DUMMYFUNCTION("""COMPUTED_VALUE"""),413.37)</f>
        <v>413.37</v>
      </c>
      <c r="F2586" s="2">
        <f>IFERROR(__xludf.DUMMYFUNCTION("""COMPUTED_VALUE"""),3014740.0)</f>
        <v>3014740</v>
      </c>
    </row>
    <row r="2587">
      <c r="A2587" s="3">
        <f>IFERROR(__xludf.DUMMYFUNCTION("""COMPUTED_VALUE"""),41253.645833333336)</f>
        <v>41253.64583</v>
      </c>
      <c r="B2587" s="2">
        <f>IFERROR(__xludf.DUMMYFUNCTION("""COMPUTED_VALUE"""),413.37)</f>
        <v>413.37</v>
      </c>
      <c r="C2587" s="2">
        <f>IFERROR(__xludf.DUMMYFUNCTION("""COMPUTED_VALUE"""),415.03)</f>
        <v>415.03</v>
      </c>
      <c r="D2587" s="2">
        <f>IFERROR(__xludf.DUMMYFUNCTION("""COMPUTED_VALUE"""),406.75)</f>
        <v>406.75</v>
      </c>
      <c r="E2587" s="2">
        <f>IFERROR(__xludf.DUMMYFUNCTION("""COMPUTED_VALUE"""),410.25)</f>
        <v>410.25</v>
      </c>
      <c r="F2587" s="2">
        <f>IFERROR(__xludf.DUMMYFUNCTION("""COMPUTED_VALUE"""),1869316.0)</f>
        <v>1869316</v>
      </c>
    </row>
    <row r="2588">
      <c r="A2588" s="3">
        <f>IFERROR(__xludf.DUMMYFUNCTION("""COMPUTED_VALUE"""),41254.645833333336)</f>
        <v>41254.64583</v>
      </c>
      <c r="B2588" s="2">
        <f>IFERROR(__xludf.DUMMYFUNCTION("""COMPUTED_VALUE"""),412.08)</f>
        <v>412.08</v>
      </c>
      <c r="C2588" s="2">
        <f>IFERROR(__xludf.DUMMYFUNCTION("""COMPUTED_VALUE"""),415.22)</f>
        <v>415.22</v>
      </c>
      <c r="D2588" s="2">
        <f>IFERROR(__xludf.DUMMYFUNCTION("""COMPUTED_VALUE"""),403.41)</f>
        <v>403.41</v>
      </c>
      <c r="E2588" s="2">
        <f>IFERROR(__xludf.DUMMYFUNCTION("""COMPUTED_VALUE"""),406.16)</f>
        <v>406.16</v>
      </c>
      <c r="F2588" s="2">
        <f>IFERROR(__xludf.DUMMYFUNCTION("""COMPUTED_VALUE"""),3715258.0)</f>
        <v>3715258</v>
      </c>
    </row>
    <row r="2589">
      <c r="A2589" s="3">
        <f>IFERROR(__xludf.DUMMYFUNCTION("""COMPUTED_VALUE"""),41255.645833333336)</f>
        <v>41255.64583</v>
      </c>
      <c r="B2589" s="2">
        <f>IFERROR(__xludf.DUMMYFUNCTION("""COMPUTED_VALUE"""),408.61)</f>
        <v>408.61</v>
      </c>
      <c r="C2589" s="2">
        <f>IFERROR(__xludf.DUMMYFUNCTION("""COMPUTED_VALUE"""),413.47)</f>
        <v>413.47</v>
      </c>
      <c r="D2589" s="2">
        <f>IFERROR(__xludf.DUMMYFUNCTION("""COMPUTED_VALUE"""),405.81)</f>
        <v>405.81</v>
      </c>
      <c r="E2589" s="2">
        <f>IFERROR(__xludf.DUMMYFUNCTION("""COMPUTED_VALUE"""),412.38)</f>
        <v>412.38</v>
      </c>
      <c r="F2589" s="2">
        <f>IFERROR(__xludf.DUMMYFUNCTION("""COMPUTED_VALUE"""),2314044.0)</f>
        <v>2314044</v>
      </c>
    </row>
    <row r="2590">
      <c r="A2590" s="3">
        <f>IFERROR(__xludf.DUMMYFUNCTION("""COMPUTED_VALUE"""),41256.645833333336)</f>
        <v>41256.64583</v>
      </c>
      <c r="B2590" s="2">
        <f>IFERROR(__xludf.DUMMYFUNCTION("""COMPUTED_VALUE"""),412.38)</f>
        <v>412.38</v>
      </c>
      <c r="C2590" s="2">
        <f>IFERROR(__xludf.DUMMYFUNCTION("""COMPUTED_VALUE"""),416.54)</f>
        <v>416.54</v>
      </c>
      <c r="D2590" s="2">
        <f>IFERROR(__xludf.DUMMYFUNCTION("""COMPUTED_VALUE"""),411.29)</f>
        <v>411.29</v>
      </c>
      <c r="E2590" s="2">
        <f>IFERROR(__xludf.DUMMYFUNCTION("""COMPUTED_VALUE"""),413.19)</f>
        <v>413.19</v>
      </c>
      <c r="F2590" s="2">
        <f>IFERROR(__xludf.DUMMYFUNCTION("""COMPUTED_VALUE"""),2652270.0)</f>
        <v>2652270</v>
      </c>
    </row>
    <row r="2591">
      <c r="A2591" s="3">
        <f>IFERROR(__xludf.DUMMYFUNCTION("""COMPUTED_VALUE"""),41257.645833333336)</f>
        <v>41257.64583</v>
      </c>
      <c r="B2591" s="2">
        <f>IFERROR(__xludf.DUMMYFUNCTION("""COMPUTED_VALUE"""),413.32)</f>
        <v>413.32</v>
      </c>
      <c r="C2591" s="2">
        <f>IFERROR(__xludf.DUMMYFUNCTION("""COMPUTED_VALUE"""),419.41)</f>
        <v>419.41</v>
      </c>
      <c r="D2591" s="2">
        <f>IFERROR(__xludf.DUMMYFUNCTION("""COMPUTED_VALUE"""),410.35)</f>
        <v>410.35</v>
      </c>
      <c r="E2591" s="2">
        <f>IFERROR(__xludf.DUMMYFUNCTION("""COMPUTED_VALUE"""),415.67)</f>
        <v>415.67</v>
      </c>
      <c r="F2591" s="2">
        <f>IFERROR(__xludf.DUMMYFUNCTION("""COMPUTED_VALUE"""),2045918.0)</f>
        <v>2045918</v>
      </c>
    </row>
    <row r="2592">
      <c r="A2592" s="3">
        <f>IFERROR(__xludf.DUMMYFUNCTION("""COMPUTED_VALUE"""),41260.645833333336)</f>
        <v>41260.64583</v>
      </c>
      <c r="B2592" s="2">
        <f>IFERROR(__xludf.DUMMYFUNCTION("""COMPUTED_VALUE"""),413.32)</f>
        <v>413.32</v>
      </c>
      <c r="C2592" s="2">
        <f>IFERROR(__xludf.DUMMYFUNCTION("""COMPUTED_VALUE"""),418.22)</f>
        <v>418.22</v>
      </c>
      <c r="D2592" s="2">
        <f>IFERROR(__xludf.DUMMYFUNCTION("""COMPUTED_VALUE"""),411.58)</f>
        <v>411.58</v>
      </c>
      <c r="E2592" s="2">
        <f>IFERROR(__xludf.DUMMYFUNCTION("""COMPUTED_VALUE"""),413.14)</f>
        <v>413.14</v>
      </c>
      <c r="F2592" s="2">
        <f>IFERROR(__xludf.DUMMYFUNCTION("""COMPUTED_VALUE"""),1656401.0)</f>
        <v>1656401</v>
      </c>
    </row>
    <row r="2593">
      <c r="A2593" s="3">
        <f>IFERROR(__xludf.DUMMYFUNCTION("""COMPUTED_VALUE"""),41261.645833333336)</f>
        <v>41261.64583</v>
      </c>
      <c r="B2593" s="2">
        <f>IFERROR(__xludf.DUMMYFUNCTION("""COMPUTED_VALUE"""),413.32)</f>
        <v>413.32</v>
      </c>
      <c r="C2593" s="2">
        <f>IFERROR(__xludf.DUMMYFUNCTION("""COMPUTED_VALUE"""),415.77)</f>
        <v>415.77</v>
      </c>
      <c r="D2593" s="2">
        <f>IFERROR(__xludf.DUMMYFUNCTION("""COMPUTED_VALUE"""),409.11)</f>
        <v>409.11</v>
      </c>
      <c r="E2593" s="2">
        <f>IFERROR(__xludf.DUMMYFUNCTION("""COMPUTED_VALUE"""),411.78)</f>
        <v>411.78</v>
      </c>
      <c r="F2593" s="2">
        <f>IFERROR(__xludf.DUMMYFUNCTION("""COMPUTED_VALUE"""),1827793.0)</f>
        <v>1827793</v>
      </c>
    </row>
    <row r="2594">
      <c r="A2594" s="3">
        <f>IFERROR(__xludf.DUMMYFUNCTION("""COMPUTED_VALUE"""),41262.645833333336)</f>
        <v>41262.64583</v>
      </c>
      <c r="B2594" s="2">
        <f>IFERROR(__xludf.DUMMYFUNCTION("""COMPUTED_VALUE"""),413.66)</f>
        <v>413.66</v>
      </c>
      <c r="C2594" s="2">
        <f>IFERROR(__xludf.DUMMYFUNCTION("""COMPUTED_VALUE"""),417.55)</f>
        <v>417.55</v>
      </c>
      <c r="D2594" s="2">
        <f>IFERROR(__xludf.DUMMYFUNCTION("""COMPUTED_VALUE"""),413.09)</f>
        <v>413.09</v>
      </c>
      <c r="E2594" s="2">
        <f>IFERROR(__xludf.DUMMYFUNCTION("""COMPUTED_VALUE"""),415.79)</f>
        <v>415.79</v>
      </c>
      <c r="F2594" s="2">
        <f>IFERROR(__xludf.DUMMYFUNCTION("""COMPUTED_VALUE"""),1993015.0)</f>
        <v>1993015</v>
      </c>
    </row>
    <row r="2595">
      <c r="A2595" s="3">
        <f>IFERROR(__xludf.DUMMYFUNCTION("""COMPUTED_VALUE"""),41263.645833333336)</f>
        <v>41263.64583</v>
      </c>
      <c r="B2595" s="2">
        <f>IFERROR(__xludf.DUMMYFUNCTION("""COMPUTED_VALUE"""),417.01)</f>
        <v>417.01</v>
      </c>
      <c r="C2595" s="2">
        <f>IFERROR(__xludf.DUMMYFUNCTION("""COMPUTED_VALUE"""),417.01)</f>
        <v>417.01</v>
      </c>
      <c r="D2595" s="2">
        <f>IFERROR(__xludf.DUMMYFUNCTION("""COMPUTED_VALUE"""),410.84)</f>
        <v>410.84</v>
      </c>
      <c r="E2595" s="2">
        <f>IFERROR(__xludf.DUMMYFUNCTION("""COMPUTED_VALUE"""),414.98)</f>
        <v>414.98</v>
      </c>
      <c r="F2595" s="2">
        <f>IFERROR(__xludf.DUMMYFUNCTION("""COMPUTED_VALUE"""),2189272.0)</f>
        <v>2189272</v>
      </c>
    </row>
    <row r="2596">
      <c r="A2596" s="3">
        <f>IFERROR(__xludf.DUMMYFUNCTION("""COMPUTED_VALUE"""),41264.645833333336)</f>
        <v>41264.64583</v>
      </c>
      <c r="B2596" s="2">
        <f>IFERROR(__xludf.DUMMYFUNCTION("""COMPUTED_VALUE"""),412.57)</f>
        <v>412.57</v>
      </c>
      <c r="C2596" s="2">
        <f>IFERROR(__xludf.DUMMYFUNCTION("""COMPUTED_VALUE"""),413.32)</f>
        <v>413.32</v>
      </c>
      <c r="D2596" s="2">
        <f>IFERROR(__xludf.DUMMYFUNCTION("""COMPUTED_VALUE"""),407.22)</f>
        <v>407.22</v>
      </c>
      <c r="E2596" s="2">
        <f>IFERROR(__xludf.DUMMYFUNCTION("""COMPUTED_VALUE"""),408.74)</f>
        <v>408.74</v>
      </c>
      <c r="F2596" s="2">
        <f>IFERROR(__xludf.DUMMYFUNCTION("""COMPUTED_VALUE"""),2149301.0)</f>
        <v>2149301</v>
      </c>
    </row>
    <row r="2597">
      <c r="A2597" s="3">
        <f>IFERROR(__xludf.DUMMYFUNCTION("""COMPUTED_VALUE"""),41267.645833333336)</f>
        <v>41267.64583</v>
      </c>
      <c r="B2597" s="2">
        <f>IFERROR(__xludf.DUMMYFUNCTION("""COMPUTED_VALUE"""),408.91)</f>
        <v>408.91</v>
      </c>
      <c r="C2597" s="2">
        <f>IFERROR(__xludf.DUMMYFUNCTION("""COMPUTED_VALUE"""),409.78)</f>
        <v>409.78</v>
      </c>
      <c r="D2597" s="2">
        <f>IFERROR(__xludf.DUMMYFUNCTION("""COMPUTED_VALUE"""),403.96)</f>
        <v>403.96</v>
      </c>
      <c r="E2597" s="2">
        <f>IFERROR(__xludf.DUMMYFUNCTION("""COMPUTED_VALUE"""),406.48)</f>
        <v>406.48</v>
      </c>
      <c r="F2597" s="2">
        <f>IFERROR(__xludf.DUMMYFUNCTION("""COMPUTED_VALUE"""),1303847.0)</f>
        <v>1303847</v>
      </c>
    </row>
    <row r="2598">
      <c r="A2598" s="3">
        <f>IFERROR(__xludf.DUMMYFUNCTION("""COMPUTED_VALUE"""),41269.645833333336)</f>
        <v>41269.64583</v>
      </c>
      <c r="B2598" s="2">
        <f>IFERROR(__xludf.DUMMYFUNCTION("""COMPUTED_VALUE"""),407.13)</f>
        <v>407.13</v>
      </c>
      <c r="C2598" s="2">
        <f>IFERROR(__xludf.DUMMYFUNCTION("""COMPUTED_VALUE"""),414.01)</f>
        <v>414.01</v>
      </c>
      <c r="D2598" s="2">
        <f>IFERROR(__xludf.DUMMYFUNCTION("""COMPUTED_VALUE"""),407.13)</f>
        <v>407.13</v>
      </c>
      <c r="E2598" s="2">
        <f>IFERROR(__xludf.DUMMYFUNCTION("""COMPUTED_VALUE"""),410.22)</f>
        <v>410.22</v>
      </c>
      <c r="F2598" s="2">
        <f>IFERROR(__xludf.DUMMYFUNCTION("""COMPUTED_VALUE"""),1331218.0)</f>
        <v>1331218</v>
      </c>
    </row>
    <row r="2599">
      <c r="A2599" s="3">
        <f>IFERROR(__xludf.DUMMYFUNCTION("""COMPUTED_VALUE"""),41270.645833333336)</f>
        <v>41270.64583</v>
      </c>
      <c r="B2599" s="2">
        <f>IFERROR(__xludf.DUMMYFUNCTION("""COMPUTED_VALUE"""),411.24)</f>
        <v>411.24</v>
      </c>
      <c r="C2599" s="2">
        <f>IFERROR(__xludf.DUMMYFUNCTION("""COMPUTED_VALUE"""),412.08)</f>
        <v>412.08</v>
      </c>
      <c r="D2599" s="2">
        <f>IFERROR(__xludf.DUMMYFUNCTION("""COMPUTED_VALUE"""),403.71)</f>
        <v>403.71</v>
      </c>
      <c r="E2599" s="2">
        <f>IFERROR(__xludf.DUMMYFUNCTION("""COMPUTED_VALUE"""),405.0)</f>
        <v>405</v>
      </c>
      <c r="F2599" s="2">
        <f>IFERROR(__xludf.DUMMYFUNCTION("""COMPUTED_VALUE"""),3680616.0)</f>
        <v>3680616</v>
      </c>
    </row>
    <row r="2600">
      <c r="A2600" s="3">
        <f>IFERROR(__xludf.DUMMYFUNCTION("""COMPUTED_VALUE"""),41271.645833333336)</f>
        <v>41271.64583</v>
      </c>
      <c r="B2600" s="2">
        <f>IFERROR(__xludf.DUMMYFUNCTION("""COMPUTED_VALUE"""),407.87)</f>
        <v>407.87</v>
      </c>
      <c r="C2600" s="2">
        <f>IFERROR(__xludf.DUMMYFUNCTION("""COMPUTED_VALUE"""),419.01)</f>
        <v>419.01</v>
      </c>
      <c r="D2600" s="2">
        <f>IFERROR(__xludf.DUMMYFUNCTION("""COMPUTED_VALUE"""),406.9)</f>
        <v>406.9</v>
      </c>
      <c r="E2600" s="2">
        <f>IFERROR(__xludf.DUMMYFUNCTION("""COMPUTED_VALUE"""),416.16)</f>
        <v>416.16</v>
      </c>
      <c r="F2600" s="2">
        <f>IFERROR(__xludf.DUMMYFUNCTION("""COMPUTED_VALUE"""),3326023.0)</f>
        <v>3326023</v>
      </c>
    </row>
    <row r="2601">
      <c r="A2601" s="3">
        <f>IFERROR(__xludf.DUMMYFUNCTION("""COMPUTED_VALUE"""),41274.645833333336)</f>
        <v>41274.64583</v>
      </c>
      <c r="B2601" s="2">
        <f>IFERROR(__xludf.DUMMYFUNCTION("""COMPUTED_VALUE"""),416.19)</f>
        <v>416.19</v>
      </c>
      <c r="C2601" s="2">
        <f>IFERROR(__xludf.DUMMYFUNCTION("""COMPUTED_VALUE"""),420.89)</f>
        <v>420.89</v>
      </c>
      <c r="D2601" s="2">
        <f>IFERROR(__xludf.DUMMYFUNCTION("""COMPUTED_VALUE"""),414.46)</f>
        <v>414.46</v>
      </c>
      <c r="E2601" s="2">
        <f>IFERROR(__xludf.DUMMYFUNCTION("""COMPUTED_VALUE"""),415.82)</f>
        <v>415.82</v>
      </c>
      <c r="F2601" s="2">
        <f>IFERROR(__xludf.DUMMYFUNCTION("""COMPUTED_VALUE"""),2224287.0)</f>
        <v>2224287</v>
      </c>
    </row>
    <row r="2602">
      <c r="A2602" s="3">
        <f>IFERROR(__xludf.DUMMYFUNCTION("""COMPUTED_VALUE"""),41275.645833333336)</f>
        <v>41275.64583</v>
      </c>
      <c r="B2602" s="2">
        <f>IFERROR(__xludf.DUMMYFUNCTION("""COMPUTED_VALUE"""),418.02)</f>
        <v>418.02</v>
      </c>
      <c r="C2602" s="2">
        <f>IFERROR(__xludf.DUMMYFUNCTION("""COMPUTED_VALUE"""),419.31)</f>
        <v>419.31</v>
      </c>
      <c r="D2602" s="2">
        <f>IFERROR(__xludf.DUMMYFUNCTION("""COMPUTED_VALUE"""),415.6)</f>
        <v>415.6</v>
      </c>
      <c r="E2602" s="2">
        <f>IFERROR(__xludf.DUMMYFUNCTION("""COMPUTED_VALUE"""),416.39)</f>
        <v>416.39</v>
      </c>
      <c r="F2602" s="2">
        <f>IFERROR(__xludf.DUMMYFUNCTION("""COMPUTED_VALUE"""),1561532.0)</f>
        <v>1561532</v>
      </c>
    </row>
    <row r="2603">
      <c r="A2603" s="3">
        <f>IFERROR(__xludf.DUMMYFUNCTION("""COMPUTED_VALUE"""),41276.645833333336)</f>
        <v>41276.64583</v>
      </c>
      <c r="B2603" s="2">
        <f>IFERROR(__xludf.DUMMYFUNCTION("""COMPUTED_VALUE"""),418.02)</f>
        <v>418.02</v>
      </c>
      <c r="C2603" s="2">
        <f>IFERROR(__xludf.DUMMYFUNCTION("""COMPUTED_VALUE"""),423.97)</f>
        <v>423.97</v>
      </c>
      <c r="D2603" s="2">
        <f>IFERROR(__xludf.DUMMYFUNCTION("""COMPUTED_VALUE"""),417.3)</f>
        <v>417.3</v>
      </c>
      <c r="E2603" s="2">
        <f>IFERROR(__xludf.DUMMYFUNCTION("""COMPUTED_VALUE"""),419.98)</f>
        <v>419.98</v>
      </c>
      <c r="F2603" s="2">
        <f>IFERROR(__xludf.DUMMYFUNCTION("""COMPUTED_VALUE"""),3072592.0)</f>
        <v>3072592</v>
      </c>
    </row>
    <row r="2604">
      <c r="A2604" s="3">
        <f>IFERROR(__xludf.DUMMYFUNCTION("""COMPUTED_VALUE"""),41277.645833333336)</f>
        <v>41277.64583</v>
      </c>
      <c r="B2604" s="2">
        <f>IFERROR(__xludf.DUMMYFUNCTION("""COMPUTED_VALUE"""),420.3)</f>
        <v>420.3</v>
      </c>
      <c r="C2604" s="2">
        <f>IFERROR(__xludf.DUMMYFUNCTION("""COMPUTED_VALUE"""),426.94)</f>
        <v>426.94</v>
      </c>
      <c r="D2604" s="2">
        <f>IFERROR(__xludf.DUMMYFUNCTION("""COMPUTED_VALUE"""),418.32)</f>
        <v>418.32</v>
      </c>
      <c r="E2604" s="2">
        <f>IFERROR(__xludf.DUMMYFUNCTION("""COMPUTED_VALUE"""),426.32)</f>
        <v>426.32</v>
      </c>
      <c r="F2604" s="2">
        <f>IFERROR(__xludf.DUMMYFUNCTION("""COMPUTED_VALUE"""),3946902.0)</f>
        <v>3946902</v>
      </c>
    </row>
    <row r="2605">
      <c r="A2605" s="3">
        <f>IFERROR(__xludf.DUMMYFUNCTION("""COMPUTED_VALUE"""),41278.645833333336)</f>
        <v>41278.64583</v>
      </c>
      <c r="B2605" s="2">
        <f>IFERROR(__xludf.DUMMYFUNCTION("""COMPUTED_VALUE"""),426.89)</f>
        <v>426.89</v>
      </c>
      <c r="C2605" s="2">
        <f>IFERROR(__xludf.DUMMYFUNCTION("""COMPUTED_VALUE"""),428.23)</f>
        <v>428.23</v>
      </c>
      <c r="D2605" s="2">
        <f>IFERROR(__xludf.DUMMYFUNCTION("""COMPUTED_VALUE"""),422.75)</f>
        <v>422.75</v>
      </c>
      <c r="E2605" s="2">
        <f>IFERROR(__xludf.DUMMYFUNCTION("""COMPUTED_VALUE"""),426.86)</f>
        <v>426.86</v>
      </c>
      <c r="F2605" s="2">
        <f>IFERROR(__xludf.DUMMYFUNCTION("""COMPUTED_VALUE"""),3041614.0)</f>
        <v>3041614</v>
      </c>
    </row>
    <row r="2606">
      <c r="A2606" s="3">
        <f>IFERROR(__xludf.DUMMYFUNCTION("""COMPUTED_VALUE"""),41281.645833333336)</f>
        <v>41281.64583</v>
      </c>
      <c r="B2606" s="2">
        <f>IFERROR(__xludf.DUMMYFUNCTION("""COMPUTED_VALUE"""),428.77)</f>
        <v>428.77</v>
      </c>
      <c r="C2606" s="2">
        <f>IFERROR(__xludf.DUMMYFUNCTION("""COMPUTED_VALUE"""),431.39)</f>
        <v>431.39</v>
      </c>
      <c r="D2606" s="2">
        <f>IFERROR(__xludf.DUMMYFUNCTION("""COMPUTED_VALUE"""),421.89)</f>
        <v>421.89</v>
      </c>
      <c r="E2606" s="2">
        <f>IFERROR(__xludf.DUMMYFUNCTION("""COMPUTED_VALUE"""),424.26)</f>
        <v>424.26</v>
      </c>
      <c r="F2606" s="2">
        <f>IFERROR(__xludf.DUMMYFUNCTION("""COMPUTED_VALUE"""),3498964.0)</f>
        <v>3498964</v>
      </c>
    </row>
    <row r="2607">
      <c r="A2607" s="3">
        <f>IFERROR(__xludf.DUMMYFUNCTION("""COMPUTED_VALUE"""),41282.645833333336)</f>
        <v>41282.64583</v>
      </c>
      <c r="B2607" s="2">
        <f>IFERROR(__xludf.DUMMYFUNCTION("""COMPUTED_VALUE"""),423.52)</f>
        <v>423.52</v>
      </c>
      <c r="C2607" s="2">
        <f>IFERROR(__xludf.DUMMYFUNCTION("""COMPUTED_VALUE"""),425.01)</f>
        <v>425.01</v>
      </c>
      <c r="D2607" s="2">
        <f>IFERROR(__xludf.DUMMYFUNCTION("""COMPUTED_VALUE"""),419.95)</f>
        <v>419.95</v>
      </c>
      <c r="E2607" s="2">
        <f>IFERROR(__xludf.DUMMYFUNCTION("""COMPUTED_VALUE"""),421.32)</f>
        <v>421.32</v>
      </c>
      <c r="F2607" s="2">
        <f>IFERROR(__xludf.DUMMYFUNCTION("""COMPUTED_VALUE"""),3194175.0)</f>
        <v>3194175</v>
      </c>
    </row>
    <row r="2608">
      <c r="A2608" s="3">
        <f>IFERROR(__xludf.DUMMYFUNCTION("""COMPUTED_VALUE"""),41283.645833333336)</f>
        <v>41283.64583</v>
      </c>
      <c r="B2608" s="2">
        <f>IFERROR(__xludf.DUMMYFUNCTION("""COMPUTED_VALUE"""),422.18)</f>
        <v>422.18</v>
      </c>
      <c r="C2608" s="2">
        <f>IFERROR(__xludf.DUMMYFUNCTION("""COMPUTED_VALUE"""),425.87)</f>
        <v>425.87</v>
      </c>
      <c r="D2608" s="2">
        <f>IFERROR(__xludf.DUMMYFUNCTION("""COMPUTED_VALUE"""),420.33)</f>
        <v>420.33</v>
      </c>
      <c r="E2608" s="2">
        <f>IFERROR(__xludf.DUMMYFUNCTION("""COMPUTED_VALUE"""),422.33)</f>
        <v>422.33</v>
      </c>
      <c r="F2608" s="2">
        <f>IFERROR(__xludf.DUMMYFUNCTION("""COMPUTED_VALUE"""),3902332.0)</f>
        <v>3902332</v>
      </c>
    </row>
    <row r="2609">
      <c r="A2609" s="3">
        <f>IFERROR(__xludf.DUMMYFUNCTION("""COMPUTED_VALUE"""),41284.645833333336)</f>
        <v>41284.64583</v>
      </c>
      <c r="B2609" s="2">
        <f>IFERROR(__xludf.DUMMYFUNCTION("""COMPUTED_VALUE"""),424.83)</f>
        <v>424.83</v>
      </c>
      <c r="C2609" s="2">
        <f>IFERROR(__xludf.DUMMYFUNCTION("""COMPUTED_VALUE"""),425.43)</f>
        <v>425.43</v>
      </c>
      <c r="D2609" s="2">
        <f>IFERROR(__xludf.DUMMYFUNCTION("""COMPUTED_VALUE"""),419.51)</f>
        <v>419.51</v>
      </c>
      <c r="E2609" s="2">
        <f>IFERROR(__xludf.DUMMYFUNCTION("""COMPUTED_VALUE"""),421.02)</f>
        <v>421.02</v>
      </c>
      <c r="F2609" s="2">
        <f>IFERROR(__xludf.DUMMYFUNCTION("""COMPUTED_VALUE"""),2112066.0)</f>
        <v>2112066</v>
      </c>
    </row>
    <row r="2610">
      <c r="A2610" s="3">
        <f>IFERROR(__xludf.DUMMYFUNCTION("""COMPUTED_VALUE"""),41285.645833333336)</f>
        <v>41285.64583</v>
      </c>
      <c r="B2610" s="2">
        <f>IFERROR(__xludf.DUMMYFUNCTION("""COMPUTED_VALUE"""),422.23)</f>
        <v>422.23</v>
      </c>
      <c r="C2610" s="2">
        <f>IFERROR(__xludf.DUMMYFUNCTION("""COMPUTED_VALUE"""),422.48)</f>
        <v>422.48</v>
      </c>
      <c r="D2610" s="2">
        <f>IFERROR(__xludf.DUMMYFUNCTION("""COMPUTED_VALUE"""),414.18)</f>
        <v>414.18</v>
      </c>
      <c r="E2610" s="2">
        <f>IFERROR(__xludf.DUMMYFUNCTION("""COMPUTED_VALUE"""),415.99)</f>
        <v>415.99</v>
      </c>
      <c r="F2610" s="2">
        <f>IFERROR(__xludf.DUMMYFUNCTION("""COMPUTED_VALUE"""),1840162.0)</f>
        <v>1840162</v>
      </c>
    </row>
    <row r="2611">
      <c r="A2611" s="3">
        <f>IFERROR(__xludf.DUMMYFUNCTION("""COMPUTED_VALUE"""),41288.645833333336)</f>
        <v>41288.64583</v>
      </c>
      <c r="B2611" s="2">
        <f>IFERROR(__xludf.DUMMYFUNCTION("""COMPUTED_VALUE"""),416.54)</f>
        <v>416.54</v>
      </c>
      <c r="C2611" s="2">
        <f>IFERROR(__xludf.DUMMYFUNCTION("""COMPUTED_VALUE"""),422.48)</f>
        <v>422.48</v>
      </c>
      <c r="D2611" s="2">
        <f>IFERROR(__xludf.DUMMYFUNCTION("""COMPUTED_VALUE"""),415.55)</f>
        <v>415.55</v>
      </c>
      <c r="E2611" s="2">
        <f>IFERROR(__xludf.DUMMYFUNCTION("""COMPUTED_VALUE"""),419.78)</f>
        <v>419.78</v>
      </c>
      <c r="F2611" s="2">
        <f>IFERROR(__xludf.DUMMYFUNCTION("""COMPUTED_VALUE"""),1614000.0)</f>
        <v>1614000</v>
      </c>
    </row>
    <row r="2612">
      <c r="A2612" s="3">
        <f>IFERROR(__xludf.DUMMYFUNCTION("""COMPUTED_VALUE"""),41289.645833333336)</f>
        <v>41289.64583</v>
      </c>
      <c r="B2612" s="2">
        <f>IFERROR(__xludf.DUMMYFUNCTION("""COMPUTED_VALUE"""),419.09)</f>
        <v>419.09</v>
      </c>
      <c r="C2612" s="2">
        <f>IFERROR(__xludf.DUMMYFUNCTION("""COMPUTED_VALUE"""),421.89)</f>
        <v>421.89</v>
      </c>
      <c r="D2612" s="2">
        <f>IFERROR(__xludf.DUMMYFUNCTION("""COMPUTED_VALUE"""),415.05)</f>
        <v>415.05</v>
      </c>
      <c r="E2612" s="2">
        <f>IFERROR(__xludf.DUMMYFUNCTION("""COMPUTED_VALUE"""),419.58)</f>
        <v>419.58</v>
      </c>
      <c r="F2612" s="2">
        <f>IFERROR(__xludf.DUMMYFUNCTION("""COMPUTED_VALUE"""),2374487.0)</f>
        <v>2374487</v>
      </c>
    </row>
    <row r="2613">
      <c r="A2613" s="3">
        <f>IFERROR(__xludf.DUMMYFUNCTION("""COMPUTED_VALUE"""),41290.645833333336)</f>
        <v>41290.64583</v>
      </c>
      <c r="B2613" s="2">
        <f>IFERROR(__xludf.DUMMYFUNCTION("""COMPUTED_VALUE"""),419.04)</f>
        <v>419.04</v>
      </c>
      <c r="C2613" s="2">
        <f>IFERROR(__xludf.DUMMYFUNCTION("""COMPUTED_VALUE"""),431.35)</f>
        <v>431.35</v>
      </c>
      <c r="D2613" s="2">
        <f>IFERROR(__xludf.DUMMYFUNCTION("""COMPUTED_VALUE"""),419.04)</f>
        <v>419.04</v>
      </c>
      <c r="E2613" s="2">
        <f>IFERROR(__xludf.DUMMYFUNCTION("""COMPUTED_VALUE"""),426.62)</f>
        <v>426.62</v>
      </c>
      <c r="F2613" s="2">
        <f>IFERROR(__xludf.DUMMYFUNCTION("""COMPUTED_VALUE"""),4469088.0)</f>
        <v>4469088</v>
      </c>
    </row>
    <row r="2614">
      <c r="A2614" s="3">
        <f>IFERROR(__xludf.DUMMYFUNCTION("""COMPUTED_VALUE"""),41291.645833333336)</f>
        <v>41291.64583</v>
      </c>
      <c r="B2614" s="2">
        <f>IFERROR(__xludf.DUMMYFUNCTION("""COMPUTED_VALUE"""),426.99)</f>
        <v>426.99</v>
      </c>
      <c r="C2614" s="2">
        <f>IFERROR(__xludf.DUMMYFUNCTION("""COMPUTED_VALUE"""),442.56)</f>
        <v>442.56</v>
      </c>
      <c r="D2614" s="2">
        <f>IFERROR(__xludf.DUMMYFUNCTION("""COMPUTED_VALUE"""),425.82)</f>
        <v>425.82</v>
      </c>
      <c r="E2614" s="2">
        <f>IFERROR(__xludf.DUMMYFUNCTION("""COMPUTED_VALUE"""),440.81)</f>
        <v>440.81</v>
      </c>
      <c r="F2614" s="2">
        <f>IFERROR(__xludf.DUMMYFUNCTION("""COMPUTED_VALUE"""),5055697.0)</f>
        <v>5055697</v>
      </c>
    </row>
    <row r="2615">
      <c r="A2615" s="3">
        <f>IFERROR(__xludf.DUMMYFUNCTION("""COMPUTED_VALUE"""),41292.645833333336)</f>
        <v>41292.64583</v>
      </c>
      <c r="B2615" s="2">
        <f>IFERROR(__xludf.DUMMYFUNCTION("""COMPUTED_VALUE"""),443.28)</f>
        <v>443.28</v>
      </c>
      <c r="C2615" s="2">
        <f>IFERROR(__xludf.DUMMYFUNCTION("""COMPUTED_VALUE"""),447.22)</f>
        <v>447.22</v>
      </c>
      <c r="D2615" s="2">
        <f>IFERROR(__xludf.DUMMYFUNCTION("""COMPUTED_VALUE"""),438.65)</f>
        <v>438.65</v>
      </c>
      <c r="E2615" s="2">
        <f>IFERROR(__xludf.DUMMYFUNCTION("""COMPUTED_VALUE"""),445.86)</f>
        <v>445.86</v>
      </c>
      <c r="F2615" s="2">
        <f>IFERROR(__xludf.DUMMYFUNCTION("""COMPUTED_VALUE"""),5201345.0)</f>
        <v>5201345</v>
      </c>
    </row>
    <row r="2616">
      <c r="A2616" s="3">
        <f>IFERROR(__xludf.DUMMYFUNCTION("""COMPUTED_VALUE"""),41295.645833333336)</f>
        <v>41295.64583</v>
      </c>
      <c r="B2616" s="2">
        <f>IFERROR(__xludf.DUMMYFUNCTION("""COMPUTED_VALUE"""),464.63)</f>
        <v>464.63</v>
      </c>
      <c r="C2616" s="2">
        <f>IFERROR(__xludf.DUMMYFUNCTION("""COMPUTED_VALUE"""),473.0)</f>
        <v>473</v>
      </c>
      <c r="D2616" s="2">
        <f>IFERROR(__xludf.DUMMYFUNCTION("""COMPUTED_VALUE"""),454.7)</f>
        <v>454.7</v>
      </c>
      <c r="E2616" s="2">
        <f>IFERROR(__xludf.DUMMYFUNCTION("""COMPUTED_VALUE"""),455.64)</f>
        <v>455.64</v>
      </c>
      <c r="F2616" s="2">
        <f>IFERROR(__xludf.DUMMYFUNCTION("""COMPUTED_VALUE"""),1.004791E7)</f>
        <v>10047910</v>
      </c>
    </row>
    <row r="2617">
      <c r="A2617" s="3">
        <f>IFERROR(__xludf.DUMMYFUNCTION("""COMPUTED_VALUE"""),41296.645833333336)</f>
        <v>41296.64583</v>
      </c>
      <c r="B2617" s="2">
        <f>IFERROR(__xludf.DUMMYFUNCTION("""COMPUTED_VALUE"""),455.66)</f>
        <v>455.66</v>
      </c>
      <c r="C2617" s="2">
        <f>IFERROR(__xludf.DUMMYFUNCTION("""COMPUTED_VALUE"""),460.96)</f>
        <v>460.96</v>
      </c>
      <c r="D2617" s="2">
        <f>IFERROR(__xludf.DUMMYFUNCTION("""COMPUTED_VALUE"""),453.46)</f>
        <v>453.46</v>
      </c>
      <c r="E2617" s="2">
        <f>IFERROR(__xludf.DUMMYFUNCTION("""COMPUTED_VALUE"""),455.69)</f>
        <v>455.69</v>
      </c>
      <c r="F2617" s="2">
        <f>IFERROR(__xludf.DUMMYFUNCTION("""COMPUTED_VALUE"""),4266371.0)</f>
        <v>4266371</v>
      </c>
    </row>
    <row r="2618">
      <c r="A2618" s="3">
        <f>IFERROR(__xludf.DUMMYFUNCTION("""COMPUTED_VALUE"""),41297.645833333336)</f>
        <v>41297.64583</v>
      </c>
      <c r="B2618" s="2">
        <f>IFERROR(__xludf.DUMMYFUNCTION("""COMPUTED_VALUE"""),456.7)</f>
        <v>456.7</v>
      </c>
      <c r="C2618" s="2">
        <f>IFERROR(__xludf.DUMMYFUNCTION("""COMPUTED_VALUE"""),460.02)</f>
        <v>460.02</v>
      </c>
      <c r="D2618" s="2">
        <f>IFERROR(__xludf.DUMMYFUNCTION("""COMPUTED_VALUE"""),453.78)</f>
        <v>453.78</v>
      </c>
      <c r="E2618" s="2">
        <f>IFERROR(__xludf.DUMMYFUNCTION("""COMPUTED_VALUE"""),457.17)</f>
        <v>457.17</v>
      </c>
      <c r="F2618" s="2">
        <f>IFERROR(__xludf.DUMMYFUNCTION("""COMPUTED_VALUE"""),2674869.0)</f>
        <v>2674869</v>
      </c>
    </row>
    <row r="2619">
      <c r="A2619" s="3">
        <f>IFERROR(__xludf.DUMMYFUNCTION("""COMPUTED_VALUE"""),41298.645833333336)</f>
        <v>41298.64583</v>
      </c>
      <c r="B2619" s="2">
        <f>IFERROR(__xludf.DUMMYFUNCTION("""COMPUTED_VALUE"""),458.14)</f>
        <v>458.14</v>
      </c>
      <c r="C2619" s="2">
        <f>IFERROR(__xludf.DUMMYFUNCTION("""COMPUTED_VALUE"""),459.8)</f>
        <v>459.8</v>
      </c>
      <c r="D2619" s="2">
        <f>IFERROR(__xludf.DUMMYFUNCTION("""COMPUTED_VALUE"""),449.23)</f>
        <v>449.23</v>
      </c>
      <c r="E2619" s="2">
        <f>IFERROR(__xludf.DUMMYFUNCTION("""COMPUTED_VALUE"""),453.46)</f>
        <v>453.46</v>
      </c>
      <c r="F2619" s="2">
        <f>IFERROR(__xludf.DUMMYFUNCTION("""COMPUTED_VALUE"""),3071712.0)</f>
        <v>3071712</v>
      </c>
    </row>
    <row r="2620">
      <c r="A2620" s="3">
        <f>IFERROR(__xludf.DUMMYFUNCTION("""COMPUTED_VALUE"""),41299.645833333336)</f>
        <v>41299.64583</v>
      </c>
      <c r="B2620" s="2">
        <f>IFERROR(__xludf.DUMMYFUNCTION("""COMPUTED_VALUE"""),453.81)</f>
        <v>453.81</v>
      </c>
      <c r="C2620" s="2">
        <f>IFERROR(__xludf.DUMMYFUNCTION("""COMPUTED_VALUE"""),454.35)</f>
        <v>454.35</v>
      </c>
      <c r="D2620" s="2">
        <f>IFERROR(__xludf.DUMMYFUNCTION("""COMPUTED_VALUE"""),448.28)</f>
        <v>448.28</v>
      </c>
      <c r="E2620" s="2">
        <f>IFERROR(__xludf.DUMMYFUNCTION("""COMPUTED_VALUE"""),451.8)</f>
        <v>451.8</v>
      </c>
      <c r="F2620" s="2">
        <f>IFERROR(__xludf.DUMMYFUNCTION("""COMPUTED_VALUE"""),3220389.0)</f>
        <v>3220389</v>
      </c>
    </row>
    <row r="2621">
      <c r="A2621" s="3">
        <f>IFERROR(__xludf.DUMMYFUNCTION("""COMPUTED_VALUE"""),41302.645833333336)</f>
        <v>41302.64583</v>
      </c>
      <c r="B2621" s="2">
        <f>IFERROR(__xludf.DUMMYFUNCTION("""COMPUTED_VALUE"""),451.38)</f>
        <v>451.38</v>
      </c>
      <c r="C2621" s="2">
        <f>IFERROR(__xludf.DUMMYFUNCTION("""COMPUTED_VALUE"""),452.27)</f>
        <v>452.27</v>
      </c>
      <c r="D2621" s="2">
        <f>IFERROR(__xludf.DUMMYFUNCTION("""COMPUTED_VALUE"""),443.28)</f>
        <v>443.28</v>
      </c>
      <c r="E2621" s="2">
        <f>IFERROR(__xludf.DUMMYFUNCTION("""COMPUTED_VALUE"""),444.54)</f>
        <v>444.54</v>
      </c>
      <c r="F2621" s="2">
        <f>IFERROR(__xludf.DUMMYFUNCTION("""COMPUTED_VALUE"""),3063239.0)</f>
        <v>3063239</v>
      </c>
    </row>
    <row r="2622">
      <c r="A2622" s="3">
        <f>IFERROR(__xludf.DUMMYFUNCTION("""COMPUTED_VALUE"""),41303.645833333336)</f>
        <v>41303.64583</v>
      </c>
      <c r="B2622" s="2">
        <f>IFERROR(__xludf.DUMMYFUNCTION("""COMPUTED_VALUE"""),443.28)</f>
        <v>443.28</v>
      </c>
      <c r="C2622" s="2">
        <f>IFERROR(__xludf.DUMMYFUNCTION("""COMPUTED_VALUE"""),446.75)</f>
        <v>446.75</v>
      </c>
      <c r="D2622" s="2">
        <f>IFERROR(__xludf.DUMMYFUNCTION("""COMPUTED_VALUE"""),435.9)</f>
        <v>435.9</v>
      </c>
      <c r="E2622" s="2">
        <f>IFERROR(__xludf.DUMMYFUNCTION("""COMPUTED_VALUE"""),437.26)</f>
        <v>437.26</v>
      </c>
      <c r="F2622" s="2">
        <f>IFERROR(__xludf.DUMMYFUNCTION("""COMPUTED_VALUE"""),3529188.0)</f>
        <v>3529188</v>
      </c>
    </row>
    <row r="2623">
      <c r="A2623" s="3">
        <f>IFERROR(__xludf.DUMMYFUNCTION("""COMPUTED_VALUE"""),41304.645833333336)</f>
        <v>41304.64583</v>
      </c>
      <c r="B2623" s="2">
        <f>IFERROR(__xludf.DUMMYFUNCTION("""COMPUTED_VALUE"""),439.57)</f>
        <v>439.57</v>
      </c>
      <c r="C2623" s="2">
        <f>IFERROR(__xludf.DUMMYFUNCTION("""COMPUTED_VALUE"""),447.44)</f>
        <v>447.44</v>
      </c>
      <c r="D2623" s="2">
        <f>IFERROR(__xludf.DUMMYFUNCTION("""COMPUTED_VALUE"""),439.57)</f>
        <v>439.57</v>
      </c>
      <c r="E2623" s="2">
        <f>IFERROR(__xludf.DUMMYFUNCTION("""COMPUTED_VALUE"""),445.46)</f>
        <v>445.46</v>
      </c>
      <c r="F2623" s="2">
        <f>IFERROR(__xludf.DUMMYFUNCTION("""COMPUTED_VALUE"""),4032649.0)</f>
        <v>4032649</v>
      </c>
    </row>
    <row r="2624">
      <c r="A2624" s="3">
        <f>IFERROR(__xludf.DUMMYFUNCTION("""COMPUTED_VALUE"""),41305.645833333336)</f>
        <v>41305.64583</v>
      </c>
      <c r="B2624" s="2">
        <f>IFERROR(__xludf.DUMMYFUNCTION("""COMPUTED_VALUE"""),444.1)</f>
        <v>444.1</v>
      </c>
      <c r="C2624" s="2">
        <f>IFERROR(__xludf.DUMMYFUNCTION("""COMPUTED_VALUE"""),444.77)</f>
        <v>444.77</v>
      </c>
      <c r="D2624" s="2">
        <f>IFERROR(__xludf.DUMMYFUNCTION("""COMPUTED_VALUE"""),437.39)</f>
        <v>437.39</v>
      </c>
      <c r="E2624" s="2">
        <f>IFERROR(__xludf.DUMMYFUNCTION("""COMPUTED_VALUE"""),439.15)</f>
        <v>439.15</v>
      </c>
      <c r="F2624" s="2">
        <f>IFERROR(__xludf.DUMMYFUNCTION("""COMPUTED_VALUE"""),3825017.0)</f>
        <v>3825017</v>
      </c>
    </row>
    <row r="2625">
      <c r="A2625" s="3">
        <f>IFERROR(__xludf.DUMMYFUNCTION("""COMPUTED_VALUE"""),41306.645833333336)</f>
        <v>41306.64583</v>
      </c>
      <c r="B2625" s="2">
        <f>IFERROR(__xludf.DUMMYFUNCTION("""COMPUTED_VALUE"""),441.47)</f>
        <v>441.47</v>
      </c>
      <c r="C2625" s="2">
        <f>IFERROR(__xludf.DUMMYFUNCTION("""COMPUTED_VALUE"""),445.66)</f>
        <v>445.66</v>
      </c>
      <c r="D2625" s="2">
        <f>IFERROR(__xludf.DUMMYFUNCTION("""COMPUTED_VALUE"""),437.64)</f>
        <v>437.64</v>
      </c>
      <c r="E2625" s="2">
        <f>IFERROR(__xludf.DUMMYFUNCTION("""COMPUTED_VALUE"""),442.79)</f>
        <v>442.79</v>
      </c>
      <c r="F2625" s="2">
        <f>IFERROR(__xludf.DUMMYFUNCTION("""COMPUTED_VALUE"""),1863597.0)</f>
        <v>1863597</v>
      </c>
    </row>
    <row r="2626">
      <c r="A2626" s="3">
        <f>IFERROR(__xludf.DUMMYFUNCTION("""COMPUTED_VALUE"""),41309.645833333336)</f>
        <v>41309.64583</v>
      </c>
      <c r="B2626" s="2">
        <f>IFERROR(__xludf.DUMMYFUNCTION("""COMPUTED_VALUE"""),443.8)</f>
        <v>443.8</v>
      </c>
      <c r="C2626" s="2">
        <f>IFERROR(__xludf.DUMMYFUNCTION("""COMPUTED_VALUE"""),446.25)</f>
        <v>446.25</v>
      </c>
      <c r="D2626" s="2">
        <f>IFERROR(__xludf.DUMMYFUNCTION("""COMPUTED_VALUE"""),437.88)</f>
        <v>437.88</v>
      </c>
      <c r="E2626" s="2">
        <f>IFERROR(__xludf.DUMMYFUNCTION("""COMPUTED_VALUE"""),439.17)</f>
        <v>439.17</v>
      </c>
      <c r="F2626" s="2">
        <f>IFERROR(__xludf.DUMMYFUNCTION("""COMPUTED_VALUE"""),3130914.0)</f>
        <v>3130914</v>
      </c>
    </row>
    <row r="2627">
      <c r="A2627" s="3">
        <f>IFERROR(__xludf.DUMMYFUNCTION("""COMPUTED_VALUE"""),41310.645833333336)</f>
        <v>41310.64583</v>
      </c>
      <c r="B2627" s="2">
        <f>IFERROR(__xludf.DUMMYFUNCTION("""COMPUTED_VALUE"""),437.83)</f>
        <v>437.83</v>
      </c>
      <c r="C2627" s="2">
        <f>IFERROR(__xludf.DUMMYFUNCTION("""COMPUTED_VALUE"""),438.77)</f>
        <v>438.77</v>
      </c>
      <c r="D2627" s="2">
        <f>IFERROR(__xludf.DUMMYFUNCTION("""COMPUTED_VALUE"""),432.39)</f>
        <v>432.39</v>
      </c>
      <c r="E2627" s="2">
        <f>IFERROR(__xludf.DUMMYFUNCTION("""COMPUTED_VALUE"""),433.25)</f>
        <v>433.25</v>
      </c>
      <c r="F2627" s="2">
        <f>IFERROR(__xludf.DUMMYFUNCTION("""COMPUTED_VALUE"""),2219184.0)</f>
        <v>2219184</v>
      </c>
    </row>
    <row r="2628">
      <c r="A2628" s="3">
        <f>IFERROR(__xludf.DUMMYFUNCTION("""COMPUTED_VALUE"""),41311.645833333336)</f>
        <v>41311.64583</v>
      </c>
      <c r="B2628" s="2">
        <f>IFERROR(__xludf.DUMMYFUNCTION("""COMPUTED_VALUE"""),436.08)</f>
        <v>436.08</v>
      </c>
      <c r="C2628" s="2">
        <f>IFERROR(__xludf.DUMMYFUNCTION("""COMPUTED_VALUE"""),437.29)</f>
        <v>437.29</v>
      </c>
      <c r="D2628" s="2">
        <f>IFERROR(__xludf.DUMMYFUNCTION("""COMPUTED_VALUE"""),431.3)</f>
        <v>431.3</v>
      </c>
      <c r="E2628" s="2">
        <f>IFERROR(__xludf.DUMMYFUNCTION("""COMPUTED_VALUE"""),433.7)</f>
        <v>433.7</v>
      </c>
      <c r="F2628" s="2">
        <f>IFERROR(__xludf.DUMMYFUNCTION("""COMPUTED_VALUE"""),2257604.0)</f>
        <v>2257604</v>
      </c>
    </row>
    <row r="2629">
      <c r="A2629" s="3">
        <f>IFERROR(__xludf.DUMMYFUNCTION("""COMPUTED_VALUE"""),41312.645833333336)</f>
        <v>41312.64583</v>
      </c>
      <c r="B2629" s="2">
        <f>IFERROR(__xludf.DUMMYFUNCTION("""COMPUTED_VALUE"""),431.69)</f>
        <v>431.69</v>
      </c>
      <c r="C2629" s="2">
        <f>IFERROR(__xludf.DUMMYFUNCTION("""COMPUTED_VALUE"""),436.84)</f>
        <v>436.84</v>
      </c>
      <c r="D2629" s="2">
        <f>IFERROR(__xludf.DUMMYFUNCTION("""COMPUTED_VALUE"""),430.08)</f>
        <v>430.08</v>
      </c>
      <c r="E2629" s="2">
        <f>IFERROR(__xludf.DUMMYFUNCTION("""COMPUTED_VALUE"""),432.34)</f>
        <v>432.34</v>
      </c>
      <c r="F2629" s="2">
        <f>IFERROR(__xludf.DUMMYFUNCTION("""COMPUTED_VALUE"""),1952688.0)</f>
        <v>1952688</v>
      </c>
    </row>
    <row r="2630">
      <c r="A2630" s="3">
        <f>IFERROR(__xludf.DUMMYFUNCTION("""COMPUTED_VALUE"""),41313.645833333336)</f>
        <v>41313.64583</v>
      </c>
      <c r="B2630" s="2">
        <f>IFERROR(__xludf.DUMMYFUNCTION("""COMPUTED_VALUE"""),430.87)</f>
        <v>430.87</v>
      </c>
      <c r="C2630" s="2">
        <f>IFERROR(__xludf.DUMMYFUNCTION("""COMPUTED_VALUE"""),432.88)</f>
        <v>432.88</v>
      </c>
      <c r="D2630" s="2">
        <f>IFERROR(__xludf.DUMMYFUNCTION("""COMPUTED_VALUE"""),424.46)</f>
        <v>424.46</v>
      </c>
      <c r="E2630" s="2">
        <f>IFERROR(__xludf.DUMMYFUNCTION("""COMPUTED_VALUE"""),427.71)</f>
        <v>427.71</v>
      </c>
      <c r="F2630" s="2">
        <f>IFERROR(__xludf.DUMMYFUNCTION("""COMPUTED_VALUE"""),2190791.0)</f>
        <v>2190791</v>
      </c>
    </row>
    <row r="2631">
      <c r="A2631" s="3">
        <f>IFERROR(__xludf.DUMMYFUNCTION("""COMPUTED_VALUE"""),41316.645833333336)</f>
        <v>41316.64583</v>
      </c>
      <c r="B2631" s="2">
        <f>IFERROR(__xludf.DUMMYFUNCTION("""COMPUTED_VALUE"""),428.42)</f>
        <v>428.42</v>
      </c>
      <c r="C2631" s="2">
        <f>IFERROR(__xludf.DUMMYFUNCTION("""COMPUTED_VALUE"""),433.38)</f>
        <v>433.38</v>
      </c>
      <c r="D2631" s="2">
        <f>IFERROR(__xludf.DUMMYFUNCTION("""COMPUTED_VALUE"""),426.24)</f>
        <v>426.24</v>
      </c>
      <c r="E2631" s="2">
        <f>IFERROR(__xludf.DUMMYFUNCTION("""COMPUTED_VALUE"""),430.11)</f>
        <v>430.11</v>
      </c>
      <c r="F2631" s="2">
        <f>IFERROR(__xludf.DUMMYFUNCTION("""COMPUTED_VALUE"""),1904074.0)</f>
        <v>1904074</v>
      </c>
    </row>
    <row r="2632">
      <c r="A2632" s="3">
        <f>IFERROR(__xludf.DUMMYFUNCTION("""COMPUTED_VALUE"""),41317.645833333336)</f>
        <v>41317.64583</v>
      </c>
      <c r="B2632" s="2">
        <f>IFERROR(__xludf.DUMMYFUNCTION("""COMPUTED_VALUE"""),430.21)</f>
        <v>430.21</v>
      </c>
      <c r="C2632" s="2">
        <f>IFERROR(__xludf.DUMMYFUNCTION("""COMPUTED_VALUE"""),436.03)</f>
        <v>436.03</v>
      </c>
      <c r="D2632" s="2">
        <f>IFERROR(__xludf.DUMMYFUNCTION("""COMPUTED_VALUE"""),428.52)</f>
        <v>428.52</v>
      </c>
      <c r="E2632" s="2">
        <f>IFERROR(__xludf.DUMMYFUNCTION("""COMPUTED_VALUE"""),433.6)</f>
        <v>433.6</v>
      </c>
      <c r="F2632" s="2">
        <f>IFERROR(__xludf.DUMMYFUNCTION("""COMPUTED_VALUE"""),2223818.0)</f>
        <v>2223818</v>
      </c>
    </row>
    <row r="2633">
      <c r="A2633" s="3">
        <f>IFERROR(__xludf.DUMMYFUNCTION("""COMPUTED_VALUE"""),41318.645833333336)</f>
        <v>41318.64583</v>
      </c>
      <c r="B2633" s="2">
        <f>IFERROR(__xludf.DUMMYFUNCTION("""COMPUTED_VALUE"""),437.83)</f>
        <v>437.83</v>
      </c>
      <c r="C2633" s="2">
        <f>IFERROR(__xludf.DUMMYFUNCTION("""COMPUTED_VALUE"""),439.81)</f>
        <v>439.81</v>
      </c>
      <c r="D2633" s="2">
        <f>IFERROR(__xludf.DUMMYFUNCTION("""COMPUTED_VALUE"""),432.14)</f>
        <v>432.14</v>
      </c>
      <c r="E2633" s="2">
        <f>IFERROR(__xludf.DUMMYFUNCTION("""COMPUTED_VALUE"""),435.36)</f>
        <v>435.36</v>
      </c>
      <c r="F2633" s="2">
        <f>IFERROR(__xludf.DUMMYFUNCTION("""COMPUTED_VALUE"""),2407720.0)</f>
        <v>2407720</v>
      </c>
    </row>
    <row r="2634">
      <c r="A2634" s="3">
        <f>IFERROR(__xludf.DUMMYFUNCTION("""COMPUTED_VALUE"""),41319.645833333336)</f>
        <v>41319.64583</v>
      </c>
      <c r="B2634" s="2">
        <f>IFERROR(__xludf.DUMMYFUNCTION("""COMPUTED_VALUE"""),435.85)</f>
        <v>435.85</v>
      </c>
      <c r="C2634" s="2">
        <f>IFERROR(__xludf.DUMMYFUNCTION("""COMPUTED_VALUE"""),437.56)</f>
        <v>437.56</v>
      </c>
      <c r="D2634" s="2">
        <f>IFERROR(__xludf.DUMMYFUNCTION("""COMPUTED_VALUE"""),421.49)</f>
        <v>421.49</v>
      </c>
      <c r="E2634" s="2">
        <f>IFERROR(__xludf.DUMMYFUNCTION("""COMPUTED_VALUE"""),423.99)</f>
        <v>423.99</v>
      </c>
      <c r="F2634" s="2">
        <f>IFERROR(__xludf.DUMMYFUNCTION("""COMPUTED_VALUE"""),2808132.0)</f>
        <v>2808132</v>
      </c>
    </row>
    <row r="2635">
      <c r="A2635" s="3">
        <f>IFERROR(__xludf.DUMMYFUNCTION("""COMPUTED_VALUE"""),41320.645833333336)</f>
        <v>41320.64583</v>
      </c>
      <c r="B2635" s="2">
        <f>IFERROR(__xludf.DUMMYFUNCTION("""COMPUTED_VALUE"""),423.42)</f>
        <v>423.42</v>
      </c>
      <c r="C2635" s="2">
        <f>IFERROR(__xludf.DUMMYFUNCTION("""COMPUTED_VALUE"""),424.66)</f>
        <v>424.66</v>
      </c>
      <c r="D2635" s="2">
        <f>IFERROR(__xludf.DUMMYFUNCTION("""COMPUTED_VALUE"""),413.12)</f>
        <v>413.12</v>
      </c>
      <c r="E2635" s="2">
        <f>IFERROR(__xludf.DUMMYFUNCTION("""COMPUTED_VALUE"""),418.91)</f>
        <v>418.91</v>
      </c>
      <c r="F2635" s="2">
        <f>IFERROR(__xludf.DUMMYFUNCTION("""COMPUTED_VALUE"""),3289431.0)</f>
        <v>3289431</v>
      </c>
    </row>
    <row r="2636">
      <c r="A2636" s="3">
        <f>IFERROR(__xludf.DUMMYFUNCTION("""COMPUTED_VALUE"""),41323.645833333336)</f>
        <v>41323.64583</v>
      </c>
      <c r="B2636" s="2">
        <f>IFERROR(__xludf.DUMMYFUNCTION("""COMPUTED_VALUE"""),420.0)</f>
        <v>420</v>
      </c>
      <c r="C2636" s="2">
        <f>IFERROR(__xludf.DUMMYFUNCTION("""COMPUTED_VALUE"""),423.27)</f>
        <v>423.27</v>
      </c>
      <c r="D2636" s="2">
        <f>IFERROR(__xludf.DUMMYFUNCTION("""COMPUTED_VALUE"""),417.63)</f>
        <v>417.63</v>
      </c>
      <c r="E2636" s="2">
        <f>IFERROR(__xludf.DUMMYFUNCTION("""COMPUTED_VALUE"""),419.76)</f>
        <v>419.76</v>
      </c>
      <c r="F2636" s="2">
        <f>IFERROR(__xludf.DUMMYFUNCTION("""COMPUTED_VALUE"""),1213793.0)</f>
        <v>1213793</v>
      </c>
    </row>
    <row r="2637">
      <c r="A2637" s="3">
        <f>IFERROR(__xludf.DUMMYFUNCTION("""COMPUTED_VALUE"""),41324.645833333336)</f>
        <v>41324.64583</v>
      </c>
      <c r="B2637" s="2">
        <f>IFERROR(__xludf.DUMMYFUNCTION("""COMPUTED_VALUE"""),420.5)</f>
        <v>420.5</v>
      </c>
      <c r="C2637" s="2">
        <f>IFERROR(__xludf.DUMMYFUNCTION("""COMPUTED_VALUE"""),423.47)</f>
        <v>423.47</v>
      </c>
      <c r="D2637" s="2">
        <f>IFERROR(__xludf.DUMMYFUNCTION("""COMPUTED_VALUE"""),413.19)</f>
        <v>413.19</v>
      </c>
      <c r="E2637" s="2">
        <f>IFERROR(__xludf.DUMMYFUNCTION("""COMPUTED_VALUE"""),420.2)</f>
        <v>420.2</v>
      </c>
      <c r="F2637" s="2">
        <f>IFERROR(__xludf.DUMMYFUNCTION("""COMPUTED_VALUE"""),2212004.0)</f>
        <v>2212004</v>
      </c>
    </row>
    <row r="2638">
      <c r="A2638" s="3">
        <f>IFERROR(__xludf.DUMMYFUNCTION("""COMPUTED_VALUE"""),41325.645833333336)</f>
        <v>41325.64583</v>
      </c>
      <c r="B2638" s="2">
        <f>IFERROR(__xludf.DUMMYFUNCTION("""COMPUTED_VALUE"""),424.93)</f>
        <v>424.93</v>
      </c>
      <c r="C2638" s="2">
        <f>IFERROR(__xludf.DUMMYFUNCTION("""COMPUTED_VALUE"""),435.28)</f>
        <v>435.28</v>
      </c>
      <c r="D2638" s="2">
        <f>IFERROR(__xludf.DUMMYFUNCTION("""COMPUTED_VALUE"""),424.26)</f>
        <v>424.26</v>
      </c>
      <c r="E2638" s="2">
        <f>IFERROR(__xludf.DUMMYFUNCTION("""COMPUTED_VALUE"""),433.28)</f>
        <v>433.28</v>
      </c>
      <c r="F2638" s="2">
        <f>IFERROR(__xludf.DUMMYFUNCTION("""COMPUTED_VALUE"""),3399774.0)</f>
        <v>3399774</v>
      </c>
    </row>
    <row r="2639">
      <c r="A2639" s="3">
        <f>IFERROR(__xludf.DUMMYFUNCTION("""COMPUTED_VALUE"""),41326.645833333336)</f>
        <v>41326.64583</v>
      </c>
      <c r="B2639" s="2">
        <f>IFERROR(__xludf.DUMMYFUNCTION("""COMPUTED_VALUE"""),430.4)</f>
        <v>430.4</v>
      </c>
      <c r="C2639" s="2">
        <f>IFERROR(__xludf.DUMMYFUNCTION("""COMPUTED_VALUE"""),434.27)</f>
        <v>434.27</v>
      </c>
      <c r="D2639" s="2">
        <f>IFERROR(__xludf.DUMMYFUNCTION("""COMPUTED_VALUE"""),422.8)</f>
        <v>422.8</v>
      </c>
      <c r="E2639" s="2">
        <f>IFERROR(__xludf.DUMMYFUNCTION("""COMPUTED_VALUE"""),425.55)</f>
        <v>425.55</v>
      </c>
      <c r="F2639" s="2">
        <f>IFERROR(__xludf.DUMMYFUNCTION("""COMPUTED_VALUE"""),3706369.0)</f>
        <v>3706369</v>
      </c>
    </row>
    <row r="2640">
      <c r="A2640" s="3">
        <f>IFERROR(__xludf.DUMMYFUNCTION("""COMPUTED_VALUE"""),41327.645833333336)</f>
        <v>41327.64583</v>
      </c>
      <c r="B2640" s="2">
        <f>IFERROR(__xludf.DUMMYFUNCTION("""COMPUTED_VALUE"""),425.2)</f>
        <v>425.2</v>
      </c>
      <c r="C2640" s="2">
        <f>IFERROR(__xludf.DUMMYFUNCTION("""COMPUTED_VALUE"""),431.89)</f>
        <v>431.89</v>
      </c>
      <c r="D2640" s="2">
        <f>IFERROR(__xludf.DUMMYFUNCTION("""COMPUTED_VALUE"""),424.96)</f>
        <v>424.96</v>
      </c>
      <c r="E2640" s="2">
        <f>IFERROR(__xludf.DUMMYFUNCTION("""COMPUTED_VALUE"""),427.23)</f>
        <v>427.23</v>
      </c>
      <c r="F2640" s="2">
        <f>IFERROR(__xludf.DUMMYFUNCTION("""COMPUTED_VALUE"""),2223041.0)</f>
        <v>2223041</v>
      </c>
    </row>
    <row r="2641">
      <c r="A2641" s="3">
        <f>IFERROR(__xludf.DUMMYFUNCTION("""COMPUTED_VALUE"""),41330.645833333336)</f>
        <v>41330.64583</v>
      </c>
      <c r="B2641" s="2">
        <f>IFERROR(__xludf.DUMMYFUNCTION("""COMPUTED_VALUE"""),427.93)</f>
        <v>427.93</v>
      </c>
      <c r="C2641" s="2">
        <f>IFERROR(__xludf.DUMMYFUNCTION("""COMPUTED_VALUE"""),428.4)</f>
        <v>428.4</v>
      </c>
      <c r="D2641" s="2">
        <f>IFERROR(__xludf.DUMMYFUNCTION("""COMPUTED_VALUE"""),421.49)</f>
        <v>421.49</v>
      </c>
      <c r="E2641" s="2">
        <f>IFERROR(__xludf.DUMMYFUNCTION("""COMPUTED_VALUE"""),423.15)</f>
        <v>423.15</v>
      </c>
      <c r="F2641" s="2">
        <f>IFERROR(__xludf.DUMMYFUNCTION("""COMPUTED_VALUE"""),2258056.0)</f>
        <v>2258056</v>
      </c>
    </row>
    <row r="2642">
      <c r="A2642" s="3">
        <f>IFERROR(__xludf.DUMMYFUNCTION("""COMPUTED_VALUE"""),41331.645833333336)</f>
        <v>41331.64583</v>
      </c>
      <c r="B2642" s="2">
        <f>IFERROR(__xludf.DUMMYFUNCTION("""COMPUTED_VALUE"""),420.85)</f>
        <v>420.85</v>
      </c>
      <c r="C2642" s="2">
        <f>IFERROR(__xludf.DUMMYFUNCTION("""COMPUTED_VALUE"""),420.85)</f>
        <v>420.85</v>
      </c>
      <c r="D2642" s="2">
        <f>IFERROR(__xludf.DUMMYFUNCTION("""COMPUTED_VALUE"""),405.52)</f>
        <v>405.52</v>
      </c>
      <c r="E2642" s="2">
        <f>IFERROR(__xludf.DUMMYFUNCTION("""COMPUTED_VALUE"""),407.87)</f>
        <v>407.87</v>
      </c>
      <c r="F2642" s="2">
        <f>IFERROR(__xludf.DUMMYFUNCTION("""COMPUTED_VALUE"""),3080139.0)</f>
        <v>3080139</v>
      </c>
    </row>
    <row r="2643">
      <c r="A2643" s="3">
        <f>IFERROR(__xludf.DUMMYFUNCTION("""COMPUTED_VALUE"""),41332.645833333336)</f>
        <v>41332.64583</v>
      </c>
      <c r="B2643" s="2">
        <f>IFERROR(__xludf.DUMMYFUNCTION("""COMPUTED_VALUE"""),411.09)</f>
        <v>411.09</v>
      </c>
      <c r="C2643" s="2">
        <f>IFERROR(__xludf.DUMMYFUNCTION("""COMPUTED_VALUE"""),416.51)</f>
        <v>416.51</v>
      </c>
      <c r="D2643" s="2">
        <f>IFERROR(__xludf.DUMMYFUNCTION("""COMPUTED_VALUE"""),409.68)</f>
        <v>409.68</v>
      </c>
      <c r="E2643" s="2">
        <f>IFERROR(__xludf.DUMMYFUNCTION("""COMPUTED_VALUE"""),411.73)</f>
        <v>411.73</v>
      </c>
      <c r="F2643" s="2">
        <f>IFERROR(__xludf.DUMMYFUNCTION("""COMPUTED_VALUE"""),4048013.0)</f>
        <v>4048013</v>
      </c>
    </row>
    <row r="2644">
      <c r="A2644" s="3">
        <f>IFERROR(__xludf.DUMMYFUNCTION("""COMPUTED_VALUE"""),41333.645833333336)</f>
        <v>41333.64583</v>
      </c>
      <c r="B2644" s="2">
        <f>IFERROR(__xludf.DUMMYFUNCTION("""COMPUTED_VALUE"""),414.65)</f>
        <v>414.65</v>
      </c>
      <c r="C2644" s="2">
        <f>IFERROR(__xludf.DUMMYFUNCTION("""COMPUTED_VALUE"""),415.82)</f>
        <v>415.82</v>
      </c>
      <c r="D2644" s="2">
        <f>IFERROR(__xludf.DUMMYFUNCTION("""COMPUTED_VALUE"""),399.08)</f>
        <v>399.08</v>
      </c>
      <c r="E2644" s="2">
        <f>IFERROR(__xludf.DUMMYFUNCTION("""COMPUTED_VALUE"""),403.09)</f>
        <v>403.09</v>
      </c>
      <c r="F2644" s="2">
        <f>IFERROR(__xludf.DUMMYFUNCTION("""COMPUTED_VALUE"""),6324405.0)</f>
        <v>6324405</v>
      </c>
    </row>
    <row r="2645">
      <c r="A2645" s="3">
        <f>IFERROR(__xludf.DUMMYFUNCTION("""COMPUTED_VALUE"""),41334.645833333336)</f>
        <v>41334.64583</v>
      </c>
      <c r="B2645" s="2">
        <f>IFERROR(__xludf.DUMMYFUNCTION("""COMPUTED_VALUE"""),404.15)</f>
        <v>404.15</v>
      </c>
      <c r="C2645" s="2">
        <f>IFERROR(__xludf.DUMMYFUNCTION("""COMPUTED_VALUE"""),405.39)</f>
        <v>405.39</v>
      </c>
      <c r="D2645" s="2">
        <f>IFERROR(__xludf.DUMMYFUNCTION("""COMPUTED_VALUE"""),398.95)</f>
        <v>398.95</v>
      </c>
      <c r="E2645" s="2">
        <f>IFERROR(__xludf.DUMMYFUNCTION("""COMPUTED_VALUE"""),401.38)</f>
        <v>401.38</v>
      </c>
      <c r="F2645" s="2">
        <f>IFERROR(__xludf.DUMMYFUNCTION("""COMPUTED_VALUE"""),3178835.0)</f>
        <v>3178835</v>
      </c>
    </row>
    <row r="2646">
      <c r="A2646" s="3">
        <f>IFERROR(__xludf.DUMMYFUNCTION("""COMPUTED_VALUE"""),41337.645833333336)</f>
        <v>41337.64583</v>
      </c>
      <c r="B2646" s="2">
        <f>IFERROR(__xludf.DUMMYFUNCTION("""COMPUTED_VALUE"""),400.64)</f>
        <v>400.64</v>
      </c>
      <c r="C2646" s="2">
        <f>IFERROR(__xludf.DUMMYFUNCTION("""COMPUTED_VALUE"""),405.27)</f>
        <v>405.27</v>
      </c>
      <c r="D2646" s="2">
        <f>IFERROR(__xludf.DUMMYFUNCTION("""COMPUTED_VALUE"""),398.66)</f>
        <v>398.66</v>
      </c>
      <c r="E2646" s="2">
        <f>IFERROR(__xludf.DUMMYFUNCTION("""COMPUTED_VALUE"""),402.47)</f>
        <v>402.47</v>
      </c>
      <c r="F2646" s="2">
        <f>IFERROR(__xludf.DUMMYFUNCTION("""COMPUTED_VALUE"""),3416863.0)</f>
        <v>3416863</v>
      </c>
    </row>
    <row r="2647">
      <c r="A2647" s="3">
        <f>IFERROR(__xludf.DUMMYFUNCTION("""COMPUTED_VALUE"""),41338.645833333336)</f>
        <v>41338.64583</v>
      </c>
      <c r="B2647" s="2">
        <f>IFERROR(__xludf.DUMMYFUNCTION("""COMPUTED_VALUE"""),405.69)</f>
        <v>405.69</v>
      </c>
      <c r="C2647" s="2">
        <f>IFERROR(__xludf.DUMMYFUNCTION("""COMPUTED_VALUE"""),413.29)</f>
        <v>413.29</v>
      </c>
      <c r="D2647" s="2">
        <f>IFERROR(__xludf.DUMMYFUNCTION("""COMPUTED_VALUE"""),405.69)</f>
        <v>405.69</v>
      </c>
      <c r="E2647" s="2">
        <f>IFERROR(__xludf.DUMMYFUNCTION("""COMPUTED_VALUE"""),409.28)</f>
        <v>409.28</v>
      </c>
      <c r="F2647" s="2">
        <f>IFERROR(__xludf.DUMMYFUNCTION("""COMPUTED_VALUE"""),3008011.0)</f>
        <v>3008011</v>
      </c>
    </row>
    <row r="2648">
      <c r="A2648" s="3">
        <f>IFERROR(__xludf.DUMMYFUNCTION("""COMPUTED_VALUE"""),41339.645833333336)</f>
        <v>41339.64583</v>
      </c>
      <c r="B2648" s="2">
        <f>IFERROR(__xludf.DUMMYFUNCTION("""COMPUTED_VALUE"""),412.03)</f>
        <v>412.03</v>
      </c>
      <c r="C2648" s="2">
        <f>IFERROR(__xludf.DUMMYFUNCTION("""COMPUTED_VALUE"""),415.25)</f>
        <v>415.25</v>
      </c>
      <c r="D2648" s="2">
        <f>IFERROR(__xludf.DUMMYFUNCTION("""COMPUTED_VALUE"""),409.45)</f>
        <v>409.45</v>
      </c>
      <c r="E2648" s="2">
        <f>IFERROR(__xludf.DUMMYFUNCTION("""COMPUTED_VALUE"""),413.69)</f>
        <v>413.69</v>
      </c>
      <c r="F2648" s="2">
        <f>IFERROR(__xludf.DUMMYFUNCTION("""COMPUTED_VALUE"""),2463693.0)</f>
        <v>2463693</v>
      </c>
    </row>
    <row r="2649">
      <c r="A2649" s="3">
        <f>IFERROR(__xludf.DUMMYFUNCTION("""COMPUTED_VALUE"""),41340.645833333336)</f>
        <v>41340.64583</v>
      </c>
      <c r="B2649" s="2">
        <f>IFERROR(__xludf.DUMMYFUNCTION("""COMPUTED_VALUE"""),411.71)</f>
        <v>411.71</v>
      </c>
      <c r="C2649" s="2">
        <f>IFERROR(__xludf.DUMMYFUNCTION("""COMPUTED_VALUE"""),416.78)</f>
        <v>416.78</v>
      </c>
      <c r="D2649" s="2">
        <f>IFERROR(__xludf.DUMMYFUNCTION("""COMPUTED_VALUE"""),408.14)</f>
        <v>408.14</v>
      </c>
      <c r="E2649" s="2">
        <f>IFERROR(__xludf.DUMMYFUNCTION("""COMPUTED_VALUE"""),414.31)</f>
        <v>414.31</v>
      </c>
      <c r="F2649" s="2">
        <f>IFERROR(__xludf.DUMMYFUNCTION("""COMPUTED_VALUE"""),2406954.0)</f>
        <v>2406954</v>
      </c>
    </row>
    <row r="2650">
      <c r="A2650" s="3">
        <f>IFERROR(__xludf.DUMMYFUNCTION("""COMPUTED_VALUE"""),41341.645833333336)</f>
        <v>41341.64583</v>
      </c>
      <c r="B2650" s="2">
        <f>IFERROR(__xludf.DUMMYFUNCTION("""COMPUTED_VALUE"""),417.53)</f>
        <v>417.53</v>
      </c>
      <c r="C2650" s="2">
        <f>IFERROR(__xludf.DUMMYFUNCTION("""COMPUTED_VALUE"""),423.32)</f>
        <v>423.32</v>
      </c>
      <c r="D2650" s="2">
        <f>IFERROR(__xludf.DUMMYFUNCTION("""COMPUTED_VALUE"""),416.04)</f>
        <v>416.04</v>
      </c>
      <c r="E2650" s="2">
        <f>IFERROR(__xludf.DUMMYFUNCTION("""COMPUTED_VALUE"""),421.64)</f>
        <v>421.64</v>
      </c>
      <c r="F2650" s="2">
        <f>IFERROR(__xludf.DUMMYFUNCTION("""COMPUTED_VALUE"""),2315993.0)</f>
        <v>2315993</v>
      </c>
    </row>
    <row r="2651">
      <c r="A2651" s="3">
        <f>IFERROR(__xludf.DUMMYFUNCTION("""COMPUTED_VALUE"""),41344.645833333336)</f>
        <v>41344.64583</v>
      </c>
      <c r="B2651" s="2">
        <f>IFERROR(__xludf.DUMMYFUNCTION("""COMPUTED_VALUE"""),422.03)</f>
        <v>422.03</v>
      </c>
      <c r="C2651" s="2">
        <f>IFERROR(__xludf.DUMMYFUNCTION("""COMPUTED_VALUE"""),426.24)</f>
        <v>426.24</v>
      </c>
      <c r="D2651" s="2">
        <f>IFERROR(__xludf.DUMMYFUNCTION("""COMPUTED_VALUE"""),416.07)</f>
        <v>416.07</v>
      </c>
      <c r="E2651" s="2">
        <f>IFERROR(__xludf.DUMMYFUNCTION("""COMPUTED_VALUE"""),418.27)</f>
        <v>418.27</v>
      </c>
      <c r="F2651" s="2">
        <f>IFERROR(__xludf.DUMMYFUNCTION("""COMPUTED_VALUE"""),2415898.0)</f>
        <v>2415898</v>
      </c>
    </row>
    <row r="2652">
      <c r="A2652" s="3">
        <f>IFERROR(__xludf.DUMMYFUNCTION("""COMPUTED_VALUE"""),41345.645833333336)</f>
        <v>41345.64583</v>
      </c>
      <c r="B2652" s="2">
        <f>IFERROR(__xludf.DUMMYFUNCTION("""COMPUTED_VALUE"""),421.24)</f>
        <v>421.24</v>
      </c>
      <c r="C2652" s="2">
        <f>IFERROR(__xludf.DUMMYFUNCTION("""COMPUTED_VALUE"""),423.22)</f>
        <v>423.22</v>
      </c>
      <c r="D2652" s="2">
        <f>IFERROR(__xludf.DUMMYFUNCTION("""COMPUTED_VALUE"""),417.8)</f>
        <v>417.8</v>
      </c>
      <c r="E2652" s="2">
        <f>IFERROR(__xludf.DUMMYFUNCTION("""COMPUTED_VALUE"""),419.93)</f>
        <v>419.93</v>
      </c>
      <c r="F2652" s="2">
        <f>IFERROR(__xludf.DUMMYFUNCTION("""COMPUTED_VALUE"""),1954963.0)</f>
        <v>1954963</v>
      </c>
    </row>
    <row r="2653">
      <c r="A2653" s="3">
        <f>IFERROR(__xludf.DUMMYFUNCTION("""COMPUTED_VALUE"""),41346.645833333336)</f>
        <v>41346.64583</v>
      </c>
      <c r="B2653" s="2">
        <f>IFERROR(__xludf.DUMMYFUNCTION("""COMPUTED_VALUE"""),417.13)</f>
        <v>417.13</v>
      </c>
      <c r="C2653" s="2">
        <f>IFERROR(__xludf.DUMMYFUNCTION("""COMPUTED_VALUE"""),424.26)</f>
        <v>424.26</v>
      </c>
      <c r="D2653" s="2">
        <f>IFERROR(__xludf.DUMMYFUNCTION("""COMPUTED_VALUE"""),416.14)</f>
        <v>416.14</v>
      </c>
      <c r="E2653" s="2">
        <f>IFERROR(__xludf.DUMMYFUNCTION("""COMPUTED_VALUE"""),418.52)</f>
        <v>418.52</v>
      </c>
      <c r="F2653" s="2">
        <f>IFERROR(__xludf.DUMMYFUNCTION("""COMPUTED_VALUE"""),2149116.0)</f>
        <v>2149116</v>
      </c>
    </row>
    <row r="2654">
      <c r="A2654" s="3">
        <f>IFERROR(__xludf.DUMMYFUNCTION("""COMPUTED_VALUE"""),41347.645833333336)</f>
        <v>41347.64583</v>
      </c>
      <c r="B2654" s="2">
        <f>IFERROR(__xludf.DUMMYFUNCTION("""COMPUTED_VALUE"""),418.02)</f>
        <v>418.02</v>
      </c>
      <c r="C2654" s="2">
        <f>IFERROR(__xludf.DUMMYFUNCTION("""COMPUTED_VALUE"""),427.66)</f>
        <v>427.66</v>
      </c>
      <c r="D2654" s="2">
        <f>IFERROR(__xludf.DUMMYFUNCTION("""COMPUTED_VALUE"""),413.69)</f>
        <v>413.69</v>
      </c>
      <c r="E2654" s="2">
        <f>IFERROR(__xludf.DUMMYFUNCTION("""COMPUTED_VALUE"""),425.97)</f>
        <v>425.97</v>
      </c>
      <c r="F2654" s="2">
        <f>IFERROR(__xludf.DUMMYFUNCTION("""COMPUTED_VALUE"""),3380827.0)</f>
        <v>3380827</v>
      </c>
    </row>
    <row r="2655">
      <c r="A2655" s="3">
        <f>IFERROR(__xludf.DUMMYFUNCTION("""COMPUTED_VALUE"""),41348.645833333336)</f>
        <v>41348.64583</v>
      </c>
      <c r="B2655" s="2">
        <f>IFERROR(__xludf.DUMMYFUNCTION("""COMPUTED_VALUE"""),428.3)</f>
        <v>428.3</v>
      </c>
      <c r="C2655" s="2">
        <f>IFERROR(__xludf.DUMMYFUNCTION("""COMPUTED_VALUE"""),430.6)</f>
        <v>430.6</v>
      </c>
      <c r="D2655" s="2">
        <f>IFERROR(__xludf.DUMMYFUNCTION("""COMPUTED_VALUE"""),415.2)</f>
        <v>415.2</v>
      </c>
      <c r="E2655" s="2">
        <f>IFERROR(__xludf.DUMMYFUNCTION("""COMPUTED_VALUE"""),417.85)</f>
        <v>417.85</v>
      </c>
      <c r="F2655" s="2">
        <f>IFERROR(__xludf.DUMMYFUNCTION("""COMPUTED_VALUE"""),2924340.0)</f>
        <v>2924340</v>
      </c>
    </row>
    <row r="2656">
      <c r="A2656" s="3">
        <f>IFERROR(__xludf.DUMMYFUNCTION("""COMPUTED_VALUE"""),41351.645833333336)</f>
        <v>41351.64583</v>
      </c>
      <c r="B2656" s="2">
        <f>IFERROR(__xludf.DUMMYFUNCTION("""COMPUTED_VALUE"""),413.56)</f>
        <v>413.56</v>
      </c>
      <c r="C2656" s="2">
        <f>IFERROR(__xludf.DUMMYFUNCTION("""COMPUTED_VALUE"""),417.77)</f>
        <v>417.77</v>
      </c>
      <c r="D2656" s="2">
        <f>IFERROR(__xludf.DUMMYFUNCTION("""COMPUTED_VALUE"""),411.48)</f>
        <v>411.48</v>
      </c>
      <c r="E2656" s="2">
        <f>IFERROR(__xludf.DUMMYFUNCTION("""COMPUTED_VALUE"""),413.22)</f>
        <v>413.22</v>
      </c>
      <c r="F2656" s="2">
        <f>IFERROR(__xludf.DUMMYFUNCTION("""COMPUTED_VALUE"""),1833998.0)</f>
        <v>1833998</v>
      </c>
    </row>
    <row r="2657">
      <c r="A2657" s="3">
        <f>IFERROR(__xludf.DUMMYFUNCTION("""COMPUTED_VALUE"""),41352.645833333336)</f>
        <v>41352.64583</v>
      </c>
      <c r="B2657" s="2">
        <f>IFERROR(__xludf.DUMMYFUNCTION("""COMPUTED_VALUE"""),414.36)</f>
        <v>414.36</v>
      </c>
      <c r="C2657" s="2">
        <f>IFERROR(__xludf.DUMMYFUNCTION("""COMPUTED_VALUE"""),415.55)</f>
        <v>415.55</v>
      </c>
      <c r="D2657" s="2">
        <f>IFERROR(__xludf.DUMMYFUNCTION("""COMPUTED_VALUE"""),402.12)</f>
        <v>402.12</v>
      </c>
      <c r="E2657" s="2">
        <f>IFERROR(__xludf.DUMMYFUNCTION("""COMPUTED_VALUE"""),408.61)</f>
        <v>408.61</v>
      </c>
      <c r="F2657" s="2">
        <f>IFERROR(__xludf.DUMMYFUNCTION("""COMPUTED_VALUE"""),4107716.0)</f>
        <v>4107716</v>
      </c>
    </row>
    <row r="2658">
      <c r="A2658" s="3">
        <f>IFERROR(__xludf.DUMMYFUNCTION("""COMPUTED_VALUE"""),41353.645833333336)</f>
        <v>41353.64583</v>
      </c>
      <c r="B2658" s="2">
        <f>IFERROR(__xludf.DUMMYFUNCTION("""COMPUTED_VALUE"""),410.79)</f>
        <v>410.79</v>
      </c>
      <c r="C2658" s="2">
        <f>IFERROR(__xludf.DUMMYFUNCTION("""COMPUTED_VALUE"""),410.99)</f>
        <v>410.99</v>
      </c>
      <c r="D2658" s="2">
        <f>IFERROR(__xludf.DUMMYFUNCTION("""COMPUTED_VALUE"""),402.84)</f>
        <v>402.84</v>
      </c>
      <c r="E2658" s="2">
        <f>IFERROR(__xludf.DUMMYFUNCTION("""COMPUTED_VALUE"""),407.47)</f>
        <v>407.47</v>
      </c>
      <c r="F2658" s="2">
        <f>IFERROR(__xludf.DUMMYFUNCTION("""COMPUTED_VALUE"""),4612611.0)</f>
        <v>4612611</v>
      </c>
    </row>
    <row r="2659">
      <c r="A2659" s="3">
        <f>IFERROR(__xludf.DUMMYFUNCTION("""COMPUTED_VALUE"""),41354.645833333336)</f>
        <v>41354.64583</v>
      </c>
      <c r="B2659" s="2">
        <f>IFERROR(__xludf.DUMMYFUNCTION("""COMPUTED_VALUE"""),408.61)</f>
        <v>408.61</v>
      </c>
      <c r="C2659" s="2">
        <f>IFERROR(__xludf.DUMMYFUNCTION("""COMPUTED_VALUE"""),412.47)</f>
        <v>412.47</v>
      </c>
      <c r="D2659" s="2">
        <f>IFERROR(__xludf.DUMMYFUNCTION("""COMPUTED_VALUE"""),398.58)</f>
        <v>398.58</v>
      </c>
      <c r="E2659" s="2">
        <f>IFERROR(__xludf.DUMMYFUNCTION("""COMPUTED_VALUE"""),402.47)</f>
        <v>402.47</v>
      </c>
      <c r="F2659" s="2">
        <f>IFERROR(__xludf.DUMMYFUNCTION("""COMPUTED_VALUE"""),3808222.0)</f>
        <v>3808222</v>
      </c>
    </row>
    <row r="2660">
      <c r="A2660" s="3">
        <f>IFERROR(__xludf.DUMMYFUNCTION("""COMPUTED_VALUE"""),41355.645833333336)</f>
        <v>41355.64583</v>
      </c>
      <c r="B2660" s="2">
        <f>IFERROR(__xludf.DUMMYFUNCTION("""COMPUTED_VALUE"""),400.34)</f>
        <v>400.34</v>
      </c>
      <c r="C2660" s="2">
        <f>IFERROR(__xludf.DUMMYFUNCTION("""COMPUTED_VALUE"""),406.63)</f>
        <v>406.63</v>
      </c>
      <c r="D2660" s="2">
        <f>IFERROR(__xludf.DUMMYFUNCTION("""COMPUTED_VALUE"""),398.38)</f>
        <v>398.38</v>
      </c>
      <c r="E2660" s="2">
        <f>IFERROR(__xludf.DUMMYFUNCTION("""COMPUTED_VALUE"""),401.48)</f>
        <v>401.48</v>
      </c>
      <c r="F2660" s="2">
        <f>IFERROR(__xludf.DUMMYFUNCTION("""COMPUTED_VALUE"""),2714879.0)</f>
        <v>2714879</v>
      </c>
    </row>
    <row r="2661">
      <c r="A2661" s="3">
        <f>IFERROR(__xludf.DUMMYFUNCTION("""COMPUTED_VALUE"""),41358.645833333336)</f>
        <v>41358.64583</v>
      </c>
      <c r="B2661" s="2">
        <f>IFERROR(__xludf.DUMMYFUNCTION("""COMPUTED_VALUE"""),406.43)</f>
        <v>406.43</v>
      </c>
      <c r="C2661" s="2">
        <f>IFERROR(__xludf.DUMMYFUNCTION("""COMPUTED_VALUE"""),407.79)</f>
        <v>407.79</v>
      </c>
      <c r="D2661" s="2">
        <f>IFERROR(__xludf.DUMMYFUNCTION("""COMPUTED_VALUE"""),397.34)</f>
        <v>397.34</v>
      </c>
      <c r="E2661" s="2">
        <f>IFERROR(__xludf.DUMMYFUNCTION("""COMPUTED_VALUE"""),400.81)</f>
        <v>400.81</v>
      </c>
      <c r="F2661" s="2">
        <f>IFERROR(__xludf.DUMMYFUNCTION("""COMPUTED_VALUE"""),3213575.0)</f>
        <v>3213575</v>
      </c>
    </row>
    <row r="2662">
      <c r="A2662" s="3">
        <f>IFERROR(__xludf.DUMMYFUNCTION("""COMPUTED_VALUE"""),41359.645833333336)</f>
        <v>41359.64583</v>
      </c>
      <c r="B2662" s="2">
        <f>IFERROR(__xludf.DUMMYFUNCTION("""COMPUTED_VALUE"""),397.47)</f>
        <v>397.47</v>
      </c>
      <c r="C2662" s="2">
        <f>IFERROR(__xludf.DUMMYFUNCTION("""COMPUTED_VALUE"""),398.71)</f>
        <v>398.71</v>
      </c>
      <c r="D2662" s="2">
        <f>IFERROR(__xludf.DUMMYFUNCTION("""COMPUTED_VALUE"""),386.32)</f>
        <v>386.32</v>
      </c>
      <c r="E2662" s="2">
        <f>IFERROR(__xludf.DUMMYFUNCTION("""COMPUTED_VALUE"""),387.98)</f>
        <v>387.98</v>
      </c>
      <c r="F2662" s="2">
        <f>IFERROR(__xludf.DUMMYFUNCTION("""COMPUTED_VALUE"""),4449515.0)</f>
        <v>4449515</v>
      </c>
    </row>
    <row r="2663">
      <c r="A2663" s="3">
        <f>IFERROR(__xludf.DUMMYFUNCTION("""COMPUTED_VALUE"""),41361.645833333336)</f>
        <v>41361.64583</v>
      </c>
      <c r="B2663" s="2">
        <f>IFERROR(__xludf.DUMMYFUNCTION("""COMPUTED_VALUE"""),388.8)</f>
        <v>388.8</v>
      </c>
      <c r="C2663" s="2">
        <f>IFERROR(__xludf.DUMMYFUNCTION("""COMPUTED_VALUE"""),389.27)</f>
        <v>389.27</v>
      </c>
      <c r="D2663" s="2">
        <f>IFERROR(__xludf.DUMMYFUNCTION("""COMPUTED_VALUE"""),378.6)</f>
        <v>378.6</v>
      </c>
      <c r="E2663" s="2">
        <f>IFERROR(__xludf.DUMMYFUNCTION("""COMPUTED_VALUE"""),382.81)</f>
        <v>382.81</v>
      </c>
      <c r="F2663" s="2">
        <f>IFERROR(__xludf.DUMMYFUNCTION("""COMPUTED_VALUE"""),6060564.0)</f>
        <v>6060564</v>
      </c>
    </row>
    <row r="2664">
      <c r="A2664" s="3">
        <f>IFERROR(__xludf.DUMMYFUNCTION("""COMPUTED_VALUE"""),41365.645833333336)</f>
        <v>41365.64583</v>
      </c>
      <c r="B2664" s="2">
        <f>IFERROR(__xludf.DUMMYFUNCTION("""COMPUTED_VALUE"""),386.82)</f>
        <v>386.82</v>
      </c>
      <c r="C2664" s="2">
        <f>IFERROR(__xludf.DUMMYFUNCTION("""COMPUTED_VALUE"""),391.67)</f>
        <v>391.67</v>
      </c>
      <c r="D2664" s="2">
        <f>IFERROR(__xludf.DUMMYFUNCTION("""COMPUTED_VALUE"""),383.25)</f>
        <v>383.25</v>
      </c>
      <c r="E2664" s="2">
        <f>IFERROR(__xludf.DUMMYFUNCTION("""COMPUTED_VALUE"""),385.7)</f>
        <v>385.7</v>
      </c>
      <c r="F2664" s="2">
        <f>IFERROR(__xludf.DUMMYFUNCTION("""COMPUTED_VALUE"""),1903323.0)</f>
        <v>1903323</v>
      </c>
    </row>
    <row r="2665">
      <c r="A2665" s="3">
        <f>IFERROR(__xludf.DUMMYFUNCTION("""COMPUTED_VALUE"""),41366.645833333336)</f>
        <v>41366.64583</v>
      </c>
      <c r="B2665" s="2">
        <f>IFERROR(__xludf.DUMMYFUNCTION("""COMPUTED_VALUE"""),386.42)</f>
        <v>386.42</v>
      </c>
      <c r="C2665" s="2">
        <f>IFERROR(__xludf.DUMMYFUNCTION("""COMPUTED_VALUE"""),394.5)</f>
        <v>394.5</v>
      </c>
      <c r="D2665" s="2">
        <f>IFERROR(__xludf.DUMMYFUNCTION("""COMPUTED_VALUE"""),385.48)</f>
        <v>385.48</v>
      </c>
      <c r="E2665" s="2">
        <f>IFERROR(__xludf.DUMMYFUNCTION("""COMPUTED_VALUE"""),393.21)</f>
        <v>393.21</v>
      </c>
      <c r="F2665" s="2">
        <f>IFERROR(__xludf.DUMMYFUNCTION("""COMPUTED_VALUE"""),2539732.0)</f>
        <v>2539732</v>
      </c>
    </row>
    <row r="2666">
      <c r="A2666" s="3">
        <f>IFERROR(__xludf.DUMMYFUNCTION("""COMPUTED_VALUE"""),41367.645833333336)</f>
        <v>41367.64583</v>
      </c>
      <c r="B2666" s="2">
        <f>IFERROR(__xludf.DUMMYFUNCTION("""COMPUTED_VALUE"""),395.14)</f>
        <v>395.14</v>
      </c>
      <c r="C2666" s="2">
        <f>IFERROR(__xludf.DUMMYFUNCTION("""COMPUTED_VALUE"""),395.73)</f>
        <v>395.73</v>
      </c>
      <c r="D2666" s="2">
        <f>IFERROR(__xludf.DUMMYFUNCTION("""COMPUTED_VALUE"""),381.87)</f>
        <v>381.87</v>
      </c>
      <c r="E2666" s="2">
        <f>IFERROR(__xludf.DUMMYFUNCTION("""COMPUTED_VALUE"""),384.62)</f>
        <v>384.62</v>
      </c>
      <c r="F2666" s="2">
        <f>IFERROR(__xludf.DUMMYFUNCTION("""COMPUTED_VALUE"""),2130749.0)</f>
        <v>2130749</v>
      </c>
    </row>
    <row r="2667">
      <c r="A2667" s="3">
        <f>IFERROR(__xludf.DUMMYFUNCTION("""COMPUTED_VALUE"""),41368.645833333336)</f>
        <v>41368.64583</v>
      </c>
      <c r="B2667" s="2">
        <f>IFERROR(__xludf.DUMMYFUNCTION("""COMPUTED_VALUE"""),382.61)</f>
        <v>382.61</v>
      </c>
      <c r="C2667" s="2">
        <f>IFERROR(__xludf.DUMMYFUNCTION("""COMPUTED_VALUE"""),385.31)</f>
        <v>385.31</v>
      </c>
      <c r="D2667" s="2">
        <f>IFERROR(__xludf.DUMMYFUNCTION("""COMPUTED_VALUE"""),378.5)</f>
        <v>378.5</v>
      </c>
      <c r="E2667" s="2">
        <f>IFERROR(__xludf.DUMMYFUNCTION("""COMPUTED_VALUE"""),380.16)</f>
        <v>380.16</v>
      </c>
      <c r="F2667" s="2">
        <f>IFERROR(__xludf.DUMMYFUNCTION("""COMPUTED_VALUE"""),2723719.0)</f>
        <v>2723719</v>
      </c>
    </row>
    <row r="2668">
      <c r="A2668" s="3">
        <f>IFERROR(__xludf.DUMMYFUNCTION("""COMPUTED_VALUE"""),41369.645833333336)</f>
        <v>41369.64583</v>
      </c>
      <c r="B2668" s="2">
        <f>IFERROR(__xludf.DUMMYFUNCTION("""COMPUTED_VALUE"""),380.88)</f>
        <v>380.88</v>
      </c>
      <c r="C2668" s="2">
        <f>IFERROR(__xludf.DUMMYFUNCTION("""COMPUTED_VALUE"""),387.51)</f>
        <v>387.51</v>
      </c>
      <c r="D2668" s="2">
        <f>IFERROR(__xludf.DUMMYFUNCTION("""COMPUTED_VALUE"""),380.23)</f>
        <v>380.23</v>
      </c>
      <c r="E2668" s="2">
        <f>IFERROR(__xludf.DUMMYFUNCTION("""COMPUTED_VALUE"""),386.37)</f>
        <v>386.37</v>
      </c>
      <c r="F2668" s="2">
        <f>IFERROR(__xludf.DUMMYFUNCTION("""COMPUTED_VALUE"""),2969243.0)</f>
        <v>2969243</v>
      </c>
    </row>
    <row r="2669">
      <c r="A2669" s="3">
        <f>IFERROR(__xludf.DUMMYFUNCTION("""COMPUTED_VALUE"""),41372.645833333336)</f>
        <v>41372.64583</v>
      </c>
      <c r="B2669" s="2">
        <f>IFERROR(__xludf.DUMMYFUNCTION("""COMPUTED_VALUE"""),385.38)</f>
        <v>385.38</v>
      </c>
      <c r="C2669" s="2">
        <f>IFERROR(__xludf.DUMMYFUNCTION("""COMPUTED_VALUE"""),393.43)</f>
        <v>393.43</v>
      </c>
      <c r="D2669" s="2">
        <f>IFERROR(__xludf.DUMMYFUNCTION("""COMPUTED_VALUE"""),385.33)</f>
        <v>385.33</v>
      </c>
      <c r="E2669" s="2">
        <f>IFERROR(__xludf.DUMMYFUNCTION("""COMPUTED_VALUE"""),390.98)</f>
        <v>390.98</v>
      </c>
      <c r="F2669" s="2">
        <f>IFERROR(__xludf.DUMMYFUNCTION("""COMPUTED_VALUE"""),2029499.0)</f>
        <v>2029499</v>
      </c>
    </row>
    <row r="2670">
      <c r="A2670" s="3">
        <f>IFERROR(__xludf.DUMMYFUNCTION("""COMPUTED_VALUE"""),41373.645833333336)</f>
        <v>41373.64583</v>
      </c>
      <c r="B2670" s="2">
        <f>IFERROR(__xludf.DUMMYFUNCTION("""COMPUTED_VALUE"""),392.32)</f>
        <v>392.32</v>
      </c>
      <c r="C2670" s="2">
        <f>IFERROR(__xludf.DUMMYFUNCTION("""COMPUTED_VALUE"""),394.05)</f>
        <v>394.05</v>
      </c>
      <c r="D2670" s="2">
        <f>IFERROR(__xludf.DUMMYFUNCTION("""COMPUTED_VALUE"""),381.92)</f>
        <v>381.92</v>
      </c>
      <c r="E2670" s="2">
        <f>IFERROR(__xludf.DUMMYFUNCTION("""COMPUTED_VALUE"""),384.81)</f>
        <v>384.81</v>
      </c>
      <c r="F2670" s="2">
        <f>IFERROR(__xludf.DUMMYFUNCTION("""COMPUTED_VALUE"""),2990299.0)</f>
        <v>2990299</v>
      </c>
    </row>
    <row r="2671">
      <c r="A2671" s="3">
        <f>IFERROR(__xludf.DUMMYFUNCTION("""COMPUTED_VALUE"""),41374.645833333336)</f>
        <v>41374.64583</v>
      </c>
      <c r="B2671" s="2">
        <f>IFERROR(__xludf.DUMMYFUNCTION("""COMPUTED_VALUE"""),386.37)</f>
        <v>386.37</v>
      </c>
      <c r="C2671" s="2">
        <f>IFERROR(__xludf.DUMMYFUNCTION("""COMPUTED_VALUE"""),388.28)</f>
        <v>388.28</v>
      </c>
      <c r="D2671" s="2">
        <f>IFERROR(__xludf.DUMMYFUNCTION("""COMPUTED_VALUE"""),382.16)</f>
        <v>382.16</v>
      </c>
      <c r="E2671" s="2">
        <f>IFERROR(__xludf.DUMMYFUNCTION("""COMPUTED_VALUE"""),386.03)</f>
        <v>386.03</v>
      </c>
      <c r="F2671" s="2">
        <f>IFERROR(__xludf.DUMMYFUNCTION("""COMPUTED_VALUE"""),2786488.0)</f>
        <v>2786488</v>
      </c>
    </row>
    <row r="2672">
      <c r="A2672" s="3">
        <f>IFERROR(__xludf.DUMMYFUNCTION("""COMPUTED_VALUE"""),41375.645833333336)</f>
        <v>41375.64583</v>
      </c>
      <c r="B2672" s="2">
        <f>IFERROR(__xludf.DUMMYFUNCTION("""COMPUTED_VALUE"""),388.3)</f>
        <v>388.3</v>
      </c>
      <c r="C2672" s="2">
        <f>IFERROR(__xludf.DUMMYFUNCTION("""COMPUTED_VALUE"""),388.85)</f>
        <v>388.85</v>
      </c>
      <c r="D2672" s="2">
        <f>IFERROR(__xludf.DUMMYFUNCTION("""COMPUTED_VALUE"""),378.47)</f>
        <v>378.47</v>
      </c>
      <c r="E2672" s="2">
        <f>IFERROR(__xludf.DUMMYFUNCTION("""COMPUTED_VALUE"""),381.92)</f>
        <v>381.92</v>
      </c>
      <c r="F2672" s="2">
        <f>IFERROR(__xludf.DUMMYFUNCTION("""COMPUTED_VALUE"""),2612370.0)</f>
        <v>2612370</v>
      </c>
    </row>
    <row r="2673">
      <c r="A2673" s="3">
        <f>IFERROR(__xludf.DUMMYFUNCTION("""COMPUTED_VALUE"""),41376.645833333336)</f>
        <v>41376.64583</v>
      </c>
      <c r="B2673" s="2">
        <f>IFERROR(__xludf.DUMMYFUNCTION("""COMPUTED_VALUE"""),379.89)</f>
        <v>379.89</v>
      </c>
      <c r="C2673" s="2">
        <f>IFERROR(__xludf.DUMMYFUNCTION("""COMPUTED_VALUE"""),386.52)</f>
        <v>386.52</v>
      </c>
      <c r="D2673" s="2">
        <f>IFERROR(__xludf.DUMMYFUNCTION("""COMPUTED_VALUE"""),378.89)</f>
        <v>378.89</v>
      </c>
      <c r="E2673" s="2">
        <f>IFERROR(__xludf.DUMMYFUNCTION("""COMPUTED_VALUE"""),384.02)</f>
        <v>384.02</v>
      </c>
      <c r="F2673" s="2">
        <f>IFERROR(__xludf.DUMMYFUNCTION("""COMPUTED_VALUE"""),2594372.0)</f>
        <v>2594372</v>
      </c>
    </row>
    <row r="2674">
      <c r="A2674" s="3">
        <f>IFERROR(__xludf.DUMMYFUNCTION("""COMPUTED_VALUE"""),41379.645833333336)</f>
        <v>41379.64583</v>
      </c>
      <c r="B2674" s="2">
        <f>IFERROR(__xludf.DUMMYFUNCTION("""COMPUTED_VALUE"""),382.88)</f>
        <v>382.88</v>
      </c>
      <c r="C2674" s="2">
        <f>IFERROR(__xludf.DUMMYFUNCTION("""COMPUTED_VALUE"""),396.2)</f>
        <v>396.2</v>
      </c>
      <c r="D2674" s="2">
        <f>IFERROR(__xludf.DUMMYFUNCTION("""COMPUTED_VALUE"""),382.88)</f>
        <v>382.88</v>
      </c>
      <c r="E2674" s="2">
        <f>IFERROR(__xludf.DUMMYFUNCTION("""COMPUTED_VALUE"""),393.06)</f>
        <v>393.06</v>
      </c>
      <c r="F2674" s="2">
        <f>IFERROR(__xludf.DUMMYFUNCTION("""COMPUTED_VALUE"""),3699483.0)</f>
        <v>3699483</v>
      </c>
    </row>
    <row r="2675">
      <c r="A2675" s="3">
        <f>IFERROR(__xludf.DUMMYFUNCTION("""COMPUTED_VALUE"""),41380.645833333336)</f>
        <v>41380.64583</v>
      </c>
      <c r="B2675" s="2">
        <f>IFERROR(__xludf.DUMMYFUNCTION("""COMPUTED_VALUE"""),394.74)</f>
        <v>394.74</v>
      </c>
      <c r="C2675" s="2">
        <f>IFERROR(__xludf.DUMMYFUNCTION("""COMPUTED_VALUE"""),401.18)</f>
        <v>401.18</v>
      </c>
      <c r="D2675" s="2">
        <f>IFERROR(__xludf.DUMMYFUNCTION("""COMPUTED_VALUE"""),389.0)</f>
        <v>389</v>
      </c>
      <c r="E2675" s="2">
        <f>IFERROR(__xludf.DUMMYFUNCTION("""COMPUTED_VALUE"""),398.68)</f>
        <v>398.68</v>
      </c>
      <c r="F2675" s="2">
        <f>IFERROR(__xludf.DUMMYFUNCTION("""COMPUTED_VALUE"""),4062976.0)</f>
        <v>4062976</v>
      </c>
    </row>
    <row r="2676">
      <c r="A2676" s="3">
        <f>IFERROR(__xludf.DUMMYFUNCTION("""COMPUTED_VALUE"""),41381.645833333336)</f>
        <v>41381.64583</v>
      </c>
      <c r="B2676" s="2">
        <f>IFERROR(__xludf.DUMMYFUNCTION("""COMPUTED_VALUE"""),399.13)</f>
        <v>399.13</v>
      </c>
      <c r="C2676" s="2">
        <f>IFERROR(__xludf.DUMMYFUNCTION("""COMPUTED_VALUE"""),400.98)</f>
        <v>400.98</v>
      </c>
      <c r="D2676" s="2">
        <f>IFERROR(__xludf.DUMMYFUNCTION("""COMPUTED_VALUE"""),380.97)</f>
        <v>380.97</v>
      </c>
      <c r="E2676" s="2">
        <f>IFERROR(__xludf.DUMMYFUNCTION("""COMPUTED_VALUE"""),383.2)</f>
        <v>383.2</v>
      </c>
      <c r="F2676" s="2">
        <f>IFERROR(__xludf.DUMMYFUNCTION("""COMPUTED_VALUE"""),7338828.0)</f>
        <v>7338828</v>
      </c>
    </row>
    <row r="2677">
      <c r="A2677" s="3">
        <f>IFERROR(__xludf.DUMMYFUNCTION("""COMPUTED_VALUE"""),41382.645833333336)</f>
        <v>41382.64583</v>
      </c>
      <c r="B2677" s="2">
        <f>IFERROR(__xludf.DUMMYFUNCTION("""COMPUTED_VALUE"""),384.59)</f>
        <v>384.59</v>
      </c>
      <c r="C2677" s="2">
        <f>IFERROR(__xludf.DUMMYFUNCTION("""COMPUTED_VALUE"""),388.9)</f>
        <v>388.9</v>
      </c>
      <c r="D2677" s="2">
        <f>IFERROR(__xludf.DUMMYFUNCTION("""COMPUTED_VALUE"""),382.68)</f>
        <v>382.68</v>
      </c>
      <c r="E2677" s="2">
        <f>IFERROR(__xludf.DUMMYFUNCTION("""COMPUTED_VALUE"""),387.12)</f>
        <v>387.12</v>
      </c>
      <c r="F2677" s="2">
        <f>IFERROR(__xludf.DUMMYFUNCTION("""COMPUTED_VALUE"""),3152921.0)</f>
        <v>3152921</v>
      </c>
    </row>
    <row r="2678">
      <c r="A2678" s="3">
        <f>IFERROR(__xludf.DUMMYFUNCTION("""COMPUTED_VALUE"""),41386.645833333336)</f>
        <v>41386.64583</v>
      </c>
      <c r="B2678" s="2">
        <f>IFERROR(__xludf.DUMMYFUNCTION("""COMPUTED_VALUE"""),389.3)</f>
        <v>389.3</v>
      </c>
      <c r="C2678" s="2">
        <f>IFERROR(__xludf.DUMMYFUNCTION("""COMPUTED_VALUE"""),393.6)</f>
        <v>393.6</v>
      </c>
      <c r="D2678" s="2">
        <f>IFERROR(__xludf.DUMMYFUNCTION("""COMPUTED_VALUE"""),385.48)</f>
        <v>385.48</v>
      </c>
      <c r="E2678" s="2">
        <f>IFERROR(__xludf.DUMMYFUNCTION("""COMPUTED_VALUE"""),391.15)</f>
        <v>391.15</v>
      </c>
      <c r="F2678" s="2">
        <f>IFERROR(__xludf.DUMMYFUNCTION("""COMPUTED_VALUE"""),2923783.0)</f>
        <v>2923783</v>
      </c>
    </row>
    <row r="2679">
      <c r="A2679" s="3">
        <f>IFERROR(__xludf.DUMMYFUNCTION("""COMPUTED_VALUE"""),41387.645833333336)</f>
        <v>41387.64583</v>
      </c>
      <c r="B2679" s="2">
        <f>IFERROR(__xludf.DUMMYFUNCTION("""COMPUTED_VALUE"""),392.02)</f>
        <v>392.02</v>
      </c>
      <c r="C2679" s="2">
        <f>IFERROR(__xludf.DUMMYFUNCTION("""COMPUTED_VALUE"""),399.1)</f>
        <v>399.1</v>
      </c>
      <c r="D2679" s="2">
        <f>IFERROR(__xludf.DUMMYFUNCTION("""COMPUTED_VALUE"""),389.32)</f>
        <v>389.32</v>
      </c>
      <c r="E2679" s="2">
        <f>IFERROR(__xludf.DUMMYFUNCTION("""COMPUTED_VALUE"""),398.06)</f>
        <v>398.06</v>
      </c>
      <c r="F2679" s="2">
        <f>IFERROR(__xludf.DUMMYFUNCTION("""COMPUTED_VALUE"""),2824426.0)</f>
        <v>2824426</v>
      </c>
    </row>
    <row r="2680">
      <c r="A2680" s="3">
        <f>IFERROR(__xludf.DUMMYFUNCTION("""COMPUTED_VALUE"""),41389.645833333336)</f>
        <v>41389.64583</v>
      </c>
      <c r="B2680" s="2">
        <f>IFERROR(__xludf.DUMMYFUNCTION("""COMPUTED_VALUE"""),399.99)</f>
        <v>399.99</v>
      </c>
      <c r="C2680" s="2">
        <f>IFERROR(__xludf.DUMMYFUNCTION("""COMPUTED_VALUE"""),409.4)</f>
        <v>409.4</v>
      </c>
      <c r="D2680" s="2">
        <f>IFERROR(__xludf.DUMMYFUNCTION("""COMPUTED_VALUE"""),399.99)</f>
        <v>399.99</v>
      </c>
      <c r="E2680" s="2">
        <f>IFERROR(__xludf.DUMMYFUNCTION("""COMPUTED_VALUE"""),405.96)</f>
        <v>405.96</v>
      </c>
      <c r="F2680" s="2">
        <f>IFERROR(__xludf.DUMMYFUNCTION("""COMPUTED_VALUE"""),5925225.0)</f>
        <v>5925225</v>
      </c>
    </row>
    <row r="2681">
      <c r="A2681" s="3">
        <f>IFERROR(__xludf.DUMMYFUNCTION("""COMPUTED_VALUE"""),41390.645833333336)</f>
        <v>41390.64583</v>
      </c>
      <c r="B2681" s="2">
        <f>IFERROR(__xludf.DUMMYFUNCTION("""COMPUTED_VALUE"""),402.67)</f>
        <v>402.67</v>
      </c>
      <c r="C2681" s="2">
        <f>IFERROR(__xludf.DUMMYFUNCTION("""COMPUTED_VALUE"""),408.61)</f>
        <v>408.61</v>
      </c>
      <c r="D2681" s="2">
        <f>IFERROR(__xludf.DUMMYFUNCTION("""COMPUTED_VALUE"""),391.13)</f>
        <v>391.13</v>
      </c>
      <c r="E2681" s="2">
        <f>IFERROR(__xludf.DUMMYFUNCTION("""COMPUTED_VALUE"""),392.47)</f>
        <v>392.47</v>
      </c>
      <c r="F2681" s="2">
        <f>IFERROR(__xludf.DUMMYFUNCTION("""COMPUTED_VALUE"""),4766434.0)</f>
        <v>4766434</v>
      </c>
    </row>
    <row r="2682">
      <c r="A2682" s="3">
        <f>IFERROR(__xludf.DUMMYFUNCTION("""COMPUTED_VALUE"""),41393.645833333336)</f>
        <v>41393.64583</v>
      </c>
      <c r="B2682" s="2">
        <f>IFERROR(__xludf.DUMMYFUNCTION("""COMPUTED_VALUE"""),392.81)</f>
        <v>392.81</v>
      </c>
      <c r="C2682" s="2">
        <f>IFERROR(__xludf.DUMMYFUNCTION("""COMPUTED_VALUE"""),395.68)</f>
        <v>395.68</v>
      </c>
      <c r="D2682" s="2">
        <f>IFERROR(__xludf.DUMMYFUNCTION("""COMPUTED_VALUE"""),390.51)</f>
        <v>390.51</v>
      </c>
      <c r="E2682" s="2">
        <f>IFERROR(__xludf.DUMMYFUNCTION("""COMPUTED_VALUE"""),392.59)</f>
        <v>392.59</v>
      </c>
      <c r="F2682" s="2">
        <f>IFERROR(__xludf.DUMMYFUNCTION("""COMPUTED_VALUE"""),4793061.0)</f>
        <v>4793061</v>
      </c>
    </row>
    <row r="2683">
      <c r="A2683" s="3">
        <f>IFERROR(__xludf.DUMMYFUNCTION("""COMPUTED_VALUE"""),41394.645833333336)</f>
        <v>41394.64583</v>
      </c>
      <c r="B2683" s="2">
        <f>IFERROR(__xludf.DUMMYFUNCTION("""COMPUTED_VALUE"""),393.08)</f>
        <v>393.08</v>
      </c>
      <c r="C2683" s="2">
        <f>IFERROR(__xludf.DUMMYFUNCTION("""COMPUTED_VALUE"""),394.57)</f>
        <v>394.57</v>
      </c>
      <c r="D2683" s="2">
        <f>IFERROR(__xludf.DUMMYFUNCTION("""COMPUTED_VALUE"""),384.91)</f>
        <v>384.91</v>
      </c>
      <c r="E2683" s="2">
        <f>IFERROR(__xludf.DUMMYFUNCTION("""COMPUTED_VALUE"""),390.39)</f>
        <v>390.39</v>
      </c>
      <c r="F2683" s="2">
        <f>IFERROR(__xludf.DUMMYFUNCTION("""COMPUTED_VALUE"""),4011397.0)</f>
        <v>4011397</v>
      </c>
    </row>
    <row r="2684">
      <c r="A2684" s="3">
        <f>IFERROR(__xludf.DUMMYFUNCTION("""COMPUTED_VALUE"""),41396.645833333336)</f>
        <v>41396.64583</v>
      </c>
      <c r="B2684" s="2">
        <f>IFERROR(__xludf.DUMMYFUNCTION("""COMPUTED_VALUE"""),389.99)</f>
        <v>389.99</v>
      </c>
      <c r="C2684" s="2">
        <f>IFERROR(__xludf.DUMMYFUNCTION("""COMPUTED_VALUE"""),399.7)</f>
        <v>399.7</v>
      </c>
      <c r="D2684" s="2">
        <f>IFERROR(__xludf.DUMMYFUNCTION("""COMPUTED_VALUE"""),388.01)</f>
        <v>388.01</v>
      </c>
      <c r="E2684" s="2">
        <f>IFERROR(__xludf.DUMMYFUNCTION("""COMPUTED_VALUE"""),397.67)</f>
        <v>397.67</v>
      </c>
      <c r="F2684" s="2">
        <f>IFERROR(__xludf.DUMMYFUNCTION("""COMPUTED_VALUE"""),6225752.0)</f>
        <v>6225752</v>
      </c>
    </row>
    <row r="2685">
      <c r="A2685" s="3">
        <f>IFERROR(__xludf.DUMMYFUNCTION("""COMPUTED_VALUE"""),41397.645833333336)</f>
        <v>41397.64583</v>
      </c>
      <c r="B2685" s="2">
        <f>IFERROR(__xludf.DUMMYFUNCTION("""COMPUTED_VALUE"""),397.72)</f>
        <v>397.72</v>
      </c>
      <c r="C2685" s="2">
        <f>IFERROR(__xludf.DUMMYFUNCTION("""COMPUTED_VALUE"""),404.1)</f>
        <v>404.1</v>
      </c>
      <c r="D2685" s="2">
        <f>IFERROR(__xludf.DUMMYFUNCTION("""COMPUTED_VALUE"""),393.7)</f>
        <v>393.7</v>
      </c>
      <c r="E2685" s="2">
        <f>IFERROR(__xludf.DUMMYFUNCTION("""COMPUTED_VALUE"""),396.48)</f>
        <v>396.48</v>
      </c>
      <c r="F2685" s="2">
        <f>IFERROR(__xludf.DUMMYFUNCTION("""COMPUTED_VALUE"""),2952640.0)</f>
        <v>2952640</v>
      </c>
    </row>
    <row r="2686">
      <c r="A2686" s="3">
        <f>IFERROR(__xludf.DUMMYFUNCTION("""COMPUTED_VALUE"""),41400.645833333336)</f>
        <v>41400.64583</v>
      </c>
      <c r="B2686" s="2">
        <f>IFERROR(__xludf.DUMMYFUNCTION("""COMPUTED_VALUE"""),397.32)</f>
        <v>397.32</v>
      </c>
      <c r="C2686" s="2">
        <f>IFERROR(__xludf.DUMMYFUNCTION("""COMPUTED_VALUE"""),408.59)</f>
        <v>408.59</v>
      </c>
      <c r="D2686" s="2">
        <f>IFERROR(__xludf.DUMMYFUNCTION("""COMPUTED_VALUE"""),397.32)</f>
        <v>397.32</v>
      </c>
      <c r="E2686" s="2">
        <f>IFERROR(__xludf.DUMMYFUNCTION("""COMPUTED_VALUE"""),406.93)</f>
        <v>406.93</v>
      </c>
      <c r="F2686" s="2">
        <f>IFERROR(__xludf.DUMMYFUNCTION("""COMPUTED_VALUE"""),2139146.0)</f>
        <v>2139146</v>
      </c>
    </row>
    <row r="2687">
      <c r="A2687" s="3">
        <f>IFERROR(__xludf.DUMMYFUNCTION("""COMPUTED_VALUE"""),41401.645833333336)</f>
        <v>41401.64583</v>
      </c>
      <c r="B2687" s="2">
        <f>IFERROR(__xludf.DUMMYFUNCTION("""COMPUTED_VALUE"""),406.88)</f>
        <v>406.88</v>
      </c>
      <c r="C2687" s="2">
        <f>IFERROR(__xludf.DUMMYFUNCTION("""COMPUTED_VALUE"""),414.01)</f>
        <v>414.01</v>
      </c>
      <c r="D2687" s="2">
        <f>IFERROR(__xludf.DUMMYFUNCTION("""COMPUTED_VALUE"""),405.96)</f>
        <v>405.96</v>
      </c>
      <c r="E2687" s="2">
        <f>IFERROR(__xludf.DUMMYFUNCTION("""COMPUTED_VALUE"""),410.17)</f>
        <v>410.17</v>
      </c>
      <c r="F2687" s="2">
        <f>IFERROR(__xludf.DUMMYFUNCTION("""COMPUTED_VALUE"""),3778450.0)</f>
        <v>3778450</v>
      </c>
    </row>
    <row r="2688">
      <c r="A2688" s="3">
        <f>IFERROR(__xludf.DUMMYFUNCTION("""COMPUTED_VALUE"""),41402.645833333336)</f>
        <v>41402.64583</v>
      </c>
      <c r="B2688" s="2">
        <f>IFERROR(__xludf.DUMMYFUNCTION("""COMPUTED_VALUE"""),411.14)</f>
        <v>411.14</v>
      </c>
      <c r="C2688" s="2">
        <f>IFERROR(__xludf.DUMMYFUNCTION("""COMPUTED_VALUE"""),412.52)</f>
        <v>412.52</v>
      </c>
      <c r="D2688" s="2">
        <f>IFERROR(__xludf.DUMMYFUNCTION("""COMPUTED_VALUE"""),407.15)</f>
        <v>407.15</v>
      </c>
      <c r="E2688" s="2">
        <f>IFERROR(__xludf.DUMMYFUNCTION("""COMPUTED_VALUE"""),410.91)</f>
        <v>410.91</v>
      </c>
      <c r="F2688" s="2">
        <f>IFERROR(__xludf.DUMMYFUNCTION("""COMPUTED_VALUE"""),2710630.0)</f>
        <v>2710630</v>
      </c>
    </row>
    <row r="2689">
      <c r="A2689" s="3">
        <f>IFERROR(__xludf.DUMMYFUNCTION("""COMPUTED_VALUE"""),41403.645833333336)</f>
        <v>41403.64583</v>
      </c>
      <c r="B2689" s="2">
        <f>IFERROR(__xludf.DUMMYFUNCTION("""COMPUTED_VALUE"""),410.3)</f>
        <v>410.3</v>
      </c>
      <c r="C2689" s="2">
        <f>IFERROR(__xludf.DUMMYFUNCTION("""COMPUTED_VALUE"""),411.91)</f>
        <v>411.91</v>
      </c>
      <c r="D2689" s="2">
        <f>IFERROR(__xludf.DUMMYFUNCTION("""COMPUTED_VALUE"""),403.66)</f>
        <v>403.66</v>
      </c>
      <c r="E2689" s="2">
        <f>IFERROR(__xludf.DUMMYFUNCTION("""COMPUTED_VALUE"""),405.19)</f>
        <v>405.19</v>
      </c>
      <c r="F2689" s="2">
        <f>IFERROR(__xludf.DUMMYFUNCTION("""COMPUTED_VALUE"""),1870391.0)</f>
        <v>1870391</v>
      </c>
    </row>
    <row r="2690">
      <c r="A2690" s="3">
        <f>IFERROR(__xludf.DUMMYFUNCTION("""COMPUTED_VALUE"""),41404.645833333336)</f>
        <v>41404.64583</v>
      </c>
      <c r="B2690" s="2">
        <f>IFERROR(__xludf.DUMMYFUNCTION("""COMPUTED_VALUE"""),403.51)</f>
        <v>403.51</v>
      </c>
      <c r="C2690" s="2">
        <f>IFERROR(__xludf.DUMMYFUNCTION("""COMPUTED_VALUE"""),406.38)</f>
        <v>406.38</v>
      </c>
      <c r="D2690" s="2">
        <f>IFERROR(__xludf.DUMMYFUNCTION("""COMPUTED_VALUE"""),400.79)</f>
        <v>400.79</v>
      </c>
      <c r="E2690" s="2">
        <f>IFERROR(__xludf.DUMMYFUNCTION("""COMPUTED_VALUE"""),402.64)</f>
        <v>402.64</v>
      </c>
      <c r="F2690" s="2">
        <f>IFERROR(__xludf.DUMMYFUNCTION("""COMPUTED_VALUE"""),2075931.0)</f>
        <v>2075931</v>
      </c>
    </row>
    <row r="2691">
      <c r="A2691" s="3">
        <f>IFERROR(__xludf.DUMMYFUNCTION("""COMPUTED_VALUE"""),41407.645833333336)</f>
        <v>41407.64583</v>
      </c>
      <c r="B2691" s="2">
        <f>IFERROR(__xludf.DUMMYFUNCTION("""COMPUTED_VALUE"""),402.84)</f>
        <v>402.84</v>
      </c>
      <c r="C2691" s="2">
        <f>IFERROR(__xludf.DUMMYFUNCTION("""COMPUTED_VALUE"""),408.86)</f>
        <v>408.86</v>
      </c>
      <c r="D2691" s="2">
        <f>IFERROR(__xludf.DUMMYFUNCTION("""COMPUTED_VALUE"""),395.64)</f>
        <v>395.64</v>
      </c>
      <c r="E2691" s="2">
        <f>IFERROR(__xludf.DUMMYFUNCTION("""COMPUTED_VALUE"""),397.72)</f>
        <v>397.72</v>
      </c>
      <c r="F2691" s="2">
        <f>IFERROR(__xludf.DUMMYFUNCTION("""COMPUTED_VALUE"""),2077188.0)</f>
        <v>2077188</v>
      </c>
    </row>
    <row r="2692">
      <c r="A2692" s="3">
        <f>IFERROR(__xludf.DUMMYFUNCTION("""COMPUTED_VALUE"""),41408.645833333336)</f>
        <v>41408.64583</v>
      </c>
      <c r="B2692" s="2">
        <f>IFERROR(__xludf.DUMMYFUNCTION("""COMPUTED_VALUE"""),396.5)</f>
        <v>396.5</v>
      </c>
      <c r="C2692" s="2">
        <f>IFERROR(__xludf.DUMMYFUNCTION("""COMPUTED_VALUE"""),400.69)</f>
        <v>400.69</v>
      </c>
      <c r="D2692" s="2">
        <f>IFERROR(__xludf.DUMMYFUNCTION("""COMPUTED_VALUE"""),394.05)</f>
        <v>394.05</v>
      </c>
      <c r="E2692" s="2">
        <f>IFERROR(__xludf.DUMMYFUNCTION("""COMPUTED_VALUE"""),395.31)</f>
        <v>395.31</v>
      </c>
      <c r="F2692" s="2">
        <f>IFERROR(__xludf.DUMMYFUNCTION("""COMPUTED_VALUE"""),2017950.0)</f>
        <v>2017950</v>
      </c>
    </row>
    <row r="2693">
      <c r="A2693" s="3">
        <f>IFERROR(__xludf.DUMMYFUNCTION("""COMPUTED_VALUE"""),41409.645833333336)</f>
        <v>41409.64583</v>
      </c>
      <c r="B2693" s="2">
        <f>IFERROR(__xludf.DUMMYFUNCTION("""COMPUTED_VALUE"""),397.22)</f>
        <v>397.22</v>
      </c>
      <c r="C2693" s="2">
        <f>IFERROR(__xludf.DUMMYFUNCTION("""COMPUTED_VALUE"""),406.53)</f>
        <v>406.53</v>
      </c>
      <c r="D2693" s="2">
        <f>IFERROR(__xludf.DUMMYFUNCTION("""COMPUTED_VALUE"""),397.22)</f>
        <v>397.22</v>
      </c>
      <c r="E2693" s="2">
        <f>IFERROR(__xludf.DUMMYFUNCTION("""COMPUTED_VALUE"""),405.64)</f>
        <v>405.64</v>
      </c>
      <c r="F2693" s="2">
        <f>IFERROR(__xludf.DUMMYFUNCTION("""COMPUTED_VALUE"""),2572806.0)</f>
        <v>2572806</v>
      </c>
    </row>
    <row r="2694">
      <c r="A2694" s="3">
        <f>IFERROR(__xludf.DUMMYFUNCTION("""COMPUTED_VALUE"""),41410.645833333336)</f>
        <v>41410.64583</v>
      </c>
      <c r="B2694" s="2">
        <f>IFERROR(__xludf.DUMMYFUNCTION("""COMPUTED_VALUE"""),404.15)</f>
        <v>404.15</v>
      </c>
      <c r="C2694" s="2">
        <f>IFERROR(__xludf.DUMMYFUNCTION("""COMPUTED_VALUE"""),417.92)</f>
        <v>417.92</v>
      </c>
      <c r="D2694" s="2">
        <f>IFERROR(__xludf.DUMMYFUNCTION("""COMPUTED_VALUE"""),403.91)</f>
        <v>403.91</v>
      </c>
      <c r="E2694" s="2">
        <f>IFERROR(__xludf.DUMMYFUNCTION("""COMPUTED_VALUE"""),416.36)</f>
        <v>416.36</v>
      </c>
      <c r="F2694" s="2">
        <f>IFERROR(__xludf.DUMMYFUNCTION("""COMPUTED_VALUE"""),3473901.0)</f>
        <v>3473901</v>
      </c>
    </row>
    <row r="2695">
      <c r="A2695" s="3">
        <f>IFERROR(__xludf.DUMMYFUNCTION("""COMPUTED_VALUE"""),41411.645833333336)</f>
        <v>41411.64583</v>
      </c>
      <c r="B2695" s="2">
        <f>IFERROR(__xludf.DUMMYFUNCTION("""COMPUTED_VALUE"""),416.36)</f>
        <v>416.36</v>
      </c>
      <c r="C2695" s="2">
        <f>IFERROR(__xludf.DUMMYFUNCTION("""COMPUTED_VALUE"""),418.37)</f>
        <v>418.37</v>
      </c>
      <c r="D2695" s="2">
        <f>IFERROR(__xludf.DUMMYFUNCTION("""COMPUTED_VALUE"""),407.77)</f>
        <v>407.77</v>
      </c>
      <c r="E2695" s="2">
        <f>IFERROR(__xludf.DUMMYFUNCTION("""COMPUTED_VALUE"""),413.81)</f>
        <v>413.81</v>
      </c>
      <c r="F2695" s="2">
        <f>IFERROR(__xludf.DUMMYFUNCTION("""COMPUTED_VALUE"""),2853857.0)</f>
        <v>2853857</v>
      </c>
    </row>
    <row r="2696">
      <c r="A2696" s="3">
        <f>IFERROR(__xludf.DUMMYFUNCTION("""COMPUTED_VALUE"""),41414.645833333336)</f>
        <v>41414.64583</v>
      </c>
      <c r="B2696" s="2">
        <f>IFERROR(__xludf.DUMMYFUNCTION("""COMPUTED_VALUE"""),414.75)</f>
        <v>414.75</v>
      </c>
      <c r="C2696" s="2">
        <f>IFERROR(__xludf.DUMMYFUNCTION("""COMPUTED_VALUE"""),423.47)</f>
        <v>423.47</v>
      </c>
      <c r="D2696" s="2">
        <f>IFERROR(__xludf.DUMMYFUNCTION("""COMPUTED_VALUE"""),410.47)</f>
        <v>410.47</v>
      </c>
      <c r="E2696" s="2">
        <f>IFERROR(__xludf.DUMMYFUNCTION("""COMPUTED_VALUE"""),411.66)</f>
        <v>411.66</v>
      </c>
      <c r="F2696" s="2">
        <f>IFERROR(__xludf.DUMMYFUNCTION("""COMPUTED_VALUE"""),3025949.0)</f>
        <v>3025949</v>
      </c>
    </row>
    <row r="2697">
      <c r="A2697" s="3">
        <f>IFERROR(__xludf.DUMMYFUNCTION("""COMPUTED_VALUE"""),41415.645833333336)</f>
        <v>41415.64583</v>
      </c>
      <c r="B2697" s="2">
        <f>IFERROR(__xludf.DUMMYFUNCTION("""COMPUTED_VALUE"""),411.63)</f>
        <v>411.63</v>
      </c>
      <c r="C2697" s="2">
        <f>IFERROR(__xludf.DUMMYFUNCTION("""COMPUTED_VALUE"""),416.04)</f>
        <v>416.04</v>
      </c>
      <c r="D2697" s="2">
        <f>IFERROR(__xludf.DUMMYFUNCTION("""COMPUTED_VALUE"""),408.76)</f>
        <v>408.76</v>
      </c>
      <c r="E2697" s="2">
        <f>IFERROR(__xludf.DUMMYFUNCTION("""COMPUTED_VALUE"""),410.39)</f>
        <v>410.39</v>
      </c>
      <c r="F2697" s="2">
        <f>IFERROR(__xludf.DUMMYFUNCTION("""COMPUTED_VALUE"""),2421664.0)</f>
        <v>2421664</v>
      </c>
    </row>
    <row r="2698">
      <c r="A2698" s="3">
        <f>IFERROR(__xludf.DUMMYFUNCTION("""COMPUTED_VALUE"""),41416.645833333336)</f>
        <v>41416.64583</v>
      </c>
      <c r="B2698" s="2">
        <f>IFERROR(__xludf.DUMMYFUNCTION("""COMPUTED_VALUE"""),411.14)</f>
        <v>411.14</v>
      </c>
      <c r="C2698" s="2">
        <f>IFERROR(__xludf.DUMMYFUNCTION("""COMPUTED_VALUE"""),413.07)</f>
        <v>413.07</v>
      </c>
      <c r="D2698" s="2">
        <f>IFERROR(__xludf.DUMMYFUNCTION("""COMPUTED_VALUE"""),402.92)</f>
        <v>402.92</v>
      </c>
      <c r="E2698" s="2">
        <f>IFERROR(__xludf.DUMMYFUNCTION("""COMPUTED_VALUE"""),405.52)</f>
        <v>405.52</v>
      </c>
      <c r="F2698" s="2">
        <f>IFERROR(__xludf.DUMMYFUNCTION("""COMPUTED_VALUE"""),2875414.0)</f>
        <v>2875414</v>
      </c>
    </row>
    <row r="2699">
      <c r="A2699" s="3">
        <f>IFERROR(__xludf.DUMMYFUNCTION("""COMPUTED_VALUE"""),41417.645833333336)</f>
        <v>41417.64583</v>
      </c>
      <c r="B2699" s="2">
        <f>IFERROR(__xludf.DUMMYFUNCTION("""COMPUTED_VALUE"""),402.0)</f>
        <v>402</v>
      </c>
      <c r="C2699" s="2">
        <f>IFERROR(__xludf.DUMMYFUNCTION("""COMPUTED_VALUE"""),404.15)</f>
        <v>404.15</v>
      </c>
      <c r="D2699" s="2">
        <f>IFERROR(__xludf.DUMMYFUNCTION("""COMPUTED_VALUE"""),386.37)</f>
        <v>386.37</v>
      </c>
      <c r="E2699" s="2">
        <f>IFERROR(__xludf.DUMMYFUNCTION("""COMPUTED_VALUE"""),388.53)</f>
        <v>388.53</v>
      </c>
      <c r="F2699" s="2">
        <f>IFERROR(__xludf.DUMMYFUNCTION("""COMPUTED_VALUE"""),2925439.0)</f>
        <v>2925439</v>
      </c>
    </row>
    <row r="2700">
      <c r="A2700" s="3">
        <f>IFERROR(__xludf.DUMMYFUNCTION("""COMPUTED_VALUE"""),41418.645833333336)</f>
        <v>41418.64583</v>
      </c>
      <c r="B2700" s="2">
        <f>IFERROR(__xludf.DUMMYFUNCTION("""COMPUTED_VALUE"""),392.96)</f>
        <v>392.96</v>
      </c>
      <c r="C2700" s="2">
        <f>IFERROR(__xludf.DUMMYFUNCTION("""COMPUTED_VALUE"""),393.6)</f>
        <v>393.6</v>
      </c>
      <c r="D2700" s="2">
        <f>IFERROR(__xludf.DUMMYFUNCTION("""COMPUTED_VALUE"""),385.93)</f>
        <v>385.93</v>
      </c>
      <c r="E2700" s="2">
        <f>IFERROR(__xludf.DUMMYFUNCTION("""COMPUTED_VALUE"""),389.52)</f>
        <v>389.52</v>
      </c>
      <c r="F2700" s="2">
        <f>IFERROR(__xludf.DUMMYFUNCTION("""COMPUTED_VALUE"""),1823040.0)</f>
        <v>1823040</v>
      </c>
    </row>
    <row r="2701">
      <c r="A2701" s="3">
        <f>IFERROR(__xludf.DUMMYFUNCTION("""COMPUTED_VALUE"""),41421.645833333336)</f>
        <v>41421.64583</v>
      </c>
      <c r="B2701" s="2">
        <f>IFERROR(__xludf.DUMMYFUNCTION("""COMPUTED_VALUE"""),397.59)</f>
        <v>397.59</v>
      </c>
      <c r="C2701" s="2">
        <f>IFERROR(__xludf.DUMMYFUNCTION("""COMPUTED_VALUE"""),412.47)</f>
        <v>412.47</v>
      </c>
      <c r="D2701" s="2">
        <f>IFERROR(__xludf.DUMMYFUNCTION("""COMPUTED_VALUE"""),396.72)</f>
        <v>396.72</v>
      </c>
      <c r="E2701" s="2">
        <f>IFERROR(__xludf.DUMMYFUNCTION("""COMPUTED_VALUE"""),410.25)</f>
        <v>410.25</v>
      </c>
      <c r="F2701" s="2">
        <f>IFERROR(__xludf.DUMMYFUNCTION("""COMPUTED_VALUE"""),4333130.0)</f>
        <v>4333130</v>
      </c>
    </row>
    <row r="2702">
      <c r="A2702" s="3">
        <f>IFERROR(__xludf.DUMMYFUNCTION("""COMPUTED_VALUE"""),41422.645833333336)</f>
        <v>41422.64583</v>
      </c>
      <c r="B2702" s="2">
        <f>IFERROR(__xludf.DUMMYFUNCTION("""COMPUTED_VALUE"""),411.09)</f>
        <v>411.09</v>
      </c>
      <c r="C2702" s="2">
        <f>IFERROR(__xludf.DUMMYFUNCTION("""COMPUTED_VALUE"""),419.46)</f>
        <v>419.46</v>
      </c>
      <c r="D2702" s="2">
        <f>IFERROR(__xludf.DUMMYFUNCTION("""COMPUTED_VALUE"""),409.21)</f>
        <v>409.21</v>
      </c>
      <c r="E2702" s="2">
        <f>IFERROR(__xludf.DUMMYFUNCTION("""COMPUTED_VALUE"""),417.72)</f>
        <v>417.72</v>
      </c>
      <c r="F2702" s="2">
        <f>IFERROR(__xludf.DUMMYFUNCTION("""COMPUTED_VALUE"""),4968154.0)</f>
        <v>4968154</v>
      </c>
    </row>
    <row r="2703">
      <c r="A2703" s="3">
        <f>IFERROR(__xludf.DUMMYFUNCTION("""COMPUTED_VALUE"""),41423.645833333336)</f>
        <v>41423.64583</v>
      </c>
      <c r="B2703" s="2">
        <f>IFERROR(__xludf.DUMMYFUNCTION("""COMPUTED_VALUE"""),416.29)</f>
        <v>416.29</v>
      </c>
      <c r="C2703" s="2">
        <f>IFERROR(__xludf.DUMMYFUNCTION("""COMPUTED_VALUE"""),420.89)</f>
        <v>420.89</v>
      </c>
      <c r="D2703" s="2">
        <f>IFERROR(__xludf.DUMMYFUNCTION("""COMPUTED_VALUE"""),412.8)</f>
        <v>412.8</v>
      </c>
      <c r="E2703" s="2">
        <f>IFERROR(__xludf.DUMMYFUNCTION("""COMPUTED_VALUE"""),419.95)</f>
        <v>419.95</v>
      </c>
      <c r="F2703" s="2">
        <f>IFERROR(__xludf.DUMMYFUNCTION("""COMPUTED_VALUE"""),5886563.0)</f>
        <v>5886563</v>
      </c>
    </row>
    <row r="2704">
      <c r="A2704" s="3">
        <f>IFERROR(__xludf.DUMMYFUNCTION("""COMPUTED_VALUE"""),41424.645833333336)</f>
        <v>41424.64583</v>
      </c>
      <c r="B2704" s="2">
        <f>IFERROR(__xludf.DUMMYFUNCTION("""COMPUTED_VALUE"""),418.52)</f>
        <v>418.52</v>
      </c>
      <c r="C2704" s="2">
        <f>IFERROR(__xludf.DUMMYFUNCTION("""COMPUTED_VALUE"""),419.01)</f>
        <v>419.01</v>
      </c>
      <c r="D2704" s="2">
        <f>IFERROR(__xludf.DUMMYFUNCTION("""COMPUTED_VALUE"""),411.09)</f>
        <v>411.09</v>
      </c>
      <c r="E2704" s="2">
        <f>IFERROR(__xludf.DUMMYFUNCTION("""COMPUTED_VALUE"""),414.46)</f>
        <v>414.46</v>
      </c>
      <c r="F2704" s="2">
        <f>IFERROR(__xludf.DUMMYFUNCTION("""COMPUTED_VALUE"""),4165950.0)</f>
        <v>4165950</v>
      </c>
    </row>
    <row r="2705">
      <c r="A2705" s="3">
        <f>IFERROR(__xludf.DUMMYFUNCTION("""COMPUTED_VALUE"""),41425.645833333336)</f>
        <v>41425.64583</v>
      </c>
      <c r="B2705" s="2">
        <f>IFERROR(__xludf.DUMMYFUNCTION("""COMPUTED_VALUE"""),413.12)</f>
        <v>413.12</v>
      </c>
      <c r="C2705" s="2">
        <f>IFERROR(__xludf.DUMMYFUNCTION("""COMPUTED_VALUE"""),413.94)</f>
        <v>413.94</v>
      </c>
      <c r="D2705" s="2">
        <f>IFERROR(__xludf.DUMMYFUNCTION("""COMPUTED_VALUE"""),397.27)</f>
        <v>397.27</v>
      </c>
      <c r="E2705" s="2">
        <f>IFERROR(__xludf.DUMMYFUNCTION("""COMPUTED_VALUE"""),399.35)</f>
        <v>399.35</v>
      </c>
      <c r="F2705" s="2">
        <f>IFERROR(__xludf.DUMMYFUNCTION("""COMPUTED_VALUE"""),3922347.0)</f>
        <v>3922347</v>
      </c>
    </row>
    <row r="2706">
      <c r="A2706" s="3">
        <f>IFERROR(__xludf.DUMMYFUNCTION("""COMPUTED_VALUE"""),41428.645833333336)</f>
        <v>41428.64583</v>
      </c>
      <c r="B2706" s="2">
        <f>IFERROR(__xludf.DUMMYFUNCTION("""COMPUTED_VALUE"""),398.06)</f>
        <v>398.06</v>
      </c>
      <c r="C2706" s="2">
        <f>IFERROR(__xludf.DUMMYFUNCTION("""COMPUTED_VALUE"""),398.88)</f>
        <v>398.88</v>
      </c>
      <c r="D2706" s="2">
        <f>IFERROR(__xludf.DUMMYFUNCTION("""COMPUTED_VALUE"""),388.92)</f>
        <v>388.92</v>
      </c>
      <c r="E2706" s="2">
        <f>IFERROR(__xludf.DUMMYFUNCTION("""COMPUTED_VALUE"""),390.24)</f>
        <v>390.24</v>
      </c>
      <c r="F2706" s="2">
        <f>IFERROR(__xludf.DUMMYFUNCTION("""COMPUTED_VALUE"""),3237910.0)</f>
        <v>3237910</v>
      </c>
    </row>
    <row r="2707">
      <c r="A2707" s="3">
        <f>IFERROR(__xludf.DUMMYFUNCTION("""COMPUTED_VALUE"""),41429.645833333336)</f>
        <v>41429.64583</v>
      </c>
      <c r="B2707" s="2">
        <f>IFERROR(__xludf.DUMMYFUNCTION("""COMPUTED_VALUE"""),391.57)</f>
        <v>391.57</v>
      </c>
      <c r="C2707" s="2">
        <f>IFERROR(__xludf.DUMMYFUNCTION("""COMPUTED_VALUE"""),396.13)</f>
        <v>396.13</v>
      </c>
      <c r="D2707" s="2">
        <f>IFERROR(__xludf.DUMMYFUNCTION("""COMPUTED_VALUE"""),385.9)</f>
        <v>385.9</v>
      </c>
      <c r="E2707" s="2">
        <f>IFERROR(__xludf.DUMMYFUNCTION("""COMPUTED_VALUE"""),386.42)</f>
        <v>386.42</v>
      </c>
      <c r="F2707" s="2">
        <f>IFERROR(__xludf.DUMMYFUNCTION("""COMPUTED_VALUE"""),3372217.0)</f>
        <v>3372217</v>
      </c>
    </row>
    <row r="2708">
      <c r="A2708" s="3">
        <f>IFERROR(__xludf.DUMMYFUNCTION("""COMPUTED_VALUE"""),41430.645833333336)</f>
        <v>41430.64583</v>
      </c>
      <c r="B2708" s="2">
        <f>IFERROR(__xludf.DUMMYFUNCTION("""COMPUTED_VALUE"""),386.57)</f>
        <v>386.57</v>
      </c>
      <c r="C2708" s="2">
        <f>IFERROR(__xludf.DUMMYFUNCTION("""COMPUTED_VALUE"""),398.36)</f>
        <v>398.36</v>
      </c>
      <c r="D2708" s="2">
        <f>IFERROR(__xludf.DUMMYFUNCTION("""COMPUTED_VALUE"""),386.57)</f>
        <v>386.57</v>
      </c>
      <c r="E2708" s="2">
        <f>IFERROR(__xludf.DUMMYFUNCTION("""COMPUTED_VALUE"""),397.22)</f>
        <v>397.22</v>
      </c>
      <c r="F2708" s="2">
        <f>IFERROR(__xludf.DUMMYFUNCTION("""COMPUTED_VALUE"""),2914171.0)</f>
        <v>2914171</v>
      </c>
    </row>
    <row r="2709">
      <c r="A2709" s="3">
        <f>IFERROR(__xludf.DUMMYFUNCTION("""COMPUTED_VALUE"""),41431.645833333336)</f>
        <v>41431.64583</v>
      </c>
      <c r="B2709" s="2">
        <f>IFERROR(__xludf.DUMMYFUNCTION("""COMPUTED_VALUE"""),396.23)</f>
        <v>396.23</v>
      </c>
      <c r="C2709" s="2">
        <f>IFERROR(__xludf.DUMMYFUNCTION("""COMPUTED_VALUE"""),398.16)</f>
        <v>398.16</v>
      </c>
      <c r="D2709" s="2">
        <f>IFERROR(__xludf.DUMMYFUNCTION("""COMPUTED_VALUE"""),390.34)</f>
        <v>390.34</v>
      </c>
      <c r="E2709" s="2">
        <f>IFERROR(__xludf.DUMMYFUNCTION("""COMPUTED_VALUE"""),392.27)</f>
        <v>392.27</v>
      </c>
      <c r="F2709" s="2">
        <f>IFERROR(__xludf.DUMMYFUNCTION("""COMPUTED_VALUE"""),3911834.0)</f>
        <v>3911834</v>
      </c>
    </row>
    <row r="2710">
      <c r="A2710" s="3">
        <f>IFERROR(__xludf.DUMMYFUNCTION("""COMPUTED_VALUE"""),41432.645833333336)</f>
        <v>41432.64583</v>
      </c>
      <c r="B2710" s="2">
        <f>IFERROR(__xludf.DUMMYFUNCTION("""COMPUTED_VALUE"""),393.36)</f>
        <v>393.36</v>
      </c>
      <c r="C2710" s="2">
        <f>IFERROR(__xludf.DUMMYFUNCTION("""COMPUTED_VALUE"""),397.22)</f>
        <v>397.22</v>
      </c>
      <c r="D2710" s="2">
        <f>IFERROR(__xludf.DUMMYFUNCTION("""COMPUTED_VALUE"""),386.82)</f>
        <v>386.82</v>
      </c>
      <c r="E2710" s="2">
        <f>IFERROR(__xludf.DUMMYFUNCTION("""COMPUTED_VALUE"""),388.11)</f>
        <v>388.11</v>
      </c>
      <c r="F2710" s="2">
        <f>IFERROR(__xludf.DUMMYFUNCTION("""COMPUTED_VALUE"""),2153414.0)</f>
        <v>2153414</v>
      </c>
    </row>
    <row r="2711">
      <c r="A2711" s="3">
        <f>IFERROR(__xludf.DUMMYFUNCTION("""COMPUTED_VALUE"""),41435.645833333336)</f>
        <v>41435.64583</v>
      </c>
      <c r="B2711" s="2">
        <f>IFERROR(__xludf.DUMMYFUNCTION("""COMPUTED_VALUE"""),390.78)</f>
        <v>390.78</v>
      </c>
      <c r="C2711" s="2">
        <f>IFERROR(__xludf.DUMMYFUNCTION("""COMPUTED_VALUE"""),394.0)</f>
        <v>394</v>
      </c>
      <c r="D2711" s="2">
        <f>IFERROR(__xludf.DUMMYFUNCTION("""COMPUTED_VALUE"""),387.31)</f>
        <v>387.31</v>
      </c>
      <c r="E2711" s="2">
        <f>IFERROR(__xludf.DUMMYFUNCTION("""COMPUTED_VALUE"""),390.95)</f>
        <v>390.95</v>
      </c>
      <c r="F2711" s="2">
        <f>IFERROR(__xludf.DUMMYFUNCTION("""COMPUTED_VALUE"""),2597020.0)</f>
        <v>2597020</v>
      </c>
    </row>
    <row r="2712">
      <c r="A2712" s="3">
        <f>IFERROR(__xludf.DUMMYFUNCTION("""COMPUTED_VALUE"""),41436.645833333336)</f>
        <v>41436.64583</v>
      </c>
      <c r="B2712" s="2">
        <f>IFERROR(__xludf.DUMMYFUNCTION("""COMPUTED_VALUE"""),388.06)</f>
        <v>388.06</v>
      </c>
      <c r="C2712" s="2">
        <f>IFERROR(__xludf.DUMMYFUNCTION("""COMPUTED_VALUE"""),392.02)</f>
        <v>392.02</v>
      </c>
      <c r="D2712" s="2">
        <f>IFERROR(__xludf.DUMMYFUNCTION("""COMPUTED_VALUE"""),384.0)</f>
        <v>384</v>
      </c>
      <c r="E2712" s="2">
        <f>IFERROR(__xludf.DUMMYFUNCTION("""COMPUTED_VALUE"""),389.1)</f>
        <v>389.1</v>
      </c>
      <c r="F2712" s="2">
        <f>IFERROR(__xludf.DUMMYFUNCTION("""COMPUTED_VALUE"""),3026936.0)</f>
        <v>3026936</v>
      </c>
    </row>
    <row r="2713">
      <c r="A2713" s="3">
        <f>IFERROR(__xludf.DUMMYFUNCTION("""COMPUTED_VALUE"""),41437.645833333336)</f>
        <v>41437.64583</v>
      </c>
      <c r="B2713" s="2">
        <f>IFERROR(__xludf.DUMMYFUNCTION("""COMPUTED_VALUE"""),387.83)</f>
        <v>387.83</v>
      </c>
      <c r="C2713" s="2">
        <f>IFERROR(__xludf.DUMMYFUNCTION("""COMPUTED_VALUE"""),394.99)</f>
        <v>394.99</v>
      </c>
      <c r="D2713" s="2">
        <f>IFERROR(__xludf.DUMMYFUNCTION("""COMPUTED_VALUE"""),387.41)</f>
        <v>387.41</v>
      </c>
      <c r="E2713" s="2">
        <f>IFERROR(__xludf.DUMMYFUNCTION("""COMPUTED_VALUE"""),391.67)</f>
        <v>391.67</v>
      </c>
      <c r="F2713" s="2">
        <f>IFERROR(__xludf.DUMMYFUNCTION("""COMPUTED_VALUE"""),2920051.0)</f>
        <v>2920051</v>
      </c>
    </row>
    <row r="2714">
      <c r="A2714" s="3">
        <f>IFERROR(__xludf.DUMMYFUNCTION("""COMPUTED_VALUE"""),41438.645833333336)</f>
        <v>41438.64583</v>
      </c>
      <c r="B2714" s="2">
        <f>IFERROR(__xludf.DUMMYFUNCTION("""COMPUTED_VALUE"""),387.81)</f>
        <v>387.81</v>
      </c>
      <c r="C2714" s="2">
        <f>IFERROR(__xludf.DUMMYFUNCTION("""COMPUTED_VALUE"""),392.71)</f>
        <v>392.71</v>
      </c>
      <c r="D2714" s="2">
        <f>IFERROR(__xludf.DUMMYFUNCTION("""COMPUTED_VALUE"""),386.6)</f>
        <v>386.6</v>
      </c>
      <c r="E2714" s="2">
        <f>IFERROR(__xludf.DUMMYFUNCTION("""COMPUTED_VALUE"""),391.18)</f>
        <v>391.18</v>
      </c>
      <c r="F2714" s="2">
        <f>IFERROR(__xludf.DUMMYFUNCTION("""COMPUTED_VALUE"""),2223263.0)</f>
        <v>2223263</v>
      </c>
    </row>
    <row r="2715">
      <c r="A2715" s="3">
        <f>IFERROR(__xludf.DUMMYFUNCTION("""COMPUTED_VALUE"""),41439.645833333336)</f>
        <v>41439.64583</v>
      </c>
      <c r="B2715" s="2">
        <f>IFERROR(__xludf.DUMMYFUNCTION("""COMPUTED_VALUE"""),394.35)</f>
        <v>394.35</v>
      </c>
      <c r="C2715" s="2">
        <f>IFERROR(__xludf.DUMMYFUNCTION("""COMPUTED_VALUE"""),406.06)</f>
        <v>406.06</v>
      </c>
      <c r="D2715" s="2">
        <f>IFERROR(__xludf.DUMMYFUNCTION("""COMPUTED_VALUE"""),394.3)</f>
        <v>394.3</v>
      </c>
      <c r="E2715" s="2">
        <f>IFERROR(__xludf.DUMMYFUNCTION("""COMPUTED_VALUE"""),403.49)</f>
        <v>403.49</v>
      </c>
      <c r="F2715" s="2">
        <f>IFERROR(__xludf.DUMMYFUNCTION("""COMPUTED_VALUE"""),4017490.0)</f>
        <v>4017490</v>
      </c>
    </row>
    <row r="2716">
      <c r="A2716" s="3">
        <f>IFERROR(__xludf.DUMMYFUNCTION("""COMPUTED_VALUE"""),41442.645833333336)</f>
        <v>41442.64583</v>
      </c>
      <c r="B2716" s="2">
        <f>IFERROR(__xludf.DUMMYFUNCTION("""COMPUTED_VALUE"""),403.91)</f>
        <v>403.91</v>
      </c>
      <c r="C2716" s="2">
        <f>IFERROR(__xludf.DUMMYFUNCTION("""COMPUTED_VALUE"""),410.05)</f>
        <v>410.05</v>
      </c>
      <c r="D2716" s="2">
        <f>IFERROR(__xludf.DUMMYFUNCTION("""COMPUTED_VALUE"""),401.73)</f>
        <v>401.73</v>
      </c>
      <c r="E2716" s="2">
        <f>IFERROR(__xludf.DUMMYFUNCTION("""COMPUTED_VALUE"""),408.88)</f>
        <v>408.88</v>
      </c>
      <c r="F2716" s="2">
        <f>IFERROR(__xludf.DUMMYFUNCTION("""COMPUTED_VALUE"""),2534907.0)</f>
        <v>2534907</v>
      </c>
    </row>
    <row r="2717">
      <c r="A2717" s="3">
        <f>IFERROR(__xludf.DUMMYFUNCTION("""COMPUTED_VALUE"""),41443.645833333336)</f>
        <v>41443.64583</v>
      </c>
      <c r="B2717" s="2">
        <f>IFERROR(__xludf.DUMMYFUNCTION("""COMPUTED_VALUE"""),407.97)</f>
        <v>407.97</v>
      </c>
      <c r="C2717" s="2">
        <f>IFERROR(__xludf.DUMMYFUNCTION("""COMPUTED_VALUE"""),414.8)</f>
        <v>414.8</v>
      </c>
      <c r="D2717" s="2">
        <f>IFERROR(__xludf.DUMMYFUNCTION("""COMPUTED_VALUE"""),404.87)</f>
        <v>404.87</v>
      </c>
      <c r="E2717" s="2">
        <f>IFERROR(__xludf.DUMMYFUNCTION("""COMPUTED_VALUE"""),407.82)</f>
        <v>407.82</v>
      </c>
      <c r="F2717" s="2">
        <f>IFERROR(__xludf.DUMMYFUNCTION("""COMPUTED_VALUE"""),3579236.0)</f>
        <v>3579236</v>
      </c>
    </row>
    <row r="2718">
      <c r="A2718" s="3">
        <f>IFERROR(__xludf.DUMMYFUNCTION("""COMPUTED_VALUE"""),41444.645833333336)</f>
        <v>41444.64583</v>
      </c>
      <c r="B2718" s="2">
        <f>IFERROR(__xludf.DUMMYFUNCTION("""COMPUTED_VALUE"""),407.13)</f>
        <v>407.13</v>
      </c>
      <c r="C2718" s="2">
        <f>IFERROR(__xludf.DUMMYFUNCTION("""COMPUTED_VALUE"""),412.7)</f>
        <v>412.7</v>
      </c>
      <c r="D2718" s="2">
        <f>IFERROR(__xludf.DUMMYFUNCTION("""COMPUTED_VALUE"""),403.61)</f>
        <v>403.61</v>
      </c>
      <c r="E2718" s="2">
        <f>IFERROR(__xludf.DUMMYFUNCTION("""COMPUTED_VALUE"""),411.93)</f>
        <v>411.93</v>
      </c>
      <c r="F2718" s="2">
        <f>IFERROR(__xludf.DUMMYFUNCTION("""COMPUTED_VALUE"""),3961700.0)</f>
        <v>3961700</v>
      </c>
    </row>
    <row r="2719">
      <c r="A2719" s="3">
        <f>IFERROR(__xludf.DUMMYFUNCTION("""COMPUTED_VALUE"""),41445.645833333336)</f>
        <v>41445.64583</v>
      </c>
      <c r="B2719" s="2">
        <f>IFERROR(__xludf.DUMMYFUNCTION("""COMPUTED_VALUE"""),405.1)</f>
        <v>405.1</v>
      </c>
      <c r="C2719" s="2">
        <f>IFERROR(__xludf.DUMMYFUNCTION("""COMPUTED_VALUE"""),405.1)</f>
        <v>405.1</v>
      </c>
      <c r="D2719" s="2">
        <f>IFERROR(__xludf.DUMMYFUNCTION("""COMPUTED_VALUE"""),393.75)</f>
        <v>393.75</v>
      </c>
      <c r="E2719" s="2">
        <f>IFERROR(__xludf.DUMMYFUNCTION("""COMPUTED_VALUE"""),395.24)</f>
        <v>395.24</v>
      </c>
      <c r="F2719" s="2">
        <f>IFERROR(__xludf.DUMMYFUNCTION("""COMPUTED_VALUE"""),3982470.0)</f>
        <v>3982470</v>
      </c>
    </row>
    <row r="2720">
      <c r="A2720" s="3">
        <f>IFERROR(__xludf.DUMMYFUNCTION("""COMPUTED_VALUE"""),41446.645833333336)</f>
        <v>41446.64583</v>
      </c>
      <c r="B2720" s="2">
        <f>IFERROR(__xludf.DUMMYFUNCTION("""COMPUTED_VALUE"""),396.18)</f>
        <v>396.18</v>
      </c>
      <c r="C2720" s="2">
        <f>IFERROR(__xludf.DUMMYFUNCTION("""COMPUTED_VALUE"""),401.36)</f>
        <v>401.36</v>
      </c>
      <c r="D2720" s="2">
        <f>IFERROR(__xludf.DUMMYFUNCTION("""COMPUTED_VALUE"""),388.11)</f>
        <v>388.11</v>
      </c>
      <c r="E2720" s="2">
        <f>IFERROR(__xludf.DUMMYFUNCTION("""COMPUTED_VALUE"""),392.69)</f>
        <v>392.69</v>
      </c>
      <c r="F2720" s="2">
        <f>IFERROR(__xludf.DUMMYFUNCTION("""COMPUTED_VALUE"""),4682806.0)</f>
        <v>4682806</v>
      </c>
    </row>
    <row r="2721">
      <c r="A2721" s="3">
        <f>IFERROR(__xludf.DUMMYFUNCTION("""COMPUTED_VALUE"""),41449.645833333336)</f>
        <v>41449.64583</v>
      </c>
      <c r="B2721" s="2">
        <f>IFERROR(__xludf.DUMMYFUNCTION("""COMPUTED_VALUE"""),391.28)</f>
        <v>391.28</v>
      </c>
      <c r="C2721" s="2">
        <f>IFERROR(__xludf.DUMMYFUNCTION("""COMPUTED_VALUE"""),394.32)</f>
        <v>394.32</v>
      </c>
      <c r="D2721" s="2">
        <f>IFERROR(__xludf.DUMMYFUNCTION("""COMPUTED_VALUE"""),385.58)</f>
        <v>385.58</v>
      </c>
      <c r="E2721" s="2">
        <f>IFERROR(__xludf.DUMMYFUNCTION("""COMPUTED_VALUE"""),392.59)</f>
        <v>392.59</v>
      </c>
      <c r="F2721" s="2">
        <f>IFERROR(__xludf.DUMMYFUNCTION("""COMPUTED_VALUE"""),3728564.0)</f>
        <v>3728564</v>
      </c>
    </row>
    <row r="2722">
      <c r="A2722" s="3">
        <f>IFERROR(__xludf.DUMMYFUNCTION("""COMPUTED_VALUE"""),41450.645833333336)</f>
        <v>41450.64583</v>
      </c>
      <c r="B2722" s="2">
        <f>IFERROR(__xludf.DUMMYFUNCTION("""COMPUTED_VALUE"""),396.08)</f>
        <v>396.08</v>
      </c>
      <c r="C2722" s="2">
        <f>IFERROR(__xludf.DUMMYFUNCTION("""COMPUTED_VALUE"""),406.09)</f>
        <v>406.09</v>
      </c>
      <c r="D2722" s="2">
        <f>IFERROR(__xludf.DUMMYFUNCTION("""COMPUTED_VALUE"""),393.75)</f>
        <v>393.75</v>
      </c>
      <c r="E2722" s="2">
        <f>IFERROR(__xludf.DUMMYFUNCTION("""COMPUTED_VALUE"""),398.11)</f>
        <v>398.11</v>
      </c>
      <c r="F2722" s="2">
        <f>IFERROR(__xludf.DUMMYFUNCTION("""COMPUTED_VALUE"""),4396198.0)</f>
        <v>4396198</v>
      </c>
    </row>
    <row r="2723">
      <c r="A2723" s="3">
        <f>IFERROR(__xludf.DUMMYFUNCTION("""COMPUTED_VALUE"""),41451.645833333336)</f>
        <v>41451.64583</v>
      </c>
      <c r="B2723" s="2">
        <f>IFERROR(__xludf.DUMMYFUNCTION("""COMPUTED_VALUE"""),400.91)</f>
        <v>400.91</v>
      </c>
      <c r="C2723" s="2">
        <f>IFERROR(__xludf.DUMMYFUNCTION("""COMPUTED_VALUE"""),403.39)</f>
        <v>403.39</v>
      </c>
      <c r="D2723" s="2">
        <f>IFERROR(__xludf.DUMMYFUNCTION("""COMPUTED_VALUE"""),396.77)</f>
        <v>396.77</v>
      </c>
      <c r="E2723" s="2">
        <f>IFERROR(__xludf.DUMMYFUNCTION("""COMPUTED_VALUE"""),398.01)</f>
        <v>398.01</v>
      </c>
      <c r="F2723" s="2">
        <f>IFERROR(__xludf.DUMMYFUNCTION("""COMPUTED_VALUE"""),3808494.0)</f>
        <v>3808494</v>
      </c>
    </row>
    <row r="2724">
      <c r="A2724" s="3">
        <f>IFERROR(__xludf.DUMMYFUNCTION("""COMPUTED_VALUE"""),41452.645833333336)</f>
        <v>41452.64583</v>
      </c>
      <c r="B2724" s="2">
        <f>IFERROR(__xludf.DUMMYFUNCTION("""COMPUTED_VALUE"""),404.4)</f>
        <v>404.4</v>
      </c>
      <c r="C2724" s="2">
        <f>IFERROR(__xludf.DUMMYFUNCTION("""COMPUTED_VALUE"""),414.53)</f>
        <v>414.53</v>
      </c>
      <c r="D2724" s="2">
        <f>IFERROR(__xludf.DUMMYFUNCTION("""COMPUTED_VALUE"""),403.36)</f>
        <v>403.36</v>
      </c>
      <c r="E2724" s="2">
        <f>IFERROR(__xludf.DUMMYFUNCTION("""COMPUTED_VALUE"""),411.09)</f>
        <v>411.09</v>
      </c>
      <c r="F2724" s="2">
        <f>IFERROR(__xludf.DUMMYFUNCTION("""COMPUTED_VALUE"""),5886358.0)</f>
        <v>5886358</v>
      </c>
    </row>
    <row r="2725">
      <c r="A2725" s="3">
        <f>IFERROR(__xludf.DUMMYFUNCTION("""COMPUTED_VALUE"""),41453.645833333336)</f>
        <v>41453.64583</v>
      </c>
      <c r="B2725" s="2">
        <f>IFERROR(__xludf.DUMMYFUNCTION("""COMPUTED_VALUE"""),430.65)</f>
        <v>430.65</v>
      </c>
      <c r="C2725" s="2">
        <f>IFERROR(__xludf.DUMMYFUNCTION("""COMPUTED_VALUE"""),432.39)</f>
        <v>432.39</v>
      </c>
      <c r="D2725" s="2">
        <f>IFERROR(__xludf.DUMMYFUNCTION("""COMPUTED_VALUE"""),419.01)</f>
        <v>419.01</v>
      </c>
      <c r="E2725" s="2">
        <f>IFERROR(__xludf.DUMMYFUNCTION("""COMPUTED_VALUE"""),427.23)</f>
        <v>427.23</v>
      </c>
      <c r="F2725" s="2">
        <f>IFERROR(__xludf.DUMMYFUNCTION("""COMPUTED_VALUE"""),1.1002553E7)</f>
        <v>11002553</v>
      </c>
    </row>
    <row r="2726">
      <c r="A2726" s="3">
        <f>IFERROR(__xludf.DUMMYFUNCTION("""COMPUTED_VALUE"""),41456.645833333336)</f>
        <v>41456.64583</v>
      </c>
      <c r="B2726" s="2">
        <f>IFERROR(__xludf.DUMMYFUNCTION("""COMPUTED_VALUE"""),426.94)</f>
        <v>426.94</v>
      </c>
      <c r="C2726" s="2">
        <f>IFERROR(__xludf.DUMMYFUNCTION("""COMPUTED_VALUE"""),439.81)</f>
        <v>439.81</v>
      </c>
      <c r="D2726" s="2">
        <f>IFERROR(__xludf.DUMMYFUNCTION("""COMPUTED_VALUE"""),423.79)</f>
        <v>423.79</v>
      </c>
      <c r="E2726" s="2">
        <f>IFERROR(__xludf.DUMMYFUNCTION("""COMPUTED_VALUE"""),438.68)</f>
        <v>438.68</v>
      </c>
      <c r="F2726" s="2">
        <f>IFERROR(__xludf.DUMMYFUNCTION("""COMPUTED_VALUE"""),4685396.0)</f>
        <v>4685396</v>
      </c>
    </row>
    <row r="2727">
      <c r="A2727" s="3">
        <f>IFERROR(__xludf.DUMMYFUNCTION("""COMPUTED_VALUE"""),41457.645833333336)</f>
        <v>41457.64583</v>
      </c>
      <c r="B2727" s="2">
        <f>IFERROR(__xludf.DUMMYFUNCTION("""COMPUTED_VALUE"""),437.39)</f>
        <v>437.39</v>
      </c>
      <c r="C2727" s="2">
        <f>IFERROR(__xludf.DUMMYFUNCTION("""COMPUTED_VALUE"""),441.7)</f>
        <v>441.7</v>
      </c>
      <c r="D2727" s="2">
        <f>IFERROR(__xludf.DUMMYFUNCTION("""COMPUTED_VALUE"""),430.28)</f>
        <v>430.28</v>
      </c>
      <c r="E2727" s="2">
        <f>IFERROR(__xludf.DUMMYFUNCTION("""COMPUTED_VALUE"""),431.82)</f>
        <v>431.82</v>
      </c>
      <c r="F2727" s="2">
        <f>IFERROR(__xludf.DUMMYFUNCTION("""COMPUTED_VALUE"""),4064138.0)</f>
        <v>4064138</v>
      </c>
    </row>
    <row r="2728">
      <c r="A2728" s="3">
        <f>IFERROR(__xludf.DUMMYFUNCTION("""COMPUTED_VALUE"""),41458.645833333336)</f>
        <v>41458.64583</v>
      </c>
      <c r="B2728" s="2">
        <f>IFERROR(__xludf.DUMMYFUNCTION("""COMPUTED_VALUE"""),426.19)</f>
        <v>426.19</v>
      </c>
      <c r="C2728" s="2">
        <f>IFERROR(__xludf.DUMMYFUNCTION("""COMPUTED_VALUE"""),427.61)</f>
        <v>427.61</v>
      </c>
      <c r="D2728" s="2">
        <f>IFERROR(__xludf.DUMMYFUNCTION("""COMPUTED_VALUE"""),420.28)</f>
        <v>420.28</v>
      </c>
      <c r="E2728" s="2">
        <f>IFERROR(__xludf.DUMMYFUNCTION("""COMPUTED_VALUE"""),421.41)</f>
        <v>421.41</v>
      </c>
      <c r="F2728" s="2">
        <f>IFERROR(__xludf.DUMMYFUNCTION("""COMPUTED_VALUE"""),2929628.0)</f>
        <v>2929628</v>
      </c>
    </row>
    <row r="2729">
      <c r="A2729" s="3">
        <f>IFERROR(__xludf.DUMMYFUNCTION("""COMPUTED_VALUE"""),41459.645833333336)</f>
        <v>41459.64583</v>
      </c>
      <c r="B2729" s="2">
        <f>IFERROR(__xludf.DUMMYFUNCTION("""COMPUTED_VALUE"""),422.53)</f>
        <v>422.53</v>
      </c>
      <c r="C2729" s="2">
        <f>IFERROR(__xludf.DUMMYFUNCTION("""COMPUTED_VALUE"""),431.2)</f>
        <v>431.2</v>
      </c>
      <c r="D2729" s="2">
        <f>IFERROR(__xludf.DUMMYFUNCTION("""COMPUTED_VALUE"""),419.68)</f>
        <v>419.68</v>
      </c>
      <c r="E2729" s="2">
        <f>IFERROR(__xludf.DUMMYFUNCTION("""COMPUTED_VALUE"""),426.76)</f>
        <v>426.76</v>
      </c>
      <c r="F2729" s="2">
        <f>IFERROR(__xludf.DUMMYFUNCTION("""COMPUTED_VALUE"""),3024958.0)</f>
        <v>3024958</v>
      </c>
    </row>
    <row r="2730">
      <c r="A2730" s="3">
        <f>IFERROR(__xludf.DUMMYFUNCTION("""COMPUTED_VALUE"""),41460.645833333336)</f>
        <v>41460.64583</v>
      </c>
      <c r="B2730" s="2">
        <f>IFERROR(__xludf.DUMMYFUNCTION("""COMPUTED_VALUE"""),429.09)</f>
        <v>429.09</v>
      </c>
      <c r="C2730" s="2">
        <f>IFERROR(__xludf.DUMMYFUNCTION("""COMPUTED_VALUE"""),438.21)</f>
        <v>438.21</v>
      </c>
      <c r="D2730" s="2">
        <f>IFERROR(__xludf.DUMMYFUNCTION("""COMPUTED_VALUE"""),429.09)</f>
        <v>429.09</v>
      </c>
      <c r="E2730" s="2">
        <f>IFERROR(__xludf.DUMMYFUNCTION("""COMPUTED_VALUE"""),436.03)</f>
        <v>436.03</v>
      </c>
      <c r="F2730" s="2">
        <f>IFERROR(__xludf.DUMMYFUNCTION("""COMPUTED_VALUE"""),2915951.0)</f>
        <v>2915951</v>
      </c>
    </row>
    <row r="2731">
      <c r="A2731" s="3">
        <f>IFERROR(__xludf.DUMMYFUNCTION("""COMPUTED_VALUE"""),41463.645833333336)</f>
        <v>41463.64583</v>
      </c>
      <c r="B2731" s="2">
        <f>IFERROR(__xludf.DUMMYFUNCTION("""COMPUTED_VALUE"""),430.9)</f>
        <v>430.9</v>
      </c>
      <c r="C2731" s="2">
        <f>IFERROR(__xludf.DUMMYFUNCTION("""COMPUTED_VALUE"""),432.61)</f>
        <v>432.61</v>
      </c>
      <c r="D2731" s="2">
        <f>IFERROR(__xludf.DUMMYFUNCTION("""COMPUTED_VALUE"""),425.03)</f>
        <v>425.03</v>
      </c>
      <c r="E2731" s="2">
        <f>IFERROR(__xludf.DUMMYFUNCTION("""COMPUTED_VALUE"""),429.39)</f>
        <v>429.39</v>
      </c>
      <c r="F2731" s="2">
        <f>IFERROR(__xludf.DUMMYFUNCTION("""COMPUTED_VALUE"""),3258017.0)</f>
        <v>3258017</v>
      </c>
    </row>
    <row r="2732">
      <c r="A2732" s="3">
        <f>IFERROR(__xludf.DUMMYFUNCTION("""COMPUTED_VALUE"""),41464.645833333336)</f>
        <v>41464.64583</v>
      </c>
      <c r="B2732" s="2">
        <f>IFERROR(__xludf.DUMMYFUNCTION("""COMPUTED_VALUE"""),430.45)</f>
        <v>430.45</v>
      </c>
      <c r="C2732" s="2">
        <f>IFERROR(__xludf.DUMMYFUNCTION("""COMPUTED_VALUE"""),436.74)</f>
        <v>436.74</v>
      </c>
      <c r="D2732" s="2">
        <f>IFERROR(__xludf.DUMMYFUNCTION("""COMPUTED_VALUE"""),429.44)</f>
        <v>429.44</v>
      </c>
      <c r="E2732" s="2">
        <f>IFERROR(__xludf.DUMMYFUNCTION("""COMPUTED_VALUE"""),433.28)</f>
        <v>433.28</v>
      </c>
      <c r="F2732" s="2">
        <f>IFERROR(__xludf.DUMMYFUNCTION("""COMPUTED_VALUE"""),2953811.0)</f>
        <v>2953811</v>
      </c>
    </row>
    <row r="2733">
      <c r="A2733" s="3">
        <f>IFERROR(__xludf.DUMMYFUNCTION("""COMPUTED_VALUE"""),41465.645833333336)</f>
        <v>41465.64583</v>
      </c>
      <c r="B2733" s="2">
        <f>IFERROR(__xludf.DUMMYFUNCTION("""COMPUTED_VALUE"""),433.0)</f>
        <v>433</v>
      </c>
      <c r="C2733" s="2">
        <f>IFERROR(__xludf.DUMMYFUNCTION("""COMPUTED_VALUE"""),435.78)</f>
        <v>435.78</v>
      </c>
      <c r="D2733" s="2">
        <f>IFERROR(__xludf.DUMMYFUNCTION("""COMPUTED_VALUE"""),415.55)</f>
        <v>415.55</v>
      </c>
      <c r="E2733" s="2">
        <f>IFERROR(__xludf.DUMMYFUNCTION("""COMPUTED_VALUE"""),423.97)</f>
        <v>423.97</v>
      </c>
      <c r="F2733" s="2">
        <f>IFERROR(__xludf.DUMMYFUNCTION("""COMPUTED_VALUE"""),5083109.0)</f>
        <v>5083109</v>
      </c>
    </row>
    <row r="2734">
      <c r="A2734" s="3">
        <f>IFERROR(__xludf.DUMMYFUNCTION("""COMPUTED_VALUE"""),41466.645833333336)</f>
        <v>41466.64583</v>
      </c>
      <c r="B2734" s="2">
        <f>IFERROR(__xludf.DUMMYFUNCTION("""COMPUTED_VALUE"""),428.42)</f>
        <v>428.42</v>
      </c>
      <c r="C2734" s="2">
        <f>IFERROR(__xludf.DUMMYFUNCTION("""COMPUTED_VALUE"""),432.53)</f>
        <v>432.53</v>
      </c>
      <c r="D2734" s="2">
        <f>IFERROR(__xludf.DUMMYFUNCTION("""COMPUTED_VALUE"""),425.58)</f>
        <v>425.58</v>
      </c>
      <c r="E2734" s="2">
        <f>IFERROR(__xludf.DUMMYFUNCTION("""COMPUTED_VALUE"""),430.92)</f>
        <v>430.92</v>
      </c>
      <c r="F2734" s="2">
        <f>IFERROR(__xludf.DUMMYFUNCTION("""COMPUTED_VALUE"""),2598534.0)</f>
        <v>2598534</v>
      </c>
    </row>
    <row r="2735">
      <c r="A2735" s="3">
        <f>IFERROR(__xludf.DUMMYFUNCTION("""COMPUTED_VALUE"""),41467.645833333336)</f>
        <v>41467.64583</v>
      </c>
      <c r="B2735" s="2">
        <f>IFERROR(__xludf.DUMMYFUNCTION("""COMPUTED_VALUE"""),433.0)</f>
        <v>433</v>
      </c>
      <c r="C2735" s="2">
        <f>IFERROR(__xludf.DUMMYFUNCTION("""COMPUTED_VALUE"""),443.78)</f>
        <v>443.78</v>
      </c>
      <c r="D2735" s="2">
        <f>IFERROR(__xludf.DUMMYFUNCTION("""COMPUTED_VALUE"""),430.7)</f>
        <v>430.7</v>
      </c>
      <c r="E2735" s="2">
        <f>IFERROR(__xludf.DUMMYFUNCTION("""COMPUTED_VALUE"""),440.78)</f>
        <v>440.78</v>
      </c>
      <c r="F2735" s="2">
        <f>IFERROR(__xludf.DUMMYFUNCTION("""COMPUTED_VALUE"""),3285192.0)</f>
        <v>3285192</v>
      </c>
    </row>
    <row r="2736">
      <c r="A2736" s="3">
        <f>IFERROR(__xludf.DUMMYFUNCTION("""COMPUTED_VALUE"""),41470.645833333336)</f>
        <v>41470.64583</v>
      </c>
      <c r="B2736" s="2">
        <f>IFERROR(__xludf.DUMMYFUNCTION("""COMPUTED_VALUE"""),438.82)</f>
        <v>438.82</v>
      </c>
      <c r="C2736" s="2">
        <f>IFERROR(__xludf.DUMMYFUNCTION("""COMPUTED_VALUE"""),445.71)</f>
        <v>445.71</v>
      </c>
      <c r="D2736" s="2">
        <f>IFERROR(__xludf.DUMMYFUNCTION("""COMPUTED_VALUE"""),438.82)</f>
        <v>438.82</v>
      </c>
      <c r="E2736" s="2">
        <f>IFERROR(__xludf.DUMMYFUNCTION("""COMPUTED_VALUE"""),444.2)</f>
        <v>444.2</v>
      </c>
      <c r="F2736" s="2">
        <f>IFERROR(__xludf.DUMMYFUNCTION("""COMPUTED_VALUE"""),2951748.0)</f>
        <v>2951748</v>
      </c>
    </row>
    <row r="2737">
      <c r="A2737" s="3">
        <f>IFERROR(__xludf.DUMMYFUNCTION("""COMPUTED_VALUE"""),41471.645833333336)</f>
        <v>41471.64583</v>
      </c>
      <c r="B2737" s="2">
        <f>IFERROR(__xludf.DUMMYFUNCTION("""COMPUTED_VALUE"""),439.32)</f>
        <v>439.32</v>
      </c>
      <c r="C2737" s="2">
        <f>IFERROR(__xludf.DUMMYFUNCTION("""COMPUTED_VALUE"""),447.96)</f>
        <v>447.96</v>
      </c>
      <c r="D2737" s="2">
        <f>IFERROR(__xludf.DUMMYFUNCTION("""COMPUTED_VALUE"""),437.36)</f>
        <v>437.36</v>
      </c>
      <c r="E2737" s="2">
        <f>IFERROR(__xludf.DUMMYFUNCTION("""COMPUTED_VALUE"""),446.06)</f>
        <v>446.06</v>
      </c>
      <c r="F2737" s="2">
        <f>IFERROR(__xludf.DUMMYFUNCTION("""COMPUTED_VALUE"""),2965797.0)</f>
        <v>2965797</v>
      </c>
    </row>
    <row r="2738">
      <c r="A2738" s="3">
        <f>IFERROR(__xludf.DUMMYFUNCTION("""COMPUTED_VALUE"""),41472.645833333336)</f>
        <v>41472.64583</v>
      </c>
      <c r="B2738" s="2">
        <f>IFERROR(__xludf.DUMMYFUNCTION("""COMPUTED_VALUE"""),447.24)</f>
        <v>447.24</v>
      </c>
      <c r="C2738" s="2">
        <f>IFERROR(__xludf.DUMMYFUNCTION("""COMPUTED_VALUE"""),454.62)</f>
        <v>454.62</v>
      </c>
      <c r="D2738" s="2">
        <f>IFERROR(__xludf.DUMMYFUNCTION("""COMPUTED_VALUE"""),447.24)</f>
        <v>447.24</v>
      </c>
      <c r="E2738" s="2">
        <f>IFERROR(__xludf.DUMMYFUNCTION("""COMPUTED_VALUE"""),453.16)</f>
        <v>453.16</v>
      </c>
      <c r="F2738" s="2">
        <f>IFERROR(__xludf.DUMMYFUNCTION("""COMPUTED_VALUE"""),5287638.0)</f>
        <v>5287638</v>
      </c>
    </row>
    <row r="2739">
      <c r="A2739" s="3">
        <f>IFERROR(__xludf.DUMMYFUNCTION("""COMPUTED_VALUE"""),41473.645833333336)</f>
        <v>41473.64583</v>
      </c>
      <c r="B2739" s="2">
        <f>IFERROR(__xludf.DUMMYFUNCTION("""COMPUTED_VALUE"""),454.67)</f>
        <v>454.67</v>
      </c>
      <c r="C2739" s="2">
        <f>IFERROR(__xludf.DUMMYFUNCTION("""COMPUTED_VALUE"""),455.64)</f>
        <v>455.64</v>
      </c>
      <c r="D2739" s="2">
        <f>IFERROR(__xludf.DUMMYFUNCTION("""COMPUTED_VALUE"""),450.31)</f>
        <v>450.31</v>
      </c>
      <c r="E2739" s="2">
        <f>IFERROR(__xludf.DUMMYFUNCTION("""COMPUTED_VALUE"""),454.3)</f>
        <v>454.3</v>
      </c>
      <c r="F2739" s="2">
        <f>IFERROR(__xludf.DUMMYFUNCTION("""COMPUTED_VALUE"""),2812387.0)</f>
        <v>2812387</v>
      </c>
    </row>
    <row r="2740">
      <c r="A2740" s="3">
        <f>IFERROR(__xludf.DUMMYFUNCTION("""COMPUTED_VALUE"""),41474.645833333336)</f>
        <v>41474.64583</v>
      </c>
      <c r="B2740" s="2">
        <f>IFERROR(__xludf.DUMMYFUNCTION("""COMPUTED_VALUE"""),455.19)</f>
        <v>455.19</v>
      </c>
      <c r="C2740" s="2">
        <f>IFERROR(__xludf.DUMMYFUNCTION("""COMPUTED_VALUE"""),459.58)</f>
        <v>459.58</v>
      </c>
      <c r="D2740" s="2">
        <f>IFERROR(__xludf.DUMMYFUNCTION("""COMPUTED_VALUE"""),452.22)</f>
        <v>452.22</v>
      </c>
      <c r="E2740" s="2">
        <f>IFERROR(__xludf.DUMMYFUNCTION("""COMPUTED_VALUE"""),457.5)</f>
        <v>457.5</v>
      </c>
      <c r="F2740" s="2">
        <f>IFERROR(__xludf.DUMMYFUNCTION("""COMPUTED_VALUE"""),3268422.0)</f>
        <v>3268422</v>
      </c>
    </row>
    <row r="2741">
      <c r="A2741" s="3">
        <f>IFERROR(__xludf.DUMMYFUNCTION("""COMPUTED_VALUE"""),41477.645833333336)</f>
        <v>41477.64583</v>
      </c>
      <c r="B2741" s="2">
        <f>IFERROR(__xludf.DUMMYFUNCTION("""COMPUTED_VALUE"""),453.19)</f>
        <v>453.19</v>
      </c>
      <c r="C2741" s="2">
        <f>IFERROR(__xludf.DUMMYFUNCTION("""COMPUTED_VALUE"""),453.19)</f>
        <v>453.19</v>
      </c>
      <c r="D2741" s="2">
        <f>IFERROR(__xludf.DUMMYFUNCTION("""COMPUTED_VALUE"""),445.24)</f>
        <v>445.24</v>
      </c>
      <c r="E2741" s="2">
        <f>IFERROR(__xludf.DUMMYFUNCTION("""COMPUTED_VALUE"""),450.24)</f>
        <v>450.24</v>
      </c>
      <c r="F2741" s="2">
        <f>IFERROR(__xludf.DUMMYFUNCTION("""COMPUTED_VALUE"""),3876482.0)</f>
        <v>3876482</v>
      </c>
    </row>
    <row r="2742">
      <c r="A2742" s="3">
        <f>IFERROR(__xludf.DUMMYFUNCTION("""COMPUTED_VALUE"""),41478.645833333336)</f>
        <v>41478.64583</v>
      </c>
      <c r="B2742" s="2">
        <f>IFERROR(__xludf.DUMMYFUNCTION("""COMPUTED_VALUE"""),451.73)</f>
        <v>451.73</v>
      </c>
      <c r="C2742" s="2">
        <f>IFERROR(__xludf.DUMMYFUNCTION("""COMPUTED_VALUE"""),458.14)</f>
        <v>458.14</v>
      </c>
      <c r="D2742" s="2">
        <f>IFERROR(__xludf.DUMMYFUNCTION("""COMPUTED_VALUE"""),449.35)</f>
        <v>449.35</v>
      </c>
      <c r="E2742" s="2">
        <f>IFERROR(__xludf.DUMMYFUNCTION("""COMPUTED_VALUE"""),450.49)</f>
        <v>450.49</v>
      </c>
      <c r="F2742" s="2">
        <f>IFERROR(__xludf.DUMMYFUNCTION("""COMPUTED_VALUE"""),2841507.0)</f>
        <v>2841507</v>
      </c>
    </row>
    <row r="2743">
      <c r="A2743" s="3">
        <f>IFERROR(__xludf.DUMMYFUNCTION("""COMPUTED_VALUE"""),41479.645833333336)</f>
        <v>41479.64583</v>
      </c>
      <c r="B2743" s="2">
        <f>IFERROR(__xludf.DUMMYFUNCTION("""COMPUTED_VALUE"""),449.72)</f>
        <v>449.72</v>
      </c>
      <c r="C2743" s="2">
        <f>IFERROR(__xludf.DUMMYFUNCTION("""COMPUTED_VALUE"""),454.13)</f>
        <v>454.13</v>
      </c>
      <c r="D2743" s="2">
        <f>IFERROR(__xludf.DUMMYFUNCTION("""COMPUTED_VALUE"""),443.36)</f>
        <v>443.36</v>
      </c>
      <c r="E2743" s="2">
        <f>IFERROR(__xludf.DUMMYFUNCTION("""COMPUTED_VALUE"""),450.39)</f>
        <v>450.39</v>
      </c>
      <c r="F2743" s="2">
        <f>IFERROR(__xludf.DUMMYFUNCTION("""COMPUTED_VALUE"""),3151838.0)</f>
        <v>3151838</v>
      </c>
    </row>
    <row r="2744">
      <c r="A2744" s="3">
        <f>IFERROR(__xludf.DUMMYFUNCTION("""COMPUTED_VALUE"""),41480.645833333336)</f>
        <v>41480.64583</v>
      </c>
      <c r="B2744" s="2">
        <f>IFERROR(__xludf.DUMMYFUNCTION("""COMPUTED_VALUE"""),448.71)</f>
        <v>448.71</v>
      </c>
      <c r="C2744" s="2">
        <f>IFERROR(__xludf.DUMMYFUNCTION("""COMPUTED_VALUE"""),451.8)</f>
        <v>451.8</v>
      </c>
      <c r="D2744" s="2">
        <f>IFERROR(__xludf.DUMMYFUNCTION("""COMPUTED_VALUE"""),434.59)</f>
        <v>434.59</v>
      </c>
      <c r="E2744" s="2">
        <f>IFERROR(__xludf.DUMMYFUNCTION("""COMPUTED_VALUE"""),441.18)</f>
        <v>441.18</v>
      </c>
      <c r="F2744" s="2">
        <f>IFERROR(__xludf.DUMMYFUNCTION("""COMPUTED_VALUE"""),3618768.0)</f>
        <v>3618768</v>
      </c>
    </row>
    <row r="2745">
      <c r="A2745" s="3">
        <f>IFERROR(__xludf.DUMMYFUNCTION("""COMPUTED_VALUE"""),41481.645833333336)</f>
        <v>41481.64583</v>
      </c>
      <c r="B2745" s="2">
        <f>IFERROR(__xludf.DUMMYFUNCTION("""COMPUTED_VALUE"""),441.89)</f>
        <v>441.89</v>
      </c>
      <c r="C2745" s="2">
        <f>IFERROR(__xludf.DUMMYFUNCTION("""COMPUTED_VALUE"""),447.59)</f>
        <v>447.59</v>
      </c>
      <c r="D2745" s="2">
        <f>IFERROR(__xludf.DUMMYFUNCTION("""COMPUTED_VALUE"""),438.55)</f>
        <v>438.55</v>
      </c>
      <c r="E2745" s="2">
        <f>IFERROR(__xludf.DUMMYFUNCTION("""COMPUTED_VALUE"""),440.88)</f>
        <v>440.88</v>
      </c>
      <c r="F2745" s="2">
        <f>IFERROR(__xludf.DUMMYFUNCTION("""COMPUTED_VALUE"""),2186491.0)</f>
        <v>2186491</v>
      </c>
    </row>
    <row r="2746">
      <c r="A2746" s="3">
        <f>IFERROR(__xludf.DUMMYFUNCTION("""COMPUTED_VALUE"""),41484.645833333336)</f>
        <v>41484.64583</v>
      </c>
      <c r="B2746" s="2">
        <f>IFERROR(__xludf.DUMMYFUNCTION("""COMPUTED_VALUE"""),439.34)</f>
        <v>439.34</v>
      </c>
      <c r="C2746" s="2">
        <f>IFERROR(__xludf.DUMMYFUNCTION("""COMPUTED_VALUE"""),445.09)</f>
        <v>445.09</v>
      </c>
      <c r="D2746" s="2">
        <f>IFERROR(__xludf.DUMMYFUNCTION("""COMPUTED_VALUE"""),437.12)</f>
        <v>437.12</v>
      </c>
      <c r="E2746" s="2">
        <f>IFERROR(__xludf.DUMMYFUNCTION("""COMPUTED_VALUE"""),438.68)</f>
        <v>438.68</v>
      </c>
      <c r="F2746" s="2">
        <f>IFERROR(__xludf.DUMMYFUNCTION("""COMPUTED_VALUE"""),2091846.0)</f>
        <v>2091846</v>
      </c>
    </row>
    <row r="2747">
      <c r="A2747" s="3">
        <f>IFERROR(__xludf.DUMMYFUNCTION("""COMPUTED_VALUE"""),41485.645833333336)</f>
        <v>41485.64583</v>
      </c>
      <c r="B2747" s="2">
        <f>IFERROR(__xludf.DUMMYFUNCTION("""COMPUTED_VALUE"""),439.34)</f>
        <v>439.34</v>
      </c>
      <c r="C2747" s="2">
        <f>IFERROR(__xludf.DUMMYFUNCTION("""COMPUTED_VALUE"""),441.8)</f>
        <v>441.8</v>
      </c>
      <c r="D2747" s="2">
        <f>IFERROR(__xludf.DUMMYFUNCTION("""COMPUTED_VALUE"""),422.93)</f>
        <v>422.93</v>
      </c>
      <c r="E2747" s="2">
        <f>IFERROR(__xludf.DUMMYFUNCTION("""COMPUTED_VALUE"""),424.63)</f>
        <v>424.63</v>
      </c>
      <c r="F2747" s="2">
        <f>IFERROR(__xludf.DUMMYFUNCTION("""COMPUTED_VALUE"""),2604256.0)</f>
        <v>2604256</v>
      </c>
    </row>
    <row r="2748">
      <c r="A2748" s="3">
        <f>IFERROR(__xludf.DUMMYFUNCTION("""COMPUTED_VALUE"""),41486.645833333336)</f>
        <v>41486.64583</v>
      </c>
      <c r="B2748" s="2">
        <f>IFERROR(__xludf.DUMMYFUNCTION("""COMPUTED_VALUE"""),425.28)</f>
        <v>425.28</v>
      </c>
      <c r="C2748" s="2">
        <f>IFERROR(__xludf.DUMMYFUNCTION("""COMPUTED_VALUE"""),435.7)</f>
        <v>435.7</v>
      </c>
      <c r="D2748" s="2">
        <f>IFERROR(__xludf.DUMMYFUNCTION("""COMPUTED_VALUE"""),417.33)</f>
        <v>417.33</v>
      </c>
      <c r="E2748" s="2">
        <f>IFERROR(__xludf.DUMMYFUNCTION("""COMPUTED_VALUE"""),431.91)</f>
        <v>431.91</v>
      </c>
      <c r="F2748" s="2">
        <f>IFERROR(__xludf.DUMMYFUNCTION("""COMPUTED_VALUE"""),3610644.0)</f>
        <v>3610644</v>
      </c>
    </row>
    <row r="2749">
      <c r="A2749" s="3">
        <f>IFERROR(__xludf.DUMMYFUNCTION("""COMPUTED_VALUE"""),41487.645833333336)</f>
        <v>41487.64583</v>
      </c>
      <c r="B2749" s="2">
        <f>IFERROR(__xludf.DUMMYFUNCTION("""COMPUTED_VALUE"""),433.45)</f>
        <v>433.45</v>
      </c>
      <c r="C2749" s="2">
        <f>IFERROR(__xludf.DUMMYFUNCTION("""COMPUTED_VALUE"""),437.26)</f>
        <v>437.26</v>
      </c>
      <c r="D2749" s="2">
        <f>IFERROR(__xludf.DUMMYFUNCTION("""COMPUTED_VALUE"""),418.44)</f>
        <v>418.44</v>
      </c>
      <c r="E2749" s="2">
        <f>IFERROR(__xludf.DUMMYFUNCTION("""COMPUTED_VALUE"""),420.99)</f>
        <v>420.99</v>
      </c>
      <c r="F2749" s="2">
        <f>IFERROR(__xludf.DUMMYFUNCTION("""COMPUTED_VALUE"""),2530722.0)</f>
        <v>2530722</v>
      </c>
    </row>
    <row r="2750">
      <c r="A2750" s="3">
        <f>IFERROR(__xludf.DUMMYFUNCTION("""COMPUTED_VALUE"""),41488.645833333336)</f>
        <v>41488.64583</v>
      </c>
      <c r="B2750" s="2">
        <f>IFERROR(__xludf.DUMMYFUNCTION("""COMPUTED_VALUE"""),425.95)</f>
        <v>425.95</v>
      </c>
      <c r="C2750" s="2">
        <f>IFERROR(__xludf.DUMMYFUNCTION("""COMPUTED_VALUE"""),431.87)</f>
        <v>431.87</v>
      </c>
      <c r="D2750" s="2">
        <f>IFERROR(__xludf.DUMMYFUNCTION("""COMPUTED_VALUE"""),420.99)</f>
        <v>420.99</v>
      </c>
      <c r="E2750" s="2">
        <f>IFERROR(__xludf.DUMMYFUNCTION("""COMPUTED_VALUE"""),424.63)</f>
        <v>424.63</v>
      </c>
      <c r="F2750" s="2">
        <f>IFERROR(__xludf.DUMMYFUNCTION("""COMPUTED_VALUE"""),2930875.0)</f>
        <v>2930875</v>
      </c>
    </row>
    <row r="2751">
      <c r="A2751" s="3">
        <f>IFERROR(__xludf.DUMMYFUNCTION("""COMPUTED_VALUE"""),41491.645833333336)</f>
        <v>41491.64583</v>
      </c>
      <c r="B2751" s="2">
        <f>IFERROR(__xludf.DUMMYFUNCTION("""COMPUTED_VALUE"""),425.95)</f>
        <v>425.95</v>
      </c>
      <c r="C2751" s="2">
        <f>IFERROR(__xludf.DUMMYFUNCTION("""COMPUTED_VALUE"""),432.34)</f>
        <v>432.34</v>
      </c>
      <c r="D2751" s="2">
        <f>IFERROR(__xludf.DUMMYFUNCTION("""COMPUTED_VALUE"""),423.84)</f>
        <v>423.84</v>
      </c>
      <c r="E2751" s="2">
        <f>IFERROR(__xludf.DUMMYFUNCTION("""COMPUTED_VALUE"""),426.71)</f>
        <v>426.71</v>
      </c>
      <c r="F2751" s="2">
        <f>IFERROR(__xludf.DUMMYFUNCTION("""COMPUTED_VALUE"""),2870806.0)</f>
        <v>2870806</v>
      </c>
    </row>
    <row r="2752">
      <c r="A2752" s="3">
        <f>IFERROR(__xludf.DUMMYFUNCTION("""COMPUTED_VALUE"""),41492.645833333336)</f>
        <v>41492.64583</v>
      </c>
      <c r="B2752" s="2">
        <f>IFERROR(__xludf.DUMMYFUNCTION("""COMPUTED_VALUE"""),425.18)</f>
        <v>425.18</v>
      </c>
      <c r="C2752" s="2">
        <f>IFERROR(__xludf.DUMMYFUNCTION("""COMPUTED_VALUE"""),428.03)</f>
        <v>428.03</v>
      </c>
      <c r="D2752" s="2">
        <f>IFERROR(__xludf.DUMMYFUNCTION("""COMPUTED_VALUE"""),411.16)</f>
        <v>411.16</v>
      </c>
      <c r="E2752" s="2">
        <f>IFERROR(__xludf.DUMMYFUNCTION("""COMPUTED_VALUE"""),416.56)</f>
        <v>416.56</v>
      </c>
      <c r="F2752" s="2">
        <f>IFERROR(__xludf.DUMMYFUNCTION("""COMPUTED_VALUE"""),2837977.0)</f>
        <v>2837977</v>
      </c>
    </row>
    <row r="2753">
      <c r="A2753" s="3">
        <f>IFERROR(__xludf.DUMMYFUNCTION("""COMPUTED_VALUE"""),41493.645833333336)</f>
        <v>41493.64583</v>
      </c>
      <c r="B2753" s="2">
        <f>IFERROR(__xludf.DUMMYFUNCTION("""COMPUTED_VALUE"""),418.52)</f>
        <v>418.52</v>
      </c>
      <c r="C2753" s="2">
        <f>IFERROR(__xludf.DUMMYFUNCTION("""COMPUTED_VALUE"""),436.77)</f>
        <v>436.77</v>
      </c>
      <c r="D2753" s="2">
        <f>IFERROR(__xludf.DUMMYFUNCTION("""COMPUTED_VALUE"""),411.58)</f>
        <v>411.58</v>
      </c>
      <c r="E2753" s="2">
        <f>IFERROR(__xludf.DUMMYFUNCTION("""COMPUTED_VALUE"""),432.11)</f>
        <v>432.11</v>
      </c>
      <c r="F2753" s="2">
        <f>IFERROR(__xludf.DUMMYFUNCTION("""COMPUTED_VALUE"""),4296180.0)</f>
        <v>4296180</v>
      </c>
    </row>
    <row r="2754">
      <c r="A2754" s="3">
        <f>IFERROR(__xludf.DUMMYFUNCTION("""COMPUTED_VALUE"""),41494.645833333336)</f>
        <v>41494.64583</v>
      </c>
      <c r="B2754" s="2">
        <f>IFERROR(__xludf.DUMMYFUNCTION("""COMPUTED_VALUE"""),429.59)</f>
        <v>429.59</v>
      </c>
      <c r="C2754" s="2">
        <f>IFERROR(__xludf.DUMMYFUNCTION("""COMPUTED_VALUE"""),432.11)</f>
        <v>432.11</v>
      </c>
      <c r="D2754" s="2">
        <f>IFERROR(__xludf.DUMMYFUNCTION("""COMPUTED_VALUE"""),424.54)</f>
        <v>424.54</v>
      </c>
      <c r="E2754" s="2">
        <f>IFERROR(__xludf.DUMMYFUNCTION("""COMPUTED_VALUE"""),428.75)</f>
        <v>428.75</v>
      </c>
      <c r="F2754" s="2">
        <f>IFERROR(__xludf.DUMMYFUNCTION("""COMPUTED_VALUE"""),2598354.0)</f>
        <v>2598354</v>
      </c>
    </row>
    <row r="2755">
      <c r="A2755" s="3">
        <f>IFERROR(__xludf.DUMMYFUNCTION("""COMPUTED_VALUE"""),41498.645833333336)</f>
        <v>41498.64583</v>
      </c>
      <c r="B2755" s="2">
        <f>IFERROR(__xludf.DUMMYFUNCTION("""COMPUTED_VALUE"""),430.4)</f>
        <v>430.4</v>
      </c>
      <c r="C2755" s="2">
        <f>IFERROR(__xludf.DUMMYFUNCTION("""COMPUTED_VALUE"""),432.31)</f>
        <v>432.31</v>
      </c>
      <c r="D2755" s="2">
        <f>IFERROR(__xludf.DUMMYFUNCTION("""COMPUTED_VALUE"""),416.26)</f>
        <v>416.26</v>
      </c>
      <c r="E2755" s="2">
        <f>IFERROR(__xludf.DUMMYFUNCTION("""COMPUTED_VALUE"""),418.84)</f>
        <v>418.84</v>
      </c>
      <c r="F2755" s="2">
        <f>IFERROR(__xludf.DUMMYFUNCTION("""COMPUTED_VALUE"""),1995272.0)</f>
        <v>1995272</v>
      </c>
    </row>
    <row r="2756">
      <c r="A2756" s="3">
        <f>IFERROR(__xludf.DUMMYFUNCTION("""COMPUTED_VALUE"""),41499.645833333336)</f>
        <v>41499.64583</v>
      </c>
      <c r="B2756" s="2">
        <f>IFERROR(__xludf.DUMMYFUNCTION("""COMPUTED_VALUE"""),417.53)</f>
        <v>417.53</v>
      </c>
      <c r="C2756" s="2">
        <f>IFERROR(__xludf.DUMMYFUNCTION("""COMPUTED_VALUE"""),425.92)</f>
        <v>425.92</v>
      </c>
      <c r="D2756" s="2">
        <f>IFERROR(__xludf.DUMMYFUNCTION("""COMPUTED_VALUE"""),413.56)</f>
        <v>413.56</v>
      </c>
      <c r="E2756" s="2">
        <f>IFERROR(__xludf.DUMMYFUNCTION("""COMPUTED_VALUE"""),422.43)</f>
        <v>422.43</v>
      </c>
      <c r="F2756" s="2">
        <f>IFERROR(__xludf.DUMMYFUNCTION("""COMPUTED_VALUE"""),2637165.0)</f>
        <v>2637165</v>
      </c>
    </row>
    <row r="2757">
      <c r="A2757" s="3">
        <f>IFERROR(__xludf.DUMMYFUNCTION("""COMPUTED_VALUE"""),41500.645833333336)</f>
        <v>41500.64583</v>
      </c>
      <c r="B2757" s="2">
        <f>IFERROR(__xludf.DUMMYFUNCTION("""COMPUTED_VALUE"""),423.97)</f>
        <v>423.97</v>
      </c>
      <c r="C2757" s="2">
        <f>IFERROR(__xludf.DUMMYFUNCTION("""COMPUTED_VALUE"""),429.91)</f>
        <v>429.91</v>
      </c>
      <c r="D2757" s="2">
        <f>IFERROR(__xludf.DUMMYFUNCTION("""COMPUTED_VALUE"""),419.73)</f>
        <v>419.73</v>
      </c>
      <c r="E2757" s="2">
        <f>IFERROR(__xludf.DUMMYFUNCTION("""COMPUTED_VALUE"""),428.42)</f>
        <v>428.42</v>
      </c>
      <c r="F2757" s="2">
        <f>IFERROR(__xludf.DUMMYFUNCTION("""COMPUTED_VALUE"""),2573906.0)</f>
        <v>2573906</v>
      </c>
    </row>
    <row r="2758">
      <c r="A2758" s="3">
        <f>IFERROR(__xludf.DUMMYFUNCTION("""COMPUTED_VALUE"""),41502.645833333336)</f>
        <v>41502.64583</v>
      </c>
      <c r="B2758" s="2">
        <f>IFERROR(__xludf.DUMMYFUNCTION("""COMPUTED_VALUE"""),428.42)</f>
        <v>428.42</v>
      </c>
      <c r="C2758" s="2">
        <f>IFERROR(__xludf.DUMMYFUNCTION("""COMPUTED_VALUE"""),429.41)</f>
        <v>429.41</v>
      </c>
      <c r="D2758" s="2">
        <f>IFERROR(__xludf.DUMMYFUNCTION("""COMPUTED_VALUE"""),404.72)</f>
        <v>404.72</v>
      </c>
      <c r="E2758" s="2">
        <f>IFERROR(__xludf.DUMMYFUNCTION("""COMPUTED_VALUE"""),409.45)</f>
        <v>409.45</v>
      </c>
      <c r="F2758" s="2">
        <f>IFERROR(__xludf.DUMMYFUNCTION("""COMPUTED_VALUE"""),6245328.0)</f>
        <v>6245328</v>
      </c>
    </row>
    <row r="2759">
      <c r="A2759" s="3">
        <f>IFERROR(__xludf.DUMMYFUNCTION("""COMPUTED_VALUE"""),41505.645833333336)</f>
        <v>41505.64583</v>
      </c>
      <c r="B2759" s="2">
        <f>IFERROR(__xludf.DUMMYFUNCTION("""COMPUTED_VALUE"""),407.62)</f>
        <v>407.62</v>
      </c>
      <c r="C2759" s="2">
        <f>IFERROR(__xludf.DUMMYFUNCTION("""COMPUTED_VALUE"""),413.07)</f>
        <v>413.07</v>
      </c>
      <c r="D2759" s="2">
        <f>IFERROR(__xludf.DUMMYFUNCTION("""COMPUTED_VALUE"""),399.97)</f>
        <v>399.97</v>
      </c>
      <c r="E2759" s="2">
        <f>IFERROR(__xludf.DUMMYFUNCTION("""COMPUTED_VALUE"""),406.26)</f>
        <v>406.26</v>
      </c>
      <c r="F2759" s="2">
        <f>IFERROR(__xludf.DUMMYFUNCTION("""COMPUTED_VALUE"""),3691650.0)</f>
        <v>3691650</v>
      </c>
    </row>
    <row r="2760">
      <c r="A2760" s="3">
        <f>IFERROR(__xludf.DUMMYFUNCTION("""COMPUTED_VALUE"""),41506.645833333336)</f>
        <v>41506.64583</v>
      </c>
      <c r="B2760" s="2">
        <f>IFERROR(__xludf.DUMMYFUNCTION("""COMPUTED_VALUE"""),401.73)</f>
        <v>401.73</v>
      </c>
      <c r="C2760" s="2">
        <f>IFERROR(__xludf.DUMMYFUNCTION("""COMPUTED_VALUE"""),411.48)</f>
        <v>411.48</v>
      </c>
      <c r="D2760" s="2">
        <f>IFERROR(__xludf.DUMMYFUNCTION("""COMPUTED_VALUE"""),398.73)</f>
        <v>398.73</v>
      </c>
      <c r="E2760" s="2">
        <f>IFERROR(__xludf.DUMMYFUNCTION("""COMPUTED_VALUE"""),408.79)</f>
        <v>408.79</v>
      </c>
      <c r="F2760" s="2">
        <f>IFERROR(__xludf.DUMMYFUNCTION("""COMPUTED_VALUE"""),2610167.0)</f>
        <v>2610167</v>
      </c>
    </row>
    <row r="2761">
      <c r="A2761" s="3">
        <f>IFERROR(__xludf.DUMMYFUNCTION("""COMPUTED_VALUE"""),41507.645833333336)</f>
        <v>41507.64583</v>
      </c>
      <c r="B2761" s="2">
        <f>IFERROR(__xludf.DUMMYFUNCTION("""COMPUTED_VALUE"""),412.57)</f>
        <v>412.57</v>
      </c>
      <c r="C2761" s="2">
        <f>IFERROR(__xludf.DUMMYFUNCTION("""COMPUTED_VALUE"""),413.42)</f>
        <v>413.42</v>
      </c>
      <c r="D2761" s="2">
        <f>IFERROR(__xludf.DUMMYFUNCTION("""COMPUTED_VALUE"""),386.42)</f>
        <v>386.42</v>
      </c>
      <c r="E2761" s="2">
        <f>IFERROR(__xludf.DUMMYFUNCTION("""COMPUTED_VALUE"""),388.11)</f>
        <v>388.11</v>
      </c>
      <c r="F2761" s="2">
        <f>IFERROR(__xludf.DUMMYFUNCTION("""COMPUTED_VALUE"""),3591352.0)</f>
        <v>3591352</v>
      </c>
    </row>
    <row r="2762">
      <c r="A2762" s="3">
        <f>IFERROR(__xludf.DUMMYFUNCTION("""COMPUTED_VALUE"""),41508.645833333336)</f>
        <v>41508.64583</v>
      </c>
      <c r="B2762" s="2">
        <f>IFERROR(__xludf.DUMMYFUNCTION("""COMPUTED_VALUE"""),387.54)</f>
        <v>387.54</v>
      </c>
      <c r="C2762" s="2">
        <f>IFERROR(__xludf.DUMMYFUNCTION("""COMPUTED_VALUE"""),400.51)</f>
        <v>400.51</v>
      </c>
      <c r="D2762" s="2">
        <f>IFERROR(__xludf.DUMMYFUNCTION("""COMPUTED_VALUE"""),383.45)</f>
        <v>383.45</v>
      </c>
      <c r="E2762" s="2">
        <f>IFERROR(__xludf.DUMMYFUNCTION("""COMPUTED_VALUE"""),399.25)</f>
        <v>399.25</v>
      </c>
      <c r="F2762" s="2">
        <f>IFERROR(__xludf.DUMMYFUNCTION("""COMPUTED_VALUE"""),5095979.0)</f>
        <v>5095979</v>
      </c>
    </row>
    <row r="2763">
      <c r="A2763" s="3">
        <f>IFERROR(__xludf.DUMMYFUNCTION("""COMPUTED_VALUE"""),41509.645833333336)</f>
        <v>41509.64583</v>
      </c>
      <c r="B2763" s="2">
        <f>IFERROR(__xludf.DUMMYFUNCTION("""COMPUTED_VALUE"""),403.01)</f>
        <v>403.01</v>
      </c>
      <c r="C2763" s="2">
        <f>IFERROR(__xludf.DUMMYFUNCTION("""COMPUTED_VALUE"""),408.46)</f>
        <v>408.46</v>
      </c>
      <c r="D2763" s="2">
        <f>IFERROR(__xludf.DUMMYFUNCTION("""COMPUTED_VALUE"""),400.44)</f>
        <v>400.44</v>
      </c>
      <c r="E2763" s="2">
        <f>IFERROR(__xludf.DUMMYFUNCTION("""COMPUTED_VALUE"""),405.89)</f>
        <v>405.89</v>
      </c>
      <c r="F2763" s="2">
        <f>IFERROR(__xludf.DUMMYFUNCTION("""COMPUTED_VALUE"""),3276098.0)</f>
        <v>3276098</v>
      </c>
    </row>
    <row r="2764">
      <c r="A2764" s="3">
        <f>IFERROR(__xludf.DUMMYFUNCTION("""COMPUTED_VALUE"""),41512.645833333336)</f>
        <v>41512.64583</v>
      </c>
      <c r="B2764" s="2">
        <f>IFERROR(__xludf.DUMMYFUNCTION("""COMPUTED_VALUE"""),407.37)</f>
        <v>407.37</v>
      </c>
      <c r="C2764" s="2">
        <f>IFERROR(__xludf.DUMMYFUNCTION("""COMPUTED_VALUE"""),411.81)</f>
        <v>411.81</v>
      </c>
      <c r="D2764" s="2">
        <f>IFERROR(__xludf.DUMMYFUNCTION("""COMPUTED_VALUE"""),400.39)</f>
        <v>400.39</v>
      </c>
      <c r="E2764" s="2">
        <f>IFERROR(__xludf.DUMMYFUNCTION("""COMPUTED_VALUE"""),407.42)</f>
        <v>407.42</v>
      </c>
      <c r="F2764" s="2">
        <f>IFERROR(__xludf.DUMMYFUNCTION("""COMPUTED_VALUE"""),2266639.0)</f>
        <v>2266639</v>
      </c>
    </row>
    <row r="2765">
      <c r="A2765" s="3">
        <f>IFERROR(__xludf.DUMMYFUNCTION("""COMPUTED_VALUE"""),41513.645833333336)</f>
        <v>41513.64583</v>
      </c>
      <c r="B2765" s="2">
        <f>IFERROR(__xludf.DUMMYFUNCTION("""COMPUTED_VALUE"""),403.16)</f>
        <v>403.16</v>
      </c>
      <c r="C2765" s="2">
        <f>IFERROR(__xludf.DUMMYFUNCTION("""COMPUTED_VALUE"""),408.56)</f>
        <v>408.56</v>
      </c>
      <c r="D2765" s="2">
        <f>IFERROR(__xludf.DUMMYFUNCTION("""COMPUTED_VALUE"""),396.23)</f>
        <v>396.23</v>
      </c>
      <c r="E2765" s="2">
        <f>IFERROR(__xludf.DUMMYFUNCTION("""COMPUTED_VALUE"""),397.84)</f>
        <v>397.84</v>
      </c>
      <c r="F2765" s="2">
        <f>IFERROR(__xludf.DUMMYFUNCTION("""COMPUTED_VALUE"""),2993270.0)</f>
        <v>2993270</v>
      </c>
    </row>
    <row r="2766">
      <c r="A2766" s="3">
        <f>IFERROR(__xludf.DUMMYFUNCTION("""COMPUTED_VALUE"""),41514.645833333336)</f>
        <v>41514.64583</v>
      </c>
      <c r="B2766" s="2">
        <f>IFERROR(__xludf.DUMMYFUNCTION("""COMPUTED_VALUE"""),393.8)</f>
        <v>393.8</v>
      </c>
      <c r="C2766" s="2">
        <f>IFERROR(__xludf.DUMMYFUNCTION("""COMPUTED_VALUE"""),405.42)</f>
        <v>405.42</v>
      </c>
      <c r="D2766" s="2">
        <f>IFERROR(__xludf.DUMMYFUNCTION("""COMPUTED_VALUE"""),378.35)</f>
        <v>378.35</v>
      </c>
      <c r="E2766" s="2">
        <f>IFERROR(__xludf.DUMMYFUNCTION("""COMPUTED_VALUE"""),402.07)</f>
        <v>402.07</v>
      </c>
      <c r="F2766" s="2">
        <f>IFERROR(__xludf.DUMMYFUNCTION("""COMPUTED_VALUE"""),5900451.0)</f>
        <v>5900451</v>
      </c>
    </row>
    <row r="2767">
      <c r="A2767" s="3">
        <f>IFERROR(__xludf.DUMMYFUNCTION("""COMPUTED_VALUE"""),41515.645833333336)</f>
        <v>41515.64583</v>
      </c>
      <c r="B2767" s="2">
        <f>IFERROR(__xludf.DUMMYFUNCTION("""COMPUTED_VALUE"""),404.15)</f>
        <v>404.15</v>
      </c>
      <c r="C2767" s="2">
        <f>IFERROR(__xludf.DUMMYFUNCTION("""COMPUTED_VALUE"""),422.68)</f>
        <v>422.68</v>
      </c>
      <c r="D2767" s="2">
        <f>IFERROR(__xludf.DUMMYFUNCTION("""COMPUTED_VALUE"""),402.42)</f>
        <v>402.42</v>
      </c>
      <c r="E2767" s="2">
        <f>IFERROR(__xludf.DUMMYFUNCTION("""COMPUTED_VALUE"""),418.64)</f>
        <v>418.64</v>
      </c>
      <c r="F2767" s="2">
        <f>IFERROR(__xludf.DUMMYFUNCTION("""COMPUTED_VALUE"""),7049010.0)</f>
        <v>7049010</v>
      </c>
    </row>
    <row r="2768">
      <c r="A2768" s="3">
        <f>IFERROR(__xludf.DUMMYFUNCTION("""COMPUTED_VALUE"""),41516.645833333336)</f>
        <v>41516.64583</v>
      </c>
      <c r="B2768" s="2">
        <f>IFERROR(__xludf.DUMMYFUNCTION("""COMPUTED_VALUE"""),417.92)</f>
        <v>417.92</v>
      </c>
      <c r="C2768" s="2">
        <f>IFERROR(__xludf.DUMMYFUNCTION("""COMPUTED_VALUE"""),425.95)</f>
        <v>425.95</v>
      </c>
      <c r="D2768" s="2">
        <f>IFERROR(__xludf.DUMMYFUNCTION("""COMPUTED_VALUE"""),410.25)</f>
        <v>410.25</v>
      </c>
      <c r="E2768" s="2">
        <f>IFERROR(__xludf.DUMMYFUNCTION("""COMPUTED_VALUE"""),422.9)</f>
        <v>422.9</v>
      </c>
      <c r="F2768" s="2">
        <f>IFERROR(__xludf.DUMMYFUNCTION("""COMPUTED_VALUE"""),4901683.0)</f>
        <v>4901683</v>
      </c>
    </row>
    <row r="2769">
      <c r="A2769" s="3">
        <f>IFERROR(__xludf.DUMMYFUNCTION("""COMPUTED_VALUE"""),41519.645833333336)</f>
        <v>41519.64583</v>
      </c>
      <c r="B2769" s="2">
        <f>IFERROR(__xludf.DUMMYFUNCTION("""COMPUTED_VALUE"""),422.58)</f>
        <v>422.58</v>
      </c>
      <c r="C2769" s="2">
        <f>IFERROR(__xludf.DUMMYFUNCTION("""COMPUTED_VALUE"""),440.81)</f>
        <v>440.81</v>
      </c>
      <c r="D2769" s="2">
        <f>IFERROR(__xludf.DUMMYFUNCTION("""COMPUTED_VALUE"""),422.58)</f>
        <v>422.58</v>
      </c>
      <c r="E2769" s="2">
        <f>IFERROR(__xludf.DUMMYFUNCTION("""COMPUTED_VALUE"""),439.2)</f>
        <v>439.2</v>
      </c>
      <c r="F2769" s="2">
        <f>IFERROR(__xludf.DUMMYFUNCTION("""COMPUTED_VALUE"""),4812235.0)</f>
        <v>4812235</v>
      </c>
    </row>
    <row r="2770">
      <c r="A2770" s="3">
        <f>IFERROR(__xludf.DUMMYFUNCTION("""COMPUTED_VALUE"""),41520.645833333336)</f>
        <v>41520.64583</v>
      </c>
      <c r="B2770" s="2">
        <f>IFERROR(__xludf.DUMMYFUNCTION("""COMPUTED_VALUE"""),439.91)</f>
        <v>439.91</v>
      </c>
      <c r="C2770" s="2">
        <f>IFERROR(__xludf.DUMMYFUNCTION("""COMPUTED_VALUE"""),441.65)</f>
        <v>441.65</v>
      </c>
      <c r="D2770" s="2">
        <f>IFERROR(__xludf.DUMMYFUNCTION("""COMPUTED_VALUE"""),410.25)</f>
        <v>410.25</v>
      </c>
      <c r="E2770" s="2">
        <f>IFERROR(__xludf.DUMMYFUNCTION("""COMPUTED_VALUE"""),411.58)</f>
        <v>411.58</v>
      </c>
      <c r="F2770" s="2">
        <f>IFERROR(__xludf.DUMMYFUNCTION("""COMPUTED_VALUE"""),3960633.0)</f>
        <v>3960633</v>
      </c>
    </row>
    <row r="2771">
      <c r="A2771" s="3">
        <f>IFERROR(__xludf.DUMMYFUNCTION("""COMPUTED_VALUE"""),41521.645833333336)</f>
        <v>41521.64583</v>
      </c>
      <c r="B2771" s="2">
        <f>IFERROR(__xludf.DUMMYFUNCTION("""COMPUTED_VALUE"""),412.95)</f>
        <v>412.95</v>
      </c>
      <c r="C2771" s="2">
        <f>IFERROR(__xludf.DUMMYFUNCTION("""COMPUTED_VALUE"""),428.2)</f>
        <v>428.2</v>
      </c>
      <c r="D2771" s="2">
        <f>IFERROR(__xludf.DUMMYFUNCTION("""COMPUTED_VALUE"""),412.57)</f>
        <v>412.57</v>
      </c>
      <c r="E2771" s="2">
        <f>IFERROR(__xludf.DUMMYFUNCTION("""COMPUTED_VALUE"""),420.67)</f>
        <v>420.67</v>
      </c>
      <c r="F2771" s="2">
        <f>IFERROR(__xludf.DUMMYFUNCTION("""COMPUTED_VALUE"""),3045550.0)</f>
        <v>3045550</v>
      </c>
    </row>
    <row r="2772">
      <c r="A2772" s="3">
        <f>IFERROR(__xludf.DUMMYFUNCTION("""COMPUTED_VALUE"""),41522.645833333336)</f>
        <v>41522.64583</v>
      </c>
      <c r="B2772" s="2">
        <f>IFERROR(__xludf.DUMMYFUNCTION("""COMPUTED_VALUE"""),427.43)</f>
        <v>427.43</v>
      </c>
      <c r="C2772" s="2">
        <f>IFERROR(__xludf.DUMMYFUNCTION("""COMPUTED_VALUE"""),430.78)</f>
        <v>430.78</v>
      </c>
      <c r="D2772" s="2">
        <f>IFERROR(__xludf.DUMMYFUNCTION("""COMPUTED_VALUE"""),421.54)</f>
        <v>421.54</v>
      </c>
      <c r="E2772" s="2">
        <f>IFERROR(__xludf.DUMMYFUNCTION("""COMPUTED_VALUE"""),427.21)</f>
        <v>427.21</v>
      </c>
      <c r="F2772" s="2">
        <f>IFERROR(__xludf.DUMMYFUNCTION("""COMPUTED_VALUE"""),3258258.0)</f>
        <v>3258258</v>
      </c>
    </row>
    <row r="2773">
      <c r="A2773" s="3">
        <f>IFERROR(__xludf.DUMMYFUNCTION("""COMPUTED_VALUE"""),41523.645833333336)</f>
        <v>41523.64583</v>
      </c>
      <c r="B2773" s="2">
        <f>IFERROR(__xludf.DUMMYFUNCTION("""COMPUTED_VALUE"""),430.9)</f>
        <v>430.9</v>
      </c>
      <c r="C2773" s="2">
        <f>IFERROR(__xludf.DUMMYFUNCTION("""COMPUTED_VALUE"""),432.63)</f>
        <v>432.63</v>
      </c>
      <c r="D2773" s="2">
        <f>IFERROR(__xludf.DUMMYFUNCTION("""COMPUTED_VALUE"""),416.78)</f>
        <v>416.78</v>
      </c>
      <c r="E2773" s="2">
        <f>IFERROR(__xludf.DUMMYFUNCTION("""COMPUTED_VALUE"""),429.91)</f>
        <v>429.91</v>
      </c>
      <c r="F2773" s="2">
        <f>IFERROR(__xludf.DUMMYFUNCTION("""COMPUTED_VALUE"""),3439791.0)</f>
        <v>3439791</v>
      </c>
    </row>
    <row r="2774">
      <c r="A2774" s="3">
        <f>IFERROR(__xludf.DUMMYFUNCTION("""COMPUTED_VALUE"""),41527.645833333336)</f>
        <v>41527.64583</v>
      </c>
      <c r="B2774" s="2">
        <f>IFERROR(__xludf.DUMMYFUNCTION("""COMPUTED_VALUE"""),432.34)</f>
        <v>432.34</v>
      </c>
      <c r="C2774" s="2">
        <f>IFERROR(__xludf.DUMMYFUNCTION("""COMPUTED_VALUE"""),442.56)</f>
        <v>442.56</v>
      </c>
      <c r="D2774" s="2">
        <f>IFERROR(__xludf.DUMMYFUNCTION("""COMPUTED_VALUE"""),429.04)</f>
        <v>429.04</v>
      </c>
      <c r="E2774" s="2">
        <f>IFERROR(__xludf.DUMMYFUNCTION("""COMPUTED_VALUE"""),440.98)</f>
        <v>440.98</v>
      </c>
      <c r="F2774" s="2">
        <f>IFERROR(__xludf.DUMMYFUNCTION("""COMPUTED_VALUE"""),4227364.0)</f>
        <v>4227364</v>
      </c>
    </row>
    <row r="2775">
      <c r="A2775" s="3">
        <f>IFERROR(__xludf.DUMMYFUNCTION("""COMPUTED_VALUE"""),41528.645833333336)</f>
        <v>41528.64583</v>
      </c>
      <c r="B2775" s="2">
        <f>IFERROR(__xludf.DUMMYFUNCTION("""COMPUTED_VALUE"""),440.31)</f>
        <v>440.31</v>
      </c>
      <c r="C2775" s="2">
        <f>IFERROR(__xludf.DUMMYFUNCTION("""COMPUTED_VALUE"""),442.24)</f>
        <v>442.24</v>
      </c>
      <c r="D2775" s="2">
        <f>IFERROR(__xludf.DUMMYFUNCTION("""COMPUTED_VALUE"""),432.96)</f>
        <v>432.96</v>
      </c>
      <c r="E2775" s="2">
        <f>IFERROR(__xludf.DUMMYFUNCTION("""COMPUTED_VALUE"""),439.69)</f>
        <v>439.69</v>
      </c>
      <c r="F2775" s="2">
        <f>IFERROR(__xludf.DUMMYFUNCTION("""COMPUTED_VALUE"""),3396942.0)</f>
        <v>3396942</v>
      </c>
    </row>
    <row r="2776">
      <c r="A2776" s="3">
        <f>IFERROR(__xludf.DUMMYFUNCTION("""COMPUTED_VALUE"""),41529.645833333336)</f>
        <v>41529.64583</v>
      </c>
      <c r="B2776" s="2">
        <f>IFERROR(__xludf.DUMMYFUNCTION("""COMPUTED_VALUE"""),439.81)</f>
        <v>439.81</v>
      </c>
      <c r="C2776" s="2">
        <f>IFERROR(__xludf.DUMMYFUNCTION("""COMPUTED_VALUE"""),446.25)</f>
        <v>446.25</v>
      </c>
      <c r="D2776" s="2">
        <f>IFERROR(__xludf.DUMMYFUNCTION("""COMPUTED_VALUE"""),431.47)</f>
        <v>431.47</v>
      </c>
      <c r="E2776" s="2">
        <f>IFERROR(__xludf.DUMMYFUNCTION("""COMPUTED_VALUE"""),433.57)</f>
        <v>433.57</v>
      </c>
      <c r="F2776" s="2">
        <f>IFERROR(__xludf.DUMMYFUNCTION("""COMPUTED_VALUE"""),4109760.0)</f>
        <v>4109760</v>
      </c>
    </row>
    <row r="2777">
      <c r="A2777" s="3">
        <f>IFERROR(__xludf.DUMMYFUNCTION("""COMPUTED_VALUE"""),41530.645833333336)</f>
        <v>41530.64583</v>
      </c>
      <c r="B2777" s="2">
        <f>IFERROR(__xludf.DUMMYFUNCTION("""COMPUTED_VALUE"""),429.91)</f>
        <v>429.91</v>
      </c>
      <c r="C2777" s="2">
        <f>IFERROR(__xludf.DUMMYFUNCTION("""COMPUTED_VALUE"""),437.69)</f>
        <v>437.69</v>
      </c>
      <c r="D2777" s="2">
        <f>IFERROR(__xludf.DUMMYFUNCTION("""COMPUTED_VALUE"""),429.44)</f>
        <v>429.44</v>
      </c>
      <c r="E2777" s="2">
        <f>IFERROR(__xludf.DUMMYFUNCTION("""COMPUTED_VALUE"""),432.39)</f>
        <v>432.39</v>
      </c>
      <c r="F2777" s="2">
        <f>IFERROR(__xludf.DUMMYFUNCTION("""COMPUTED_VALUE"""),2246049.0)</f>
        <v>2246049</v>
      </c>
    </row>
    <row r="2778">
      <c r="A2778" s="3">
        <f>IFERROR(__xludf.DUMMYFUNCTION("""COMPUTED_VALUE"""),41533.645833333336)</f>
        <v>41533.64583</v>
      </c>
      <c r="B2778" s="2">
        <f>IFERROR(__xludf.DUMMYFUNCTION("""COMPUTED_VALUE"""),438.8)</f>
        <v>438.8</v>
      </c>
      <c r="C2778" s="2">
        <f>IFERROR(__xludf.DUMMYFUNCTION("""COMPUTED_VALUE"""),439.67)</f>
        <v>439.67</v>
      </c>
      <c r="D2778" s="2">
        <f>IFERROR(__xludf.DUMMYFUNCTION("""COMPUTED_VALUE"""),422.98)</f>
        <v>422.98</v>
      </c>
      <c r="E2778" s="2">
        <f>IFERROR(__xludf.DUMMYFUNCTION("""COMPUTED_VALUE"""),426.81)</f>
        <v>426.81</v>
      </c>
      <c r="F2778" s="2">
        <f>IFERROR(__xludf.DUMMYFUNCTION("""COMPUTED_VALUE"""),2754524.0)</f>
        <v>2754524</v>
      </c>
    </row>
    <row r="2779">
      <c r="A2779" s="3">
        <f>IFERROR(__xludf.DUMMYFUNCTION("""COMPUTED_VALUE"""),41534.645833333336)</f>
        <v>41534.64583</v>
      </c>
      <c r="B2779" s="2">
        <f>IFERROR(__xludf.DUMMYFUNCTION("""COMPUTED_VALUE"""),424.14)</f>
        <v>424.14</v>
      </c>
      <c r="C2779" s="2">
        <f>IFERROR(__xludf.DUMMYFUNCTION("""COMPUTED_VALUE"""),427.93)</f>
        <v>427.93</v>
      </c>
      <c r="D2779" s="2">
        <f>IFERROR(__xludf.DUMMYFUNCTION("""COMPUTED_VALUE"""),422.28)</f>
        <v>422.28</v>
      </c>
      <c r="E2779" s="2">
        <f>IFERROR(__xludf.DUMMYFUNCTION("""COMPUTED_VALUE"""),425.03)</f>
        <v>425.03</v>
      </c>
      <c r="F2779" s="2">
        <f>IFERROR(__xludf.DUMMYFUNCTION("""COMPUTED_VALUE"""),2498437.0)</f>
        <v>2498437</v>
      </c>
    </row>
    <row r="2780">
      <c r="A2780" s="3">
        <f>IFERROR(__xludf.DUMMYFUNCTION("""COMPUTED_VALUE"""),41535.645833333336)</f>
        <v>41535.64583</v>
      </c>
      <c r="B2780" s="2">
        <f>IFERROR(__xludf.DUMMYFUNCTION("""COMPUTED_VALUE"""),426.19)</f>
        <v>426.19</v>
      </c>
      <c r="C2780" s="2">
        <f>IFERROR(__xludf.DUMMYFUNCTION("""COMPUTED_VALUE"""),433.38)</f>
        <v>433.38</v>
      </c>
      <c r="D2780" s="2">
        <f>IFERROR(__xludf.DUMMYFUNCTION("""COMPUTED_VALUE"""),424.36)</f>
        <v>424.36</v>
      </c>
      <c r="E2780" s="2">
        <f>IFERROR(__xludf.DUMMYFUNCTION("""COMPUTED_VALUE"""),431.87)</f>
        <v>431.87</v>
      </c>
      <c r="F2780" s="2">
        <f>IFERROR(__xludf.DUMMYFUNCTION("""COMPUTED_VALUE"""),3132560.0)</f>
        <v>3132560</v>
      </c>
    </row>
    <row r="2781">
      <c r="A2781" s="3">
        <f>IFERROR(__xludf.DUMMYFUNCTION("""COMPUTED_VALUE"""),41536.645833333336)</f>
        <v>41536.64583</v>
      </c>
      <c r="B2781" s="2">
        <f>IFERROR(__xludf.DUMMYFUNCTION("""COMPUTED_VALUE"""),439.84)</f>
        <v>439.84</v>
      </c>
      <c r="C2781" s="2">
        <f>IFERROR(__xludf.DUMMYFUNCTION("""COMPUTED_VALUE"""),443.75)</f>
        <v>443.75</v>
      </c>
      <c r="D2781" s="2">
        <f>IFERROR(__xludf.DUMMYFUNCTION("""COMPUTED_VALUE"""),436.12)</f>
        <v>436.12</v>
      </c>
      <c r="E2781" s="2">
        <f>IFERROR(__xludf.DUMMYFUNCTION("""COMPUTED_VALUE"""),441.1)</f>
        <v>441.1</v>
      </c>
      <c r="F2781" s="2">
        <f>IFERROR(__xludf.DUMMYFUNCTION("""COMPUTED_VALUE"""),4328339.0)</f>
        <v>4328339</v>
      </c>
    </row>
    <row r="2782">
      <c r="A2782" s="3">
        <f>IFERROR(__xludf.DUMMYFUNCTION("""COMPUTED_VALUE"""),41537.645833333336)</f>
        <v>41537.64583</v>
      </c>
      <c r="B2782" s="2">
        <f>IFERROR(__xludf.DUMMYFUNCTION("""COMPUTED_VALUE"""),438.82)</f>
        <v>438.82</v>
      </c>
      <c r="C2782" s="2">
        <f>IFERROR(__xludf.DUMMYFUNCTION("""COMPUTED_VALUE"""),446.25)</f>
        <v>446.25</v>
      </c>
      <c r="D2782" s="2">
        <f>IFERROR(__xludf.DUMMYFUNCTION("""COMPUTED_VALUE"""),431.15)</f>
        <v>431.15</v>
      </c>
      <c r="E2782" s="2">
        <f>IFERROR(__xludf.DUMMYFUNCTION("""COMPUTED_VALUE"""),436.79)</f>
        <v>436.79</v>
      </c>
      <c r="F2782" s="2">
        <f>IFERROR(__xludf.DUMMYFUNCTION("""COMPUTED_VALUE"""),4197357.0)</f>
        <v>4197357</v>
      </c>
    </row>
    <row r="2783">
      <c r="A2783" s="3">
        <f>IFERROR(__xludf.DUMMYFUNCTION("""COMPUTED_VALUE"""),41540.645833333336)</f>
        <v>41540.64583</v>
      </c>
      <c r="B2783" s="2">
        <f>IFERROR(__xludf.DUMMYFUNCTION("""COMPUTED_VALUE"""),431.91)</f>
        <v>431.91</v>
      </c>
      <c r="C2783" s="2">
        <f>IFERROR(__xludf.DUMMYFUNCTION("""COMPUTED_VALUE"""),436.35)</f>
        <v>436.35</v>
      </c>
      <c r="D2783" s="2">
        <f>IFERROR(__xludf.DUMMYFUNCTION("""COMPUTED_VALUE"""),428.42)</f>
        <v>428.42</v>
      </c>
      <c r="E2783" s="2">
        <f>IFERROR(__xludf.DUMMYFUNCTION("""COMPUTED_VALUE"""),433.05)</f>
        <v>433.05</v>
      </c>
      <c r="F2783" s="2">
        <f>IFERROR(__xludf.DUMMYFUNCTION("""COMPUTED_VALUE"""),2028677.0)</f>
        <v>2028677</v>
      </c>
    </row>
    <row r="2784">
      <c r="A2784" s="3">
        <f>IFERROR(__xludf.DUMMYFUNCTION("""COMPUTED_VALUE"""),41541.645833333336)</f>
        <v>41541.64583</v>
      </c>
      <c r="B2784" s="2">
        <f>IFERROR(__xludf.DUMMYFUNCTION("""COMPUTED_VALUE"""),431.89)</f>
        <v>431.89</v>
      </c>
      <c r="C2784" s="2">
        <f>IFERROR(__xludf.DUMMYFUNCTION("""COMPUTED_VALUE"""),438.11)</f>
        <v>438.11</v>
      </c>
      <c r="D2784" s="2">
        <f>IFERROR(__xludf.DUMMYFUNCTION("""COMPUTED_VALUE"""),429.98)</f>
        <v>429.98</v>
      </c>
      <c r="E2784" s="2">
        <f>IFERROR(__xludf.DUMMYFUNCTION("""COMPUTED_VALUE"""),433.18)</f>
        <v>433.18</v>
      </c>
      <c r="F2784" s="2">
        <f>IFERROR(__xludf.DUMMYFUNCTION("""COMPUTED_VALUE"""),2823675.0)</f>
        <v>2823675</v>
      </c>
    </row>
    <row r="2785">
      <c r="A2785" s="3">
        <f>IFERROR(__xludf.DUMMYFUNCTION("""COMPUTED_VALUE"""),41542.645833333336)</f>
        <v>41542.64583</v>
      </c>
      <c r="B2785" s="2">
        <f>IFERROR(__xludf.DUMMYFUNCTION("""COMPUTED_VALUE"""),432.09)</f>
        <v>432.09</v>
      </c>
      <c r="C2785" s="2">
        <f>IFERROR(__xludf.DUMMYFUNCTION("""COMPUTED_VALUE"""),433.33)</f>
        <v>433.33</v>
      </c>
      <c r="D2785" s="2">
        <f>IFERROR(__xludf.DUMMYFUNCTION("""COMPUTED_VALUE"""),417.13)</f>
        <v>417.13</v>
      </c>
      <c r="E2785" s="2">
        <f>IFERROR(__xludf.DUMMYFUNCTION("""COMPUTED_VALUE"""),420.52)</f>
        <v>420.52</v>
      </c>
      <c r="F2785" s="2">
        <f>IFERROR(__xludf.DUMMYFUNCTION("""COMPUTED_VALUE"""),3993925.0)</f>
        <v>3993925</v>
      </c>
    </row>
    <row r="2786">
      <c r="A2786" s="3">
        <f>IFERROR(__xludf.DUMMYFUNCTION("""COMPUTED_VALUE"""),41543.645833333336)</f>
        <v>41543.64583</v>
      </c>
      <c r="B2786" s="2">
        <f>IFERROR(__xludf.DUMMYFUNCTION("""COMPUTED_VALUE"""),419.33)</f>
        <v>419.33</v>
      </c>
      <c r="C2786" s="2">
        <f>IFERROR(__xludf.DUMMYFUNCTION("""COMPUTED_VALUE"""),421.07)</f>
        <v>421.07</v>
      </c>
      <c r="D2786" s="2">
        <f>IFERROR(__xludf.DUMMYFUNCTION("""COMPUTED_VALUE"""),413.69)</f>
        <v>413.69</v>
      </c>
      <c r="E2786" s="2">
        <f>IFERROR(__xludf.DUMMYFUNCTION("""COMPUTED_VALUE"""),415.17)</f>
        <v>415.17</v>
      </c>
      <c r="F2786" s="2">
        <f>IFERROR(__xludf.DUMMYFUNCTION("""COMPUTED_VALUE"""),4543087.0)</f>
        <v>4543087</v>
      </c>
    </row>
    <row r="2787">
      <c r="A2787" s="3">
        <f>IFERROR(__xludf.DUMMYFUNCTION("""COMPUTED_VALUE"""),41544.645833333336)</f>
        <v>41544.64583</v>
      </c>
      <c r="B2787" s="2">
        <f>IFERROR(__xludf.DUMMYFUNCTION("""COMPUTED_VALUE"""),417.03)</f>
        <v>417.03</v>
      </c>
      <c r="C2787" s="2">
        <f>IFERROR(__xludf.DUMMYFUNCTION("""COMPUTED_VALUE"""),423.22)</f>
        <v>423.22</v>
      </c>
      <c r="D2787" s="2">
        <f>IFERROR(__xludf.DUMMYFUNCTION("""COMPUTED_VALUE"""),414.56)</f>
        <v>414.56</v>
      </c>
      <c r="E2787" s="2">
        <f>IFERROR(__xludf.DUMMYFUNCTION("""COMPUTED_VALUE"""),415.99)</f>
        <v>415.99</v>
      </c>
      <c r="F2787" s="2">
        <f>IFERROR(__xludf.DUMMYFUNCTION("""COMPUTED_VALUE"""),2744478.0)</f>
        <v>2744478</v>
      </c>
    </row>
    <row r="2788">
      <c r="A2788" s="3">
        <f>IFERROR(__xludf.DUMMYFUNCTION("""COMPUTED_VALUE"""),41547.645833333336)</f>
        <v>41547.64583</v>
      </c>
      <c r="B2788" s="2">
        <f>IFERROR(__xludf.DUMMYFUNCTION("""COMPUTED_VALUE"""),412.1)</f>
        <v>412.1</v>
      </c>
      <c r="C2788" s="2">
        <f>IFERROR(__xludf.DUMMYFUNCTION("""COMPUTED_VALUE"""),418.27)</f>
        <v>418.27</v>
      </c>
      <c r="D2788" s="2">
        <f>IFERROR(__xludf.DUMMYFUNCTION("""COMPUTED_VALUE"""),405.69)</f>
        <v>405.69</v>
      </c>
      <c r="E2788" s="2">
        <f>IFERROR(__xludf.DUMMYFUNCTION("""COMPUTED_VALUE"""),407.32)</f>
        <v>407.32</v>
      </c>
      <c r="F2788" s="2">
        <f>IFERROR(__xludf.DUMMYFUNCTION("""COMPUTED_VALUE"""),3639687.0)</f>
        <v>3639687</v>
      </c>
    </row>
    <row r="2789">
      <c r="A2789" s="3">
        <f>IFERROR(__xludf.DUMMYFUNCTION("""COMPUTED_VALUE"""),41548.645833333336)</f>
        <v>41548.64583</v>
      </c>
      <c r="B2789" s="2">
        <f>IFERROR(__xludf.DUMMYFUNCTION("""COMPUTED_VALUE"""),409.26)</f>
        <v>409.26</v>
      </c>
      <c r="C2789" s="2">
        <f>IFERROR(__xludf.DUMMYFUNCTION("""COMPUTED_VALUE"""),411.04)</f>
        <v>411.04</v>
      </c>
      <c r="D2789" s="2">
        <f>IFERROR(__xludf.DUMMYFUNCTION("""COMPUTED_VALUE"""),405.0)</f>
        <v>405</v>
      </c>
      <c r="E2789" s="2">
        <f>IFERROR(__xludf.DUMMYFUNCTION("""COMPUTED_VALUE"""),406.85)</f>
        <v>406.85</v>
      </c>
      <c r="F2789" s="2">
        <f>IFERROR(__xludf.DUMMYFUNCTION("""COMPUTED_VALUE"""),2082088.0)</f>
        <v>2082088</v>
      </c>
    </row>
    <row r="2790">
      <c r="A2790" s="3">
        <f>IFERROR(__xludf.DUMMYFUNCTION("""COMPUTED_VALUE"""),41550.645833333336)</f>
        <v>41550.64583</v>
      </c>
      <c r="B2790" s="2">
        <f>IFERROR(__xludf.DUMMYFUNCTION("""COMPUTED_VALUE"""),407.82)</f>
        <v>407.82</v>
      </c>
      <c r="C2790" s="2">
        <f>IFERROR(__xludf.DUMMYFUNCTION("""COMPUTED_VALUE"""),420.45)</f>
        <v>420.45</v>
      </c>
      <c r="D2790" s="2">
        <f>IFERROR(__xludf.DUMMYFUNCTION("""COMPUTED_VALUE"""),407.82)</f>
        <v>407.82</v>
      </c>
      <c r="E2790" s="2">
        <f>IFERROR(__xludf.DUMMYFUNCTION("""COMPUTED_VALUE"""),419.48)</f>
        <v>419.48</v>
      </c>
      <c r="F2790" s="2">
        <f>IFERROR(__xludf.DUMMYFUNCTION("""COMPUTED_VALUE"""),2082009.0)</f>
        <v>2082009</v>
      </c>
    </row>
    <row r="2791">
      <c r="A2791" s="3">
        <f>IFERROR(__xludf.DUMMYFUNCTION("""COMPUTED_VALUE"""),41551.645833333336)</f>
        <v>41551.64583</v>
      </c>
      <c r="B2791" s="2">
        <f>IFERROR(__xludf.DUMMYFUNCTION("""COMPUTED_VALUE"""),416.31)</f>
        <v>416.31</v>
      </c>
      <c r="C2791" s="2">
        <f>IFERROR(__xludf.DUMMYFUNCTION("""COMPUTED_VALUE"""),425.8)</f>
        <v>425.8</v>
      </c>
      <c r="D2791" s="2">
        <f>IFERROR(__xludf.DUMMYFUNCTION("""COMPUTED_VALUE"""),415.05)</f>
        <v>415.05</v>
      </c>
      <c r="E2791" s="2">
        <f>IFERROR(__xludf.DUMMYFUNCTION("""COMPUTED_VALUE"""),423.17)</f>
        <v>423.17</v>
      </c>
      <c r="F2791" s="2">
        <f>IFERROR(__xludf.DUMMYFUNCTION("""COMPUTED_VALUE"""),2265225.0)</f>
        <v>2265225</v>
      </c>
    </row>
    <row r="2792">
      <c r="A2792" s="3">
        <f>IFERROR(__xludf.DUMMYFUNCTION("""COMPUTED_VALUE"""),41554.645833333336)</f>
        <v>41554.64583</v>
      </c>
      <c r="B2792" s="2">
        <f>IFERROR(__xludf.DUMMYFUNCTION("""COMPUTED_VALUE"""),419.81)</f>
        <v>419.81</v>
      </c>
      <c r="C2792" s="2">
        <f>IFERROR(__xludf.DUMMYFUNCTION("""COMPUTED_VALUE"""),422.18)</f>
        <v>422.18</v>
      </c>
      <c r="D2792" s="2">
        <f>IFERROR(__xludf.DUMMYFUNCTION("""COMPUTED_VALUE"""),414.06)</f>
        <v>414.06</v>
      </c>
      <c r="E2792" s="2">
        <f>IFERROR(__xludf.DUMMYFUNCTION("""COMPUTED_VALUE"""),418.05)</f>
        <v>418.05</v>
      </c>
      <c r="F2792" s="2">
        <f>IFERROR(__xludf.DUMMYFUNCTION("""COMPUTED_VALUE"""),2575155.0)</f>
        <v>2575155</v>
      </c>
    </row>
    <row r="2793">
      <c r="A2793" s="3">
        <f>IFERROR(__xludf.DUMMYFUNCTION("""COMPUTED_VALUE"""),41555.645833333336)</f>
        <v>41555.64583</v>
      </c>
      <c r="B2793" s="2">
        <f>IFERROR(__xludf.DUMMYFUNCTION("""COMPUTED_VALUE"""),420.85)</f>
        <v>420.85</v>
      </c>
      <c r="C2793" s="2">
        <f>IFERROR(__xludf.DUMMYFUNCTION("""COMPUTED_VALUE"""),423.32)</f>
        <v>423.32</v>
      </c>
      <c r="D2793" s="2">
        <f>IFERROR(__xludf.DUMMYFUNCTION("""COMPUTED_VALUE"""),415.64)</f>
        <v>415.64</v>
      </c>
      <c r="E2793" s="2">
        <f>IFERROR(__xludf.DUMMYFUNCTION("""COMPUTED_VALUE"""),418.49)</f>
        <v>418.49</v>
      </c>
      <c r="F2793" s="2">
        <f>IFERROR(__xludf.DUMMYFUNCTION("""COMPUTED_VALUE"""),2770271.0)</f>
        <v>2770271</v>
      </c>
    </row>
    <row r="2794">
      <c r="A2794" s="3">
        <f>IFERROR(__xludf.DUMMYFUNCTION("""COMPUTED_VALUE"""),41556.645833333336)</f>
        <v>41556.64583</v>
      </c>
      <c r="B2794" s="2">
        <f>IFERROR(__xludf.DUMMYFUNCTION("""COMPUTED_VALUE"""),416.02)</f>
        <v>416.02</v>
      </c>
      <c r="C2794" s="2">
        <f>IFERROR(__xludf.DUMMYFUNCTION("""COMPUTED_VALUE"""),429.74)</f>
        <v>429.74</v>
      </c>
      <c r="D2794" s="2">
        <f>IFERROR(__xludf.DUMMYFUNCTION("""COMPUTED_VALUE"""),414.8)</f>
        <v>414.8</v>
      </c>
      <c r="E2794" s="2">
        <f>IFERROR(__xludf.DUMMYFUNCTION("""COMPUTED_VALUE"""),426.39)</f>
        <v>426.39</v>
      </c>
      <c r="F2794" s="2">
        <f>IFERROR(__xludf.DUMMYFUNCTION("""COMPUTED_VALUE"""),2732625.0)</f>
        <v>2732625</v>
      </c>
    </row>
    <row r="2795">
      <c r="A2795" s="3">
        <f>IFERROR(__xludf.DUMMYFUNCTION("""COMPUTED_VALUE"""),41557.645833333336)</f>
        <v>41557.64583</v>
      </c>
      <c r="B2795" s="2">
        <f>IFERROR(__xludf.DUMMYFUNCTION("""COMPUTED_VALUE"""),425.45)</f>
        <v>425.45</v>
      </c>
      <c r="C2795" s="2">
        <f>IFERROR(__xludf.DUMMYFUNCTION("""COMPUTED_VALUE"""),427.33)</f>
        <v>427.33</v>
      </c>
      <c r="D2795" s="2">
        <f>IFERROR(__xludf.DUMMYFUNCTION("""COMPUTED_VALUE"""),420.03)</f>
        <v>420.03</v>
      </c>
      <c r="E2795" s="2">
        <f>IFERROR(__xludf.DUMMYFUNCTION("""COMPUTED_VALUE"""),425.95)</f>
        <v>425.95</v>
      </c>
      <c r="F2795" s="2">
        <f>IFERROR(__xludf.DUMMYFUNCTION("""COMPUTED_VALUE"""),2142108.0)</f>
        <v>2142108</v>
      </c>
    </row>
    <row r="2796">
      <c r="A2796" s="3">
        <f>IFERROR(__xludf.DUMMYFUNCTION("""COMPUTED_VALUE"""),41558.645833333336)</f>
        <v>41558.64583</v>
      </c>
      <c r="B2796" s="2">
        <f>IFERROR(__xludf.DUMMYFUNCTION("""COMPUTED_VALUE"""),428.42)</f>
        <v>428.42</v>
      </c>
      <c r="C2796" s="2">
        <f>IFERROR(__xludf.DUMMYFUNCTION("""COMPUTED_VALUE"""),429.91)</f>
        <v>429.91</v>
      </c>
      <c r="D2796" s="2">
        <f>IFERROR(__xludf.DUMMYFUNCTION("""COMPUTED_VALUE"""),423.12)</f>
        <v>423.12</v>
      </c>
      <c r="E2796" s="2">
        <f>IFERROR(__xludf.DUMMYFUNCTION("""COMPUTED_VALUE"""),427.61)</f>
        <v>427.61</v>
      </c>
      <c r="F2796" s="2">
        <f>IFERROR(__xludf.DUMMYFUNCTION("""COMPUTED_VALUE"""),2233967.0)</f>
        <v>2233967</v>
      </c>
    </row>
    <row r="2797">
      <c r="A2797" s="3">
        <f>IFERROR(__xludf.DUMMYFUNCTION("""COMPUTED_VALUE"""),41561.645833333336)</f>
        <v>41561.64583</v>
      </c>
      <c r="B2797" s="2">
        <f>IFERROR(__xludf.DUMMYFUNCTION("""COMPUTED_VALUE"""),428.42)</f>
        <v>428.42</v>
      </c>
      <c r="C2797" s="2">
        <f>IFERROR(__xludf.DUMMYFUNCTION("""COMPUTED_VALUE"""),433.38)</f>
        <v>433.38</v>
      </c>
      <c r="D2797" s="2">
        <f>IFERROR(__xludf.DUMMYFUNCTION("""COMPUTED_VALUE"""),427.53)</f>
        <v>427.53</v>
      </c>
      <c r="E2797" s="2">
        <f>IFERROR(__xludf.DUMMYFUNCTION("""COMPUTED_VALUE"""),431.05)</f>
        <v>431.05</v>
      </c>
      <c r="F2797" s="2">
        <f>IFERROR(__xludf.DUMMYFUNCTION("""COMPUTED_VALUE"""),2778882.0)</f>
        <v>2778882</v>
      </c>
    </row>
    <row r="2798">
      <c r="A2798" s="3">
        <f>IFERROR(__xludf.DUMMYFUNCTION("""COMPUTED_VALUE"""),41562.645833333336)</f>
        <v>41562.64583</v>
      </c>
      <c r="B2798" s="2">
        <f>IFERROR(__xludf.DUMMYFUNCTION("""COMPUTED_VALUE"""),444.42)</f>
        <v>444.42</v>
      </c>
      <c r="C2798" s="2">
        <f>IFERROR(__xludf.DUMMYFUNCTION("""COMPUTED_VALUE"""),445.09)</f>
        <v>445.09</v>
      </c>
      <c r="D2798" s="2">
        <f>IFERROR(__xludf.DUMMYFUNCTION("""COMPUTED_VALUE"""),427.93)</f>
        <v>427.93</v>
      </c>
      <c r="E2798" s="2">
        <f>IFERROR(__xludf.DUMMYFUNCTION("""COMPUTED_VALUE"""),429.81)</f>
        <v>429.81</v>
      </c>
      <c r="F2798" s="2">
        <f>IFERROR(__xludf.DUMMYFUNCTION("""COMPUTED_VALUE"""),5266950.0)</f>
        <v>5266950</v>
      </c>
    </row>
    <row r="2799">
      <c r="A2799" s="3">
        <f>IFERROR(__xludf.DUMMYFUNCTION("""COMPUTED_VALUE"""),41564.645833333336)</f>
        <v>41564.64583</v>
      </c>
      <c r="B2799" s="2">
        <f>IFERROR(__xludf.DUMMYFUNCTION("""COMPUTED_VALUE"""),430.9)</f>
        <v>430.9</v>
      </c>
      <c r="C2799" s="2">
        <f>IFERROR(__xludf.DUMMYFUNCTION("""COMPUTED_VALUE"""),439.81)</f>
        <v>439.81</v>
      </c>
      <c r="D2799" s="2">
        <f>IFERROR(__xludf.DUMMYFUNCTION("""COMPUTED_VALUE"""),428.25)</f>
        <v>428.25</v>
      </c>
      <c r="E2799" s="2">
        <f>IFERROR(__xludf.DUMMYFUNCTION("""COMPUTED_VALUE"""),436.03)</f>
        <v>436.03</v>
      </c>
      <c r="F2799" s="2">
        <f>IFERROR(__xludf.DUMMYFUNCTION("""COMPUTED_VALUE"""),4026153.0)</f>
        <v>4026153</v>
      </c>
    </row>
    <row r="2800">
      <c r="A2800" s="3">
        <f>IFERROR(__xludf.DUMMYFUNCTION("""COMPUTED_VALUE"""),41565.645833333336)</f>
        <v>41565.64583</v>
      </c>
      <c r="B2800" s="2">
        <f>IFERROR(__xludf.DUMMYFUNCTION("""COMPUTED_VALUE"""),436.64)</f>
        <v>436.64</v>
      </c>
      <c r="C2800" s="2">
        <f>IFERROR(__xludf.DUMMYFUNCTION("""COMPUTED_VALUE"""),449.72)</f>
        <v>449.72</v>
      </c>
      <c r="D2800" s="2">
        <f>IFERROR(__xludf.DUMMYFUNCTION("""COMPUTED_VALUE"""),436.64)</f>
        <v>436.64</v>
      </c>
      <c r="E2800" s="2">
        <f>IFERROR(__xludf.DUMMYFUNCTION("""COMPUTED_VALUE"""),448.56)</f>
        <v>448.56</v>
      </c>
      <c r="F2800" s="2">
        <f>IFERROR(__xludf.DUMMYFUNCTION("""COMPUTED_VALUE"""),5069374.0)</f>
        <v>5069374</v>
      </c>
    </row>
    <row r="2801">
      <c r="A2801" s="3">
        <f>IFERROR(__xludf.DUMMYFUNCTION("""COMPUTED_VALUE"""),41568.645833333336)</f>
        <v>41568.64583</v>
      </c>
      <c r="B2801" s="2">
        <f>IFERROR(__xludf.DUMMYFUNCTION("""COMPUTED_VALUE"""),448.56)</f>
        <v>448.56</v>
      </c>
      <c r="C2801" s="2">
        <f>IFERROR(__xludf.DUMMYFUNCTION("""COMPUTED_VALUE"""),453.44)</f>
        <v>453.44</v>
      </c>
      <c r="D2801" s="2">
        <f>IFERROR(__xludf.DUMMYFUNCTION("""COMPUTED_VALUE"""),443.85)</f>
        <v>443.85</v>
      </c>
      <c r="E2801" s="2">
        <f>IFERROR(__xludf.DUMMYFUNCTION("""COMPUTED_VALUE"""),452.3)</f>
        <v>452.3</v>
      </c>
      <c r="F2801" s="2">
        <f>IFERROR(__xludf.DUMMYFUNCTION("""COMPUTED_VALUE"""),3461572.0)</f>
        <v>3461572</v>
      </c>
    </row>
    <row r="2802">
      <c r="A2802" s="3">
        <f>IFERROR(__xludf.DUMMYFUNCTION("""COMPUTED_VALUE"""),41569.645833333336)</f>
        <v>41569.64583</v>
      </c>
      <c r="B2802" s="2">
        <f>IFERROR(__xludf.DUMMYFUNCTION("""COMPUTED_VALUE"""),449.42)</f>
        <v>449.42</v>
      </c>
      <c r="C2802" s="2">
        <f>IFERROR(__xludf.DUMMYFUNCTION("""COMPUTED_VALUE"""),451.18)</f>
        <v>451.18</v>
      </c>
      <c r="D2802" s="2">
        <f>IFERROR(__xludf.DUMMYFUNCTION("""COMPUTED_VALUE"""),444.52)</f>
        <v>444.52</v>
      </c>
      <c r="E2802" s="2">
        <f>IFERROR(__xludf.DUMMYFUNCTION("""COMPUTED_VALUE"""),447.84)</f>
        <v>447.84</v>
      </c>
      <c r="F2802" s="2">
        <f>IFERROR(__xludf.DUMMYFUNCTION("""COMPUTED_VALUE"""),2342103.0)</f>
        <v>2342103</v>
      </c>
    </row>
    <row r="2803">
      <c r="A2803" s="3">
        <f>IFERROR(__xludf.DUMMYFUNCTION("""COMPUTED_VALUE"""),41570.645833333336)</f>
        <v>41570.64583</v>
      </c>
      <c r="B2803" s="2">
        <f>IFERROR(__xludf.DUMMYFUNCTION("""COMPUTED_VALUE"""),448.33)</f>
        <v>448.33</v>
      </c>
      <c r="C2803" s="2">
        <f>IFERROR(__xludf.DUMMYFUNCTION("""COMPUTED_VALUE"""),450.31)</f>
        <v>450.31</v>
      </c>
      <c r="D2803" s="2">
        <f>IFERROR(__xludf.DUMMYFUNCTION("""COMPUTED_VALUE"""),439.64)</f>
        <v>439.64</v>
      </c>
      <c r="E2803" s="2">
        <f>IFERROR(__xludf.DUMMYFUNCTION("""COMPUTED_VALUE"""),444.15)</f>
        <v>444.15</v>
      </c>
      <c r="F2803" s="2">
        <f>IFERROR(__xludf.DUMMYFUNCTION("""COMPUTED_VALUE"""),2044698.0)</f>
        <v>2044698</v>
      </c>
    </row>
    <row r="2804">
      <c r="A2804" s="3">
        <f>IFERROR(__xludf.DUMMYFUNCTION("""COMPUTED_VALUE"""),41571.645833333336)</f>
        <v>41571.64583</v>
      </c>
      <c r="B2804" s="2">
        <f>IFERROR(__xludf.DUMMYFUNCTION("""COMPUTED_VALUE"""),441.82)</f>
        <v>441.82</v>
      </c>
      <c r="C2804" s="2">
        <f>IFERROR(__xludf.DUMMYFUNCTION("""COMPUTED_VALUE"""),451.21)</f>
        <v>451.21</v>
      </c>
      <c r="D2804" s="2">
        <f>IFERROR(__xludf.DUMMYFUNCTION("""COMPUTED_VALUE"""),436.52)</f>
        <v>436.52</v>
      </c>
      <c r="E2804" s="2">
        <f>IFERROR(__xludf.DUMMYFUNCTION("""COMPUTED_VALUE"""),438.08)</f>
        <v>438.08</v>
      </c>
      <c r="F2804" s="2">
        <f>IFERROR(__xludf.DUMMYFUNCTION("""COMPUTED_VALUE"""),2678332.0)</f>
        <v>2678332</v>
      </c>
    </row>
    <row r="2805">
      <c r="A2805" s="3">
        <f>IFERROR(__xludf.DUMMYFUNCTION("""COMPUTED_VALUE"""),41572.645833333336)</f>
        <v>41572.64583</v>
      </c>
      <c r="B2805" s="2">
        <f>IFERROR(__xludf.DUMMYFUNCTION("""COMPUTED_VALUE"""),437.88)</f>
        <v>437.88</v>
      </c>
      <c r="C2805" s="2">
        <f>IFERROR(__xludf.DUMMYFUNCTION("""COMPUTED_VALUE"""),442.19)</f>
        <v>442.19</v>
      </c>
      <c r="D2805" s="2">
        <f>IFERROR(__xludf.DUMMYFUNCTION("""COMPUTED_VALUE"""),435.53)</f>
        <v>435.53</v>
      </c>
      <c r="E2805" s="2">
        <f>IFERROR(__xludf.DUMMYFUNCTION("""COMPUTED_VALUE"""),439.32)</f>
        <v>439.32</v>
      </c>
      <c r="F2805" s="2">
        <f>IFERROR(__xludf.DUMMYFUNCTION("""COMPUTED_VALUE"""),2273430.0)</f>
        <v>2273430</v>
      </c>
    </row>
    <row r="2806">
      <c r="A2806" s="3">
        <f>IFERROR(__xludf.DUMMYFUNCTION("""COMPUTED_VALUE"""),41575.645833333336)</f>
        <v>41575.64583</v>
      </c>
      <c r="B2806" s="2">
        <f>IFERROR(__xludf.DUMMYFUNCTION("""COMPUTED_VALUE"""),439.81)</f>
        <v>439.81</v>
      </c>
      <c r="C2806" s="2">
        <f>IFERROR(__xludf.DUMMYFUNCTION("""COMPUTED_VALUE"""),448.16)</f>
        <v>448.16</v>
      </c>
      <c r="D2806" s="2">
        <f>IFERROR(__xludf.DUMMYFUNCTION("""COMPUTED_VALUE"""),439.74)</f>
        <v>439.74</v>
      </c>
      <c r="E2806" s="2">
        <f>IFERROR(__xludf.DUMMYFUNCTION("""COMPUTED_VALUE"""),441.18)</f>
        <v>441.18</v>
      </c>
      <c r="F2806" s="2">
        <f>IFERROR(__xludf.DUMMYFUNCTION("""COMPUTED_VALUE"""),3514321.0)</f>
        <v>3514321</v>
      </c>
    </row>
    <row r="2807">
      <c r="A2807" s="3">
        <f>IFERROR(__xludf.DUMMYFUNCTION("""COMPUTED_VALUE"""),41576.645833333336)</f>
        <v>41576.64583</v>
      </c>
      <c r="B2807" s="2">
        <f>IFERROR(__xludf.DUMMYFUNCTION("""COMPUTED_VALUE"""),440.36)</f>
        <v>440.36</v>
      </c>
      <c r="C2807" s="2">
        <f>IFERROR(__xludf.DUMMYFUNCTION("""COMPUTED_VALUE"""),447.71)</f>
        <v>447.71</v>
      </c>
      <c r="D2807" s="2">
        <f>IFERROR(__xludf.DUMMYFUNCTION("""COMPUTED_VALUE"""),437.78)</f>
        <v>437.78</v>
      </c>
      <c r="E2807" s="2">
        <f>IFERROR(__xludf.DUMMYFUNCTION("""COMPUTED_VALUE"""),444.17)</f>
        <v>444.17</v>
      </c>
      <c r="F2807" s="2">
        <f>IFERROR(__xludf.DUMMYFUNCTION("""COMPUTED_VALUE"""),3303172.0)</f>
        <v>3303172</v>
      </c>
    </row>
    <row r="2808">
      <c r="A2808" s="3">
        <f>IFERROR(__xludf.DUMMYFUNCTION("""COMPUTED_VALUE"""),41577.645833333336)</f>
        <v>41577.64583</v>
      </c>
      <c r="B2808" s="2">
        <f>IFERROR(__xludf.DUMMYFUNCTION("""COMPUTED_VALUE"""),444.02)</f>
        <v>444.02</v>
      </c>
      <c r="C2808" s="2">
        <f>IFERROR(__xludf.DUMMYFUNCTION("""COMPUTED_VALUE"""),447.19)</f>
        <v>447.19</v>
      </c>
      <c r="D2808" s="2">
        <f>IFERROR(__xludf.DUMMYFUNCTION("""COMPUTED_VALUE"""),443.13)</f>
        <v>443.13</v>
      </c>
      <c r="E2808" s="2">
        <f>IFERROR(__xludf.DUMMYFUNCTION("""COMPUTED_VALUE"""),444.84)</f>
        <v>444.84</v>
      </c>
      <c r="F2808" s="2">
        <f>IFERROR(__xludf.DUMMYFUNCTION("""COMPUTED_VALUE"""),2197777.0)</f>
        <v>2197777</v>
      </c>
    </row>
    <row r="2809">
      <c r="A2809" s="3">
        <f>IFERROR(__xludf.DUMMYFUNCTION("""COMPUTED_VALUE"""),41578.645833333336)</f>
        <v>41578.64583</v>
      </c>
      <c r="B2809" s="2">
        <f>IFERROR(__xludf.DUMMYFUNCTION("""COMPUTED_VALUE"""),445.76)</f>
        <v>445.76</v>
      </c>
      <c r="C2809" s="2">
        <f>IFERROR(__xludf.DUMMYFUNCTION("""COMPUTED_VALUE"""),454.67)</f>
        <v>454.67</v>
      </c>
      <c r="D2809" s="2">
        <f>IFERROR(__xludf.DUMMYFUNCTION("""COMPUTED_VALUE"""),443.78)</f>
        <v>443.78</v>
      </c>
      <c r="E2809" s="2">
        <f>IFERROR(__xludf.DUMMYFUNCTION("""COMPUTED_VALUE"""),453.04)</f>
        <v>453.04</v>
      </c>
      <c r="F2809" s="2">
        <f>IFERROR(__xludf.DUMMYFUNCTION("""COMPUTED_VALUE"""),4521314.0)</f>
        <v>4521314</v>
      </c>
    </row>
    <row r="2810">
      <c r="A2810" s="3">
        <f>IFERROR(__xludf.DUMMYFUNCTION("""COMPUTED_VALUE"""),41579.645833333336)</f>
        <v>41579.64583</v>
      </c>
      <c r="B2810" s="2">
        <f>IFERROR(__xludf.DUMMYFUNCTION("""COMPUTED_VALUE"""),450.76)</f>
        <v>450.76</v>
      </c>
      <c r="C2810" s="2">
        <f>IFERROR(__xludf.DUMMYFUNCTION("""COMPUTED_VALUE"""),458.91)</f>
        <v>458.91</v>
      </c>
      <c r="D2810" s="2">
        <f>IFERROR(__xludf.DUMMYFUNCTION("""COMPUTED_VALUE"""),447.42)</f>
        <v>447.42</v>
      </c>
      <c r="E2810" s="2">
        <f>IFERROR(__xludf.DUMMYFUNCTION("""COMPUTED_VALUE"""),449.84)</f>
        <v>449.84</v>
      </c>
      <c r="F2810" s="2">
        <f>IFERROR(__xludf.DUMMYFUNCTION("""COMPUTED_VALUE"""),2718063.0)</f>
        <v>2718063</v>
      </c>
    </row>
    <row r="2811">
      <c r="A2811" s="3">
        <f>IFERROR(__xludf.DUMMYFUNCTION("""COMPUTED_VALUE"""),41583.645833333336)</f>
        <v>41583.64583</v>
      </c>
      <c r="B2811" s="2">
        <f>IFERROR(__xludf.DUMMYFUNCTION("""COMPUTED_VALUE"""),447.42)</f>
        <v>447.42</v>
      </c>
      <c r="C2811" s="2">
        <f>IFERROR(__xludf.DUMMYFUNCTION("""COMPUTED_VALUE"""),456.51)</f>
        <v>456.51</v>
      </c>
      <c r="D2811" s="2">
        <f>IFERROR(__xludf.DUMMYFUNCTION("""COMPUTED_VALUE"""),447.42)</f>
        <v>447.42</v>
      </c>
      <c r="E2811" s="2">
        <f>IFERROR(__xludf.DUMMYFUNCTION("""COMPUTED_VALUE"""),450.56)</f>
        <v>450.56</v>
      </c>
      <c r="F2811" s="2">
        <f>IFERROR(__xludf.DUMMYFUNCTION("""COMPUTED_VALUE"""),2504263.0)</f>
        <v>2504263</v>
      </c>
    </row>
    <row r="2812">
      <c r="A2812" s="3">
        <f>IFERROR(__xludf.DUMMYFUNCTION("""COMPUTED_VALUE"""),41584.645833333336)</f>
        <v>41584.64583</v>
      </c>
      <c r="B2812" s="2">
        <f>IFERROR(__xludf.DUMMYFUNCTION("""COMPUTED_VALUE"""),450.71)</f>
        <v>450.71</v>
      </c>
      <c r="C2812" s="2">
        <f>IFERROR(__xludf.DUMMYFUNCTION("""COMPUTED_VALUE"""),455.61)</f>
        <v>455.61</v>
      </c>
      <c r="D2812" s="2">
        <f>IFERROR(__xludf.DUMMYFUNCTION("""COMPUTED_VALUE"""),443.26)</f>
        <v>443.26</v>
      </c>
      <c r="E2812" s="2">
        <f>IFERROR(__xludf.DUMMYFUNCTION("""COMPUTED_VALUE"""),445.06)</f>
        <v>445.06</v>
      </c>
      <c r="F2812" s="2">
        <f>IFERROR(__xludf.DUMMYFUNCTION("""COMPUTED_VALUE"""),2198926.0)</f>
        <v>2198926</v>
      </c>
    </row>
    <row r="2813">
      <c r="A2813" s="3">
        <f>IFERROR(__xludf.DUMMYFUNCTION("""COMPUTED_VALUE"""),41585.645833333336)</f>
        <v>41585.64583</v>
      </c>
      <c r="B2813" s="2">
        <f>IFERROR(__xludf.DUMMYFUNCTION("""COMPUTED_VALUE"""),445.26)</f>
        <v>445.26</v>
      </c>
      <c r="C2813" s="2">
        <f>IFERROR(__xludf.DUMMYFUNCTION("""COMPUTED_VALUE"""),448.63)</f>
        <v>448.63</v>
      </c>
      <c r="D2813" s="2">
        <f>IFERROR(__xludf.DUMMYFUNCTION("""COMPUTED_VALUE"""),436.89)</f>
        <v>436.89</v>
      </c>
      <c r="E2813" s="2">
        <f>IFERROR(__xludf.DUMMYFUNCTION("""COMPUTED_VALUE"""),438.77)</f>
        <v>438.77</v>
      </c>
      <c r="F2813" s="2">
        <f>IFERROR(__xludf.DUMMYFUNCTION("""COMPUTED_VALUE"""),2238424.0)</f>
        <v>2238424</v>
      </c>
    </row>
    <row r="2814">
      <c r="A2814" s="3">
        <f>IFERROR(__xludf.DUMMYFUNCTION("""COMPUTED_VALUE"""),41586.645833333336)</f>
        <v>41586.64583</v>
      </c>
      <c r="B2814" s="2">
        <f>IFERROR(__xludf.DUMMYFUNCTION("""COMPUTED_VALUE"""),438.82)</f>
        <v>438.82</v>
      </c>
      <c r="C2814" s="2">
        <f>IFERROR(__xludf.DUMMYFUNCTION("""COMPUTED_VALUE"""),439.81)</f>
        <v>439.81</v>
      </c>
      <c r="D2814" s="2">
        <f>IFERROR(__xludf.DUMMYFUNCTION("""COMPUTED_VALUE"""),431.47)</f>
        <v>431.47</v>
      </c>
      <c r="E2814" s="2">
        <f>IFERROR(__xludf.DUMMYFUNCTION("""COMPUTED_VALUE"""),433.85)</f>
        <v>433.85</v>
      </c>
      <c r="F2814" s="2">
        <f>IFERROR(__xludf.DUMMYFUNCTION("""COMPUTED_VALUE"""),2001425.0)</f>
        <v>2001425</v>
      </c>
    </row>
    <row r="2815">
      <c r="A2815" s="3">
        <f>IFERROR(__xludf.DUMMYFUNCTION("""COMPUTED_VALUE"""),41589.645833333336)</f>
        <v>41589.64583</v>
      </c>
      <c r="B2815" s="2">
        <f>IFERROR(__xludf.DUMMYFUNCTION("""COMPUTED_VALUE"""),432.88)</f>
        <v>432.88</v>
      </c>
      <c r="C2815" s="2">
        <f>IFERROR(__xludf.DUMMYFUNCTION("""COMPUTED_VALUE"""),436.89)</f>
        <v>436.89</v>
      </c>
      <c r="D2815" s="2">
        <f>IFERROR(__xludf.DUMMYFUNCTION("""COMPUTED_VALUE"""),426.05)</f>
        <v>426.05</v>
      </c>
      <c r="E2815" s="2">
        <f>IFERROR(__xludf.DUMMYFUNCTION("""COMPUTED_VALUE"""),427.88)</f>
        <v>427.88</v>
      </c>
      <c r="F2815" s="2">
        <f>IFERROR(__xludf.DUMMYFUNCTION("""COMPUTED_VALUE"""),2034671.0)</f>
        <v>2034671</v>
      </c>
    </row>
    <row r="2816">
      <c r="A2816" s="3">
        <f>IFERROR(__xludf.DUMMYFUNCTION("""COMPUTED_VALUE"""),41590.645833333336)</f>
        <v>41590.64583</v>
      </c>
      <c r="B2816" s="2">
        <f>IFERROR(__xludf.DUMMYFUNCTION("""COMPUTED_VALUE"""),428.42)</f>
        <v>428.42</v>
      </c>
      <c r="C2816" s="2">
        <f>IFERROR(__xludf.DUMMYFUNCTION("""COMPUTED_VALUE"""),431.69)</f>
        <v>431.69</v>
      </c>
      <c r="D2816" s="2">
        <f>IFERROR(__xludf.DUMMYFUNCTION("""COMPUTED_VALUE"""),421.09)</f>
        <v>421.09</v>
      </c>
      <c r="E2816" s="2">
        <f>IFERROR(__xludf.DUMMYFUNCTION("""COMPUTED_VALUE"""),422.28)</f>
        <v>422.28</v>
      </c>
      <c r="F2816" s="2">
        <f>IFERROR(__xludf.DUMMYFUNCTION("""COMPUTED_VALUE"""),2781812.0)</f>
        <v>2781812</v>
      </c>
    </row>
    <row r="2817">
      <c r="A2817" s="3">
        <f>IFERROR(__xludf.DUMMYFUNCTION("""COMPUTED_VALUE"""),41591.645833333336)</f>
        <v>41591.64583</v>
      </c>
      <c r="B2817" s="2">
        <f>IFERROR(__xludf.DUMMYFUNCTION("""COMPUTED_VALUE"""),420.94)</f>
        <v>420.94</v>
      </c>
      <c r="C2817" s="2">
        <f>IFERROR(__xludf.DUMMYFUNCTION("""COMPUTED_VALUE"""),426.64)</f>
        <v>426.64</v>
      </c>
      <c r="D2817" s="2">
        <f>IFERROR(__xludf.DUMMYFUNCTION("""COMPUTED_VALUE"""),417.08)</f>
        <v>417.08</v>
      </c>
      <c r="E2817" s="2">
        <f>IFERROR(__xludf.DUMMYFUNCTION("""COMPUTED_VALUE"""),418.22)</f>
        <v>418.22</v>
      </c>
      <c r="F2817" s="2">
        <f>IFERROR(__xludf.DUMMYFUNCTION("""COMPUTED_VALUE"""),1918164.0)</f>
        <v>1918164</v>
      </c>
    </row>
    <row r="2818">
      <c r="A2818" s="3">
        <f>IFERROR(__xludf.DUMMYFUNCTION("""COMPUTED_VALUE"""),41592.645833333336)</f>
        <v>41592.64583</v>
      </c>
      <c r="B2818" s="2">
        <f>IFERROR(__xludf.DUMMYFUNCTION("""COMPUTED_VALUE"""),421.61)</f>
        <v>421.61</v>
      </c>
      <c r="C2818" s="2">
        <f>IFERROR(__xludf.DUMMYFUNCTION("""COMPUTED_VALUE"""),427.93)</f>
        <v>427.93</v>
      </c>
      <c r="D2818" s="2">
        <f>IFERROR(__xludf.DUMMYFUNCTION("""COMPUTED_VALUE"""),421.19)</f>
        <v>421.19</v>
      </c>
      <c r="E2818" s="2">
        <f>IFERROR(__xludf.DUMMYFUNCTION("""COMPUTED_VALUE"""),421.81)</f>
        <v>421.81</v>
      </c>
      <c r="F2818" s="2">
        <f>IFERROR(__xludf.DUMMYFUNCTION("""COMPUTED_VALUE"""),1835838.0)</f>
        <v>1835838</v>
      </c>
    </row>
    <row r="2819">
      <c r="A2819" s="3">
        <f>IFERROR(__xludf.DUMMYFUNCTION("""COMPUTED_VALUE"""),41596.645833333336)</f>
        <v>41596.64583</v>
      </c>
      <c r="B2819" s="2">
        <f>IFERROR(__xludf.DUMMYFUNCTION("""COMPUTED_VALUE"""),425.01)</f>
        <v>425.01</v>
      </c>
      <c r="C2819" s="2">
        <f>IFERROR(__xludf.DUMMYFUNCTION("""COMPUTED_VALUE"""),434.74)</f>
        <v>434.74</v>
      </c>
      <c r="D2819" s="2">
        <f>IFERROR(__xludf.DUMMYFUNCTION("""COMPUTED_VALUE"""),424.04)</f>
        <v>424.04</v>
      </c>
      <c r="E2819" s="2">
        <f>IFERROR(__xludf.DUMMYFUNCTION("""COMPUTED_VALUE"""),433.25)</f>
        <v>433.25</v>
      </c>
      <c r="F2819" s="2">
        <f>IFERROR(__xludf.DUMMYFUNCTION("""COMPUTED_VALUE"""),2759723.0)</f>
        <v>2759723</v>
      </c>
    </row>
    <row r="2820">
      <c r="A2820" s="3">
        <f>IFERROR(__xludf.DUMMYFUNCTION("""COMPUTED_VALUE"""),41597.645833333336)</f>
        <v>41597.64583</v>
      </c>
      <c r="B2820" s="2">
        <f>IFERROR(__xludf.DUMMYFUNCTION("""COMPUTED_VALUE"""),433.38)</f>
        <v>433.38</v>
      </c>
      <c r="C2820" s="2">
        <f>IFERROR(__xludf.DUMMYFUNCTION("""COMPUTED_VALUE"""),438.28)</f>
        <v>438.28</v>
      </c>
      <c r="D2820" s="2">
        <f>IFERROR(__xludf.DUMMYFUNCTION("""COMPUTED_VALUE"""),433.38)</f>
        <v>433.38</v>
      </c>
      <c r="E2820" s="2">
        <f>IFERROR(__xludf.DUMMYFUNCTION("""COMPUTED_VALUE"""),435.04)</f>
        <v>435.04</v>
      </c>
      <c r="F2820" s="2">
        <f>IFERROR(__xludf.DUMMYFUNCTION("""COMPUTED_VALUE"""),1928073.0)</f>
        <v>1928073</v>
      </c>
    </row>
    <row r="2821">
      <c r="A2821" s="3">
        <f>IFERROR(__xludf.DUMMYFUNCTION("""COMPUTED_VALUE"""),41598.645833333336)</f>
        <v>41598.64583</v>
      </c>
      <c r="B2821" s="2">
        <f>IFERROR(__xludf.DUMMYFUNCTION("""COMPUTED_VALUE"""),433.3)</f>
        <v>433.3</v>
      </c>
      <c r="C2821" s="2">
        <f>IFERROR(__xludf.DUMMYFUNCTION("""COMPUTED_VALUE"""),437.34)</f>
        <v>437.34</v>
      </c>
      <c r="D2821" s="2">
        <f>IFERROR(__xludf.DUMMYFUNCTION("""COMPUTED_VALUE"""),424.46)</f>
        <v>424.46</v>
      </c>
      <c r="E2821" s="2">
        <f>IFERROR(__xludf.DUMMYFUNCTION("""COMPUTED_VALUE"""),427.18)</f>
        <v>427.18</v>
      </c>
      <c r="F2821" s="2">
        <f>IFERROR(__xludf.DUMMYFUNCTION("""COMPUTED_VALUE"""),2992305.0)</f>
        <v>2992305</v>
      </c>
    </row>
    <row r="2822">
      <c r="A2822" s="3">
        <f>IFERROR(__xludf.DUMMYFUNCTION("""COMPUTED_VALUE"""),41599.645833333336)</f>
        <v>41599.64583</v>
      </c>
      <c r="B2822" s="2">
        <f>IFERROR(__xludf.DUMMYFUNCTION("""COMPUTED_VALUE"""),425.9)</f>
        <v>425.9</v>
      </c>
      <c r="C2822" s="2">
        <f>IFERROR(__xludf.DUMMYFUNCTION("""COMPUTED_VALUE"""),425.95)</f>
        <v>425.95</v>
      </c>
      <c r="D2822" s="2">
        <f>IFERROR(__xludf.DUMMYFUNCTION("""COMPUTED_VALUE"""),417.75)</f>
        <v>417.75</v>
      </c>
      <c r="E2822" s="2">
        <f>IFERROR(__xludf.DUMMYFUNCTION("""COMPUTED_VALUE"""),419.81)</f>
        <v>419.81</v>
      </c>
      <c r="F2822" s="2">
        <f>IFERROR(__xludf.DUMMYFUNCTION("""COMPUTED_VALUE"""),2620866.0)</f>
        <v>2620866</v>
      </c>
    </row>
    <row r="2823">
      <c r="A2823" s="3">
        <f>IFERROR(__xludf.DUMMYFUNCTION("""COMPUTED_VALUE"""),41600.645833333336)</f>
        <v>41600.64583</v>
      </c>
      <c r="B2823" s="2">
        <f>IFERROR(__xludf.DUMMYFUNCTION("""COMPUTED_VALUE"""),421.49)</f>
        <v>421.49</v>
      </c>
      <c r="C2823" s="2">
        <f>IFERROR(__xludf.DUMMYFUNCTION("""COMPUTED_VALUE"""),424.19)</f>
        <v>424.19</v>
      </c>
      <c r="D2823" s="2">
        <f>IFERROR(__xludf.DUMMYFUNCTION("""COMPUTED_VALUE"""),415.6)</f>
        <v>415.6</v>
      </c>
      <c r="E2823" s="2">
        <f>IFERROR(__xludf.DUMMYFUNCTION("""COMPUTED_VALUE"""),417.9)</f>
        <v>417.9</v>
      </c>
      <c r="F2823" s="2">
        <f>IFERROR(__xludf.DUMMYFUNCTION("""COMPUTED_VALUE"""),1710289.0)</f>
        <v>1710289</v>
      </c>
    </row>
    <row r="2824">
      <c r="A2824" s="3">
        <f>IFERROR(__xludf.DUMMYFUNCTION("""COMPUTED_VALUE"""),41603.645833333336)</f>
        <v>41603.64583</v>
      </c>
      <c r="B2824" s="2">
        <f>IFERROR(__xludf.DUMMYFUNCTION("""COMPUTED_VALUE"""),419.68)</f>
        <v>419.68</v>
      </c>
      <c r="C2824" s="2">
        <f>IFERROR(__xludf.DUMMYFUNCTION("""COMPUTED_VALUE"""),424.39)</f>
        <v>424.39</v>
      </c>
      <c r="D2824" s="2">
        <f>IFERROR(__xludf.DUMMYFUNCTION("""COMPUTED_VALUE"""),418.05)</f>
        <v>418.05</v>
      </c>
      <c r="E2824" s="2">
        <f>IFERROR(__xludf.DUMMYFUNCTION("""COMPUTED_VALUE"""),421.84)</f>
        <v>421.84</v>
      </c>
      <c r="F2824" s="2">
        <f>IFERROR(__xludf.DUMMYFUNCTION("""COMPUTED_VALUE"""),2303754.0)</f>
        <v>2303754</v>
      </c>
    </row>
    <row r="2825">
      <c r="A2825" s="3">
        <f>IFERROR(__xludf.DUMMYFUNCTION("""COMPUTED_VALUE"""),41604.645833333336)</f>
        <v>41604.64583</v>
      </c>
      <c r="B2825" s="2">
        <f>IFERROR(__xludf.DUMMYFUNCTION("""COMPUTED_VALUE"""),421.24)</f>
        <v>421.24</v>
      </c>
      <c r="C2825" s="2">
        <f>IFERROR(__xludf.DUMMYFUNCTION("""COMPUTED_VALUE"""),424.36)</f>
        <v>424.36</v>
      </c>
      <c r="D2825" s="2">
        <f>IFERROR(__xludf.DUMMYFUNCTION("""COMPUTED_VALUE"""),414.83)</f>
        <v>414.83</v>
      </c>
      <c r="E2825" s="2">
        <f>IFERROR(__xludf.DUMMYFUNCTION("""COMPUTED_VALUE"""),416.66)</f>
        <v>416.66</v>
      </c>
      <c r="F2825" s="2">
        <f>IFERROR(__xludf.DUMMYFUNCTION("""COMPUTED_VALUE"""),3192390.0)</f>
        <v>3192390</v>
      </c>
    </row>
    <row r="2826">
      <c r="A2826" s="3">
        <f>IFERROR(__xludf.DUMMYFUNCTION("""COMPUTED_VALUE"""),41605.645833333336)</f>
        <v>41605.64583</v>
      </c>
      <c r="B2826" s="2">
        <f>IFERROR(__xludf.DUMMYFUNCTION("""COMPUTED_VALUE"""),418.27)</f>
        <v>418.27</v>
      </c>
      <c r="C2826" s="2">
        <f>IFERROR(__xludf.DUMMYFUNCTION("""COMPUTED_VALUE"""),420.75)</f>
        <v>420.75</v>
      </c>
      <c r="D2826" s="2">
        <f>IFERROR(__xludf.DUMMYFUNCTION("""COMPUTED_VALUE"""),413.69)</f>
        <v>413.69</v>
      </c>
      <c r="E2826" s="2">
        <f>IFERROR(__xludf.DUMMYFUNCTION("""COMPUTED_VALUE"""),415.03)</f>
        <v>415.03</v>
      </c>
      <c r="F2826" s="2">
        <f>IFERROR(__xludf.DUMMYFUNCTION("""COMPUTED_VALUE"""),2610836.0)</f>
        <v>2610836</v>
      </c>
    </row>
    <row r="2827">
      <c r="A2827" s="3">
        <f>IFERROR(__xludf.DUMMYFUNCTION("""COMPUTED_VALUE"""),41606.645833333336)</f>
        <v>41606.64583</v>
      </c>
      <c r="B2827" s="2">
        <f>IFERROR(__xludf.DUMMYFUNCTION("""COMPUTED_VALUE"""),417.58)</f>
        <v>417.58</v>
      </c>
      <c r="C2827" s="2">
        <f>IFERROR(__xludf.DUMMYFUNCTION("""COMPUTED_VALUE"""),424.16)</f>
        <v>424.16</v>
      </c>
      <c r="D2827" s="2">
        <f>IFERROR(__xludf.DUMMYFUNCTION("""COMPUTED_VALUE"""),417.58)</f>
        <v>417.58</v>
      </c>
      <c r="E2827" s="2">
        <f>IFERROR(__xludf.DUMMYFUNCTION("""COMPUTED_VALUE"""),419.98)</f>
        <v>419.98</v>
      </c>
      <c r="F2827" s="2">
        <f>IFERROR(__xludf.DUMMYFUNCTION("""COMPUTED_VALUE"""),2867965.0)</f>
        <v>2867965</v>
      </c>
    </row>
    <row r="2828">
      <c r="A2828" s="3">
        <f>IFERROR(__xludf.DUMMYFUNCTION("""COMPUTED_VALUE"""),41607.645833333336)</f>
        <v>41607.64583</v>
      </c>
      <c r="B2828" s="2">
        <f>IFERROR(__xludf.DUMMYFUNCTION("""COMPUTED_VALUE"""),421.46)</f>
        <v>421.46</v>
      </c>
      <c r="C2828" s="2">
        <f>IFERROR(__xludf.DUMMYFUNCTION("""COMPUTED_VALUE"""),424.21)</f>
        <v>424.21</v>
      </c>
      <c r="D2828" s="2">
        <f>IFERROR(__xludf.DUMMYFUNCTION("""COMPUTED_VALUE"""),420.3)</f>
        <v>420.3</v>
      </c>
      <c r="E2828" s="2">
        <f>IFERROR(__xludf.DUMMYFUNCTION("""COMPUTED_VALUE"""),422.58)</f>
        <v>422.58</v>
      </c>
      <c r="F2828" s="2">
        <f>IFERROR(__xludf.DUMMYFUNCTION("""COMPUTED_VALUE"""),2259353.0)</f>
        <v>2259353</v>
      </c>
    </row>
    <row r="2829">
      <c r="A2829" s="3">
        <f>IFERROR(__xludf.DUMMYFUNCTION("""COMPUTED_VALUE"""),41610.645833333336)</f>
        <v>41610.64583</v>
      </c>
      <c r="B2829" s="2">
        <f>IFERROR(__xludf.DUMMYFUNCTION("""COMPUTED_VALUE"""),422.48)</f>
        <v>422.48</v>
      </c>
      <c r="C2829" s="2">
        <f>IFERROR(__xludf.DUMMYFUNCTION("""COMPUTED_VALUE"""),427.41)</f>
        <v>427.41</v>
      </c>
      <c r="D2829" s="2">
        <f>IFERROR(__xludf.DUMMYFUNCTION("""COMPUTED_VALUE"""),422.13)</f>
        <v>422.13</v>
      </c>
      <c r="E2829" s="2">
        <f>IFERROR(__xludf.DUMMYFUNCTION("""COMPUTED_VALUE"""),423.62)</f>
        <v>423.62</v>
      </c>
      <c r="F2829" s="2">
        <f>IFERROR(__xludf.DUMMYFUNCTION("""COMPUTED_VALUE"""),1650771.0)</f>
        <v>1650771</v>
      </c>
    </row>
    <row r="2830">
      <c r="A2830" s="3">
        <f>IFERROR(__xludf.DUMMYFUNCTION("""COMPUTED_VALUE"""),41611.645833333336)</f>
        <v>41611.64583</v>
      </c>
      <c r="B2830" s="2">
        <f>IFERROR(__xludf.DUMMYFUNCTION("""COMPUTED_VALUE"""),423.47)</f>
        <v>423.47</v>
      </c>
      <c r="C2830" s="2">
        <f>IFERROR(__xludf.DUMMYFUNCTION("""COMPUTED_VALUE"""),428.67)</f>
        <v>428.67</v>
      </c>
      <c r="D2830" s="2">
        <f>IFERROR(__xludf.DUMMYFUNCTION("""COMPUTED_VALUE"""),421.32)</f>
        <v>421.32</v>
      </c>
      <c r="E2830" s="2">
        <f>IFERROR(__xludf.DUMMYFUNCTION("""COMPUTED_VALUE"""),426.89)</f>
        <v>426.89</v>
      </c>
      <c r="F2830" s="2">
        <f>IFERROR(__xludf.DUMMYFUNCTION("""COMPUTED_VALUE"""),2099451.0)</f>
        <v>2099451</v>
      </c>
    </row>
    <row r="2831">
      <c r="A2831" s="3">
        <f>IFERROR(__xludf.DUMMYFUNCTION("""COMPUTED_VALUE"""),41612.645833333336)</f>
        <v>41612.64583</v>
      </c>
      <c r="B2831" s="2">
        <f>IFERROR(__xludf.DUMMYFUNCTION("""COMPUTED_VALUE"""),426.39)</f>
        <v>426.39</v>
      </c>
      <c r="C2831" s="2">
        <f>IFERROR(__xludf.DUMMYFUNCTION("""COMPUTED_VALUE"""),429.66)</f>
        <v>429.66</v>
      </c>
      <c r="D2831" s="2">
        <f>IFERROR(__xludf.DUMMYFUNCTION("""COMPUTED_VALUE"""),422.58)</f>
        <v>422.58</v>
      </c>
      <c r="E2831" s="2">
        <f>IFERROR(__xludf.DUMMYFUNCTION("""COMPUTED_VALUE"""),423.99)</f>
        <v>423.99</v>
      </c>
      <c r="F2831" s="2">
        <f>IFERROR(__xludf.DUMMYFUNCTION("""COMPUTED_VALUE"""),2002635.0)</f>
        <v>2002635</v>
      </c>
    </row>
    <row r="2832">
      <c r="A2832" s="3">
        <f>IFERROR(__xludf.DUMMYFUNCTION("""COMPUTED_VALUE"""),41613.645833333336)</f>
        <v>41613.64583</v>
      </c>
      <c r="B2832" s="2">
        <f>IFERROR(__xludf.DUMMYFUNCTION("""COMPUTED_VALUE"""),431.89)</f>
        <v>431.89</v>
      </c>
      <c r="C2832" s="2">
        <f>IFERROR(__xludf.DUMMYFUNCTION("""COMPUTED_VALUE"""),434.37)</f>
        <v>434.37</v>
      </c>
      <c r="D2832" s="2">
        <f>IFERROR(__xludf.DUMMYFUNCTION("""COMPUTED_VALUE"""),429.93)</f>
        <v>429.93</v>
      </c>
      <c r="E2832" s="2">
        <f>IFERROR(__xludf.DUMMYFUNCTION("""COMPUTED_VALUE"""),431.39)</f>
        <v>431.39</v>
      </c>
      <c r="F2832" s="2">
        <f>IFERROR(__xludf.DUMMYFUNCTION("""COMPUTED_VALUE"""),2865154.0)</f>
        <v>2865154</v>
      </c>
    </row>
    <row r="2833">
      <c r="A2833" s="3">
        <f>IFERROR(__xludf.DUMMYFUNCTION("""COMPUTED_VALUE"""),41614.645833333336)</f>
        <v>41614.64583</v>
      </c>
      <c r="B2833" s="2">
        <f>IFERROR(__xludf.DUMMYFUNCTION("""COMPUTED_VALUE"""),430.97)</f>
        <v>430.97</v>
      </c>
      <c r="C2833" s="2">
        <f>IFERROR(__xludf.DUMMYFUNCTION("""COMPUTED_VALUE"""),433.2)</f>
        <v>433.2</v>
      </c>
      <c r="D2833" s="2">
        <f>IFERROR(__xludf.DUMMYFUNCTION("""COMPUTED_VALUE"""),426.54)</f>
        <v>426.54</v>
      </c>
      <c r="E2833" s="2">
        <f>IFERROR(__xludf.DUMMYFUNCTION("""COMPUTED_VALUE"""),429.27)</f>
        <v>429.27</v>
      </c>
      <c r="F2833" s="2">
        <f>IFERROR(__xludf.DUMMYFUNCTION("""COMPUTED_VALUE"""),1668901.0)</f>
        <v>1668901</v>
      </c>
    </row>
    <row r="2834">
      <c r="A2834" s="3">
        <f>IFERROR(__xludf.DUMMYFUNCTION("""COMPUTED_VALUE"""),41617.645833333336)</f>
        <v>41617.64583</v>
      </c>
      <c r="B2834" s="2">
        <f>IFERROR(__xludf.DUMMYFUNCTION("""COMPUTED_VALUE"""),436.89)</f>
        <v>436.89</v>
      </c>
      <c r="C2834" s="2">
        <f>IFERROR(__xludf.DUMMYFUNCTION("""COMPUTED_VALUE"""),439.81)</f>
        <v>439.81</v>
      </c>
      <c r="D2834" s="2">
        <f>IFERROR(__xludf.DUMMYFUNCTION("""COMPUTED_VALUE"""),433.97)</f>
        <v>433.97</v>
      </c>
      <c r="E2834" s="2">
        <f>IFERROR(__xludf.DUMMYFUNCTION("""COMPUTED_VALUE"""),435.33)</f>
        <v>435.33</v>
      </c>
      <c r="F2834" s="2">
        <f>IFERROR(__xludf.DUMMYFUNCTION("""COMPUTED_VALUE"""),2904113.0)</f>
        <v>2904113</v>
      </c>
    </row>
    <row r="2835">
      <c r="A2835" s="3">
        <f>IFERROR(__xludf.DUMMYFUNCTION("""COMPUTED_VALUE"""),41618.645833333336)</f>
        <v>41618.64583</v>
      </c>
      <c r="B2835" s="2">
        <f>IFERROR(__xludf.DUMMYFUNCTION("""COMPUTED_VALUE"""),435.11)</f>
        <v>435.11</v>
      </c>
      <c r="C2835" s="2">
        <f>IFERROR(__xludf.DUMMYFUNCTION("""COMPUTED_VALUE"""),440.16)</f>
        <v>440.16</v>
      </c>
      <c r="D2835" s="2">
        <f>IFERROR(__xludf.DUMMYFUNCTION("""COMPUTED_VALUE"""),435.11)</f>
        <v>435.11</v>
      </c>
      <c r="E2835" s="2">
        <f>IFERROR(__xludf.DUMMYFUNCTION("""COMPUTED_VALUE"""),438.16)</f>
        <v>438.16</v>
      </c>
      <c r="F2835" s="2">
        <f>IFERROR(__xludf.DUMMYFUNCTION("""COMPUTED_VALUE"""),1992917.0)</f>
        <v>1992917</v>
      </c>
    </row>
    <row r="2836">
      <c r="A2836" s="3">
        <f>IFERROR(__xludf.DUMMYFUNCTION("""COMPUTED_VALUE"""),41619.645833333336)</f>
        <v>41619.64583</v>
      </c>
      <c r="B2836" s="2">
        <f>IFERROR(__xludf.DUMMYFUNCTION("""COMPUTED_VALUE"""),437.09)</f>
        <v>437.09</v>
      </c>
      <c r="C2836" s="2">
        <f>IFERROR(__xludf.DUMMYFUNCTION("""COMPUTED_VALUE"""),438.3)</f>
        <v>438.3</v>
      </c>
      <c r="D2836" s="2">
        <f>IFERROR(__xludf.DUMMYFUNCTION("""COMPUTED_VALUE"""),432.14)</f>
        <v>432.14</v>
      </c>
      <c r="E2836" s="2">
        <f>IFERROR(__xludf.DUMMYFUNCTION("""COMPUTED_VALUE"""),437.14)</f>
        <v>437.14</v>
      </c>
      <c r="F2836" s="2">
        <f>IFERROR(__xludf.DUMMYFUNCTION("""COMPUTED_VALUE"""),1137789.0)</f>
        <v>1137789</v>
      </c>
    </row>
    <row r="2837">
      <c r="A2837" s="3">
        <f>IFERROR(__xludf.DUMMYFUNCTION("""COMPUTED_VALUE"""),41620.645833333336)</f>
        <v>41620.64583</v>
      </c>
      <c r="B2837" s="2">
        <f>IFERROR(__xludf.DUMMYFUNCTION("""COMPUTED_VALUE"""),434.86)</f>
        <v>434.86</v>
      </c>
      <c r="C2837" s="2">
        <f>IFERROR(__xludf.DUMMYFUNCTION("""COMPUTED_VALUE"""),435.85)</f>
        <v>435.85</v>
      </c>
      <c r="D2837" s="2">
        <f>IFERROR(__xludf.DUMMYFUNCTION("""COMPUTED_VALUE"""),429.91)</f>
        <v>429.91</v>
      </c>
      <c r="E2837" s="2">
        <f>IFERROR(__xludf.DUMMYFUNCTION("""COMPUTED_VALUE"""),431.0)</f>
        <v>431</v>
      </c>
      <c r="F2837" s="2">
        <f>IFERROR(__xludf.DUMMYFUNCTION("""COMPUTED_VALUE"""),1300646.0)</f>
        <v>1300646</v>
      </c>
    </row>
    <row r="2838">
      <c r="A2838" s="3">
        <f>IFERROR(__xludf.DUMMYFUNCTION("""COMPUTED_VALUE"""),41621.645833333336)</f>
        <v>41621.64583</v>
      </c>
      <c r="B2838" s="2">
        <f>IFERROR(__xludf.DUMMYFUNCTION("""COMPUTED_VALUE"""),429.41)</f>
        <v>429.41</v>
      </c>
      <c r="C2838" s="2">
        <f>IFERROR(__xludf.DUMMYFUNCTION("""COMPUTED_VALUE"""),429.96)</f>
        <v>429.96</v>
      </c>
      <c r="D2838" s="2">
        <f>IFERROR(__xludf.DUMMYFUNCTION("""COMPUTED_VALUE"""),424.78)</f>
        <v>424.78</v>
      </c>
      <c r="E2838" s="2">
        <f>IFERROR(__xludf.DUMMYFUNCTION("""COMPUTED_VALUE"""),428.27)</f>
        <v>428.27</v>
      </c>
      <c r="F2838" s="2">
        <f>IFERROR(__xludf.DUMMYFUNCTION("""COMPUTED_VALUE"""),2040359.0)</f>
        <v>2040359</v>
      </c>
    </row>
    <row r="2839">
      <c r="A2839" s="3">
        <f>IFERROR(__xludf.DUMMYFUNCTION("""COMPUTED_VALUE"""),41624.645833333336)</f>
        <v>41624.64583</v>
      </c>
      <c r="B2839" s="2">
        <f>IFERROR(__xludf.DUMMYFUNCTION("""COMPUTED_VALUE"""),425.95)</f>
        <v>425.95</v>
      </c>
      <c r="C2839" s="2">
        <f>IFERROR(__xludf.DUMMYFUNCTION("""COMPUTED_VALUE"""),427.06)</f>
        <v>427.06</v>
      </c>
      <c r="D2839" s="2">
        <f>IFERROR(__xludf.DUMMYFUNCTION("""COMPUTED_VALUE"""),417.63)</f>
        <v>417.63</v>
      </c>
      <c r="E2839" s="2">
        <f>IFERROR(__xludf.DUMMYFUNCTION("""COMPUTED_VALUE"""),418.54)</f>
        <v>418.54</v>
      </c>
      <c r="F2839" s="2">
        <f>IFERROR(__xludf.DUMMYFUNCTION("""COMPUTED_VALUE"""),2296374.0)</f>
        <v>2296374</v>
      </c>
    </row>
    <row r="2840">
      <c r="A2840" s="3">
        <f>IFERROR(__xludf.DUMMYFUNCTION("""COMPUTED_VALUE"""),41625.645833333336)</f>
        <v>41625.64583</v>
      </c>
      <c r="B2840" s="2">
        <f>IFERROR(__xludf.DUMMYFUNCTION("""COMPUTED_VALUE"""),420.35)</f>
        <v>420.35</v>
      </c>
      <c r="C2840" s="2">
        <f>IFERROR(__xludf.DUMMYFUNCTION("""COMPUTED_VALUE"""),422.43)</f>
        <v>422.43</v>
      </c>
      <c r="D2840" s="2">
        <f>IFERROR(__xludf.DUMMYFUNCTION("""COMPUTED_VALUE"""),414.43)</f>
        <v>414.43</v>
      </c>
      <c r="E2840" s="2">
        <f>IFERROR(__xludf.DUMMYFUNCTION("""COMPUTED_VALUE"""),415.64)</f>
        <v>415.64</v>
      </c>
      <c r="F2840" s="2">
        <f>IFERROR(__xludf.DUMMYFUNCTION("""COMPUTED_VALUE"""),2306272.0)</f>
        <v>2306272</v>
      </c>
    </row>
    <row r="2841">
      <c r="A2841" s="3">
        <f>IFERROR(__xludf.DUMMYFUNCTION("""COMPUTED_VALUE"""),41626.645833333336)</f>
        <v>41626.64583</v>
      </c>
      <c r="B2841" s="2">
        <f>IFERROR(__xludf.DUMMYFUNCTION("""COMPUTED_VALUE"""),415.64)</f>
        <v>415.64</v>
      </c>
      <c r="C2841" s="2">
        <f>IFERROR(__xludf.DUMMYFUNCTION("""COMPUTED_VALUE"""),427.85)</f>
        <v>427.85</v>
      </c>
      <c r="D2841" s="2">
        <f>IFERROR(__xludf.DUMMYFUNCTION("""COMPUTED_VALUE"""),415.64)</f>
        <v>415.64</v>
      </c>
      <c r="E2841" s="2">
        <f>IFERROR(__xludf.DUMMYFUNCTION("""COMPUTED_VALUE"""),425.92)</f>
        <v>425.92</v>
      </c>
      <c r="F2841" s="2">
        <f>IFERROR(__xludf.DUMMYFUNCTION("""COMPUTED_VALUE"""),2745251.0)</f>
        <v>2745251</v>
      </c>
    </row>
    <row r="2842">
      <c r="A2842" s="3">
        <f>IFERROR(__xludf.DUMMYFUNCTION("""COMPUTED_VALUE"""),41627.645833333336)</f>
        <v>41627.64583</v>
      </c>
      <c r="B2842" s="2">
        <f>IFERROR(__xludf.DUMMYFUNCTION("""COMPUTED_VALUE"""),428.13)</f>
        <v>428.13</v>
      </c>
      <c r="C2842" s="2">
        <f>IFERROR(__xludf.DUMMYFUNCTION("""COMPUTED_VALUE"""),428.13)</f>
        <v>428.13</v>
      </c>
      <c r="D2842" s="2">
        <f>IFERROR(__xludf.DUMMYFUNCTION("""COMPUTED_VALUE"""),417.87)</f>
        <v>417.87</v>
      </c>
      <c r="E2842" s="2">
        <f>IFERROR(__xludf.DUMMYFUNCTION("""COMPUTED_VALUE"""),423.0)</f>
        <v>423</v>
      </c>
      <c r="F2842" s="2">
        <f>IFERROR(__xludf.DUMMYFUNCTION("""COMPUTED_VALUE"""),3074567.0)</f>
        <v>3074567</v>
      </c>
    </row>
    <row r="2843">
      <c r="A2843" s="3">
        <f>IFERROR(__xludf.DUMMYFUNCTION("""COMPUTED_VALUE"""),41628.645833333336)</f>
        <v>41628.64583</v>
      </c>
      <c r="B2843" s="2">
        <f>IFERROR(__xludf.DUMMYFUNCTION("""COMPUTED_VALUE"""),431.89)</f>
        <v>431.89</v>
      </c>
      <c r="C2843" s="2">
        <f>IFERROR(__xludf.DUMMYFUNCTION("""COMPUTED_VALUE"""),444.77)</f>
        <v>444.77</v>
      </c>
      <c r="D2843" s="2">
        <f>IFERROR(__xludf.DUMMYFUNCTION("""COMPUTED_VALUE"""),426.99)</f>
        <v>426.99</v>
      </c>
      <c r="E2843" s="2">
        <f>IFERROR(__xludf.DUMMYFUNCTION("""COMPUTED_VALUE"""),443.36)</f>
        <v>443.36</v>
      </c>
      <c r="F2843" s="2">
        <f>IFERROR(__xludf.DUMMYFUNCTION("""COMPUTED_VALUE"""),4687926.0)</f>
        <v>4687926</v>
      </c>
    </row>
    <row r="2844">
      <c r="A2844" s="3">
        <f>IFERROR(__xludf.DUMMYFUNCTION("""COMPUTED_VALUE"""),41631.645833333336)</f>
        <v>41631.64583</v>
      </c>
      <c r="B2844" s="2">
        <f>IFERROR(__xludf.DUMMYFUNCTION("""COMPUTED_VALUE"""),445.26)</f>
        <v>445.26</v>
      </c>
      <c r="C2844" s="2">
        <f>IFERROR(__xludf.DUMMYFUNCTION("""COMPUTED_VALUE"""),450.22)</f>
        <v>450.22</v>
      </c>
      <c r="D2844" s="2">
        <f>IFERROR(__xludf.DUMMYFUNCTION("""COMPUTED_VALUE"""),440.81)</f>
        <v>440.81</v>
      </c>
      <c r="E2844" s="2">
        <f>IFERROR(__xludf.DUMMYFUNCTION("""COMPUTED_VALUE"""),443.9)</f>
        <v>443.9</v>
      </c>
      <c r="F2844" s="2">
        <f>IFERROR(__xludf.DUMMYFUNCTION("""COMPUTED_VALUE"""),3701213.0)</f>
        <v>3701213</v>
      </c>
    </row>
    <row r="2845">
      <c r="A2845" s="3">
        <f>IFERROR(__xludf.DUMMYFUNCTION("""COMPUTED_VALUE"""),41632.645833333336)</f>
        <v>41632.64583</v>
      </c>
      <c r="B2845" s="2">
        <f>IFERROR(__xludf.DUMMYFUNCTION("""COMPUTED_VALUE"""),444.02)</f>
        <v>444.02</v>
      </c>
      <c r="C2845" s="2">
        <f>IFERROR(__xludf.DUMMYFUNCTION("""COMPUTED_VALUE"""),448.23)</f>
        <v>448.23</v>
      </c>
      <c r="D2845" s="2">
        <f>IFERROR(__xludf.DUMMYFUNCTION("""COMPUTED_VALUE"""),443.33)</f>
        <v>443.33</v>
      </c>
      <c r="E2845" s="2">
        <f>IFERROR(__xludf.DUMMYFUNCTION("""COMPUTED_VALUE"""),444.79)</f>
        <v>444.79</v>
      </c>
      <c r="F2845" s="2">
        <f>IFERROR(__xludf.DUMMYFUNCTION("""COMPUTED_VALUE"""),1670206.0)</f>
        <v>1670206</v>
      </c>
    </row>
    <row r="2846">
      <c r="A2846" s="3">
        <f>IFERROR(__xludf.DUMMYFUNCTION("""COMPUTED_VALUE"""),41634.645833333336)</f>
        <v>41634.64583</v>
      </c>
      <c r="B2846" s="2">
        <f>IFERROR(__xludf.DUMMYFUNCTION("""COMPUTED_VALUE"""),443.03)</f>
        <v>443.03</v>
      </c>
      <c r="C2846" s="2">
        <f>IFERROR(__xludf.DUMMYFUNCTION("""COMPUTED_VALUE"""),445.76)</f>
        <v>445.76</v>
      </c>
      <c r="D2846" s="2">
        <f>IFERROR(__xludf.DUMMYFUNCTION("""COMPUTED_VALUE"""),436.89)</f>
        <v>436.89</v>
      </c>
      <c r="E2846" s="2">
        <f>IFERROR(__xludf.DUMMYFUNCTION("""COMPUTED_VALUE"""),439.59)</f>
        <v>439.59</v>
      </c>
      <c r="F2846" s="2">
        <f>IFERROR(__xludf.DUMMYFUNCTION("""COMPUTED_VALUE"""),3341856.0)</f>
        <v>3341856</v>
      </c>
    </row>
    <row r="2847">
      <c r="A2847" s="3">
        <f>IFERROR(__xludf.DUMMYFUNCTION("""COMPUTED_VALUE"""),41635.645833333336)</f>
        <v>41635.64583</v>
      </c>
      <c r="B2847" s="2">
        <f>IFERROR(__xludf.DUMMYFUNCTION("""COMPUTED_VALUE"""),440.11)</f>
        <v>440.11</v>
      </c>
      <c r="C2847" s="2">
        <f>IFERROR(__xludf.DUMMYFUNCTION("""COMPUTED_VALUE"""),442.74)</f>
        <v>442.74</v>
      </c>
      <c r="D2847" s="2">
        <f>IFERROR(__xludf.DUMMYFUNCTION("""COMPUTED_VALUE"""),434.32)</f>
        <v>434.32</v>
      </c>
      <c r="E2847" s="2">
        <f>IFERROR(__xludf.DUMMYFUNCTION("""COMPUTED_VALUE"""),435.28)</f>
        <v>435.28</v>
      </c>
      <c r="F2847" s="2">
        <f>IFERROR(__xludf.DUMMYFUNCTION("""COMPUTED_VALUE"""),1770277.0)</f>
        <v>1770277</v>
      </c>
    </row>
    <row r="2848">
      <c r="A2848" s="3">
        <f>IFERROR(__xludf.DUMMYFUNCTION("""COMPUTED_VALUE"""),41638.645833333336)</f>
        <v>41638.64583</v>
      </c>
      <c r="B2848" s="2">
        <f>IFERROR(__xludf.DUMMYFUNCTION("""COMPUTED_VALUE"""),436.35)</f>
        <v>436.35</v>
      </c>
      <c r="C2848" s="2">
        <f>IFERROR(__xludf.DUMMYFUNCTION("""COMPUTED_VALUE"""),440.73)</f>
        <v>440.73</v>
      </c>
      <c r="D2848" s="2">
        <f>IFERROR(__xludf.DUMMYFUNCTION("""COMPUTED_VALUE"""),433.8)</f>
        <v>433.8</v>
      </c>
      <c r="E2848" s="2">
        <f>IFERROR(__xludf.DUMMYFUNCTION("""COMPUTED_VALUE"""),439.37)</f>
        <v>439.37</v>
      </c>
      <c r="F2848" s="2">
        <f>IFERROR(__xludf.DUMMYFUNCTION("""COMPUTED_VALUE"""),2357956.0)</f>
        <v>2357956</v>
      </c>
    </row>
    <row r="2849">
      <c r="A2849" s="3">
        <f>IFERROR(__xludf.DUMMYFUNCTION("""COMPUTED_VALUE"""),41639.645833333336)</f>
        <v>41639.64583</v>
      </c>
      <c r="B2849" s="2">
        <f>IFERROR(__xludf.DUMMYFUNCTION("""COMPUTED_VALUE"""),439.81)</f>
        <v>439.81</v>
      </c>
      <c r="C2849" s="2">
        <f>IFERROR(__xludf.DUMMYFUNCTION("""COMPUTED_VALUE"""),444.89)</f>
        <v>444.89</v>
      </c>
      <c r="D2849" s="2">
        <f>IFERROR(__xludf.DUMMYFUNCTION("""COMPUTED_VALUE"""),439.37)</f>
        <v>439.37</v>
      </c>
      <c r="E2849" s="2">
        <f>IFERROR(__xludf.DUMMYFUNCTION("""COMPUTED_VALUE"""),443.38)</f>
        <v>443.38</v>
      </c>
      <c r="F2849" s="2">
        <f>IFERROR(__xludf.DUMMYFUNCTION("""COMPUTED_VALUE"""),1304298.0)</f>
        <v>1304298</v>
      </c>
    </row>
    <row r="2850">
      <c r="A2850" s="3">
        <f>IFERROR(__xludf.DUMMYFUNCTION("""COMPUTED_VALUE"""),41640.645833333336)</f>
        <v>41640.64583</v>
      </c>
      <c r="B2850" s="2">
        <f>IFERROR(__xludf.DUMMYFUNCTION("""COMPUTED_VALUE"""),444.5)</f>
        <v>444.5</v>
      </c>
      <c r="C2850" s="2">
        <f>IFERROR(__xludf.DUMMYFUNCTION("""COMPUTED_VALUE"""),444.89)</f>
        <v>444.89</v>
      </c>
      <c r="D2850" s="2">
        <f>IFERROR(__xludf.DUMMYFUNCTION("""COMPUTED_VALUE"""),439.62)</f>
        <v>439.62</v>
      </c>
      <c r="E2850" s="2">
        <f>IFERROR(__xludf.DUMMYFUNCTION("""COMPUTED_VALUE"""),440.21)</f>
        <v>440.21</v>
      </c>
      <c r="F2850" s="2">
        <f>IFERROR(__xludf.DUMMYFUNCTION("""COMPUTED_VALUE"""),1337074.0)</f>
        <v>1337074</v>
      </c>
    </row>
    <row r="2851">
      <c r="A2851" s="3">
        <f>IFERROR(__xludf.DUMMYFUNCTION("""COMPUTED_VALUE"""),41641.645833333336)</f>
        <v>41641.64583</v>
      </c>
      <c r="B2851" s="2">
        <f>IFERROR(__xludf.DUMMYFUNCTION("""COMPUTED_VALUE"""),439.67)</f>
        <v>439.67</v>
      </c>
      <c r="C2851" s="2">
        <f>IFERROR(__xludf.DUMMYFUNCTION("""COMPUTED_VALUE"""),443.78)</f>
        <v>443.78</v>
      </c>
      <c r="D2851" s="2">
        <f>IFERROR(__xludf.DUMMYFUNCTION("""COMPUTED_VALUE"""),430.95)</f>
        <v>430.95</v>
      </c>
      <c r="E2851" s="2">
        <f>IFERROR(__xludf.DUMMYFUNCTION("""COMPUTED_VALUE"""),433.38)</f>
        <v>433.38</v>
      </c>
      <c r="F2851" s="2">
        <f>IFERROR(__xludf.DUMMYFUNCTION("""COMPUTED_VALUE"""),1376901.0)</f>
        <v>1376901</v>
      </c>
    </row>
    <row r="2852">
      <c r="A2852" s="3">
        <f>IFERROR(__xludf.DUMMYFUNCTION("""COMPUTED_VALUE"""),41642.645833333336)</f>
        <v>41642.64583</v>
      </c>
      <c r="B2852" s="2">
        <f>IFERROR(__xludf.DUMMYFUNCTION("""COMPUTED_VALUE"""),431.69)</f>
        <v>431.69</v>
      </c>
      <c r="C2852" s="2">
        <f>IFERROR(__xludf.DUMMYFUNCTION("""COMPUTED_VALUE"""),432.56)</f>
        <v>432.56</v>
      </c>
      <c r="D2852" s="2">
        <f>IFERROR(__xludf.DUMMYFUNCTION("""COMPUTED_VALUE"""),423.47)</f>
        <v>423.47</v>
      </c>
      <c r="E2852" s="2">
        <f>IFERROR(__xludf.DUMMYFUNCTION("""COMPUTED_VALUE"""),428.05)</f>
        <v>428.05</v>
      </c>
      <c r="F2852" s="2">
        <f>IFERROR(__xludf.DUMMYFUNCTION("""COMPUTED_VALUE"""),2933613.0)</f>
        <v>2933613</v>
      </c>
    </row>
    <row r="2853">
      <c r="A2853" s="3">
        <f>IFERROR(__xludf.DUMMYFUNCTION("""COMPUTED_VALUE"""),41645.645833333336)</f>
        <v>41645.64583</v>
      </c>
      <c r="B2853" s="2">
        <f>IFERROR(__xludf.DUMMYFUNCTION("""COMPUTED_VALUE"""),426.99)</f>
        <v>426.99</v>
      </c>
      <c r="C2853" s="2">
        <f>IFERROR(__xludf.DUMMYFUNCTION("""COMPUTED_VALUE"""),427.56)</f>
        <v>427.56</v>
      </c>
      <c r="D2853" s="2">
        <f>IFERROR(__xludf.DUMMYFUNCTION("""COMPUTED_VALUE"""),420.99)</f>
        <v>420.99</v>
      </c>
      <c r="E2853" s="2">
        <f>IFERROR(__xludf.DUMMYFUNCTION("""COMPUTED_VALUE"""),423.45)</f>
        <v>423.45</v>
      </c>
      <c r="F2853" s="2">
        <f>IFERROR(__xludf.DUMMYFUNCTION("""COMPUTED_VALUE"""),3043781.0)</f>
        <v>3043781</v>
      </c>
    </row>
    <row r="2854">
      <c r="A2854" s="3">
        <f>IFERROR(__xludf.DUMMYFUNCTION("""COMPUTED_VALUE"""),41646.645833333336)</f>
        <v>41646.64583</v>
      </c>
      <c r="B2854" s="2">
        <f>IFERROR(__xludf.DUMMYFUNCTION("""COMPUTED_VALUE"""),423.27)</f>
        <v>423.27</v>
      </c>
      <c r="C2854" s="2">
        <f>IFERROR(__xludf.DUMMYFUNCTION("""COMPUTED_VALUE"""),425.92)</f>
        <v>425.92</v>
      </c>
      <c r="D2854" s="2">
        <f>IFERROR(__xludf.DUMMYFUNCTION("""COMPUTED_VALUE"""),416.07)</f>
        <v>416.07</v>
      </c>
      <c r="E2854" s="2">
        <f>IFERROR(__xludf.DUMMYFUNCTION("""COMPUTED_VALUE"""),417.08)</f>
        <v>417.08</v>
      </c>
      <c r="F2854" s="2">
        <f>IFERROR(__xludf.DUMMYFUNCTION("""COMPUTED_VALUE"""),3957111.0)</f>
        <v>3957111</v>
      </c>
    </row>
    <row r="2855">
      <c r="A2855" s="3">
        <f>IFERROR(__xludf.DUMMYFUNCTION("""COMPUTED_VALUE"""),41647.645833333336)</f>
        <v>41647.64583</v>
      </c>
      <c r="B2855" s="2">
        <f>IFERROR(__xludf.DUMMYFUNCTION("""COMPUTED_VALUE"""),418.22)</f>
        <v>418.22</v>
      </c>
      <c r="C2855" s="2">
        <f>IFERROR(__xludf.DUMMYFUNCTION("""COMPUTED_VALUE"""),424.63)</f>
        <v>424.63</v>
      </c>
      <c r="D2855" s="2">
        <f>IFERROR(__xludf.DUMMYFUNCTION("""COMPUTED_VALUE"""),418.22)</f>
        <v>418.22</v>
      </c>
      <c r="E2855" s="2">
        <f>IFERROR(__xludf.DUMMYFUNCTION("""COMPUTED_VALUE"""),420.52)</f>
        <v>420.52</v>
      </c>
      <c r="F2855" s="2">
        <f>IFERROR(__xludf.DUMMYFUNCTION("""COMPUTED_VALUE"""),2909048.0)</f>
        <v>2909048</v>
      </c>
    </row>
    <row r="2856">
      <c r="A2856" s="3">
        <f>IFERROR(__xludf.DUMMYFUNCTION("""COMPUTED_VALUE"""),41648.645833333336)</f>
        <v>41648.64583</v>
      </c>
      <c r="B2856" s="2">
        <f>IFERROR(__xludf.DUMMYFUNCTION("""COMPUTED_VALUE"""),421.22)</f>
        <v>421.22</v>
      </c>
      <c r="C2856" s="2">
        <f>IFERROR(__xludf.DUMMYFUNCTION("""COMPUTED_VALUE"""),422.88)</f>
        <v>422.88</v>
      </c>
      <c r="D2856" s="2">
        <f>IFERROR(__xludf.DUMMYFUNCTION("""COMPUTED_VALUE"""),418.54)</f>
        <v>418.54</v>
      </c>
      <c r="E2856" s="2">
        <f>IFERROR(__xludf.DUMMYFUNCTION("""COMPUTED_VALUE"""),421.34)</f>
        <v>421.34</v>
      </c>
      <c r="F2856" s="2">
        <f>IFERROR(__xludf.DUMMYFUNCTION("""COMPUTED_VALUE"""),1899340.0)</f>
        <v>1899340</v>
      </c>
    </row>
    <row r="2857">
      <c r="A2857" s="3">
        <f>IFERROR(__xludf.DUMMYFUNCTION("""COMPUTED_VALUE"""),41649.645833333336)</f>
        <v>41649.64583</v>
      </c>
      <c r="B2857" s="2">
        <f>IFERROR(__xludf.DUMMYFUNCTION("""COMPUTED_VALUE"""),420.18)</f>
        <v>420.18</v>
      </c>
      <c r="C2857" s="2">
        <f>IFERROR(__xludf.DUMMYFUNCTION("""COMPUTED_VALUE"""),434.02)</f>
        <v>434.02</v>
      </c>
      <c r="D2857" s="2">
        <f>IFERROR(__xludf.DUMMYFUNCTION("""COMPUTED_VALUE"""),420.0)</f>
        <v>420</v>
      </c>
      <c r="E2857" s="2">
        <f>IFERROR(__xludf.DUMMYFUNCTION("""COMPUTED_VALUE"""),425.03)</f>
        <v>425.03</v>
      </c>
      <c r="F2857" s="2">
        <f>IFERROR(__xludf.DUMMYFUNCTION("""COMPUTED_VALUE"""),3392170.0)</f>
        <v>3392170</v>
      </c>
    </row>
    <row r="2858">
      <c r="A2858" s="3">
        <f>IFERROR(__xludf.DUMMYFUNCTION("""COMPUTED_VALUE"""),41652.645833333336)</f>
        <v>41652.64583</v>
      </c>
      <c r="B2858" s="2">
        <f>IFERROR(__xludf.DUMMYFUNCTION("""COMPUTED_VALUE"""),430.03)</f>
        <v>430.03</v>
      </c>
      <c r="C2858" s="2">
        <f>IFERROR(__xludf.DUMMYFUNCTION("""COMPUTED_VALUE"""),437.34)</f>
        <v>437.34</v>
      </c>
      <c r="D2858" s="2">
        <f>IFERROR(__xludf.DUMMYFUNCTION("""COMPUTED_VALUE"""),429.91)</f>
        <v>429.91</v>
      </c>
      <c r="E2858" s="2">
        <f>IFERROR(__xludf.DUMMYFUNCTION("""COMPUTED_VALUE"""),436.05)</f>
        <v>436.05</v>
      </c>
      <c r="F2858" s="2">
        <f>IFERROR(__xludf.DUMMYFUNCTION("""COMPUTED_VALUE"""),2756390.0)</f>
        <v>2756390</v>
      </c>
    </row>
    <row r="2859">
      <c r="A2859" s="3">
        <f>IFERROR(__xludf.DUMMYFUNCTION("""COMPUTED_VALUE"""),41653.645833333336)</f>
        <v>41653.64583</v>
      </c>
      <c r="B2859" s="2">
        <f>IFERROR(__xludf.DUMMYFUNCTION("""COMPUTED_VALUE"""),435.11)</f>
        <v>435.11</v>
      </c>
      <c r="C2859" s="2">
        <f>IFERROR(__xludf.DUMMYFUNCTION("""COMPUTED_VALUE"""),438.11)</f>
        <v>438.11</v>
      </c>
      <c r="D2859" s="2">
        <f>IFERROR(__xludf.DUMMYFUNCTION("""COMPUTED_VALUE"""),432.11)</f>
        <v>432.11</v>
      </c>
      <c r="E2859" s="2">
        <f>IFERROR(__xludf.DUMMYFUNCTION("""COMPUTED_VALUE"""),436.6)</f>
        <v>436.6</v>
      </c>
      <c r="F2859" s="2">
        <f>IFERROR(__xludf.DUMMYFUNCTION("""COMPUTED_VALUE"""),2760267.0)</f>
        <v>2760267</v>
      </c>
    </row>
    <row r="2860">
      <c r="A2860" s="3">
        <f>IFERROR(__xludf.DUMMYFUNCTION("""COMPUTED_VALUE"""),41654.645833333336)</f>
        <v>41654.64583</v>
      </c>
      <c r="B2860" s="2">
        <f>IFERROR(__xludf.DUMMYFUNCTION("""COMPUTED_VALUE"""),438.18)</f>
        <v>438.18</v>
      </c>
      <c r="C2860" s="2">
        <f>IFERROR(__xludf.DUMMYFUNCTION("""COMPUTED_VALUE"""),443.28)</f>
        <v>443.28</v>
      </c>
      <c r="D2860" s="2">
        <f>IFERROR(__xludf.DUMMYFUNCTION("""COMPUTED_VALUE"""),436.35)</f>
        <v>436.35</v>
      </c>
      <c r="E2860" s="2">
        <f>IFERROR(__xludf.DUMMYFUNCTION("""COMPUTED_VALUE"""),438.55)</f>
        <v>438.55</v>
      </c>
      <c r="F2860" s="2">
        <f>IFERROR(__xludf.DUMMYFUNCTION("""COMPUTED_VALUE"""),2893960.0)</f>
        <v>2893960</v>
      </c>
    </row>
    <row r="2861">
      <c r="A2861" s="3">
        <f>IFERROR(__xludf.DUMMYFUNCTION("""COMPUTED_VALUE"""),41655.645833333336)</f>
        <v>41655.64583</v>
      </c>
      <c r="B2861" s="2">
        <f>IFERROR(__xludf.DUMMYFUNCTION("""COMPUTED_VALUE"""),440.16)</f>
        <v>440.16</v>
      </c>
      <c r="C2861" s="2">
        <f>IFERROR(__xludf.DUMMYFUNCTION("""COMPUTED_VALUE"""),442.44)</f>
        <v>442.44</v>
      </c>
      <c r="D2861" s="2">
        <f>IFERROR(__xludf.DUMMYFUNCTION("""COMPUTED_VALUE"""),436.87)</f>
        <v>436.87</v>
      </c>
      <c r="E2861" s="2">
        <f>IFERROR(__xludf.DUMMYFUNCTION("""COMPUTED_VALUE"""),438.9)</f>
        <v>438.9</v>
      </c>
      <c r="F2861" s="2">
        <f>IFERROR(__xludf.DUMMYFUNCTION("""COMPUTED_VALUE"""),4123266.0)</f>
        <v>4123266</v>
      </c>
    </row>
    <row r="2862">
      <c r="A2862" s="3">
        <f>IFERROR(__xludf.DUMMYFUNCTION("""COMPUTED_VALUE"""),41656.645833333336)</f>
        <v>41656.64583</v>
      </c>
      <c r="B2862" s="2">
        <f>IFERROR(__xludf.DUMMYFUNCTION("""COMPUTED_VALUE"""),440.38)</f>
        <v>440.38</v>
      </c>
      <c r="C2862" s="2">
        <f>IFERROR(__xludf.DUMMYFUNCTION("""COMPUTED_VALUE"""),444.22)</f>
        <v>444.22</v>
      </c>
      <c r="D2862" s="2">
        <f>IFERROR(__xludf.DUMMYFUNCTION("""COMPUTED_VALUE"""),435.98)</f>
        <v>435.98</v>
      </c>
      <c r="E2862" s="2">
        <f>IFERROR(__xludf.DUMMYFUNCTION("""COMPUTED_VALUE"""),438.21)</f>
        <v>438.21</v>
      </c>
      <c r="F2862" s="2">
        <f>IFERROR(__xludf.DUMMYFUNCTION("""COMPUTED_VALUE"""),3534630.0)</f>
        <v>3534630</v>
      </c>
    </row>
    <row r="2863">
      <c r="A2863" s="3">
        <f>IFERROR(__xludf.DUMMYFUNCTION("""COMPUTED_VALUE"""),41659.645833333336)</f>
        <v>41659.64583</v>
      </c>
      <c r="B2863" s="2">
        <f>IFERROR(__xludf.DUMMYFUNCTION("""COMPUTED_VALUE"""),439.27)</f>
        <v>439.27</v>
      </c>
      <c r="C2863" s="2">
        <f>IFERROR(__xludf.DUMMYFUNCTION("""COMPUTED_VALUE"""),440.31)</f>
        <v>440.31</v>
      </c>
      <c r="D2863" s="2">
        <f>IFERROR(__xludf.DUMMYFUNCTION("""COMPUTED_VALUE"""),428.97)</f>
        <v>428.97</v>
      </c>
      <c r="E2863" s="2">
        <f>IFERROR(__xludf.DUMMYFUNCTION("""COMPUTED_VALUE"""),430.78)</f>
        <v>430.78</v>
      </c>
      <c r="F2863" s="2">
        <f>IFERROR(__xludf.DUMMYFUNCTION("""COMPUTED_VALUE"""),3789008.0)</f>
        <v>3789008</v>
      </c>
    </row>
    <row r="2864">
      <c r="A2864" s="3">
        <f>IFERROR(__xludf.DUMMYFUNCTION("""COMPUTED_VALUE"""),41660.645833333336)</f>
        <v>41660.64583</v>
      </c>
      <c r="B2864" s="2">
        <f>IFERROR(__xludf.DUMMYFUNCTION("""COMPUTED_VALUE"""),432.21)</f>
        <v>432.21</v>
      </c>
      <c r="C2864" s="2">
        <f>IFERROR(__xludf.DUMMYFUNCTION("""COMPUTED_VALUE"""),432.68)</f>
        <v>432.68</v>
      </c>
      <c r="D2864" s="2">
        <f>IFERROR(__xludf.DUMMYFUNCTION("""COMPUTED_VALUE"""),426.94)</f>
        <v>426.94</v>
      </c>
      <c r="E2864" s="2">
        <f>IFERROR(__xludf.DUMMYFUNCTION("""COMPUTED_VALUE"""),427.46)</f>
        <v>427.46</v>
      </c>
      <c r="F2864" s="2">
        <f>IFERROR(__xludf.DUMMYFUNCTION("""COMPUTED_VALUE"""),2241570.0)</f>
        <v>2241570</v>
      </c>
    </row>
    <row r="2865">
      <c r="A2865" s="3">
        <f>IFERROR(__xludf.DUMMYFUNCTION("""COMPUTED_VALUE"""),41661.645833333336)</f>
        <v>41661.64583</v>
      </c>
      <c r="B2865" s="2">
        <f>IFERROR(__xludf.DUMMYFUNCTION("""COMPUTED_VALUE"""),427.68)</f>
        <v>427.68</v>
      </c>
      <c r="C2865" s="2">
        <f>IFERROR(__xludf.DUMMYFUNCTION("""COMPUTED_VALUE"""),433.55)</f>
        <v>433.55</v>
      </c>
      <c r="D2865" s="2">
        <f>IFERROR(__xludf.DUMMYFUNCTION("""COMPUTED_VALUE"""),425.03)</f>
        <v>425.03</v>
      </c>
      <c r="E2865" s="2">
        <f>IFERROR(__xludf.DUMMYFUNCTION("""COMPUTED_VALUE"""),432.11)</f>
        <v>432.11</v>
      </c>
      <c r="F2865" s="2">
        <f>IFERROR(__xludf.DUMMYFUNCTION("""COMPUTED_VALUE"""),1947009.0)</f>
        <v>1947009</v>
      </c>
    </row>
    <row r="2866">
      <c r="A2866" s="3">
        <f>IFERROR(__xludf.DUMMYFUNCTION("""COMPUTED_VALUE"""),41662.645833333336)</f>
        <v>41662.64583</v>
      </c>
      <c r="B2866" s="2">
        <f>IFERROR(__xludf.DUMMYFUNCTION("""COMPUTED_VALUE"""),426.24)</f>
        <v>426.24</v>
      </c>
      <c r="C2866" s="2">
        <f>IFERROR(__xludf.DUMMYFUNCTION("""COMPUTED_VALUE"""),431.54)</f>
        <v>431.54</v>
      </c>
      <c r="D2866" s="2">
        <f>IFERROR(__xludf.DUMMYFUNCTION("""COMPUTED_VALUE"""),426.24)</f>
        <v>426.24</v>
      </c>
      <c r="E2866" s="2">
        <f>IFERROR(__xludf.DUMMYFUNCTION("""COMPUTED_VALUE"""),428.82)</f>
        <v>428.82</v>
      </c>
      <c r="F2866" s="2">
        <f>IFERROR(__xludf.DUMMYFUNCTION("""COMPUTED_VALUE"""),3146981.0)</f>
        <v>3146981</v>
      </c>
    </row>
    <row r="2867">
      <c r="A2867" s="3">
        <f>IFERROR(__xludf.DUMMYFUNCTION("""COMPUTED_VALUE"""),41663.645833333336)</f>
        <v>41663.64583</v>
      </c>
      <c r="B2867" s="2">
        <f>IFERROR(__xludf.DUMMYFUNCTION("""COMPUTED_VALUE"""),426.94)</f>
        <v>426.94</v>
      </c>
      <c r="C2867" s="2">
        <f>IFERROR(__xludf.DUMMYFUNCTION("""COMPUTED_VALUE"""),433.2)</f>
        <v>433.2</v>
      </c>
      <c r="D2867" s="2">
        <f>IFERROR(__xludf.DUMMYFUNCTION("""COMPUTED_VALUE"""),426.49)</f>
        <v>426.49</v>
      </c>
      <c r="E2867" s="2">
        <f>IFERROR(__xludf.DUMMYFUNCTION("""COMPUTED_VALUE"""),429.74)</f>
        <v>429.74</v>
      </c>
      <c r="F2867" s="2">
        <f>IFERROR(__xludf.DUMMYFUNCTION("""COMPUTED_VALUE"""),2715344.0)</f>
        <v>2715344</v>
      </c>
    </row>
    <row r="2868">
      <c r="A2868" s="3">
        <f>IFERROR(__xludf.DUMMYFUNCTION("""COMPUTED_VALUE"""),41666.645833333336)</f>
        <v>41666.64583</v>
      </c>
      <c r="B2868" s="2">
        <f>IFERROR(__xludf.DUMMYFUNCTION("""COMPUTED_VALUE"""),423.97)</f>
        <v>423.97</v>
      </c>
      <c r="C2868" s="2">
        <f>IFERROR(__xludf.DUMMYFUNCTION("""COMPUTED_VALUE"""),426.34)</f>
        <v>426.34</v>
      </c>
      <c r="D2868" s="2">
        <f>IFERROR(__xludf.DUMMYFUNCTION("""COMPUTED_VALUE"""),416.21)</f>
        <v>416.21</v>
      </c>
      <c r="E2868" s="2">
        <f>IFERROR(__xludf.DUMMYFUNCTION("""COMPUTED_VALUE"""),417.6)</f>
        <v>417.6</v>
      </c>
      <c r="F2868" s="2">
        <f>IFERROR(__xludf.DUMMYFUNCTION("""COMPUTED_VALUE"""),2822051.0)</f>
        <v>2822051</v>
      </c>
    </row>
    <row r="2869">
      <c r="A2869" s="3">
        <f>IFERROR(__xludf.DUMMYFUNCTION("""COMPUTED_VALUE"""),41667.645833333336)</f>
        <v>41667.64583</v>
      </c>
      <c r="B2869" s="2">
        <f>IFERROR(__xludf.DUMMYFUNCTION("""COMPUTED_VALUE"""),419.51)</f>
        <v>419.51</v>
      </c>
      <c r="C2869" s="2">
        <f>IFERROR(__xludf.DUMMYFUNCTION("""COMPUTED_VALUE"""),423.97)</f>
        <v>423.97</v>
      </c>
      <c r="D2869" s="2">
        <f>IFERROR(__xludf.DUMMYFUNCTION("""COMPUTED_VALUE"""),417.38)</f>
        <v>417.38</v>
      </c>
      <c r="E2869" s="2">
        <f>IFERROR(__xludf.DUMMYFUNCTION("""COMPUTED_VALUE"""),418.44)</f>
        <v>418.44</v>
      </c>
      <c r="F2869" s="2">
        <f>IFERROR(__xludf.DUMMYFUNCTION("""COMPUTED_VALUE"""),2645575.0)</f>
        <v>2645575</v>
      </c>
    </row>
    <row r="2870">
      <c r="A2870" s="3">
        <f>IFERROR(__xludf.DUMMYFUNCTION("""COMPUTED_VALUE"""),41668.645833333336)</f>
        <v>41668.64583</v>
      </c>
      <c r="B2870" s="2">
        <f>IFERROR(__xludf.DUMMYFUNCTION("""COMPUTED_VALUE"""),420.89)</f>
        <v>420.89</v>
      </c>
      <c r="C2870" s="2">
        <f>IFERROR(__xludf.DUMMYFUNCTION("""COMPUTED_VALUE"""),422.23)</f>
        <v>422.23</v>
      </c>
      <c r="D2870" s="2">
        <f>IFERROR(__xludf.DUMMYFUNCTION("""COMPUTED_VALUE"""),413.56)</f>
        <v>413.56</v>
      </c>
      <c r="E2870" s="2">
        <f>IFERROR(__xludf.DUMMYFUNCTION("""COMPUTED_VALUE"""),414.36)</f>
        <v>414.36</v>
      </c>
      <c r="F2870" s="2">
        <f>IFERROR(__xludf.DUMMYFUNCTION("""COMPUTED_VALUE"""),2828526.0)</f>
        <v>2828526</v>
      </c>
    </row>
    <row r="2871">
      <c r="A2871" s="3">
        <f>IFERROR(__xludf.DUMMYFUNCTION("""COMPUTED_VALUE"""),41669.645833333336)</f>
        <v>41669.64583</v>
      </c>
      <c r="B2871" s="2">
        <f>IFERROR(__xludf.DUMMYFUNCTION("""COMPUTED_VALUE"""),411.78)</f>
        <v>411.78</v>
      </c>
      <c r="C2871" s="2">
        <f>IFERROR(__xludf.DUMMYFUNCTION("""COMPUTED_VALUE"""),412.99)</f>
        <v>412.99</v>
      </c>
      <c r="D2871" s="2">
        <f>IFERROR(__xludf.DUMMYFUNCTION("""COMPUTED_VALUE"""),407.22)</f>
        <v>407.22</v>
      </c>
      <c r="E2871" s="2">
        <f>IFERROR(__xludf.DUMMYFUNCTION("""COMPUTED_VALUE"""),408.61)</f>
        <v>408.61</v>
      </c>
      <c r="F2871" s="2">
        <f>IFERROR(__xludf.DUMMYFUNCTION("""COMPUTED_VALUE"""),3223490.0)</f>
        <v>3223490</v>
      </c>
    </row>
    <row r="2872">
      <c r="A2872" s="3">
        <f>IFERROR(__xludf.DUMMYFUNCTION("""COMPUTED_VALUE"""),41670.645833333336)</f>
        <v>41670.64583</v>
      </c>
      <c r="B2872" s="2">
        <f>IFERROR(__xludf.DUMMYFUNCTION("""COMPUTED_VALUE"""),409.6)</f>
        <v>409.6</v>
      </c>
      <c r="C2872" s="2">
        <f>IFERROR(__xludf.DUMMYFUNCTION("""COMPUTED_VALUE"""),412.8)</f>
        <v>412.8</v>
      </c>
      <c r="D2872" s="2">
        <f>IFERROR(__xludf.DUMMYFUNCTION("""COMPUTED_VALUE"""),409.18)</f>
        <v>409.18</v>
      </c>
      <c r="E2872" s="2">
        <f>IFERROR(__xludf.DUMMYFUNCTION("""COMPUTED_VALUE"""),411.66)</f>
        <v>411.66</v>
      </c>
      <c r="F2872" s="2">
        <f>IFERROR(__xludf.DUMMYFUNCTION("""COMPUTED_VALUE"""),2523182.0)</f>
        <v>2523182</v>
      </c>
    </row>
    <row r="2873">
      <c r="A2873" s="3">
        <f>IFERROR(__xludf.DUMMYFUNCTION("""COMPUTED_VALUE"""),41673.645833333336)</f>
        <v>41673.64583</v>
      </c>
      <c r="B2873" s="2">
        <f>IFERROR(__xludf.DUMMYFUNCTION("""COMPUTED_VALUE"""),409.21)</f>
        <v>409.21</v>
      </c>
      <c r="C2873" s="2">
        <f>IFERROR(__xludf.DUMMYFUNCTION("""COMPUTED_VALUE"""),410.99)</f>
        <v>410.99</v>
      </c>
      <c r="D2873" s="2">
        <f>IFERROR(__xludf.DUMMYFUNCTION("""COMPUTED_VALUE"""),405.86)</f>
        <v>405.86</v>
      </c>
      <c r="E2873" s="2">
        <f>IFERROR(__xludf.DUMMYFUNCTION("""COMPUTED_VALUE"""),406.58)</f>
        <v>406.58</v>
      </c>
      <c r="F2873" s="2">
        <f>IFERROR(__xludf.DUMMYFUNCTION("""COMPUTED_VALUE"""),1880728.0)</f>
        <v>1880728</v>
      </c>
    </row>
    <row r="2874">
      <c r="A2874" s="3">
        <f>IFERROR(__xludf.DUMMYFUNCTION("""COMPUTED_VALUE"""),41674.645833333336)</f>
        <v>41674.64583</v>
      </c>
      <c r="B2874" s="2">
        <f>IFERROR(__xludf.DUMMYFUNCTION("""COMPUTED_VALUE"""),403.41)</f>
        <v>403.41</v>
      </c>
      <c r="C2874" s="2">
        <f>IFERROR(__xludf.DUMMYFUNCTION("""COMPUTED_VALUE"""),409.43)</f>
        <v>409.43</v>
      </c>
      <c r="D2874" s="2">
        <f>IFERROR(__xludf.DUMMYFUNCTION("""COMPUTED_VALUE"""),402.74)</f>
        <v>402.74</v>
      </c>
      <c r="E2874" s="2">
        <f>IFERROR(__xludf.DUMMYFUNCTION("""COMPUTED_VALUE"""),406.9)</f>
        <v>406.9</v>
      </c>
      <c r="F2874" s="2">
        <f>IFERROR(__xludf.DUMMYFUNCTION("""COMPUTED_VALUE"""),2825803.0)</f>
        <v>2825803</v>
      </c>
    </row>
    <row r="2875">
      <c r="A2875" s="3">
        <f>IFERROR(__xludf.DUMMYFUNCTION("""COMPUTED_VALUE"""),41675.645833333336)</f>
        <v>41675.64583</v>
      </c>
      <c r="B2875" s="2">
        <f>IFERROR(__xludf.DUMMYFUNCTION("""COMPUTED_VALUE"""),406.18)</f>
        <v>406.18</v>
      </c>
      <c r="C2875" s="2">
        <f>IFERROR(__xludf.DUMMYFUNCTION("""COMPUTED_VALUE"""),406.88)</f>
        <v>406.88</v>
      </c>
      <c r="D2875" s="2">
        <f>IFERROR(__xludf.DUMMYFUNCTION("""COMPUTED_VALUE"""),399.65)</f>
        <v>399.65</v>
      </c>
      <c r="E2875" s="2">
        <f>IFERROR(__xludf.DUMMYFUNCTION("""COMPUTED_VALUE"""),404.77)</f>
        <v>404.77</v>
      </c>
      <c r="F2875" s="2">
        <f>IFERROR(__xludf.DUMMYFUNCTION("""COMPUTED_VALUE"""),2582636.0)</f>
        <v>2582636</v>
      </c>
    </row>
    <row r="2876">
      <c r="A2876" s="3">
        <f>IFERROR(__xludf.DUMMYFUNCTION("""COMPUTED_VALUE"""),41676.645833333336)</f>
        <v>41676.64583</v>
      </c>
      <c r="B2876" s="2">
        <f>IFERROR(__xludf.DUMMYFUNCTION("""COMPUTED_VALUE"""),406.14)</f>
        <v>406.14</v>
      </c>
      <c r="C2876" s="2">
        <f>IFERROR(__xludf.DUMMYFUNCTION("""COMPUTED_VALUE"""),408.17)</f>
        <v>408.17</v>
      </c>
      <c r="D2876" s="2">
        <f>IFERROR(__xludf.DUMMYFUNCTION("""COMPUTED_VALUE"""),400.27)</f>
        <v>400.27</v>
      </c>
      <c r="E2876" s="2">
        <f>IFERROR(__xludf.DUMMYFUNCTION("""COMPUTED_VALUE"""),404.08)</f>
        <v>404.08</v>
      </c>
      <c r="F2876" s="2">
        <f>IFERROR(__xludf.DUMMYFUNCTION("""COMPUTED_VALUE"""),2474757.0)</f>
        <v>2474757</v>
      </c>
    </row>
    <row r="2877">
      <c r="A2877" s="3">
        <f>IFERROR(__xludf.DUMMYFUNCTION("""COMPUTED_VALUE"""),41677.645833333336)</f>
        <v>41677.64583</v>
      </c>
      <c r="B2877" s="2">
        <f>IFERROR(__xludf.DUMMYFUNCTION("""COMPUTED_VALUE"""),407.18)</f>
        <v>407.18</v>
      </c>
      <c r="C2877" s="2">
        <f>IFERROR(__xludf.DUMMYFUNCTION("""COMPUTED_VALUE"""),408.02)</f>
        <v>408.02</v>
      </c>
      <c r="D2877" s="2">
        <f>IFERROR(__xludf.DUMMYFUNCTION("""COMPUTED_VALUE"""),401.48)</f>
        <v>401.48</v>
      </c>
      <c r="E2877" s="2">
        <f>IFERROR(__xludf.DUMMYFUNCTION("""COMPUTED_VALUE"""),403.39)</f>
        <v>403.39</v>
      </c>
      <c r="F2877" s="2">
        <f>IFERROR(__xludf.DUMMYFUNCTION("""COMPUTED_VALUE"""),1933597.0)</f>
        <v>1933597</v>
      </c>
    </row>
    <row r="2878">
      <c r="A2878" s="3">
        <f>IFERROR(__xludf.DUMMYFUNCTION("""COMPUTED_VALUE"""),41680.645833333336)</f>
        <v>41680.64583</v>
      </c>
      <c r="B2878" s="2">
        <f>IFERROR(__xludf.DUMMYFUNCTION("""COMPUTED_VALUE"""),403.78)</f>
        <v>403.78</v>
      </c>
      <c r="C2878" s="2">
        <f>IFERROR(__xludf.DUMMYFUNCTION("""COMPUTED_VALUE"""),408.91)</f>
        <v>408.91</v>
      </c>
      <c r="D2878" s="2">
        <f>IFERROR(__xludf.DUMMYFUNCTION("""COMPUTED_VALUE"""),401.75)</f>
        <v>401.75</v>
      </c>
      <c r="E2878" s="2">
        <f>IFERROR(__xludf.DUMMYFUNCTION("""COMPUTED_VALUE"""),407.1)</f>
        <v>407.1</v>
      </c>
      <c r="F2878" s="2">
        <f>IFERROR(__xludf.DUMMYFUNCTION("""COMPUTED_VALUE"""),2364740.0)</f>
        <v>2364740</v>
      </c>
    </row>
    <row r="2879">
      <c r="A2879" s="3">
        <f>IFERROR(__xludf.DUMMYFUNCTION("""COMPUTED_VALUE"""),41681.645833333336)</f>
        <v>41681.64583</v>
      </c>
      <c r="B2879" s="2">
        <f>IFERROR(__xludf.DUMMYFUNCTION("""COMPUTED_VALUE"""),407.62)</f>
        <v>407.62</v>
      </c>
      <c r="C2879" s="2">
        <f>IFERROR(__xludf.DUMMYFUNCTION("""COMPUTED_VALUE"""),408.61)</f>
        <v>408.61</v>
      </c>
      <c r="D2879" s="2">
        <f>IFERROR(__xludf.DUMMYFUNCTION("""COMPUTED_VALUE"""),397.59)</f>
        <v>397.59</v>
      </c>
      <c r="E2879" s="2">
        <f>IFERROR(__xludf.DUMMYFUNCTION("""COMPUTED_VALUE"""),398.83)</f>
        <v>398.83</v>
      </c>
      <c r="F2879" s="2">
        <f>IFERROR(__xludf.DUMMYFUNCTION("""COMPUTED_VALUE"""),2882244.0)</f>
        <v>2882244</v>
      </c>
    </row>
    <row r="2880">
      <c r="A2880" s="3">
        <f>IFERROR(__xludf.DUMMYFUNCTION("""COMPUTED_VALUE"""),41682.645833333336)</f>
        <v>41682.64583</v>
      </c>
      <c r="B2880" s="2">
        <f>IFERROR(__xludf.DUMMYFUNCTION("""COMPUTED_VALUE"""),400.19)</f>
        <v>400.19</v>
      </c>
      <c r="C2880" s="2">
        <f>IFERROR(__xludf.DUMMYFUNCTION("""COMPUTED_VALUE"""),407.08)</f>
        <v>407.08</v>
      </c>
      <c r="D2880" s="2">
        <f>IFERROR(__xludf.DUMMYFUNCTION("""COMPUTED_VALUE"""),399.89)</f>
        <v>399.89</v>
      </c>
      <c r="E2880" s="2">
        <f>IFERROR(__xludf.DUMMYFUNCTION("""COMPUTED_VALUE"""),405.1)</f>
        <v>405.1</v>
      </c>
      <c r="F2880" s="2">
        <f>IFERROR(__xludf.DUMMYFUNCTION("""COMPUTED_VALUE"""),2246719.0)</f>
        <v>2246719</v>
      </c>
    </row>
    <row r="2881">
      <c r="A2881" s="3">
        <f>IFERROR(__xludf.DUMMYFUNCTION("""COMPUTED_VALUE"""),41683.645833333336)</f>
        <v>41683.64583</v>
      </c>
      <c r="B2881" s="2">
        <f>IFERROR(__xludf.DUMMYFUNCTION("""COMPUTED_VALUE"""),405.59)</f>
        <v>405.59</v>
      </c>
      <c r="C2881" s="2">
        <f>IFERROR(__xludf.DUMMYFUNCTION("""COMPUTED_VALUE"""),405.59)</f>
        <v>405.59</v>
      </c>
      <c r="D2881" s="2">
        <f>IFERROR(__xludf.DUMMYFUNCTION("""COMPUTED_VALUE"""),398.73)</f>
        <v>398.73</v>
      </c>
      <c r="E2881" s="2">
        <f>IFERROR(__xludf.DUMMYFUNCTION("""COMPUTED_VALUE"""),399.89)</f>
        <v>399.89</v>
      </c>
      <c r="F2881" s="2">
        <f>IFERROR(__xludf.DUMMYFUNCTION("""COMPUTED_VALUE"""),1978914.0)</f>
        <v>1978914</v>
      </c>
    </row>
    <row r="2882">
      <c r="A2882" s="3">
        <f>IFERROR(__xludf.DUMMYFUNCTION("""COMPUTED_VALUE"""),41684.645833333336)</f>
        <v>41684.64583</v>
      </c>
      <c r="B2882" s="2">
        <f>IFERROR(__xludf.DUMMYFUNCTION("""COMPUTED_VALUE"""),402.12)</f>
        <v>402.12</v>
      </c>
      <c r="C2882" s="2">
        <f>IFERROR(__xludf.DUMMYFUNCTION("""COMPUTED_VALUE"""),408.12)</f>
        <v>408.12</v>
      </c>
      <c r="D2882" s="2">
        <f>IFERROR(__xludf.DUMMYFUNCTION("""COMPUTED_VALUE"""),400.19)</f>
        <v>400.19</v>
      </c>
      <c r="E2882" s="2">
        <f>IFERROR(__xludf.DUMMYFUNCTION("""COMPUTED_VALUE"""),407.15)</f>
        <v>407.15</v>
      </c>
      <c r="F2882" s="2">
        <f>IFERROR(__xludf.DUMMYFUNCTION("""COMPUTED_VALUE"""),2107250.0)</f>
        <v>2107250</v>
      </c>
    </row>
    <row r="2883">
      <c r="A2883" s="3">
        <f>IFERROR(__xludf.DUMMYFUNCTION("""COMPUTED_VALUE"""),41687.645833333336)</f>
        <v>41687.64583</v>
      </c>
      <c r="B2883" s="2">
        <f>IFERROR(__xludf.DUMMYFUNCTION("""COMPUTED_VALUE"""),404.97)</f>
        <v>404.97</v>
      </c>
      <c r="C2883" s="2">
        <f>IFERROR(__xludf.DUMMYFUNCTION("""COMPUTED_VALUE"""),407.13)</f>
        <v>407.13</v>
      </c>
      <c r="D2883" s="2">
        <f>IFERROR(__xludf.DUMMYFUNCTION("""COMPUTED_VALUE"""),399.72)</f>
        <v>399.72</v>
      </c>
      <c r="E2883" s="2">
        <f>IFERROR(__xludf.DUMMYFUNCTION("""COMPUTED_VALUE"""),402.32)</f>
        <v>402.32</v>
      </c>
      <c r="F2883" s="2">
        <f>IFERROR(__xludf.DUMMYFUNCTION("""COMPUTED_VALUE"""),2070622.0)</f>
        <v>2070622</v>
      </c>
    </row>
    <row r="2884">
      <c r="A2884" s="3">
        <f>IFERROR(__xludf.DUMMYFUNCTION("""COMPUTED_VALUE"""),41688.645833333336)</f>
        <v>41688.64583</v>
      </c>
      <c r="B2884" s="2">
        <f>IFERROR(__xludf.DUMMYFUNCTION("""COMPUTED_VALUE"""),399.75)</f>
        <v>399.75</v>
      </c>
      <c r="C2884" s="2">
        <f>IFERROR(__xludf.DUMMYFUNCTION("""COMPUTED_VALUE"""),405.07)</f>
        <v>405.07</v>
      </c>
      <c r="D2884" s="2">
        <f>IFERROR(__xludf.DUMMYFUNCTION("""COMPUTED_VALUE"""),399.75)</f>
        <v>399.75</v>
      </c>
      <c r="E2884" s="2">
        <f>IFERROR(__xludf.DUMMYFUNCTION("""COMPUTED_VALUE"""),402.74)</f>
        <v>402.74</v>
      </c>
      <c r="F2884" s="2">
        <f>IFERROR(__xludf.DUMMYFUNCTION("""COMPUTED_VALUE"""),1312359.0)</f>
        <v>1312359</v>
      </c>
    </row>
    <row r="2885">
      <c r="A2885" s="3">
        <f>IFERROR(__xludf.DUMMYFUNCTION("""COMPUTED_VALUE"""),41690.645833333336)</f>
        <v>41690.64583</v>
      </c>
      <c r="B2885" s="2">
        <f>IFERROR(__xludf.DUMMYFUNCTION("""COMPUTED_VALUE"""),401.83)</f>
        <v>401.83</v>
      </c>
      <c r="C2885" s="2">
        <f>IFERROR(__xludf.DUMMYFUNCTION("""COMPUTED_VALUE"""),403.01)</f>
        <v>403.01</v>
      </c>
      <c r="D2885" s="2">
        <f>IFERROR(__xludf.DUMMYFUNCTION("""COMPUTED_VALUE"""),397.76)</f>
        <v>397.76</v>
      </c>
      <c r="E2885" s="2">
        <f>IFERROR(__xludf.DUMMYFUNCTION("""COMPUTED_VALUE"""),398.93)</f>
        <v>398.93</v>
      </c>
      <c r="F2885" s="2">
        <f>IFERROR(__xludf.DUMMYFUNCTION("""COMPUTED_VALUE"""),1838151.0)</f>
        <v>1838151</v>
      </c>
    </row>
    <row r="2886">
      <c r="A2886" s="3">
        <f>IFERROR(__xludf.DUMMYFUNCTION("""COMPUTED_VALUE"""),41691.645833333336)</f>
        <v>41691.64583</v>
      </c>
      <c r="B2886" s="2">
        <f>IFERROR(__xludf.DUMMYFUNCTION("""COMPUTED_VALUE"""),399.75)</f>
        <v>399.75</v>
      </c>
      <c r="C2886" s="2">
        <f>IFERROR(__xludf.DUMMYFUNCTION("""COMPUTED_VALUE"""),404.15)</f>
        <v>404.15</v>
      </c>
      <c r="D2886" s="2">
        <f>IFERROR(__xludf.DUMMYFUNCTION("""COMPUTED_VALUE"""),399.0)</f>
        <v>399</v>
      </c>
      <c r="E2886" s="2">
        <f>IFERROR(__xludf.DUMMYFUNCTION("""COMPUTED_VALUE"""),401.93)</f>
        <v>401.93</v>
      </c>
      <c r="F2886" s="2">
        <f>IFERROR(__xludf.DUMMYFUNCTION("""COMPUTED_VALUE"""),1430079.0)</f>
        <v>1430079</v>
      </c>
    </row>
    <row r="2887">
      <c r="A2887" s="3">
        <f>IFERROR(__xludf.DUMMYFUNCTION("""COMPUTED_VALUE"""),41694.645833333336)</f>
        <v>41694.64583</v>
      </c>
      <c r="B2887" s="2">
        <f>IFERROR(__xludf.DUMMYFUNCTION("""COMPUTED_VALUE"""),400.22)</f>
        <v>400.22</v>
      </c>
      <c r="C2887" s="2">
        <f>IFERROR(__xludf.DUMMYFUNCTION("""COMPUTED_VALUE"""),403.63)</f>
        <v>403.63</v>
      </c>
      <c r="D2887" s="2">
        <f>IFERROR(__xludf.DUMMYFUNCTION("""COMPUTED_VALUE"""),398.85)</f>
        <v>398.85</v>
      </c>
      <c r="E2887" s="2">
        <f>IFERROR(__xludf.DUMMYFUNCTION("""COMPUTED_VALUE"""),402.35)</f>
        <v>402.35</v>
      </c>
      <c r="F2887" s="2">
        <f>IFERROR(__xludf.DUMMYFUNCTION("""COMPUTED_VALUE"""),1554509.0)</f>
        <v>1554509</v>
      </c>
    </row>
    <row r="2888">
      <c r="A2888" s="3">
        <f>IFERROR(__xludf.DUMMYFUNCTION("""COMPUTED_VALUE"""),41695.645833333336)</f>
        <v>41695.64583</v>
      </c>
      <c r="B2888" s="2">
        <f>IFERROR(__xludf.DUMMYFUNCTION("""COMPUTED_VALUE"""),403.31)</f>
        <v>403.31</v>
      </c>
      <c r="C2888" s="2">
        <f>IFERROR(__xludf.DUMMYFUNCTION("""COMPUTED_VALUE"""),404.15)</f>
        <v>404.15</v>
      </c>
      <c r="D2888" s="2">
        <f>IFERROR(__xludf.DUMMYFUNCTION("""COMPUTED_VALUE"""),399.97)</f>
        <v>399.97</v>
      </c>
      <c r="E2888" s="2">
        <f>IFERROR(__xludf.DUMMYFUNCTION("""COMPUTED_VALUE"""),401.45)</f>
        <v>401.45</v>
      </c>
      <c r="F2888" s="2">
        <f>IFERROR(__xludf.DUMMYFUNCTION("""COMPUTED_VALUE"""),1609074.0)</f>
        <v>1609074</v>
      </c>
    </row>
    <row r="2889">
      <c r="A2889" s="3">
        <f>IFERROR(__xludf.DUMMYFUNCTION("""COMPUTED_VALUE"""),41696.645833333336)</f>
        <v>41696.64583</v>
      </c>
      <c r="B2889" s="2">
        <f>IFERROR(__xludf.DUMMYFUNCTION("""COMPUTED_VALUE"""),401.68)</f>
        <v>401.68</v>
      </c>
      <c r="C2889" s="2">
        <f>IFERROR(__xludf.DUMMYFUNCTION("""COMPUTED_VALUE"""),404.58)</f>
        <v>404.58</v>
      </c>
      <c r="D2889" s="2">
        <f>IFERROR(__xludf.DUMMYFUNCTION("""COMPUTED_VALUE"""),400.32)</f>
        <v>400.32</v>
      </c>
      <c r="E2889" s="2">
        <f>IFERROR(__xludf.DUMMYFUNCTION("""COMPUTED_VALUE"""),401.53)</f>
        <v>401.53</v>
      </c>
      <c r="F2889" s="2">
        <f>IFERROR(__xludf.DUMMYFUNCTION("""COMPUTED_VALUE"""),3110571.0)</f>
        <v>3110571</v>
      </c>
    </row>
    <row r="2890">
      <c r="A2890" s="3">
        <f>IFERROR(__xludf.DUMMYFUNCTION("""COMPUTED_VALUE"""),41698.645833333336)</f>
        <v>41698.64583</v>
      </c>
      <c r="B2890" s="2">
        <f>IFERROR(__xludf.DUMMYFUNCTION("""COMPUTED_VALUE"""),401.53)</f>
        <v>401.53</v>
      </c>
      <c r="C2890" s="2">
        <f>IFERROR(__xludf.DUMMYFUNCTION("""COMPUTED_VALUE"""),403.83)</f>
        <v>403.83</v>
      </c>
      <c r="D2890" s="2">
        <f>IFERROR(__xludf.DUMMYFUNCTION("""COMPUTED_VALUE"""),392.81)</f>
        <v>392.81</v>
      </c>
      <c r="E2890" s="2">
        <f>IFERROR(__xludf.DUMMYFUNCTION("""COMPUTED_VALUE"""),396.2)</f>
        <v>396.2</v>
      </c>
      <c r="F2890" s="2">
        <f>IFERROR(__xludf.DUMMYFUNCTION("""COMPUTED_VALUE"""),4331622.0)</f>
        <v>4331622</v>
      </c>
    </row>
    <row r="2891">
      <c r="A2891" s="3">
        <f>IFERROR(__xludf.DUMMYFUNCTION("""COMPUTED_VALUE"""),41701.645833333336)</f>
        <v>41701.64583</v>
      </c>
      <c r="B2891" s="2">
        <f>IFERROR(__xludf.DUMMYFUNCTION("""COMPUTED_VALUE"""),396.28)</f>
        <v>396.28</v>
      </c>
      <c r="C2891" s="2">
        <f>IFERROR(__xludf.DUMMYFUNCTION("""COMPUTED_VALUE"""),399.6)</f>
        <v>399.6</v>
      </c>
      <c r="D2891" s="2">
        <f>IFERROR(__xludf.DUMMYFUNCTION("""COMPUTED_VALUE"""),394.82)</f>
        <v>394.82</v>
      </c>
      <c r="E2891" s="2">
        <f>IFERROR(__xludf.DUMMYFUNCTION("""COMPUTED_VALUE"""),397.91)</f>
        <v>397.91</v>
      </c>
      <c r="F2891" s="2">
        <f>IFERROR(__xludf.DUMMYFUNCTION("""COMPUTED_VALUE"""),2659675.0)</f>
        <v>2659675</v>
      </c>
    </row>
    <row r="2892">
      <c r="A2892" s="3">
        <f>IFERROR(__xludf.DUMMYFUNCTION("""COMPUTED_VALUE"""),41702.645833333336)</f>
        <v>41702.64583</v>
      </c>
      <c r="B2892" s="2">
        <f>IFERROR(__xludf.DUMMYFUNCTION("""COMPUTED_VALUE"""),397.72)</f>
        <v>397.72</v>
      </c>
      <c r="C2892" s="2">
        <f>IFERROR(__xludf.DUMMYFUNCTION("""COMPUTED_VALUE"""),403.49)</f>
        <v>403.49</v>
      </c>
      <c r="D2892" s="2">
        <f>IFERROR(__xludf.DUMMYFUNCTION("""COMPUTED_VALUE"""),397.52)</f>
        <v>397.52</v>
      </c>
      <c r="E2892" s="2">
        <f>IFERROR(__xludf.DUMMYFUNCTION("""COMPUTED_VALUE"""),402.64)</f>
        <v>402.64</v>
      </c>
      <c r="F2892" s="2">
        <f>IFERROR(__xludf.DUMMYFUNCTION("""COMPUTED_VALUE"""),2056575.0)</f>
        <v>2056575</v>
      </c>
    </row>
    <row r="2893">
      <c r="A2893" s="3">
        <f>IFERROR(__xludf.DUMMYFUNCTION("""COMPUTED_VALUE"""),41703.645833333336)</f>
        <v>41703.64583</v>
      </c>
      <c r="B2893" s="2">
        <f>IFERROR(__xludf.DUMMYFUNCTION("""COMPUTED_VALUE"""),403.93)</f>
        <v>403.93</v>
      </c>
      <c r="C2893" s="2">
        <f>IFERROR(__xludf.DUMMYFUNCTION("""COMPUTED_VALUE"""),405.14)</f>
        <v>405.14</v>
      </c>
      <c r="D2893" s="2">
        <f>IFERROR(__xludf.DUMMYFUNCTION("""COMPUTED_VALUE"""),398.78)</f>
        <v>398.78</v>
      </c>
      <c r="E2893" s="2">
        <f>IFERROR(__xludf.DUMMYFUNCTION("""COMPUTED_VALUE"""),399.7)</f>
        <v>399.7</v>
      </c>
      <c r="F2893" s="2">
        <f>IFERROR(__xludf.DUMMYFUNCTION("""COMPUTED_VALUE"""),2703603.0)</f>
        <v>2703603</v>
      </c>
    </row>
    <row r="2894">
      <c r="A2894" s="3">
        <f>IFERROR(__xludf.DUMMYFUNCTION("""COMPUTED_VALUE"""),41704.645833333336)</f>
        <v>41704.64583</v>
      </c>
      <c r="B2894" s="2">
        <f>IFERROR(__xludf.DUMMYFUNCTION("""COMPUTED_VALUE"""),400.86)</f>
        <v>400.86</v>
      </c>
      <c r="C2894" s="2">
        <f>IFERROR(__xludf.DUMMYFUNCTION("""COMPUTED_VALUE"""),408.31)</f>
        <v>408.31</v>
      </c>
      <c r="D2894" s="2">
        <f>IFERROR(__xludf.DUMMYFUNCTION("""COMPUTED_VALUE"""),400.84)</f>
        <v>400.84</v>
      </c>
      <c r="E2894" s="2">
        <f>IFERROR(__xludf.DUMMYFUNCTION("""COMPUTED_VALUE"""),407.35)</f>
        <v>407.35</v>
      </c>
      <c r="F2894" s="2">
        <f>IFERROR(__xludf.DUMMYFUNCTION("""COMPUTED_VALUE"""),2325283.0)</f>
        <v>2325283</v>
      </c>
    </row>
    <row r="2895">
      <c r="A2895" s="3">
        <f>IFERROR(__xludf.DUMMYFUNCTION("""COMPUTED_VALUE"""),41705.645833333336)</f>
        <v>41705.64583</v>
      </c>
      <c r="B2895" s="2">
        <f>IFERROR(__xludf.DUMMYFUNCTION("""COMPUTED_VALUE"""),408.61)</f>
        <v>408.61</v>
      </c>
      <c r="C2895" s="2">
        <f>IFERROR(__xludf.DUMMYFUNCTION("""COMPUTED_VALUE"""),432.88)</f>
        <v>432.88</v>
      </c>
      <c r="D2895" s="2">
        <f>IFERROR(__xludf.DUMMYFUNCTION("""COMPUTED_VALUE"""),408.61)</f>
        <v>408.61</v>
      </c>
      <c r="E2895" s="2">
        <f>IFERROR(__xludf.DUMMYFUNCTION("""COMPUTED_VALUE"""),430.6)</f>
        <v>430.6</v>
      </c>
      <c r="F2895" s="2">
        <f>IFERROR(__xludf.DUMMYFUNCTION("""COMPUTED_VALUE"""),7679752.0)</f>
        <v>7679752</v>
      </c>
    </row>
    <row r="2896">
      <c r="A2896" s="3">
        <f>IFERROR(__xludf.DUMMYFUNCTION("""COMPUTED_VALUE"""),41708.645833333336)</f>
        <v>41708.64583</v>
      </c>
      <c r="B2896" s="2">
        <f>IFERROR(__xludf.DUMMYFUNCTION("""COMPUTED_VALUE"""),428.47)</f>
        <v>428.47</v>
      </c>
      <c r="C2896" s="2">
        <f>IFERROR(__xludf.DUMMYFUNCTION("""COMPUTED_VALUE"""),447.57)</f>
        <v>447.57</v>
      </c>
      <c r="D2896" s="2">
        <f>IFERROR(__xludf.DUMMYFUNCTION("""COMPUTED_VALUE"""),427.63)</f>
        <v>427.63</v>
      </c>
      <c r="E2896" s="2">
        <f>IFERROR(__xludf.DUMMYFUNCTION("""COMPUTED_VALUE"""),438.55)</f>
        <v>438.55</v>
      </c>
      <c r="F2896" s="2">
        <f>IFERROR(__xludf.DUMMYFUNCTION("""COMPUTED_VALUE"""),7513409.0)</f>
        <v>7513409</v>
      </c>
    </row>
    <row r="2897">
      <c r="A2897" s="3">
        <f>IFERROR(__xludf.DUMMYFUNCTION("""COMPUTED_VALUE"""),41709.645833333336)</f>
        <v>41709.64583</v>
      </c>
      <c r="B2897" s="2">
        <f>IFERROR(__xludf.DUMMYFUNCTION("""COMPUTED_VALUE"""),438.33)</f>
        <v>438.33</v>
      </c>
      <c r="C2897" s="2">
        <f>IFERROR(__xludf.DUMMYFUNCTION("""COMPUTED_VALUE"""),439.72)</f>
        <v>439.72</v>
      </c>
      <c r="D2897" s="2">
        <f>IFERROR(__xludf.DUMMYFUNCTION("""COMPUTED_VALUE"""),431.94)</f>
        <v>431.94</v>
      </c>
      <c r="E2897" s="2">
        <f>IFERROR(__xludf.DUMMYFUNCTION("""COMPUTED_VALUE"""),433.25)</f>
        <v>433.25</v>
      </c>
      <c r="F2897" s="2">
        <f>IFERROR(__xludf.DUMMYFUNCTION("""COMPUTED_VALUE"""),2921335.0)</f>
        <v>2921335</v>
      </c>
    </row>
    <row r="2898">
      <c r="A2898" s="3">
        <f>IFERROR(__xludf.DUMMYFUNCTION("""COMPUTED_VALUE"""),41710.645833333336)</f>
        <v>41710.64583</v>
      </c>
      <c r="B2898" s="2">
        <f>IFERROR(__xludf.DUMMYFUNCTION("""COMPUTED_VALUE"""),432.88)</f>
        <v>432.88</v>
      </c>
      <c r="C2898" s="2">
        <f>IFERROR(__xludf.DUMMYFUNCTION("""COMPUTED_VALUE"""),437.29)</f>
        <v>437.29</v>
      </c>
      <c r="D2898" s="2">
        <f>IFERROR(__xludf.DUMMYFUNCTION("""COMPUTED_VALUE"""),429.74)</f>
        <v>429.74</v>
      </c>
      <c r="E2898" s="2">
        <f>IFERROR(__xludf.DUMMYFUNCTION("""COMPUTED_VALUE"""),431.57)</f>
        <v>431.57</v>
      </c>
      <c r="F2898" s="2">
        <f>IFERROR(__xludf.DUMMYFUNCTION("""COMPUTED_VALUE"""),2155857.0)</f>
        <v>2155857</v>
      </c>
    </row>
    <row r="2899">
      <c r="A2899" s="3">
        <f>IFERROR(__xludf.DUMMYFUNCTION("""COMPUTED_VALUE"""),41711.645833333336)</f>
        <v>41711.64583</v>
      </c>
      <c r="B2899" s="2">
        <f>IFERROR(__xludf.DUMMYFUNCTION("""COMPUTED_VALUE"""),433.38)</f>
        <v>433.38</v>
      </c>
      <c r="C2899" s="2">
        <f>IFERROR(__xludf.DUMMYFUNCTION("""COMPUTED_VALUE"""),443.16)</f>
        <v>443.16</v>
      </c>
      <c r="D2899" s="2">
        <f>IFERROR(__xludf.DUMMYFUNCTION("""COMPUTED_VALUE"""),433.23)</f>
        <v>433.23</v>
      </c>
      <c r="E2899" s="2">
        <f>IFERROR(__xludf.DUMMYFUNCTION("""COMPUTED_VALUE"""),435.63)</f>
        <v>435.63</v>
      </c>
      <c r="F2899" s="2">
        <f>IFERROR(__xludf.DUMMYFUNCTION("""COMPUTED_VALUE"""),3936620.0)</f>
        <v>3936620</v>
      </c>
    </row>
    <row r="2900">
      <c r="A2900" s="3">
        <f>IFERROR(__xludf.DUMMYFUNCTION("""COMPUTED_VALUE"""),41712.645833333336)</f>
        <v>41712.64583</v>
      </c>
      <c r="B2900" s="2">
        <f>IFERROR(__xludf.DUMMYFUNCTION("""COMPUTED_VALUE"""),432.88)</f>
        <v>432.88</v>
      </c>
      <c r="C2900" s="2">
        <f>IFERROR(__xludf.DUMMYFUNCTION("""COMPUTED_VALUE"""),440.78)</f>
        <v>440.78</v>
      </c>
      <c r="D2900" s="2">
        <f>IFERROR(__xludf.DUMMYFUNCTION("""COMPUTED_VALUE"""),430.43)</f>
        <v>430.43</v>
      </c>
      <c r="E2900" s="2">
        <f>IFERROR(__xludf.DUMMYFUNCTION("""COMPUTED_VALUE"""),438.9)</f>
        <v>438.9</v>
      </c>
      <c r="F2900" s="2">
        <f>IFERROR(__xludf.DUMMYFUNCTION("""COMPUTED_VALUE"""),3780891.0)</f>
        <v>3780891</v>
      </c>
    </row>
    <row r="2901">
      <c r="A2901" s="3">
        <f>IFERROR(__xludf.DUMMYFUNCTION("""COMPUTED_VALUE"""),41716.645833333336)</f>
        <v>41716.64583</v>
      </c>
      <c r="B2901" s="2">
        <f>IFERROR(__xludf.DUMMYFUNCTION("""COMPUTED_VALUE"""),440.56)</f>
        <v>440.56</v>
      </c>
      <c r="C2901" s="2">
        <f>IFERROR(__xludf.DUMMYFUNCTION("""COMPUTED_VALUE"""),450.12)</f>
        <v>450.12</v>
      </c>
      <c r="D2901" s="2">
        <f>IFERROR(__xludf.DUMMYFUNCTION("""COMPUTED_VALUE"""),440.56)</f>
        <v>440.56</v>
      </c>
      <c r="E2901" s="2">
        <f>IFERROR(__xludf.DUMMYFUNCTION("""COMPUTED_VALUE"""),444.0)</f>
        <v>444</v>
      </c>
      <c r="F2901" s="2">
        <f>IFERROR(__xludf.DUMMYFUNCTION("""COMPUTED_VALUE"""),4351046.0)</f>
        <v>4351046</v>
      </c>
    </row>
    <row r="2902">
      <c r="A2902" s="3">
        <f>IFERROR(__xludf.DUMMYFUNCTION("""COMPUTED_VALUE"""),41717.645833333336)</f>
        <v>41717.64583</v>
      </c>
      <c r="B2902" s="2">
        <f>IFERROR(__xludf.DUMMYFUNCTION("""COMPUTED_VALUE"""),445.76)</f>
        <v>445.76</v>
      </c>
      <c r="C2902" s="2">
        <f>IFERROR(__xludf.DUMMYFUNCTION("""COMPUTED_VALUE"""),450.66)</f>
        <v>450.66</v>
      </c>
      <c r="D2902" s="2">
        <f>IFERROR(__xludf.DUMMYFUNCTION("""COMPUTED_VALUE"""),443.41)</f>
        <v>443.41</v>
      </c>
      <c r="E2902" s="2">
        <f>IFERROR(__xludf.DUMMYFUNCTION("""COMPUTED_VALUE"""),447.24)</f>
        <v>447.24</v>
      </c>
      <c r="F2902" s="2">
        <f>IFERROR(__xludf.DUMMYFUNCTION("""COMPUTED_VALUE"""),3743369.0)</f>
        <v>3743369</v>
      </c>
    </row>
    <row r="2903">
      <c r="A2903" s="3">
        <f>IFERROR(__xludf.DUMMYFUNCTION("""COMPUTED_VALUE"""),41718.645833333336)</f>
        <v>41718.64583</v>
      </c>
      <c r="B2903" s="2">
        <f>IFERROR(__xludf.DUMMYFUNCTION("""COMPUTED_VALUE"""),446.55)</f>
        <v>446.55</v>
      </c>
      <c r="C2903" s="2">
        <f>IFERROR(__xludf.DUMMYFUNCTION("""COMPUTED_VALUE"""),449.47)</f>
        <v>449.47</v>
      </c>
      <c r="D2903" s="2">
        <f>IFERROR(__xludf.DUMMYFUNCTION("""COMPUTED_VALUE"""),444.84)</f>
        <v>444.84</v>
      </c>
      <c r="E2903" s="2">
        <f>IFERROR(__xludf.DUMMYFUNCTION("""COMPUTED_VALUE"""),448.73)</f>
        <v>448.73</v>
      </c>
      <c r="F2903" s="2">
        <f>IFERROR(__xludf.DUMMYFUNCTION("""COMPUTED_VALUE"""),6791651.0)</f>
        <v>6791651</v>
      </c>
    </row>
    <row r="2904">
      <c r="A2904" s="3">
        <f>IFERROR(__xludf.DUMMYFUNCTION("""COMPUTED_VALUE"""),41719.645833333336)</f>
        <v>41719.64583</v>
      </c>
      <c r="B2904" s="2">
        <f>IFERROR(__xludf.DUMMYFUNCTION("""COMPUTED_VALUE"""),449.23)</f>
        <v>449.23</v>
      </c>
      <c r="C2904" s="2">
        <f>IFERROR(__xludf.DUMMYFUNCTION("""COMPUTED_VALUE"""),452.37)</f>
        <v>452.37</v>
      </c>
      <c r="D2904" s="2">
        <f>IFERROR(__xludf.DUMMYFUNCTION("""COMPUTED_VALUE"""),436.92)</f>
        <v>436.92</v>
      </c>
      <c r="E2904" s="2">
        <f>IFERROR(__xludf.DUMMYFUNCTION("""COMPUTED_VALUE"""),438.73)</f>
        <v>438.73</v>
      </c>
      <c r="F2904" s="2">
        <f>IFERROR(__xludf.DUMMYFUNCTION("""COMPUTED_VALUE"""),5040481.0)</f>
        <v>5040481</v>
      </c>
    </row>
    <row r="2905">
      <c r="A2905" s="3">
        <f>IFERROR(__xludf.DUMMYFUNCTION("""COMPUTED_VALUE"""),41722.645833333336)</f>
        <v>41722.64583</v>
      </c>
      <c r="B2905" s="2">
        <f>IFERROR(__xludf.DUMMYFUNCTION("""COMPUTED_VALUE"""),441.42)</f>
        <v>441.42</v>
      </c>
      <c r="C2905" s="2">
        <f>IFERROR(__xludf.DUMMYFUNCTION("""COMPUTED_VALUE"""),450.09)</f>
        <v>450.09</v>
      </c>
      <c r="D2905" s="2">
        <f>IFERROR(__xludf.DUMMYFUNCTION("""COMPUTED_VALUE"""),441.35)</f>
        <v>441.35</v>
      </c>
      <c r="E2905" s="2">
        <f>IFERROR(__xludf.DUMMYFUNCTION("""COMPUTED_VALUE"""),448.43)</f>
        <v>448.43</v>
      </c>
      <c r="F2905" s="2">
        <f>IFERROR(__xludf.DUMMYFUNCTION("""COMPUTED_VALUE"""),6586731.0)</f>
        <v>6586731</v>
      </c>
    </row>
    <row r="2906">
      <c r="A2906" s="3">
        <f>IFERROR(__xludf.DUMMYFUNCTION("""COMPUTED_VALUE"""),41723.645833333336)</f>
        <v>41723.64583</v>
      </c>
      <c r="B2906" s="2">
        <f>IFERROR(__xludf.DUMMYFUNCTION("""COMPUTED_VALUE"""),435.36)</f>
        <v>435.36</v>
      </c>
      <c r="C2906" s="2">
        <f>IFERROR(__xludf.DUMMYFUNCTION("""COMPUTED_VALUE"""),437.09)</f>
        <v>437.09</v>
      </c>
      <c r="D2906" s="2">
        <f>IFERROR(__xludf.DUMMYFUNCTION("""COMPUTED_VALUE"""),432.14)</f>
        <v>432.14</v>
      </c>
      <c r="E2906" s="2">
        <f>IFERROR(__xludf.DUMMYFUNCTION("""COMPUTED_VALUE"""),435.51)</f>
        <v>435.51</v>
      </c>
      <c r="F2906" s="2">
        <f>IFERROR(__xludf.DUMMYFUNCTION("""COMPUTED_VALUE"""),7154556.0)</f>
        <v>7154556</v>
      </c>
    </row>
    <row r="2907">
      <c r="A2907" s="3">
        <f>IFERROR(__xludf.DUMMYFUNCTION("""COMPUTED_VALUE"""),41724.645833333336)</f>
        <v>41724.64583</v>
      </c>
      <c r="B2907" s="2">
        <f>IFERROR(__xludf.DUMMYFUNCTION("""COMPUTED_VALUE"""),436.47)</f>
        <v>436.47</v>
      </c>
      <c r="C2907" s="2">
        <f>IFERROR(__xludf.DUMMYFUNCTION("""COMPUTED_VALUE"""),447.22)</f>
        <v>447.22</v>
      </c>
      <c r="D2907" s="2">
        <f>IFERROR(__xludf.DUMMYFUNCTION("""COMPUTED_VALUE"""),436.42)</f>
        <v>436.42</v>
      </c>
      <c r="E2907" s="2">
        <f>IFERROR(__xludf.DUMMYFUNCTION("""COMPUTED_VALUE"""),441.4)</f>
        <v>441.4</v>
      </c>
      <c r="F2907" s="2">
        <f>IFERROR(__xludf.DUMMYFUNCTION("""COMPUTED_VALUE"""),3156965.0)</f>
        <v>3156965</v>
      </c>
    </row>
    <row r="2908">
      <c r="A2908" s="3">
        <f>IFERROR(__xludf.DUMMYFUNCTION("""COMPUTED_VALUE"""),41725.645833333336)</f>
        <v>41725.64583</v>
      </c>
      <c r="B2908" s="2">
        <f>IFERROR(__xludf.DUMMYFUNCTION("""COMPUTED_VALUE"""),443.21)</f>
        <v>443.21</v>
      </c>
      <c r="C2908" s="2">
        <f>IFERROR(__xludf.DUMMYFUNCTION("""COMPUTED_VALUE"""),448.19)</f>
        <v>448.19</v>
      </c>
      <c r="D2908" s="2">
        <f>IFERROR(__xludf.DUMMYFUNCTION("""COMPUTED_VALUE"""),441.85)</f>
        <v>441.85</v>
      </c>
      <c r="E2908" s="2">
        <f>IFERROR(__xludf.DUMMYFUNCTION("""COMPUTED_VALUE"""),446.13)</f>
        <v>446.13</v>
      </c>
      <c r="F2908" s="2">
        <f>IFERROR(__xludf.DUMMYFUNCTION("""COMPUTED_VALUE"""),1.2665322E7)</f>
        <v>12665322</v>
      </c>
    </row>
    <row r="2909">
      <c r="A2909" s="3">
        <f>IFERROR(__xludf.DUMMYFUNCTION("""COMPUTED_VALUE"""),41726.645833333336)</f>
        <v>41726.64583</v>
      </c>
      <c r="B2909" s="2">
        <f>IFERROR(__xludf.DUMMYFUNCTION("""COMPUTED_VALUE"""),445.76)</f>
        <v>445.76</v>
      </c>
      <c r="C2909" s="2">
        <f>IFERROR(__xludf.DUMMYFUNCTION("""COMPUTED_VALUE"""),455.64)</f>
        <v>455.64</v>
      </c>
      <c r="D2909" s="2">
        <f>IFERROR(__xludf.DUMMYFUNCTION("""COMPUTED_VALUE"""),445.76)</f>
        <v>445.76</v>
      </c>
      <c r="E2909" s="2">
        <f>IFERROR(__xludf.DUMMYFUNCTION("""COMPUTED_VALUE"""),453.76)</f>
        <v>453.76</v>
      </c>
      <c r="F2909" s="2">
        <f>IFERROR(__xludf.DUMMYFUNCTION("""COMPUTED_VALUE"""),4267110.0)</f>
        <v>4267110</v>
      </c>
    </row>
    <row r="2910">
      <c r="A2910" s="3">
        <f>IFERROR(__xludf.DUMMYFUNCTION("""COMPUTED_VALUE"""),41729.645833333336)</f>
        <v>41729.64583</v>
      </c>
      <c r="B2910" s="2">
        <f>IFERROR(__xludf.DUMMYFUNCTION("""COMPUTED_VALUE"""),453.81)</f>
        <v>453.81</v>
      </c>
      <c r="C2910" s="2">
        <f>IFERROR(__xludf.DUMMYFUNCTION("""COMPUTED_VALUE"""),465.47)</f>
        <v>465.47</v>
      </c>
      <c r="D2910" s="2">
        <f>IFERROR(__xludf.DUMMYFUNCTION("""COMPUTED_VALUE"""),452.3)</f>
        <v>452.3</v>
      </c>
      <c r="E2910" s="2">
        <f>IFERROR(__xludf.DUMMYFUNCTION("""COMPUTED_VALUE"""),460.99)</f>
        <v>460.99</v>
      </c>
      <c r="F2910" s="2">
        <f>IFERROR(__xludf.DUMMYFUNCTION("""COMPUTED_VALUE"""),4286368.0)</f>
        <v>4286368</v>
      </c>
    </row>
    <row r="2911">
      <c r="A2911" s="3">
        <f>IFERROR(__xludf.DUMMYFUNCTION("""COMPUTED_VALUE"""),41730.645833333336)</f>
        <v>41730.64583</v>
      </c>
      <c r="B2911" s="2">
        <f>IFERROR(__xludf.DUMMYFUNCTION("""COMPUTED_VALUE"""),463.59)</f>
        <v>463.59</v>
      </c>
      <c r="C2911" s="2">
        <f>IFERROR(__xludf.DUMMYFUNCTION("""COMPUTED_VALUE"""),468.05)</f>
        <v>468.05</v>
      </c>
      <c r="D2911" s="2">
        <f>IFERROR(__xludf.DUMMYFUNCTION("""COMPUTED_VALUE"""),460.27)</f>
        <v>460.27</v>
      </c>
      <c r="E2911" s="2">
        <f>IFERROR(__xludf.DUMMYFUNCTION("""COMPUTED_VALUE"""),466.86)</f>
        <v>466.86</v>
      </c>
      <c r="F2911" s="2">
        <f>IFERROR(__xludf.DUMMYFUNCTION("""COMPUTED_VALUE"""),3575180.0)</f>
        <v>3575180</v>
      </c>
    </row>
    <row r="2912">
      <c r="A2912" s="3">
        <f>IFERROR(__xludf.DUMMYFUNCTION("""COMPUTED_VALUE"""),41731.645833333336)</f>
        <v>41731.64583</v>
      </c>
      <c r="B2912" s="2">
        <f>IFERROR(__xludf.DUMMYFUNCTION("""COMPUTED_VALUE"""),468.05)</f>
        <v>468.05</v>
      </c>
      <c r="C2912" s="2">
        <f>IFERROR(__xludf.DUMMYFUNCTION("""COMPUTED_VALUE"""),476.47)</f>
        <v>476.47</v>
      </c>
      <c r="D2912" s="2">
        <f>IFERROR(__xludf.DUMMYFUNCTION("""COMPUTED_VALUE"""),464.63)</f>
        <v>464.63</v>
      </c>
      <c r="E2912" s="2">
        <f>IFERROR(__xludf.DUMMYFUNCTION("""COMPUTED_VALUE"""),474.58)</f>
        <v>474.58</v>
      </c>
      <c r="F2912" s="2">
        <f>IFERROR(__xludf.DUMMYFUNCTION("""COMPUTED_VALUE"""),6121499.0)</f>
        <v>6121499</v>
      </c>
    </row>
    <row r="2913">
      <c r="A2913" s="3">
        <f>IFERROR(__xludf.DUMMYFUNCTION("""COMPUTED_VALUE"""),41732.645833333336)</f>
        <v>41732.64583</v>
      </c>
      <c r="B2913" s="2">
        <f>IFERROR(__xludf.DUMMYFUNCTION("""COMPUTED_VALUE"""),473.89)</f>
        <v>473.89</v>
      </c>
      <c r="C2913" s="2">
        <f>IFERROR(__xludf.DUMMYFUNCTION("""COMPUTED_VALUE"""),476.94)</f>
        <v>476.94</v>
      </c>
      <c r="D2913" s="2">
        <f>IFERROR(__xludf.DUMMYFUNCTION("""COMPUTED_VALUE"""),465.77)</f>
        <v>465.77</v>
      </c>
      <c r="E2913" s="2">
        <f>IFERROR(__xludf.DUMMYFUNCTION("""COMPUTED_VALUE"""),471.84)</f>
        <v>471.84</v>
      </c>
      <c r="F2913" s="2">
        <f>IFERROR(__xludf.DUMMYFUNCTION("""COMPUTED_VALUE"""),6069088.0)</f>
        <v>6069088</v>
      </c>
    </row>
    <row r="2914">
      <c r="A2914" s="3">
        <f>IFERROR(__xludf.DUMMYFUNCTION("""COMPUTED_VALUE"""),41733.645833333336)</f>
        <v>41733.64583</v>
      </c>
      <c r="B2914" s="2">
        <f>IFERROR(__xludf.DUMMYFUNCTION("""COMPUTED_VALUE"""),471.51)</f>
        <v>471.51</v>
      </c>
      <c r="C2914" s="2">
        <f>IFERROR(__xludf.DUMMYFUNCTION("""COMPUTED_VALUE"""),472.13)</f>
        <v>472.13</v>
      </c>
      <c r="D2914" s="2">
        <f>IFERROR(__xludf.DUMMYFUNCTION("""COMPUTED_VALUE"""),466.34)</f>
        <v>466.34</v>
      </c>
      <c r="E2914" s="2">
        <f>IFERROR(__xludf.DUMMYFUNCTION("""COMPUTED_VALUE"""),467.67)</f>
        <v>467.67</v>
      </c>
      <c r="F2914" s="2">
        <f>IFERROR(__xludf.DUMMYFUNCTION("""COMPUTED_VALUE"""),2860462.0)</f>
        <v>2860462</v>
      </c>
    </row>
    <row r="2915">
      <c r="A2915" s="3">
        <f>IFERROR(__xludf.DUMMYFUNCTION("""COMPUTED_VALUE"""),41736.645833333336)</f>
        <v>41736.64583</v>
      </c>
      <c r="B2915" s="2">
        <f>IFERROR(__xludf.DUMMYFUNCTION("""COMPUTED_VALUE"""),467.55)</f>
        <v>467.55</v>
      </c>
      <c r="C2915" s="2">
        <f>IFERROR(__xludf.DUMMYFUNCTION("""COMPUTED_VALUE"""),472.97)</f>
        <v>472.97</v>
      </c>
      <c r="D2915" s="2">
        <f>IFERROR(__xludf.DUMMYFUNCTION("""COMPUTED_VALUE"""),462.77)</f>
        <v>462.77</v>
      </c>
      <c r="E2915" s="2">
        <f>IFERROR(__xludf.DUMMYFUNCTION("""COMPUTED_VALUE"""),467.63)</f>
        <v>467.63</v>
      </c>
      <c r="F2915" s="2">
        <f>IFERROR(__xludf.DUMMYFUNCTION("""COMPUTED_VALUE"""),2949923.0)</f>
        <v>2949923</v>
      </c>
    </row>
    <row r="2916">
      <c r="A2916" s="3">
        <f>IFERROR(__xludf.DUMMYFUNCTION("""COMPUTED_VALUE"""),41738.645833333336)</f>
        <v>41738.64583</v>
      </c>
      <c r="B2916" s="2">
        <f>IFERROR(__xludf.DUMMYFUNCTION("""COMPUTED_VALUE"""),470.52)</f>
        <v>470.52</v>
      </c>
      <c r="C2916" s="2">
        <f>IFERROR(__xludf.DUMMYFUNCTION("""COMPUTED_VALUE"""),478.79)</f>
        <v>478.79</v>
      </c>
      <c r="D2916" s="2">
        <f>IFERROR(__xludf.DUMMYFUNCTION("""COMPUTED_VALUE"""),469.11)</f>
        <v>469.11</v>
      </c>
      <c r="E2916" s="2">
        <f>IFERROR(__xludf.DUMMYFUNCTION("""COMPUTED_VALUE"""),476.54)</f>
        <v>476.54</v>
      </c>
      <c r="F2916" s="2">
        <f>IFERROR(__xludf.DUMMYFUNCTION("""COMPUTED_VALUE"""),3071917.0)</f>
        <v>3071917</v>
      </c>
    </row>
    <row r="2917">
      <c r="A2917" s="3">
        <f>IFERROR(__xludf.DUMMYFUNCTION("""COMPUTED_VALUE"""),41739.645833333336)</f>
        <v>41739.64583</v>
      </c>
      <c r="B2917" s="2">
        <f>IFERROR(__xludf.DUMMYFUNCTION("""COMPUTED_VALUE"""),477.8)</f>
        <v>477.8</v>
      </c>
      <c r="C2917" s="2">
        <f>IFERROR(__xludf.DUMMYFUNCTION("""COMPUTED_VALUE"""),482.36)</f>
        <v>482.36</v>
      </c>
      <c r="D2917" s="2">
        <f>IFERROR(__xludf.DUMMYFUNCTION("""COMPUTED_VALUE"""),476.57)</f>
        <v>476.57</v>
      </c>
      <c r="E2917" s="2">
        <f>IFERROR(__xludf.DUMMYFUNCTION("""COMPUTED_VALUE"""),479.96)</f>
        <v>479.96</v>
      </c>
      <c r="F2917" s="2">
        <f>IFERROR(__xludf.DUMMYFUNCTION("""COMPUTED_VALUE"""),2434297.0)</f>
        <v>2434297</v>
      </c>
    </row>
    <row r="2918">
      <c r="A2918" s="3">
        <f>IFERROR(__xludf.DUMMYFUNCTION("""COMPUTED_VALUE"""),41740.645833333336)</f>
        <v>41740.64583</v>
      </c>
      <c r="B2918" s="2">
        <f>IFERROR(__xludf.DUMMYFUNCTION("""COMPUTED_VALUE"""),476.61)</f>
        <v>476.61</v>
      </c>
      <c r="C2918" s="2">
        <f>IFERROR(__xludf.DUMMYFUNCTION("""COMPUTED_VALUE"""),480.95)</f>
        <v>480.95</v>
      </c>
      <c r="D2918" s="2">
        <f>IFERROR(__xludf.DUMMYFUNCTION("""COMPUTED_VALUE"""),470.82)</f>
        <v>470.82</v>
      </c>
      <c r="E2918" s="2">
        <f>IFERROR(__xludf.DUMMYFUNCTION("""COMPUTED_VALUE"""),472.38)</f>
        <v>472.38</v>
      </c>
      <c r="F2918" s="2">
        <f>IFERROR(__xludf.DUMMYFUNCTION("""COMPUTED_VALUE"""),2672508.0)</f>
        <v>2672508</v>
      </c>
    </row>
    <row r="2919">
      <c r="A2919" s="3">
        <f>IFERROR(__xludf.DUMMYFUNCTION("""COMPUTED_VALUE"""),41744.645833333336)</f>
        <v>41744.64583</v>
      </c>
      <c r="B2919" s="2">
        <f>IFERROR(__xludf.DUMMYFUNCTION("""COMPUTED_VALUE"""),470.52)</f>
        <v>470.52</v>
      </c>
      <c r="C2919" s="2">
        <f>IFERROR(__xludf.DUMMYFUNCTION("""COMPUTED_VALUE"""),472.5)</f>
        <v>472.5</v>
      </c>
      <c r="D2919" s="2">
        <f>IFERROR(__xludf.DUMMYFUNCTION("""COMPUTED_VALUE"""),463.89)</f>
        <v>463.89</v>
      </c>
      <c r="E2919" s="2">
        <f>IFERROR(__xludf.DUMMYFUNCTION("""COMPUTED_VALUE"""),470.08)</f>
        <v>470.08</v>
      </c>
      <c r="F2919" s="2">
        <f>IFERROR(__xludf.DUMMYFUNCTION("""COMPUTED_VALUE"""),2117715.0)</f>
        <v>2117715</v>
      </c>
    </row>
    <row r="2920">
      <c r="A2920" s="3">
        <f>IFERROR(__xludf.DUMMYFUNCTION("""COMPUTED_VALUE"""),41745.645833333336)</f>
        <v>41745.64583</v>
      </c>
      <c r="B2920" s="2">
        <f>IFERROR(__xludf.DUMMYFUNCTION("""COMPUTED_VALUE"""),468.79)</f>
        <v>468.79</v>
      </c>
      <c r="C2920" s="2">
        <f>IFERROR(__xludf.DUMMYFUNCTION("""COMPUTED_VALUE"""),474.98)</f>
        <v>474.98</v>
      </c>
      <c r="D2920" s="2">
        <f>IFERROR(__xludf.DUMMYFUNCTION("""COMPUTED_VALUE"""),464.63)</f>
        <v>464.63</v>
      </c>
      <c r="E2920" s="2">
        <f>IFERROR(__xludf.DUMMYFUNCTION("""COMPUTED_VALUE"""),466.21)</f>
        <v>466.21</v>
      </c>
      <c r="F2920" s="2">
        <f>IFERROR(__xludf.DUMMYFUNCTION("""COMPUTED_VALUE"""),2830152.0)</f>
        <v>2830152</v>
      </c>
    </row>
    <row r="2921">
      <c r="A2921" s="3">
        <f>IFERROR(__xludf.DUMMYFUNCTION("""COMPUTED_VALUE"""),41746.645833333336)</f>
        <v>41746.64583</v>
      </c>
      <c r="B2921" s="2">
        <f>IFERROR(__xludf.DUMMYFUNCTION("""COMPUTED_VALUE"""),468.05)</f>
        <v>468.05</v>
      </c>
      <c r="C2921" s="2">
        <f>IFERROR(__xludf.DUMMYFUNCTION("""COMPUTED_VALUE"""),476.37)</f>
        <v>476.37</v>
      </c>
      <c r="D2921" s="2">
        <f>IFERROR(__xludf.DUMMYFUNCTION("""COMPUTED_VALUE"""),467.45)</f>
        <v>467.45</v>
      </c>
      <c r="E2921" s="2">
        <f>IFERROR(__xludf.DUMMYFUNCTION("""COMPUTED_VALUE"""),475.03)</f>
        <v>475.03</v>
      </c>
      <c r="F2921" s="2">
        <f>IFERROR(__xludf.DUMMYFUNCTION("""COMPUTED_VALUE"""),1793418.0)</f>
        <v>1793418</v>
      </c>
    </row>
    <row r="2922">
      <c r="A2922" s="3">
        <f>IFERROR(__xludf.DUMMYFUNCTION("""COMPUTED_VALUE"""),41750.645833333336)</f>
        <v>41750.64583</v>
      </c>
      <c r="B2922" s="2">
        <f>IFERROR(__xludf.DUMMYFUNCTION("""COMPUTED_VALUE"""),480.4)</f>
        <v>480.4</v>
      </c>
      <c r="C2922" s="2">
        <f>IFERROR(__xludf.DUMMYFUNCTION("""COMPUTED_VALUE"""),480.4)</f>
        <v>480.4</v>
      </c>
      <c r="D2922" s="2">
        <f>IFERROR(__xludf.DUMMYFUNCTION("""COMPUTED_VALUE"""),473.54)</f>
        <v>473.54</v>
      </c>
      <c r="E2922" s="2">
        <f>IFERROR(__xludf.DUMMYFUNCTION("""COMPUTED_VALUE"""),475.28)</f>
        <v>475.28</v>
      </c>
      <c r="F2922" s="2">
        <f>IFERROR(__xludf.DUMMYFUNCTION("""COMPUTED_VALUE"""),2701214.0)</f>
        <v>2701214</v>
      </c>
    </row>
    <row r="2923">
      <c r="A2923" s="3">
        <f>IFERROR(__xludf.DUMMYFUNCTION("""COMPUTED_VALUE"""),41751.645833333336)</f>
        <v>41751.64583</v>
      </c>
      <c r="B2923" s="2">
        <f>IFERROR(__xludf.DUMMYFUNCTION("""COMPUTED_VALUE"""),475.48)</f>
        <v>475.48</v>
      </c>
      <c r="C2923" s="2">
        <f>IFERROR(__xludf.DUMMYFUNCTION("""COMPUTED_VALUE"""),489.71)</f>
        <v>489.71</v>
      </c>
      <c r="D2923" s="2">
        <f>IFERROR(__xludf.DUMMYFUNCTION("""COMPUTED_VALUE"""),473.54)</f>
        <v>473.54</v>
      </c>
      <c r="E2923" s="2">
        <f>IFERROR(__xludf.DUMMYFUNCTION("""COMPUTED_VALUE"""),479.31)</f>
        <v>479.31</v>
      </c>
      <c r="F2923" s="2">
        <f>IFERROR(__xludf.DUMMYFUNCTION("""COMPUTED_VALUE"""),4418930.0)</f>
        <v>4418930</v>
      </c>
    </row>
    <row r="2924">
      <c r="A2924" s="3">
        <f>IFERROR(__xludf.DUMMYFUNCTION("""COMPUTED_VALUE"""),41752.645833333336)</f>
        <v>41752.64583</v>
      </c>
      <c r="B2924" s="2">
        <f>IFERROR(__xludf.DUMMYFUNCTION("""COMPUTED_VALUE"""),479.93)</f>
        <v>479.93</v>
      </c>
      <c r="C2924" s="2">
        <f>IFERROR(__xludf.DUMMYFUNCTION("""COMPUTED_VALUE"""),486.37)</f>
        <v>486.37</v>
      </c>
      <c r="D2924" s="2">
        <f>IFERROR(__xludf.DUMMYFUNCTION("""COMPUTED_VALUE"""),477.58)</f>
        <v>477.58</v>
      </c>
      <c r="E2924" s="2">
        <f>IFERROR(__xludf.DUMMYFUNCTION("""COMPUTED_VALUE"""),479.02)</f>
        <v>479.02</v>
      </c>
      <c r="F2924" s="2">
        <f>IFERROR(__xludf.DUMMYFUNCTION("""COMPUTED_VALUE"""),3494693.0)</f>
        <v>3494693</v>
      </c>
    </row>
    <row r="2925">
      <c r="A2925" s="3">
        <f>IFERROR(__xludf.DUMMYFUNCTION("""COMPUTED_VALUE"""),41754.645833333336)</f>
        <v>41754.64583</v>
      </c>
      <c r="B2925" s="2">
        <f>IFERROR(__xludf.DUMMYFUNCTION("""COMPUTED_VALUE"""),479.44)</f>
        <v>479.44</v>
      </c>
      <c r="C2925" s="2">
        <f>IFERROR(__xludf.DUMMYFUNCTION("""COMPUTED_VALUE"""),479.93)</f>
        <v>479.93</v>
      </c>
      <c r="D2925" s="2">
        <f>IFERROR(__xludf.DUMMYFUNCTION("""COMPUTED_VALUE"""),468.54)</f>
        <v>468.54</v>
      </c>
      <c r="E2925" s="2">
        <f>IFERROR(__xludf.DUMMYFUNCTION("""COMPUTED_VALUE"""),469.66)</f>
        <v>469.66</v>
      </c>
      <c r="F2925" s="2">
        <f>IFERROR(__xludf.DUMMYFUNCTION("""COMPUTED_VALUE"""),3029220.0)</f>
        <v>3029220</v>
      </c>
    </row>
    <row r="2926">
      <c r="A2926" s="3">
        <f>IFERROR(__xludf.DUMMYFUNCTION("""COMPUTED_VALUE"""),41757.645833333336)</f>
        <v>41757.64583</v>
      </c>
      <c r="B2926" s="2">
        <f>IFERROR(__xludf.DUMMYFUNCTION("""COMPUTED_VALUE"""),470.42)</f>
        <v>470.42</v>
      </c>
      <c r="C2926" s="2">
        <f>IFERROR(__xludf.DUMMYFUNCTION("""COMPUTED_VALUE"""),473.49)</f>
        <v>473.49</v>
      </c>
      <c r="D2926" s="2">
        <f>IFERROR(__xludf.DUMMYFUNCTION("""COMPUTED_VALUE"""),466.24)</f>
        <v>466.24</v>
      </c>
      <c r="E2926" s="2">
        <f>IFERROR(__xludf.DUMMYFUNCTION("""COMPUTED_VALUE"""),468.05)</f>
        <v>468.05</v>
      </c>
      <c r="F2926" s="2">
        <f>IFERROR(__xludf.DUMMYFUNCTION("""COMPUTED_VALUE"""),3796899.0)</f>
        <v>3796899</v>
      </c>
    </row>
    <row r="2927">
      <c r="A2927" s="3">
        <f>IFERROR(__xludf.DUMMYFUNCTION("""COMPUTED_VALUE"""),41758.645833333336)</f>
        <v>41758.64583</v>
      </c>
      <c r="B2927" s="2">
        <f>IFERROR(__xludf.DUMMYFUNCTION("""COMPUTED_VALUE"""),468.57)</f>
        <v>468.57</v>
      </c>
      <c r="C2927" s="2">
        <f>IFERROR(__xludf.DUMMYFUNCTION("""COMPUTED_VALUE"""),471.39)</f>
        <v>471.39</v>
      </c>
      <c r="D2927" s="2">
        <f>IFERROR(__xludf.DUMMYFUNCTION("""COMPUTED_VALUE"""),464.58)</f>
        <v>464.58</v>
      </c>
      <c r="E2927" s="2">
        <f>IFERROR(__xludf.DUMMYFUNCTION("""COMPUTED_VALUE"""),465.72)</f>
        <v>465.72</v>
      </c>
      <c r="F2927" s="2">
        <f>IFERROR(__xludf.DUMMYFUNCTION("""COMPUTED_VALUE"""),1919298.0)</f>
        <v>1919298</v>
      </c>
    </row>
    <row r="2928">
      <c r="A2928" s="3">
        <f>IFERROR(__xludf.DUMMYFUNCTION("""COMPUTED_VALUE"""),41759.645833333336)</f>
        <v>41759.64583</v>
      </c>
      <c r="B2928" s="2">
        <f>IFERROR(__xludf.DUMMYFUNCTION("""COMPUTED_VALUE"""),467.5)</f>
        <v>467.5</v>
      </c>
      <c r="C2928" s="2">
        <f>IFERROR(__xludf.DUMMYFUNCTION("""COMPUTED_VALUE"""),475.48)</f>
        <v>475.48</v>
      </c>
      <c r="D2928" s="2">
        <f>IFERROR(__xludf.DUMMYFUNCTION("""COMPUTED_VALUE"""),460.17)</f>
        <v>460.17</v>
      </c>
      <c r="E2928" s="2">
        <f>IFERROR(__xludf.DUMMYFUNCTION("""COMPUTED_VALUE"""),463.49)</f>
        <v>463.49</v>
      </c>
      <c r="F2928" s="2">
        <f>IFERROR(__xludf.DUMMYFUNCTION("""COMPUTED_VALUE"""),3289582.0)</f>
        <v>3289582</v>
      </c>
    </row>
    <row r="2929">
      <c r="A2929" s="3">
        <f>IFERROR(__xludf.DUMMYFUNCTION("""COMPUTED_VALUE"""),41761.645833333336)</f>
        <v>41761.64583</v>
      </c>
      <c r="B2929" s="2">
        <f>IFERROR(__xludf.DUMMYFUNCTION("""COMPUTED_VALUE"""),465.57)</f>
        <v>465.57</v>
      </c>
      <c r="C2929" s="2">
        <f>IFERROR(__xludf.DUMMYFUNCTION("""COMPUTED_VALUE"""),469.23)</f>
        <v>469.23</v>
      </c>
      <c r="D2929" s="2">
        <f>IFERROR(__xludf.DUMMYFUNCTION("""COMPUTED_VALUE"""),458.64)</f>
        <v>458.64</v>
      </c>
      <c r="E2929" s="2">
        <f>IFERROR(__xludf.DUMMYFUNCTION("""COMPUTED_VALUE"""),459.68)</f>
        <v>459.68</v>
      </c>
      <c r="F2929" s="2">
        <f>IFERROR(__xludf.DUMMYFUNCTION("""COMPUTED_VALUE"""),2073376.0)</f>
        <v>2073376</v>
      </c>
    </row>
    <row r="2930">
      <c r="A2930" s="3">
        <f>IFERROR(__xludf.DUMMYFUNCTION("""COMPUTED_VALUE"""),41764.645833333336)</f>
        <v>41764.64583</v>
      </c>
      <c r="B2930" s="2">
        <f>IFERROR(__xludf.DUMMYFUNCTION("""COMPUTED_VALUE"""),458.14)</f>
        <v>458.14</v>
      </c>
      <c r="C2930" s="2">
        <f>IFERROR(__xludf.DUMMYFUNCTION("""COMPUTED_VALUE"""),474.73)</f>
        <v>474.73</v>
      </c>
      <c r="D2930" s="2">
        <f>IFERROR(__xludf.DUMMYFUNCTION("""COMPUTED_VALUE"""),458.14)</f>
        <v>458.14</v>
      </c>
      <c r="E2930" s="2">
        <f>IFERROR(__xludf.DUMMYFUNCTION("""COMPUTED_VALUE"""),468.96)</f>
        <v>468.96</v>
      </c>
      <c r="F2930" s="2">
        <f>IFERROR(__xludf.DUMMYFUNCTION("""COMPUTED_VALUE"""),3474292.0)</f>
        <v>3474292</v>
      </c>
    </row>
    <row r="2931">
      <c r="A2931" s="3">
        <f>IFERROR(__xludf.DUMMYFUNCTION("""COMPUTED_VALUE"""),41765.645833333336)</f>
        <v>41765.64583</v>
      </c>
      <c r="B2931" s="2">
        <f>IFERROR(__xludf.DUMMYFUNCTION("""COMPUTED_VALUE"""),469.48)</f>
        <v>469.48</v>
      </c>
      <c r="C2931" s="2">
        <f>IFERROR(__xludf.DUMMYFUNCTION("""COMPUTED_VALUE"""),478.94)</f>
        <v>478.94</v>
      </c>
      <c r="D2931" s="2">
        <f>IFERROR(__xludf.DUMMYFUNCTION("""COMPUTED_VALUE"""),469.31)</f>
        <v>469.31</v>
      </c>
      <c r="E2931" s="2">
        <f>IFERROR(__xludf.DUMMYFUNCTION("""COMPUTED_VALUE"""),477.13)</f>
        <v>477.13</v>
      </c>
      <c r="F2931" s="2">
        <f>IFERROR(__xludf.DUMMYFUNCTION("""COMPUTED_VALUE"""),2832651.0)</f>
        <v>2832651</v>
      </c>
    </row>
    <row r="2932">
      <c r="A2932" s="3">
        <f>IFERROR(__xludf.DUMMYFUNCTION("""COMPUTED_VALUE"""),41766.645833333336)</f>
        <v>41766.64583</v>
      </c>
      <c r="B2932" s="2">
        <f>IFERROR(__xludf.DUMMYFUNCTION("""COMPUTED_VALUE"""),475.52)</f>
        <v>475.52</v>
      </c>
      <c r="C2932" s="2">
        <f>IFERROR(__xludf.DUMMYFUNCTION("""COMPUTED_VALUE"""),481.12)</f>
        <v>481.12</v>
      </c>
      <c r="D2932" s="2">
        <f>IFERROR(__xludf.DUMMYFUNCTION("""COMPUTED_VALUE"""),474.01)</f>
        <v>474.01</v>
      </c>
      <c r="E2932" s="2">
        <f>IFERROR(__xludf.DUMMYFUNCTION("""COMPUTED_VALUE"""),475.9)</f>
        <v>475.9</v>
      </c>
      <c r="F2932" s="2">
        <f>IFERROR(__xludf.DUMMYFUNCTION("""COMPUTED_VALUE"""),2416483.0)</f>
        <v>2416483</v>
      </c>
    </row>
    <row r="2933">
      <c r="A2933" s="3">
        <f>IFERROR(__xludf.DUMMYFUNCTION("""COMPUTED_VALUE"""),41767.645833333336)</f>
        <v>41767.64583</v>
      </c>
      <c r="B2933" s="2">
        <f>IFERROR(__xludf.DUMMYFUNCTION("""COMPUTED_VALUE"""),477.01)</f>
        <v>477.01</v>
      </c>
      <c r="C2933" s="2">
        <f>IFERROR(__xludf.DUMMYFUNCTION("""COMPUTED_VALUE"""),480.48)</f>
        <v>480.48</v>
      </c>
      <c r="D2933" s="2">
        <f>IFERROR(__xludf.DUMMYFUNCTION("""COMPUTED_VALUE"""),470.89)</f>
        <v>470.89</v>
      </c>
      <c r="E2933" s="2">
        <f>IFERROR(__xludf.DUMMYFUNCTION("""COMPUTED_VALUE"""),475.62)</f>
        <v>475.62</v>
      </c>
      <c r="F2933" s="2">
        <f>IFERROR(__xludf.DUMMYFUNCTION("""COMPUTED_VALUE"""),2731382.0)</f>
        <v>2731382</v>
      </c>
    </row>
    <row r="2934">
      <c r="A2934" s="3">
        <f>IFERROR(__xludf.DUMMYFUNCTION("""COMPUTED_VALUE"""),41768.645833333336)</f>
        <v>41768.64583</v>
      </c>
      <c r="B2934" s="2">
        <f>IFERROR(__xludf.DUMMYFUNCTION("""COMPUTED_VALUE"""),473.4)</f>
        <v>473.4</v>
      </c>
      <c r="C2934" s="2">
        <f>IFERROR(__xludf.DUMMYFUNCTION("""COMPUTED_VALUE"""),494.79)</f>
        <v>494.79</v>
      </c>
      <c r="D2934" s="2">
        <f>IFERROR(__xludf.DUMMYFUNCTION("""COMPUTED_VALUE"""),473.4)</f>
        <v>473.4</v>
      </c>
      <c r="E2934" s="2">
        <f>IFERROR(__xludf.DUMMYFUNCTION("""COMPUTED_VALUE"""),494.1)</f>
        <v>494.1</v>
      </c>
      <c r="F2934" s="2">
        <f>IFERROR(__xludf.DUMMYFUNCTION("""COMPUTED_VALUE"""),4217843.0)</f>
        <v>4217843</v>
      </c>
    </row>
    <row r="2935">
      <c r="A2935" s="3">
        <f>IFERROR(__xludf.DUMMYFUNCTION("""COMPUTED_VALUE"""),41771.645833333336)</f>
        <v>41771.64583</v>
      </c>
      <c r="B2935" s="2">
        <f>IFERROR(__xludf.DUMMYFUNCTION("""COMPUTED_VALUE"""),492.76)</f>
        <v>492.76</v>
      </c>
      <c r="C2935" s="2">
        <f>IFERROR(__xludf.DUMMYFUNCTION("""COMPUTED_VALUE"""),519.56)</f>
        <v>519.56</v>
      </c>
      <c r="D2935" s="2">
        <f>IFERROR(__xludf.DUMMYFUNCTION("""COMPUTED_VALUE"""),492.36)</f>
        <v>492.36</v>
      </c>
      <c r="E2935" s="2">
        <f>IFERROR(__xludf.DUMMYFUNCTION("""COMPUTED_VALUE"""),509.5)</f>
        <v>509.5</v>
      </c>
      <c r="F2935" s="2">
        <f>IFERROR(__xludf.DUMMYFUNCTION("""COMPUTED_VALUE"""),7051280.0)</f>
        <v>7051280</v>
      </c>
    </row>
    <row r="2936">
      <c r="A2936" s="3">
        <f>IFERROR(__xludf.DUMMYFUNCTION("""COMPUTED_VALUE"""),41772.645833333336)</f>
        <v>41772.64583</v>
      </c>
      <c r="B2936" s="2">
        <f>IFERROR(__xludf.DUMMYFUNCTION("""COMPUTED_VALUE"""),515.1)</f>
        <v>515.1</v>
      </c>
      <c r="C2936" s="2">
        <f>IFERROR(__xludf.DUMMYFUNCTION("""COMPUTED_VALUE"""),529.36)</f>
        <v>529.36</v>
      </c>
      <c r="D2936" s="2">
        <f>IFERROR(__xludf.DUMMYFUNCTION("""COMPUTED_VALUE"""),512.37)</f>
        <v>512.37</v>
      </c>
      <c r="E2936" s="2">
        <f>IFERROR(__xludf.DUMMYFUNCTION("""COMPUTED_VALUE"""),526.69)</f>
        <v>526.69</v>
      </c>
      <c r="F2936" s="2">
        <f>IFERROR(__xludf.DUMMYFUNCTION("""COMPUTED_VALUE"""),6140492.0)</f>
        <v>6140492</v>
      </c>
    </row>
    <row r="2937">
      <c r="A2937" s="3">
        <f>IFERROR(__xludf.DUMMYFUNCTION("""COMPUTED_VALUE"""),41773.645833333336)</f>
        <v>41773.64583</v>
      </c>
      <c r="B2937" s="2">
        <f>IFERROR(__xludf.DUMMYFUNCTION("""COMPUTED_VALUE"""),526.99)</f>
        <v>526.99</v>
      </c>
      <c r="C2937" s="2">
        <f>IFERROR(__xludf.DUMMYFUNCTION("""COMPUTED_VALUE"""),528.97)</f>
        <v>528.97</v>
      </c>
      <c r="D2937" s="2">
        <f>IFERROR(__xludf.DUMMYFUNCTION("""COMPUTED_VALUE"""),515.64)</f>
        <v>515.64</v>
      </c>
      <c r="E2937" s="2">
        <f>IFERROR(__xludf.DUMMYFUNCTION("""COMPUTED_VALUE"""),517.82)</f>
        <v>517.82</v>
      </c>
      <c r="F2937" s="2">
        <f>IFERROR(__xludf.DUMMYFUNCTION("""COMPUTED_VALUE"""),4428958.0)</f>
        <v>4428958</v>
      </c>
    </row>
    <row r="2938">
      <c r="A2938" s="3">
        <f>IFERROR(__xludf.DUMMYFUNCTION("""COMPUTED_VALUE"""),41774.645833333336)</f>
        <v>41774.64583</v>
      </c>
      <c r="B2938" s="2">
        <f>IFERROR(__xludf.DUMMYFUNCTION("""COMPUTED_VALUE"""),517.82)</f>
        <v>517.82</v>
      </c>
      <c r="C2938" s="2">
        <f>IFERROR(__xludf.DUMMYFUNCTION("""COMPUTED_VALUE"""),525.0)</f>
        <v>525</v>
      </c>
      <c r="D2938" s="2">
        <f>IFERROR(__xludf.DUMMYFUNCTION("""COMPUTED_VALUE"""),514.73)</f>
        <v>514.73</v>
      </c>
      <c r="E2938" s="2">
        <f>IFERROR(__xludf.DUMMYFUNCTION("""COMPUTED_VALUE"""),521.74)</f>
        <v>521.74</v>
      </c>
      <c r="F2938" s="2">
        <f>IFERROR(__xludf.DUMMYFUNCTION("""COMPUTED_VALUE"""),4769324.0)</f>
        <v>4769324</v>
      </c>
    </row>
    <row r="2939">
      <c r="A2939" s="3">
        <f>IFERROR(__xludf.DUMMYFUNCTION("""COMPUTED_VALUE"""),41775.645833333336)</f>
        <v>41775.64583</v>
      </c>
      <c r="B2939" s="2">
        <f>IFERROR(__xludf.DUMMYFUNCTION("""COMPUTED_VALUE"""),539.91)</f>
        <v>539.91</v>
      </c>
      <c r="C2939" s="2">
        <f>IFERROR(__xludf.DUMMYFUNCTION("""COMPUTED_VALUE"""),567.23)</f>
        <v>567.23</v>
      </c>
      <c r="D2939" s="2">
        <f>IFERROR(__xludf.DUMMYFUNCTION("""COMPUTED_VALUE"""),526.04)</f>
        <v>526.04</v>
      </c>
      <c r="E2939" s="2">
        <f>IFERROR(__xludf.DUMMYFUNCTION("""COMPUTED_VALUE"""),534.54)</f>
        <v>534.54</v>
      </c>
      <c r="F2939" s="2">
        <f>IFERROR(__xludf.DUMMYFUNCTION("""COMPUTED_VALUE"""),1.2031151E7)</f>
        <v>12031151</v>
      </c>
    </row>
    <row r="2940">
      <c r="A2940" s="3">
        <f>IFERROR(__xludf.DUMMYFUNCTION("""COMPUTED_VALUE"""),41778.645833333336)</f>
        <v>41778.64583</v>
      </c>
      <c r="B2940" s="2">
        <f>IFERROR(__xludf.DUMMYFUNCTION("""COMPUTED_VALUE"""),540.36)</f>
        <v>540.36</v>
      </c>
      <c r="C2940" s="2">
        <f>IFERROR(__xludf.DUMMYFUNCTION("""COMPUTED_VALUE"""),557.07)</f>
        <v>557.07</v>
      </c>
      <c r="D2940" s="2">
        <f>IFERROR(__xludf.DUMMYFUNCTION("""COMPUTED_VALUE"""),538.33)</f>
        <v>538.33</v>
      </c>
      <c r="E2940" s="2">
        <f>IFERROR(__xludf.DUMMYFUNCTION("""COMPUTED_VALUE"""),554.75)</f>
        <v>554.75</v>
      </c>
      <c r="F2940" s="2">
        <f>IFERROR(__xludf.DUMMYFUNCTION("""COMPUTED_VALUE"""),5439813.0)</f>
        <v>5439813</v>
      </c>
    </row>
    <row r="2941">
      <c r="A2941" s="3">
        <f>IFERROR(__xludf.DUMMYFUNCTION("""COMPUTED_VALUE"""),41779.645833333336)</f>
        <v>41779.64583</v>
      </c>
      <c r="B2941" s="2">
        <f>IFERROR(__xludf.DUMMYFUNCTION("""COMPUTED_VALUE"""),558.63)</f>
        <v>558.63</v>
      </c>
      <c r="C2941" s="2">
        <f>IFERROR(__xludf.DUMMYFUNCTION("""COMPUTED_VALUE"""),559.18)</f>
        <v>559.18</v>
      </c>
      <c r="D2941" s="2">
        <f>IFERROR(__xludf.DUMMYFUNCTION("""COMPUTED_VALUE"""),532.78)</f>
        <v>532.78</v>
      </c>
      <c r="E2941" s="2">
        <f>IFERROR(__xludf.DUMMYFUNCTION("""COMPUTED_VALUE"""),534.84)</f>
        <v>534.84</v>
      </c>
      <c r="F2941" s="2">
        <f>IFERROR(__xludf.DUMMYFUNCTION("""COMPUTED_VALUE"""),5145199.0)</f>
        <v>5145199</v>
      </c>
    </row>
    <row r="2942">
      <c r="A2942" s="3">
        <f>IFERROR(__xludf.DUMMYFUNCTION("""COMPUTED_VALUE"""),41780.645833333336)</f>
        <v>41780.64583</v>
      </c>
      <c r="B2942" s="2">
        <f>IFERROR(__xludf.DUMMYFUNCTION("""COMPUTED_VALUE"""),534.84)</f>
        <v>534.84</v>
      </c>
      <c r="C2942" s="2">
        <f>IFERROR(__xludf.DUMMYFUNCTION("""COMPUTED_VALUE"""),546.28)</f>
        <v>546.28</v>
      </c>
      <c r="D2942" s="2">
        <f>IFERROR(__xludf.DUMMYFUNCTION("""COMPUTED_VALUE"""),531.81)</f>
        <v>531.81</v>
      </c>
      <c r="E2942" s="2">
        <f>IFERROR(__xludf.DUMMYFUNCTION("""COMPUTED_VALUE"""),534.12)</f>
        <v>534.12</v>
      </c>
      <c r="F2942" s="2">
        <f>IFERROR(__xludf.DUMMYFUNCTION("""COMPUTED_VALUE"""),5026907.0)</f>
        <v>5026907</v>
      </c>
    </row>
    <row r="2943">
      <c r="A2943" s="3">
        <f>IFERROR(__xludf.DUMMYFUNCTION("""COMPUTED_VALUE"""),41781.645833333336)</f>
        <v>41781.64583</v>
      </c>
      <c r="B2943" s="2">
        <f>IFERROR(__xludf.DUMMYFUNCTION("""COMPUTED_VALUE"""),537.88)</f>
        <v>537.88</v>
      </c>
      <c r="C2943" s="2">
        <f>IFERROR(__xludf.DUMMYFUNCTION("""COMPUTED_VALUE"""),551.45)</f>
        <v>551.45</v>
      </c>
      <c r="D2943" s="2">
        <f>IFERROR(__xludf.DUMMYFUNCTION("""COMPUTED_VALUE"""),537.24)</f>
        <v>537.24</v>
      </c>
      <c r="E2943" s="2">
        <f>IFERROR(__xludf.DUMMYFUNCTION("""COMPUTED_VALUE"""),545.21)</f>
        <v>545.21</v>
      </c>
      <c r="F2943" s="2">
        <f>IFERROR(__xludf.DUMMYFUNCTION("""COMPUTED_VALUE"""),4284833.0)</f>
        <v>4284833</v>
      </c>
    </row>
    <row r="2944">
      <c r="A2944" s="3">
        <f>IFERROR(__xludf.DUMMYFUNCTION("""COMPUTED_VALUE"""),41782.645833333336)</f>
        <v>41782.64583</v>
      </c>
      <c r="B2944" s="2">
        <f>IFERROR(__xludf.DUMMYFUNCTION("""COMPUTED_VALUE"""),550.54)</f>
        <v>550.54</v>
      </c>
      <c r="C2944" s="2">
        <f>IFERROR(__xludf.DUMMYFUNCTION("""COMPUTED_VALUE"""),560.66)</f>
        <v>560.66</v>
      </c>
      <c r="D2944" s="2">
        <f>IFERROR(__xludf.DUMMYFUNCTION("""COMPUTED_VALUE"""),545.81)</f>
        <v>545.81</v>
      </c>
      <c r="E2944" s="2">
        <f>IFERROR(__xludf.DUMMYFUNCTION("""COMPUTED_VALUE"""),558.41)</f>
        <v>558.41</v>
      </c>
      <c r="F2944" s="2">
        <f>IFERROR(__xludf.DUMMYFUNCTION("""COMPUTED_VALUE"""),3786896.0)</f>
        <v>3786896</v>
      </c>
    </row>
    <row r="2945">
      <c r="A2945" s="3">
        <f>IFERROR(__xludf.DUMMYFUNCTION("""COMPUTED_VALUE"""),41785.645833333336)</f>
        <v>41785.64583</v>
      </c>
      <c r="B2945" s="2">
        <f>IFERROR(__xludf.DUMMYFUNCTION("""COMPUTED_VALUE"""),560.91)</f>
        <v>560.91</v>
      </c>
      <c r="C2945" s="2">
        <f>IFERROR(__xludf.DUMMYFUNCTION("""COMPUTED_VALUE"""),564.63)</f>
        <v>564.63</v>
      </c>
      <c r="D2945" s="2">
        <f>IFERROR(__xludf.DUMMYFUNCTION("""COMPUTED_VALUE"""),532.43)</f>
        <v>532.43</v>
      </c>
      <c r="E2945" s="2">
        <f>IFERROR(__xludf.DUMMYFUNCTION("""COMPUTED_VALUE"""),545.66)</f>
        <v>545.66</v>
      </c>
      <c r="F2945" s="2">
        <f>IFERROR(__xludf.DUMMYFUNCTION("""COMPUTED_VALUE"""),3674151.0)</f>
        <v>3674151</v>
      </c>
    </row>
    <row r="2946">
      <c r="A2946" s="3">
        <f>IFERROR(__xludf.DUMMYFUNCTION("""COMPUTED_VALUE"""),41786.645833333336)</f>
        <v>41786.64583</v>
      </c>
      <c r="B2946" s="2">
        <f>IFERROR(__xludf.DUMMYFUNCTION("""COMPUTED_VALUE"""),546.3)</f>
        <v>546.3</v>
      </c>
      <c r="C2946" s="2">
        <f>IFERROR(__xludf.DUMMYFUNCTION("""COMPUTED_VALUE"""),548.78)</f>
        <v>548.78</v>
      </c>
      <c r="D2946" s="2">
        <f>IFERROR(__xludf.DUMMYFUNCTION("""COMPUTED_VALUE"""),532.48)</f>
        <v>532.48</v>
      </c>
      <c r="E2946" s="2">
        <f>IFERROR(__xludf.DUMMYFUNCTION("""COMPUTED_VALUE"""),538.85)</f>
        <v>538.85</v>
      </c>
      <c r="F2946" s="2">
        <f>IFERROR(__xludf.DUMMYFUNCTION("""COMPUTED_VALUE"""),2576905.0)</f>
        <v>2576905</v>
      </c>
    </row>
    <row r="2947">
      <c r="A2947" s="3">
        <f>IFERROR(__xludf.DUMMYFUNCTION("""COMPUTED_VALUE"""),41787.645833333336)</f>
        <v>41787.64583</v>
      </c>
      <c r="B2947" s="2">
        <f>IFERROR(__xludf.DUMMYFUNCTION("""COMPUTED_VALUE"""),539.66)</f>
        <v>539.66</v>
      </c>
      <c r="C2947" s="2">
        <f>IFERROR(__xludf.DUMMYFUNCTION("""COMPUTED_VALUE"""),548.08)</f>
        <v>548.08</v>
      </c>
      <c r="D2947" s="2">
        <f>IFERROR(__xludf.DUMMYFUNCTION("""COMPUTED_VALUE"""),537.26)</f>
        <v>537.26</v>
      </c>
      <c r="E2947" s="2">
        <f>IFERROR(__xludf.DUMMYFUNCTION("""COMPUTED_VALUE"""),539.32)</f>
        <v>539.32</v>
      </c>
      <c r="F2947" s="2">
        <f>IFERROR(__xludf.DUMMYFUNCTION("""COMPUTED_VALUE"""),2594834.0)</f>
        <v>2594834</v>
      </c>
    </row>
    <row r="2948">
      <c r="A2948" s="3">
        <f>IFERROR(__xludf.DUMMYFUNCTION("""COMPUTED_VALUE"""),41788.645833333336)</f>
        <v>41788.64583</v>
      </c>
      <c r="B2948" s="2">
        <f>IFERROR(__xludf.DUMMYFUNCTION("""COMPUTED_VALUE"""),541.1)</f>
        <v>541.1</v>
      </c>
      <c r="C2948" s="2">
        <f>IFERROR(__xludf.DUMMYFUNCTION("""COMPUTED_VALUE"""),541.55)</f>
        <v>541.55</v>
      </c>
      <c r="D2948" s="2">
        <f>IFERROR(__xludf.DUMMYFUNCTION("""COMPUTED_VALUE"""),529.14)</f>
        <v>529.14</v>
      </c>
      <c r="E2948" s="2">
        <f>IFERROR(__xludf.DUMMYFUNCTION("""COMPUTED_VALUE"""),531.72)</f>
        <v>531.72</v>
      </c>
      <c r="F2948" s="2">
        <f>IFERROR(__xludf.DUMMYFUNCTION("""COMPUTED_VALUE"""),6322422.0)</f>
        <v>6322422</v>
      </c>
    </row>
    <row r="2949">
      <c r="A2949" s="3">
        <f>IFERROR(__xludf.DUMMYFUNCTION("""COMPUTED_VALUE"""),41789.645833333336)</f>
        <v>41789.64583</v>
      </c>
      <c r="B2949" s="2">
        <f>IFERROR(__xludf.DUMMYFUNCTION("""COMPUTED_VALUE"""),537.39)</f>
        <v>537.39</v>
      </c>
      <c r="C2949" s="2">
        <f>IFERROR(__xludf.DUMMYFUNCTION("""COMPUTED_VALUE"""),539.71)</f>
        <v>539.71</v>
      </c>
      <c r="D2949" s="2">
        <f>IFERROR(__xludf.DUMMYFUNCTION("""COMPUTED_VALUE"""),525.0)</f>
        <v>525</v>
      </c>
      <c r="E2949" s="2">
        <f>IFERROR(__xludf.DUMMYFUNCTION("""COMPUTED_VALUE"""),527.33)</f>
        <v>527.33</v>
      </c>
      <c r="F2949" s="2">
        <f>IFERROR(__xludf.DUMMYFUNCTION("""COMPUTED_VALUE"""),3953091.0)</f>
        <v>3953091</v>
      </c>
    </row>
    <row r="2950">
      <c r="A2950" s="3">
        <f>IFERROR(__xludf.DUMMYFUNCTION("""COMPUTED_VALUE"""),41792.645833333336)</f>
        <v>41792.64583</v>
      </c>
      <c r="B2950" s="2">
        <f>IFERROR(__xludf.DUMMYFUNCTION("""COMPUTED_VALUE"""),532.31)</f>
        <v>532.31</v>
      </c>
      <c r="C2950" s="2">
        <f>IFERROR(__xludf.DUMMYFUNCTION("""COMPUTED_VALUE"""),539.0)</f>
        <v>539</v>
      </c>
      <c r="D2950" s="2">
        <f>IFERROR(__xludf.DUMMYFUNCTION("""COMPUTED_VALUE"""),527.63)</f>
        <v>527.63</v>
      </c>
      <c r="E2950" s="2">
        <f>IFERROR(__xludf.DUMMYFUNCTION("""COMPUTED_VALUE"""),536.0)</f>
        <v>536</v>
      </c>
      <c r="F2950" s="2">
        <f>IFERROR(__xludf.DUMMYFUNCTION("""COMPUTED_VALUE"""),2012972.0)</f>
        <v>2012972</v>
      </c>
    </row>
    <row r="2951">
      <c r="A2951" s="3">
        <f>IFERROR(__xludf.DUMMYFUNCTION("""COMPUTED_VALUE"""),41793.645833333336)</f>
        <v>41793.64583</v>
      </c>
      <c r="B2951" s="2">
        <f>IFERROR(__xludf.DUMMYFUNCTION("""COMPUTED_VALUE"""),536.54)</f>
        <v>536.54</v>
      </c>
      <c r="C2951" s="2">
        <f>IFERROR(__xludf.DUMMYFUNCTION("""COMPUTED_VALUE"""),545.81)</f>
        <v>545.81</v>
      </c>
      <c r="D2951" s="2">
        <f>IFERROR(__xludf.DUMMYFUNCTION("""COMPUTED_VALUE"""),533.6)</f>
        <v>533.6</v>
      </c>
      <c r="E2951" s="2">
        <f>IFERROR(__xludf.DUMMYFUNCTION("""COMPUTED_VALUE"""),542.54)</f>
        <v>542.54</v>
      </c>
      <c r="F2951" s="2">
        <f>IFERROR(__xludf.DUMMYFUNCTION("""COMPUTED_VALUE"""),2485694.0)</f>
        <v>2485694</v>
      </c>
    </row>
    <row r="2952">
      <c r="A2952" s="3">
        <f>IFERROR(__xludf.DUMMYFUNCTION("""COMPUTED_VALUE"""),41794.645833333336)</f>
        <v>41794.64583</v>
      </c>
      <c r="B2952" s="2">
        <f>IFERROR(__xludf.DUMMYFUNCTION("""COMPUTED_VALUE"""),541.18)</f>
        <v>541.18</v>
      </c>
      <c r="C2952" s="2">
        <f>IFERROR(__xludf.DUMMYFUNCTION("""COMPUTED_VALUE"""),545.71)</f>
        <v>545.71</v>
      </c>
      <c r="D2952" s="2">
        <f>IFERROR(__xludf.DUMMYFUNCTION("""COMPUTED_VALUE"""),533.05)</f>
        <v>533.05</v>
      </c>
      <c r="E2952" s="2">
        <f>IFERROR(__xludf.DUMMYFUNCTION("""COMPUTED_VALUE"""),533.67)</f>
        <v>533.67</v>
      </c>
      <c r="F2952" s="2">
        <f>IFERROR(__xludf.DUMMYFUNCTION("""COMPUTED_VALUE"""),2017568.0)</f>
        <v>2017568</v>
      </c>
    </row>
    <row r="2953">
      <c r="A2953" s="3">
        <f>IFERROR(__xludf.DUMMYFUNCTION("""COMPUTED_VALUE"""),41795.645833333336)</f>
        <v>41795.64583</v>
      </c>
      <c r="B2953" s="2">
        <f>IFERROR(__xludf.DUMMYFUNCTION("""COMPUTED_VALUE"""),534.17)</f>
        <v>534.17</v>
      </c>
      <c r="C2953" s="2">
        <f>IFERROR(__xludf.DUMMYFUNCTION("""COMPUTED_VALUE"""),542.29)</f>
        <v>542.29</v>
      </c>
      <c r="D2953" s="2">
        <f>IFERROR(__xludf.DUMMYFUNCTION("""COMPUTED_VALUE"""),527.11)</f>
        <v>527.11</v>
      </c>
      <c r="E2953" s="2">
        <f>IFERROR(__xludf.DUMMYFUNCTION("""COMPUTED_VALUE"""),539.81)</f>
        <v>539.81</v>
      </c>
      <c r="F2953" s="2">
        <f>IFERROR(__xludf.DUMMYFUNCTION("""COMPUTED_VALUE"""),4565820.0)</f>
        <v>4565820</v>
      </c>
    </row>
    <row r="2954">
      <c r="A2954" s="3">
        <f>IFERROR(__xludf.DUMMYFUNCTION("""COMPUTED_VALUE"""),41796.645833333336)</f>
        <v>41796.64583</v>
      </c>
      <c r="B2954" s="2">
        <f>IFERROR(__xludf.DUMMYFUNCTION("""COMPUTED_VALUE"""),548.48)</f>
        <v>548.48</v>
      </c>
      <c r="C2954" s="2">
        <f>IFERROR(__xludf.DUMMYFUNCTION("""COMPUTED_VALUE"""),561.16)</f>
        <v>561.16</v>
      </c>
      <c r="D2954" s="2">
        <f>IFERROR(__xludf.DUMMYFUNCTION("""COMPUTED_VALUE"""),546.85)</f>
        <v>546.85</v>
      </c>
      <c r="E2954" s="2">
        <f>IFERROR(__xludf.DUMMYFUNCTION("""COMPUTED_VALUE"""),555.91)</f>
        <v>555.91</v>
      </c>
      <c r="F2954" s="2">
        <f>IFERROR(__xludf.DUMMYFUNCTION("""COMPUTED_VALUE"""),6701908.0)</f>
        <v>6701908</v>
      </c>
    </row>
    <row r="2955">
      <c r="A2955" s="3">
        <f>IFERROR(__xludf.DUMMYFUNCTION("""COMPUTED_VALUE"""),41799.645833333336)</f>
        <v>41799.64583</v>
      </c>
      <c r="B2955" s="2">
        <f>IFERROR(__xludf.DUMMYFUNCTION("""COMPUTED_VALUE"""),559.67)</f>
        <v>559.67</v>
      </c>
      <c r="C2955" s="2">
        <f>IFERROR(__xludf.DUMMYFUNCTION("""COMPUTED_VALUE"""),561.01)</f>
        <v>561.01</v>
      </c>
      <c r="D2955" s="2">
        <f>IFERROR(__xludf.DUMMYFUNCTION("""COMPUTED_VALUE"""),550.81)</f>
        <v>550.81</v>
      </c>
      <c r="E2955" s="2">
        <f>IFERROR(__xludf.DUMMYFUNCTION("""COMPUTED_VALUE"""),556.03)</f>
        <v>556.03</v>
      </c>
      <c r="F2955" s="2">
        <f>IFERROR(__xludf.DUMMYFUNCTION("""COMPUTED_VALUE"""),3085371.0)</f>
        <v>3085371</v>
      </c>
    </row>
    <row r="2956">
      <c r="A2956" s="3">
        <f>IFERROR(__xludf.DUMMYFUNCTION("""COMPUTED_VALUE"""),41800.645833333336)</f>
        <v>41800.64583</v>
      </c>
      <c r="B2956" s="2">
        <f>IFERROR(__xludf.DUMMYFUNCTION("""COMPUTED_VALUE"""),559.9)</f>
        <v>559.9</v>
      </c>
      <c r="C2956" s="2">
        <f>IFERROR(__xludf.DUMMYFUNCTION("""COMPUTED_VALUE"""),559.9)</f>
        <v>559.9</v>
      </c>
      <c r="D2956" s="2">
        <f>IFERROR(__xludf.DUMMYFUNCTION("""COMPUTED_VALUE"""),545.04)</f>
        <v>545.04</v>
      </c>
      <c r="E2956" s="2">
        <f>IFERROR(__xludf.DUMMYFUNCTION("""COMPUTED_VALUE"""),553.88)</f>
        <v>553.88</v>
      </c>
      <c r="F2956" s="2">
        <f>IFERROR(__xludf.DUMMYFUNCTION("""COMPUTED_VALUE"""),3602608.0)</f>
        <v>3602608</v>
      </c>
    </row>
    <row r="2957">
      <c r="A2957" s="3">
        <f>IFERROR(__xludf.DUMMYFUNCTION("""COMPUTED_VALUE"""),41801.645833333336)</f>
        <v>41801.64583</v>
      </c>
      <c r="B2957" s="2">
        <f>IFERROR(__xludf.DUMMYFUNCTION("""COMPUTED_VALUE"""),554.72)</f>
        <v>554.72</v>
      </c>
      <c r="C2957" s="2">
        <f>IFERROR(__xludf.DUMMYFUNCTION("""COMPUTED_VALUE"""),554.72)</f>
        <v>554.72</v>
      </c>
      <c r="D2957" s="2">
        <f>IFERROR(__xludf.DUMMYFUNCTION("""COMPUTED_VALUE"""),541.1)</f>
        <v>541.1</v>
      </c>
      <c r="E2957" s="2">
        <f>IFERROR(__xludf.DUMMYFUNCTION("""COMPUTED_VALUE"""),545.86)</f>
        <v>545.86</v>
      </c>
      <c r="F2957" s="2">
        <f>IFERROR(__xludf.DUMMYFUNCTION("""COMPUTED_VALUE"""),3466329.0)</f>
        <v>3466329</v>
      </c>
    </row>
    <row r="2958">
      <c r="A2958" s="3">
        <f>IFERROR(__xludf.DUMMYFUNCTION("""COMPUTED_VALUE"""),41802.645833333336)</f>
        <v>41802.64583</v>
      </c>
      <c r="B2958" s="2">
        <f>IFERROR(__xludf.DUMMYFUNCTION("""COMPUTED_VALUE"""),544.1)</f>
        <v>544.1</v>
      </c>
      <c r="C2958" s="2">
        <f>IFERROR(__xludf.DUMMYFUNCTION("""COMPUTED_VALUE"""),551.5)</f>
        <v>551.5</v>
      </c>
      <c r="D2958" s="2">
        <f>IFERROR(__xludf.DUMMYFUNCTION("""COMPUTED_VALUE"""),536.94)</f>
        <v>536.94</v>
      </c>
      <c r="E2958" s="2">
        <f>IFERROR(__xludf.DUMMYFUNCTION("""COMPUTED_VALUE"""),541.92)</f>
        <v>541.92</v>
      </c>
      <c r="F2958" s="2">
        <f>IFERROR(__xludf.DUMMYFUNCTION("""COMPUTED_VALUE"""),2689818.0)</f>
        <v>2689818</v>
      </c>
    </row>
    <row r="2959">
      <c r="A2959" s="3">
        <f>IFERROR(__xludf.DUMMYFUNCTION("""COMPUTED_VALUE"""),41803.645833333336)</f>
        <v>41803.64583</v>
      </c>
      <c r="B2959" s="2">
        <f>IFERROR(__xludf.DUMMYFUNCTION("""COMPUTED_VALUE"""),544.96)</f>
        <v>544.96</v>
      </c>
      <c r="C2959" s="2">
        <f>IFERROR(__xludf.DUMMYFUNCTION("""COMPUTED_VALUE"""),548.28)</f>
        <v>548.28</v>
      </c>
      <c r="D2959" s="2">
        <f>IFERROR(__xludf.DUMMYFUNCTION("""COMPUTED_VALUE"""),531.29)</f>
        <v>531.29</v>
      </c>
      <c r="E2959" s="2">
        <f>IFERROR(__xludf.DUMMYFUNCTION("""COMPUTED_VALUE"""),535.85)</f>
        <v>535.85</v>
      </c>
      <c r="F2959" s="2">
        <f>IFERROR(__xludf.DUMMYFUNCTION("""COMPUTED_VALUE"""),3348036.0)</f>
        <v>3348036</v>
      </c>
    </row>
    <row r="2960">
      <c r="A2960" s="3">
        <f>IFERROR(__xludf.DUMMYFUNCTION("""COMPUTED_VALUE"""),41806.645833333336)</f>
        <v>41806.64583</v>
      </c>
      <c r="B2960" s="2">
        <f>IFERROR(__xludf.DUMMYFUNCTION("""COMPUTED_VALUE"""),536.89)</f>
        <v>536.89</v>
      </c>
      <c r="C2960" s="2">
        <f>IFERROR(__xludf.DUMMYFUNCTION("""COMPUTED_VALUE"""),536.89)</f>
        <v>536.89</v>
      </c>
      <c r="D2960" s="2">
        <f>IFERROR(__xludf.DUMMYFUNCTION("""COMPUTED_VALUE"""),523.59)</f>
        <v>523.59</v>
      </c>
      <c r="E2960" s="2">
        <f>IFERROR(__xludf.DUMMYFUNCTION("""COMPUTED_VALUE"""),527.7)</f>
        <v>527.7</v>
      </c>
      <c r="F2960" s="2">
        <f>IFERROR(__xludf.DUMMYFUNCTION("""COMPUTED_VALUE"""),3285055.0)</f>
        <v>3285055</v>
      </c>
    </row>
    <row r="2961">
      <c r="A2961" s="3">
        <f>IFERROR(__xludf.DUMMYFUNCTION("""COMPUTED_VALUE"""),41807.645833333336)</f>
        <v>41807.64583</v>
      </c>
      <c r="B2961" s="2">
        <f>IFERROR(__xludf.DUMMYFUNCTION("""COMPUTED_VALUE"""),524.06)</f>
        <v>524.06</v>
      </c>
      <c r="C2961" s="2">
        <f>IFERROR(__xludf.DUMMYFUNCTION("""COMPUTED_VALUE"""),541.5)</f>
        <v>541.5</v>
      </c>
      <c r="D2961" s="2">
        <f>IFERROR(__xludf.DUMMYFUNCTION("""COMPUTED_VALUE"""),524.06)</f>
        <v>524.06</v>
      </c>
      <c r="E2961" s="2">
        <f>IFERROR(__xludf.DUMMYFUNCTION("""COMPUTED_VALUE"""),539.89)</f>
        <v>539.89</v>
      </c>
      <c r="F2961" s="2">
        <f>IFERROR(__xludf.DUMMYFUNCTION("""COMPUTED_VALUE"""),3617320.0)</f>
        <v>3617320</v>
      </c>
    </row>
    <row r="2962">
      <c r="A2962" s="3">
        <f>IFERROR(__xludf.DUMMYFUNCTION("""COMPUTED_VALUE"""),41808.645833333336)</f>
        <v>41808.64583</v>
      </c>
      <c r="B2962" s="2">
        <f>IFERROR(__xludf.DUMMYFUNCTION("""COMPUTED_VALUE"""),538.87)</f>
        <v>538.87</v>
      </c>
      <c r="C2962" s="2">
        <f>IFERROR(__xludf.DUMMYFUNCTION("""COMPUTED_VALUE"""),545.63)</f>
        <v>545.63</v>
      </c>
      <c r="D2962" s="2">
        <f>IFERROR(__xludf.DUMMYFUNCTION("""COMPUTED_VALUE"""),525.33)</f>
        <v>525.33</v>
      </c>
      <c r="E2962" s="2">
        <f>IFERROR(__xludf.DUMMYFUNCTION("""COMPUTED_VALUE"""),528.35)</f>
        <v>528.35</v>
      </c>
      <c r="F2962" s="2">
        <f>IFERROR(__xludf.DUMMYFUNCTION("""COMPUTED_VALUE"""),4391701.0)</f>
        <v>4391701</v>
      </c>
    </row>
    <row r="2963">
      <c r="A2963" s="3">
        <f>IFERROR(__xludf.DUMMYFUNCTION("""COMPUTED_VALUE"""),41809.645833333336)</f>
        <v>41809.64583</v>
      </c>
      <c r="B2963" s="2">
        <f>IFERROR(__xludf.DUMMYFUNCTION("""COMPUTED_VALUE"""),531.94)</f>
        <v>531.94</v>
      </c>
      <c r="C2963" s="2">
        <f>IFERROR(__xludf.DUMMYFUNCTION("""COMPUTED_VALUE"""),532.41)</f>
        <v>532.41</v>
      </c>
      <c r="D2963" s="2">
        <f>IFERROR(__xludf.DUMMYFUNCTION("""COMPUTED_VALUE"""),510.94)</f>
        <v>510.94</v>
      </c>
      <c r="E2963" s="2">
        <f>IFERROR(__xludf.DUMMYFUNCTION("""COMPUTED_VALUE"""),516.14)</f>
        <v>516.14</v>
      </c>
      <c r="F2963" s="2">
        <f>IFERROR(__xludf.DUMMYFUNCTION("""COMPUTED_VALUE"""),5286280.0)</f>
        <v>5286280</v>
      </c>
    </row>
    <row r="2964">
      <c r="A2964" s="3">
        <f>IFERROR(__xludf.DUMMYFUNCTION("""COMPUTED_VALUE"""),41810.645833333336)</f>
        <v>41810.64583</v>
      </c>
      <c r="B2964" s="2">
        <f>IFERROR(__xludf.DUMMYFUNCTION("""COMPUTED_VALUE"""),518.02)</f>
        <v>518.02</v>
      </c>
      <c r="C2964" s="2">
        <f>IFERROR(__xludf.DUMMYFUNCTION("""COMPUTED_VALUE"""),519.75)</f>
        <v>519.75</v>
      </c>
      <c r="D2964" s="2">
        <f>IFERROR(__xludf.DUMMYFUNCTION("""COMPUTED_VALUE"""),512.25)</f>
        <v>512.25</v>
      </c>
      <c r="E2964" s="2">
        <f>IFERROR(__xludf.DUMMYFUNCTION("""COMPUTED_VALUE"""),513.36)</f>
        <v>513.36</v>
      </c>
      <c r="F2964" s="2">
        <f>IFERROR(__xludf.DUMMYFUNCTION("""COMPUTED_VALUE"""),2938456.0)</f>
        <v>2938456</v>
      </c>
    </row>
    <row r="2965">
      <c r="A2965" s="3">
        <f>IFERROR(__xludf.DUMMYFUNCTION("""COMPUTED_VALUE"""),41813.645833333336)</f>
        <v>41813.64583</v>
      </c>
      <c r="B2965" s="2">
        <f>IFERROR(__xludf.DUMMYFUNCTION("""COMPUTED_VALUE"""),513.61)</f>
        <v>513.61</v>
      </c>
      <c r="C2965" s="2">
        <f>IFERROR(__xludf.DUMMYFUNCTION("""COMPUTED_VALUE"""),517.53)</f>
        <v>517.53</v>
      </c>
      <c r="D2965" s="2">
        <f>IFERROR(__xludf.DUMMYFUNCTION("""COMPUTED_VALUE"""),507.17)</f>
        <v>507.17</v>
      </c>
      <c r="E2965" s="2">
        <f>IFERROR(__xludf.DUMMYFUNCTION("""COMPUTED_VALUE"""),514.08)</f>
        <v>514.08</v>
      </c>
      <c r="F2965" s="2">
        <f>IFERROR(__xludf.DUMMYFUNCTION("""COMPUTED_VALUE"""),3375785.0)</f>
        <v>3375785</v>
      </c>
    </row>
    <row r="2966">
      <c r="A2966" s="3">
        <f>IFERROR(__xludf.DUMMYFUNCTION("""COMPUTED_VALUE"""),41814.645833333336)</f>
        <v>41814.64583</v>
      </c>
      <c r="B2966" s="2">
        <f>IFERROR(__xludf.DUMMYFUNCTION("""COMPUTED_VALUE"""),517.57)</f>
        <v>517.57</v>
      </c>
      <c r="C2966" s="2">
        <f>IFERROR(__xludf.DUMMYFUNCTION("""COMPUTED_VALUE"""),526.39)</f>
        <v>526.39</v>
      </c>
      <c r="D2966" s="2">
        <f>IFERROR(__xludf.DUMMYFUNCTION("""COMPUTED_VALUE"""),517.57)</f>
        <v>517.57</v>
      </c>
      <c r="E2966" s="2">
        <f>IFERROR(__xludf.DUMMYFUNCTION("""COMPUTED_VALUE"""),524.93)</f>
        <v>524.93</v>
      </c>
      <c r="F2966" s="2">
        <f>IFERROR(__xludf.DUMMYFUNCTION("""COMPUTED_VALUE"""),2717888.0)</f>
        <v>2717888</v>
      </c>
    </row>
    <row r="2967">
      <c r="A2967" s="3">
        <f>IFERROR(__xludf.DUMMYFUNCTION("""COMPUTED_VALUE"""),41815.645833333336)</f>
        <v>41815.64583</v>
      </c>
      <c r="B2967" s="2">
        <f>IFERROR(__xludf.DUMMYFUNCTION("""COMPUTED_VALUE"""),523.84)</f>
        <v>523.84</v>
      </c>
      <c r="C2967" s="2">
        <f>IFERROR(__xludf.DUMMYFUNCTION("""COMPUTED_VALUE"""),524.68)</f>
        <v>524.68</v>
      </c>
      <c r="D2967" s="2">
        <f>IFERROR(__xludf.DUMMYFUNCTION("""COMPUTED_VALUE"""),519.13)</f>
        <v>519.13</v>
      </c>
      <c r="E2967" s="2">
        <f>IFERROR(__xludf.DUMMYFUNCTION("""COMPUTED_VALUE"""),520.55)</f>
        <v>520.55</v>
      </c>
      <c r="F2967" s="2">
        <f>IFERROR(__xludf.DUMMYFUNCTION("""COMPUTED_VALUE"""),2414935.0)</f>
        <v>2414935</v>
      </c>
    </row>
    <row r="2968">
      <c r="A2968" s="3">
        <f>IFERROR(__xludf.DUMMYFUNCTION("""COMPUTED_VALUE"""),41816.645833333336)</f>
        <v>41816.64583</v>
      </c>
      <c r="B2968" s="2">
        <f>IFERROR(__xludf.DUMMYFUNCTION("""COMPUTED_VALUE"""),507.67)</f>
        <v>507.67</v>
      </c>
      <c r="C2968" s="2">
        <f>IFERROR(__xludf.DUMMYFUNCTION("""COMPUTED_VALUE"""),508.61)</f>
        <v>508.61</v>
      </c>
      <c r="D2968" s="2">
        <f>IFERROR(__xludf.DUMMYFUNCTION("""COMPUTED_VALUE"""),498.61)</f>
        <v>498.61</v>
      </c>
      <c r="E2968" s="2">
        <f>IFERROR(__xludf.DUMMYFUNCTION("""COMPUTED_VALUE"""),501.18)</f>
        <v>501.18</v>
      </c>
      <c r="F2968" s="2">
        <f>IFERROR(__xludf.DUMMYFUNCTION("""COMPUTED_VALUE"""),5595871.0)</f>
        <v>5595871</v>
      </c>
    </row>
    <row r="2969">
      <c r="A2969" s="3">
        <f>IFERROR(__xludf.DUMMYFUNCTION("""COMPUTED_VALUE"""),41817.645833333336)</f>
        <v>41817.64583</v>
      </c>
      <c r="B2969" s="2">
        <f>IFERROR(__xludf.DUMMYFUNCTION("""COMPUTED_VALUE"""),500.24)</f>
        <v>500.24</v>
      </c>
      <c r="C2969" s="2">
        <f>IFERROR(__xludf.DUMMYFUNCTION("""COMPUTED_VALUE"""),506.93)</f>
        <v>506.93</v>
      </c>
      <c r="D2969" s="2">
        <f>IFERROR(__xludf.DUMMYFUNCTION("""COMPUTED_VALUE"""),498.85)</f>
        <v>498.85</v>
      </c>
      <c r="E2969" s="2">
        <f>IFERROR(__xludf.DUMMYFUNCTION("""COMPUTED_VALUE"""),501.28)</f>
        <v>501.28</v>
      </c>
      <c r="F2969" s="2">
        <f>IFERROR(__xludf.DUMMYFUNCTION("""COMPUTED_VALUE"""),2108794.0)</f>
        <v>2108794</v>
      </c>
    </row>
    <row r="2970">
      <c r="A2970" s="3">
        <f>IFERROR(__xludf.DUMMYFUNCTION("""COMPUTED_VALUE"""),41820.645833333336)</f>
        <v>41820.64583</v>
      </c>
      <c r="B2970" s="2">
        <f>IFERROR(__xludf.DUMMYFUNCTION("""COMPUTED_VALUE"""),501.5)</f>
        <v>501.5</v>
      </c>
      <c r="C2970" s="2">
        <f>IFERROR(__xludf.DUMMYFUNCTION("""COMPUTED_VALUE"""),505.19)</f>
        <v>505.19</v>
      </c>
      <c r="D2970" s="2">
        <f>IFERROR(__xludf.DUMMYFUNCTION("""COMPUTED_VALUE"""),495.29)</f>
        <v>495.29</v>
      </c>
      <c r="E2970" s="2">
        <f>IFERROR(__xludf.DUMMYFUNCTION("""COMPUTED_VALUE"""),502.91)</f>
        <v>502.91</v>
      </c>
      <c r="F2970" s="2">
        <f>IFERROR(__xludf.DUMMYFUNCTION("""COMPUTED_VALUE"""),4721740.0)</f>
        <v>4721740</v>
      </c>
    </row>
    <row r="2971">
      <c r="A2971" s="3">
        <f>IFERROR(__xludf.DUMMYFUNCTION("""COMPUTED_VALUE"""),41821.645833333336)</f>
        <v>41821.64583</v>
      </c>
      <c r="B2971" s="2">
        <f>IFERROR(__xludf.DUMMYFUNCTION("""COMPUTED_VALUE"""),503.81)</f>
        <v>503.81</v>
      </c>
      <c r="C2971" s="2">
        <f>IFERROR(__xludf.DUMMYFUNCTION("""COMPUTED_VALUE"""),505.47)</f>
        <v>505.47</v>
      </c>
      <c r="D2971" s="2">
        <f>IFERROR(__xludf.DUMMYFUNCTION("""COMPUTED_VALUE"""),498.73)</f>
        <v>498.73</v>
      </c>
      <c r="E2971" s="2">
        <f>IFERROR(__xludf.DUMMYFUNCTION("""COMPUTED_VALUE"""),499.25)</f>
        <v>499.25</v>
      </c>
      <c r="F2971" s="2">
        <f>IFERROR(__xludf.DUMMYFUNCTION("""COMPUTED_VALUE"""),2206576.0)</f>
        <v>2206576</v>
      </c>
    </row>
    <row r="2972">
      <c r="A2972" s="3">
        <f>IFERROR(__xludf.DUMMYFUNCTION("""COMPUTED_VALUE"""),41822.645833333336)</f>
        <v>41822.64583</v>
      </c>
      <c r="B2972" s="2">
        <f>IFERROR(__xludf.DUMMYFUNCTION("""COMPUTED_VALUE"""),503.71)</f>
        <v>503.71</v>
      </c>
      <c r="C2972" s="2">
        <f>IFERROR(__xludf.DUMMYFUNCTION("""COMPUTED_VALUE"""),508.83)</f>
        <v>508.83</v>
      </c>
      <c r="D2972" s="2">
        <f>IFERROR(__xludf.DUMMYFUNCTION("""COMPUTED_VALUE"""),501.23)</f>
        <v>501.23</v>
      </c>
      <c r="E2972" s="2">
        <f>IFERROR(__xludf.DUMMYFUNCTION("""COMPUTED_VALUE"""),504.33)</f>
        <v>504.33</v>
      </c>
      <c r="F2972" s="2">
        <f>IFERROR(__xludf.DUMMYFUNCTION("""COMPUTED_VALUE"""),2810085.0)</f>
        <v>2810085</v>
      </c>
    </row>
    <row r="2973">
      <c r="A2973" s="3">
        <f>IFERROR(__xludf.DUMMYFUNCTION("""COMPUTED_VALUE"""),41823.645833333336)</f>
        <v>41823.64583</v>
      </c>
      <c r="B2973" s="2">
        <f>IFERROR(__xludf.DUMMYFUNCTION("""COMPUTED_VALUE"""),505.19)</f>
        <v>505.19</v>
      </c>
      <c r="C2973" s="2">
        <f>IFERROR(__xludf.DUMMYFUNCTION("""COMPUTED_VALUE"""),507.67)</f>
        <v>507.67</v>
      </c>
      <c r="D2973" s="2">
        <f>IFERROR(__xludf.DUMMYFUNCTION("""COMPUTED_VALUE"""),497.02)</f>
        <v>497.02</v>
      </c>
      <c r="E2973" s="2">
        <f>IFERROR(__xludf.DUMMYFUNCTION("""COMPUTED_VALUE"""),498.51)</f>
        <v>498.51</v>
      </c>
      <c r="F2973" s="2">
        <f>IFERROR(__xludf.DUMMYFUNCTION("""COMPUTED_VALUE"""),2645940.0)</f>
        <v>2645940</v>
      </c>
    </row>
    <row r="2974">
      <c r="A2974" s="3">
        <f>IFERROR(__xludf.DUMMYFUNCTION("""COMPUTED_VALUE"""),41824.645833333336)</f>
        <v>41824.64583</v>
      </c>
      <c r="B2974" s="2">
        <f>IFERROR(__xludf.DUMMYFUNCTION("""COMPUTED_VALUE"""),497.76)</f>
        <v>497.76</v>
      </c>
      <c r="C2974" s="2">
        <f>IFERROR(__xludf.DUMMYFUNCTION("""COMPUTED_VALUE"""),513.51)</f>
        <v>513.51</v>
      </c>
      <c r="D2974" s="2">
        <f>IFERROR(__xludf.DUMMYFUNCTION("""COMPUTED_VALUE"""),496.92)</f>
        <v>496.92</v>
      </c>
      <c r="E2974" s="2">
        <f>IFERROR(__xludf.DUMMYFUNCTION("""COMPUTED_VALUE"""),511.11)</f>
        <v>511.11</v>
      </c>
      <c r="F2974" s="2">
        <f>IFERROR(__xludf.DUMMYFUNCTION("""COMPUTED_VALUE"""),2961779.0)</f>
        <v>2961779</v>
      </c>
    </row>
    <row r="2975">
      <c r="A2975" s="3">
        <f>IFERROR(__xludf.DUMMYFUNCTION("""COMPUTED_VALUE"""),41827.645833333336)</f>
        <v>41827.64583</v>
      </c>
      <c r="B2975" s="2">
        <f>IFERROR(__xludf.DUMMYFUNCTION("""COMPUTED_VALUE"""),511.63)</f>
        <v>511.63</v>
      </c>
      <c r="C2975" s="2">
        <f>IFERROR(__xludf.DUMMYFUNCTION("""COMPUTED_VALUE"""),513.61)</f>
        <v>513.61</v>
      </c>
      <c r="D2975" s="2">
        <f>IFERROR(__xludf.DUMMYFUNCTION("""COMPUTED_VALUE"""),505.69)</f>
        <v>505.69</v>
      </c>
      <c r="E2975" s="2">
        <f>IFERROR(__xludf.DUMMYFUNCTION("""COMPUTED_VALUE"""),508.76)</f>
        <v>508.76</v>
      </c>
      <c r="F2975" s="2">
        <f>IFERROR(__xludf.DUMMYFUNCTION("""COMPUTED_VALUE"""),3204529.0)</f>
        <v>3204529</v>
      </c>
    </row>
    <row r="2976">
      <c r="A2976" s="3">
        <f>IFERROR(__xludf.DUMMYFUNCTION("""COMPUTED_VALUE"""),41828.645833333336)</f>
        <v>41828.64583</v>
      </c>
      <c r="B2976" s="2">
        <f>IFERROR(__xludf.DUMMYFUNCTION("""COMPUTED_VALUE"""),508.16)</f>
        <v>508.16</v>
      </c>
      <c r="C2976" s="2">
        <f>IFERROR(__xludf.DUMMYFUNCTION("""COMPUTED_VALUE"""),512.37)</f>
        <v>512.37</v>
      </c>
      <c r="D2976" s="2">
        <f>IFERROR(__xludf.DUMMYFUNCTION("""COMPUTED_VALUE"""),490.33)</f>
        <v>490.33</v>
      </c>
      <c r="E2976" s="2">
        <f>IFERROR(__xludf.DUMMYFUNCTION("""COMPUTED_VALUE"""),492.84)</f>
        <v>492.84</v>
      </c>
      <c r="F2976" s="2">
        <f>IFERROR(__xludf.DUMMYFUNCTION("""COMPUTED_VALUE"""),3996724.0)</f>
        <v>3996724</v>
      </c>
    </row>
    <row r="2977">
      <c r="A2977" s="3">
        <f>IFERROR(__xludf.DUMMYFUNCTION("""COMPUTED_VALUE"""),41829.645833333336)</f>
        <v>41829.64583</v>
      </c>
      <c r="B2977" s="2">
        <f>IFERROR(__xludf.DUMMYFUNCTION("""COMPUTED_VALUE"""),496.28)</f>
        <v>496.28</v>
      </c>
      <c r="C2977" s="2">
        <f>IFERROR(__xludf.DUMMYFUNCTION("""COMPUTED_VALUE"""),500.19)</f>
        <v>500.19</v>
      </c>
      <c r="D2977" s="2">
        <f>IFERROR(__xludf.DUMMYFUNCTION("""COMPUTED_VALUE"""),491.57)</f>
        <v>491.57</v>
      </c>
      <c r="E2977" s="2">
        <f>IFERROR(__xludf.DUMMYFUNCTION("""COMPUTED_VALUE"""),495.76)</f>
        <v>495.76</v>
      </c>
      <c r="F2977" s="2">
        <f>IFERROR(__xludf.DUMMYFUNCTION("""COMPUTED_VALUE"""),3406611.0)</f>
        <v>3406611</v>
      </c>
    </row>
    <row r="2978">
      <c r="A2978" s="3">
        <f>IFERROR(__xludf.DUMMYFUNCTION("""COMPUTED_VALUE"""),41830.645833333336)</f>
        <v>41830.64583</v>
      </c>
      <c r="B2978" s="2">
        <f>IFERROR(__xludf.DUMMYFUNCTION("""COMPUTED_VALUE"""),495.41)</f>
        <v>495.41</v>
      </c>
      <c r="C2978" s="2">
        <f>IFERROR(__xludf.DUMMYFUNCTION("""COMPUTED_VALUE"""),505.94)</f>
        <v>505.94</v>
      </c>
      <c r="D2978" s="2">
        <f>IFERROR(__xludf.DUMMYFUNCTION("""COMPUTED_VALUE"""),485.9)</f>
        <v>485.9</v>
      </c>
      <c r="E2978" s="2">
        <f>IFERROR(__xludf.DUMMYFUNCTION("""COMPUTED_VALUE"""),493.9)</f>
        <v>493.9</v>
      </c>
      <c r="F2978" s="2">
        <f>IFERROR(__xludf.DUMMYFUNCTION("""COMPUTED_VALUE"""),4251670.0)</f>
        <v>4251670</v>
      </c>
    </row>
    <row r="2979">
      <c r="A2979" s="3">
        <f>IFERROR(__xludf.DUMMYFUNCTION("""COMPUTED_VALUE"""),41831.645833333336)</f>
        <v>41831.64583</v>
      </c>
      <c r="B2979" s="2">
        <f>IFERROR(__xludf.DUMMYFUNCTION("""COMPUTED_VALUE"""),492.91)</f>
        <v>492.91</v>
      </c>
      <c r="C2979" s="2">
        <f>IFERROR(__xludf.DUMMYFUNCTION("""COMPUTED_VALUE"""),496.28)</f>
        <v>496.28</v>
      </c>
      <c r="D2979" s="2">
        <f>IFERROR(__xludf.DUMMYFUNCTION("""COMPUTED_VALUE"""),477.28)</f>
        <v>477.28</v>
      </c>
      <c r="E2979" s="2">
        <f>IFERROR(__xludf.DUMMYFUNCTION("""COMPUTED_VALUE"""),478.69)</f>
        <v>478.69</v>
      </c>
      <c r="F2979" s="2">
        <f>IFERROR(__xludf.DUMMYFUNCTION("""COMPUTED_VALUE"""),4065087.0)</f>
        <v>4065087</v>
      </c>
    </row>
    <row r="2980">
      <c r="A2980" s="3">
        <f>IFERROR(__xludf.DUMMYFUNCTION("""COMPUTED_VALUE"""),41834.645833333336)</f>
        <v>41834.64583</v>
      </c>
      <c r="B2980" s="2">
        <f>IFERROR(__xludf.DUMMYFUNCTION("""COMPUTED_VALUE"""),479.73)</f>
        <v>479.73</v>
      </c>
      <c r="C2980" s="2">
        <f>IFERROR(__xludf.DUMMYFUNCTION("""COMPUTED_VALUE"""),482.86)</f>
        <v>482.86</v>
      </c>
      <c r="D2980" s="2">
        <f>IFERROR(__xludf.DUMMYFUNCTION("""COMPUTED_VALUE"""),474.73)</f>
        <v>474.73</v>
      </c>
      <c r="E2980" s="2">
        <f>IFERROR(__xludf.DUMMYFUNCTION("""COMPUTED_VALUE"""),476.34)</f>
        <v>476.34</v>
      </c>
      <c r="F2980" s="2">
        <f>IFERROR(__xludf.DUMMYFUNCTION("""COMPUTED_VALUE"""),3146395.0)</f>
        <v>3146395</v>
      </c>
    </row>
    <row r="2981">
      <c r="A2981" s="3">
        <f>IFERROR(__xludf.DUMMYFUNCTION("""COMPUTED_VALUE"""),41835.645833333336)</f>
        <v>41835.64583</v>
      </c>
      <c r="B2981" s="2">
        <f>IFERROR(__xludf.DUMMYFUNCTION("""COMPUTED_VALUE"""),477.16)</f>
        <v>477.16</v>
      </c>
      <c r="C2981" s="2">
        <f>IFERROR(__xludf.DUMMYFUNCTION("""COMPUTED_VALUE"""),485.38)</f>
        <v>485.38</v>
      </c>
      <c r="D2981" s="2">
        <f>IFERROR(__xludf.DUMMYFUNCTION("""COMPUTED_VALUE"""),476.99)</f>
        <v>476.99</v>
      </c>
      <c r="E2981" s="2">
        <f>IFERROR(__xludf.DUMMYFUNCTION("""COMPUTED_VALUE"""),481.52)</f>
        <v>481.52</v>
      </c>
      <c r="F2981" s="2">
        <f>IFERROR(__xludf.DUMMYFUNCTION("""COMPUTED_VALUE"""),3507637.0)</f>
        <v>3507637</v>
      </c>
    </row>
    <row r="2982">
      <c r="A2982" s="3">
        <f>IFERROR(__xludf.DUMMYFUNCTION("""COMPUTED_VALUE"""),41836.645833333336)</f>
        <v>41836.64583</v>
      </c>
      <c r="B2982" s="2">
        <f>IFERROR(__xludf.DUMMYFUNCTION("""COMPUTED_VALUE"""),482.41)</f>
        <v>482.41</v>
      </c>
      <c r="C2982" s="2">
        <f>IFERROR(__xludf.DUMMYFUNCTION("""COMPUTED_VALUE"""),491.82)</f>
        <v>491.82</v>
      </c>
      <c r="D2982" s="2">
        <f>IFERROR(__xludf.DUMMYFUNCTION("""COMPUTED_VALUE"""),482.41)</f>
        <v>482.41</v>
      </c>
      <c r="E2982" s="2">
        <f>IFERROR(__xludf.DUMMYFUNCTION("""COMPUTED_VALUE"""),490.19)</f>
        <v>490.19</v>
      </c>
      <c r="F2982" s="2">
        <f>IFERROR(__xludf.DUMMYFUNCTION("""COMPUTED_VALUE"""),3190489.0)</f>
        <v>3190489</v>
      </c>
    </row>
    <row r="2983">
      <c r="A2983" s="3">
        <f>IFERROR(__xludf.DUMMYFUNCTION("""COMPUTED_VALUE"""),41837.645833333336)</f>
        <v>41837.64583</v>
      </c>
      <c r="B2983" s="2">
        <f>IFERROR(__xludf.DUMMYFUNCTION("""COMPUTED_VALUE"""),489.34)</f>
        <v>489.34</v>
      </c>
      <c r="C2983" s="2">
        <f>IFERROR(__xludf.DUMMYFUNCTION("""COMPUTED_VALUE"""),494.4)</f>
        <v>494.4</v>
      </c>
      <c r="D2983" s="2">
        <f>IFERROR(__xludf.DUMMYFUNCTION("""COMPUTED_VALUE"""),485.53)</f>
        <v>485.53</v>
      </c>
      <c r="E2983" s="2">
        <f>IFERROR(__xludf.DUMMYFUNCTION("""COMPUTED_VALUE"""),486.62)</f>
        <v>486.62</v>
      </c>
      <c r="F2983" s="2">
        <f>IFERROR(__xludf.DUMMYFUNCTION("""COMPUTED_VALUE"""),2154828.0)</f>
        <v>2154828</v>
      </c>
    </row>
    <row r="2984">
      <c r="A2984" s="3">
        <f>IFERROR(__xludf.DUMMYFUNCTION("""COMPUTED_VALUE"""),41838.645833333336)</f>
        <v>41838.64583</v>
      </c>
      <c r="B2984" s="2">
        <f>IFERROR(__xludf.DUMMYFUNCTION("""COMPUTED_VALUE"""),485.38)</f>
        <v>485.38</v>
      </c>
      <c r="C2984" s="2">
        <f>IFERROR(__xludf.DUMMYFUNCTION("""COMPUTED_VALUE"""),487.14)</f>
        <v>487.14</v>
      </c>
      <c r="D2984" s="2">
        <f>IFERROR(__xludf.DUMMYFUNCTION("""COMPUTED_VALUE"""),480.08)</f>
        <v>480.08</v>
      </c>
      <c r="E2984" s="2">
        <f>IFERROR(__xludf.DUMMYFUNCTION("""COMPUTED_VALUE"""),483.77)</f>
        <v>483.77</v>
      </c>
      <c r="F2984" s="2">
        <f>IFERROR(__xludf.DUMMYFUNCTION("""COMPUTED_VALUE"""),2133298.0)</f>
        <v>2133298</v>
      </c>
    </row>
    <row r="2985">
      <c r="A2985" s="3">
        <f>IFERROR(__xludf.DUMMYFUNCTION("""COMPUTED_VALUE"""),41841.645833333336)</f>
        <v>41841.64583</v>
      </c>
      <c r="B2985" s="2">
        <f>IFERROR(__xludf.DUMMYFUNCTION("""COMPUTED_VALUE"""),495.29)</f>
        <v>495.29</v>
      </c>
      <c r="C2985" s="2">
        <f>IFERROR(__xludf.DUMMYFUNCTION("""COMPUTED_VALUE"""),499.25)</f>
        <v>499.25</v>
      </c>
      <c r="D2985" s="2">
        <f>IFERROR(__xludf.DUMMYFUNCTION("""COMPUTED_VALUE"""),492.84)</f>
        <v>492.84</v>
      </c>
      <c r="E2985" s="2">
        <f>IFERROR(__xludf.DUMMYFUNCTION("""COMPUTED_VALUE"""),494.12)</f>
        <v>494.12</v>
      </c>
      <c r="F2985" s="2">
        <f>IFERROR(__xludf.DUMMYFUNCTION("""COMPUTED_VALUE"""),3883004.0)</f>
        <v>3883004</v>
      </c>
    </row>
    <row r="2986">
      <c r="A2986" s="3">
        <f>IFERROR(__xludf.DUMMYFUNCTION("""COMPUTED_VALUE"""),41842.645833333336)</f>
        <v>41842.64583</v>
      </c>
      <c r="B2986" s="2">
        <f>IFERROR(__xludf.DUMMYFUNCTION("""COMPUTED_VALUE"""),497.27)</f>
        <v>497.27</v>
      </c>
      <c r="C2986" s="2">
        <f>IFERROR(__xludf.DUMMYFUNCTION("""COMPUTED_VALUE"""),512.08)</f>
        <v>512.08</v>
      </c>
      <c r="D2986" s="2">
        <f>IFERROR(__xludf.DUMMYFUNCTION("""COMPUTED_VALUE"""),495.83)</f>
        <v>495.83</v>
      </c>
      <c r="E2986" s="2">
        <f>IFERROR(__xludf.DUMMYFUNCTION("""COMPUTED_VALUE"""),510.62)</f>
        <v>510.62</v>
      </c>
      <c r="F2986" s="2">
        <f>IFERROR(__xludf.DUMMYFUNCTION("""COMPUTED_VALUE"""),6512321.0)</f>
        <v>6512321</v>
      </c>
    </row>
    <row r="2987">
      <c r="A2987" s="3">
        <f>IFERROR(__xludf.DUMMYFUNCTION("""COMPUTED_VALUE"""),41843.645833333336)</f>
        <v>41843.64583</v>
      </c>
      <c r="B2987" s="2">
        <f>IFERROR(__xludf.DUMMYFUNCTION("""COMPUTED_VALUE"""),512.65)</f>
        <v>512.65</v>
      </c>
      <c r="C2987" s="2">
        <f>IFERROR(__xludf.DUMMYFUNCTION("""COMPUTED_VALUE"""),515.0)</f>
        <v>515</v>
      </c>
      <c r="D2987" s="2">
        <f>IFERROR(__xludf.DUMMYFUNCTION("""COMPUTED_VALUE"""),505.71)</f>
        <v>505.71</v>
      </c>
      <c r="E2987" s="2">
        <f>IFERROR(__xludf.DUMMYFUNCTION("""COMPUTED_VALUE"""),511.76)</f>
        <v>511.76</v>
      </c>
      <c r="F2987" s="2">
        <f>IFERROR(__xludf.DUMMYFUNCTION("""COMPUTED_VALUE"""),3136481.0)</f>
        <v>3136481</v>
      </c>
    </row>
    <row r="2988">
      <c r="A2988" s="3">
        <f>IFERROR(__xludf.DUMMYFUNCTION("""COMPUTED_VALUE"""),41844.645833333336)</f>
        <v>41844.64583</v>
      </c>
      <c r="B2988" s="2">
        <f>IFERROR(__xludf.DUMMYFUNCTION("""COMPUTED_VALUE"""),510.15)</f>
        <v>510.15</v>
      </c>
      <c r="C2988" s="2">
        <f>IFERROR(__xludf.DUMMYFUNCTION("""COMPUTED_VALUE"""),516.68)</f>
        <v>516.68</v>
      </c>
      <c r="D2988" s="2">
        <f>IFERROR(__xludf.DUMMYFUNCTION("""COMPUTED_VALUE"""),507.17)</f>
        <v>507.17</v>
      </c>
      <c r="E2988" s="2">
        <f>IFERROR(__xludf.DUMMYFUNCTION("""COMPUTED_VALUE"""),515.62)</f>
        <v>515.62</v>
      </c>
      <c r="F2988" s="2">
        <f>IFERROR(__xludf.DUMMYFUNCTION("""COMPUTED_VALUE"""),2211291.0)</f>
        <v>2211291</v>
      </c>
    </row>
    <row r="2989">
      <c r="A2989" s="3">
        <f>IFERROR(__xludf.DUMMYFUNCTION("""COMPUTED_VALUE"""),41845.645833333336)</f>
        <v>41845.64583</v>
      </c>
      <c r="B2989" s="2">
        <f>IFERROR(__xludf.DUMMYFUNCTION("""COMPUTED_VALUE"""),516.04)</f>
        <v>516.04</v>
      </c>
      <c r="C2989" s="2">
        <f>IFERROR(__xludf.DUMMYFUNCTION("""COMPUTED_VALUE"""),516.73)</f>
        <v>516.73</v>
      </c>
      <c r="D2989" s="2">
        <f>IFERROR(__xludf.DUMMYFUNCTION("""COMPUTED_VALUE"""),498.78)</f>
        <v>498.78</v>
      </c>
      <c r="E2989" s="2">
        <f>IFERROR(__xludf.DUMMYFUNCTION("""COMPUTED_VALUE"""),506.11)</f>
        <v>506.11</v>
      </c>
      <c r="F2989" s="2">
        <f>IFERROR(__xludf.DUMMYFUNCTION("""COMPUTED_VALUE"""),3093322.0)</f>
        <v>3093322</v>
      </c>
    </row>
    <row r="2990">
      <c r="A2990" s="3">
        <f>IFERROR(__xludf.DUMMYFUNCTION("""COMPUTED_VALUE"""),41848.645833333336)</f>
        <v>41848.64583</v>
      </c>
      <c r="B2990" s="2">
        <f>IFERROR(__xludf.DUMMYFUNCTION("""COMPUTED_VALUE"""),505.69)</f>
        <v>505.69</v>
      </c>
      <c r="C2990" s="2">
        <f>IFERROR(__xludf.DUMMYFUNCTION("""COMPUTED_VALUE"""),506.95)</f>
        <v>506.95</v>
      </c>
      <c r="D2990" s="2">
        <f>IFERROR(__xludf.DUMMYFUNCTION("""COMPUTED_VALUE"""),496.08)</f>
        <v>496.08</v>
      </c>
      <c r="E2990" s="2">
        <f>IFERROR(__xludf.DUMMYFUNCTION("""COMPUTED_VALUE"""),498.06)</f>
        <v>498.06</v>
      </c>
      <c r="F2990" s="2">
        <f>IFERROR(__xludf.DUMMYFUNCTION("""COMPUTED_VALUE"""),2142490.0)</f>
        <v>2142490</v>
      </c>
    </row>
    <row r="2991">
      <c r="A2991" s="3">
        <f>IFERROR(__xludf.DUMMYFUNCTION("""COMPUTED_VALUE"""),41850.645833333336)</f>
        <v>41850.64583</v>
      </c>
      <c r="B2991" s="2">
        <f>IFERROR(__xludf.DUMMYFUNCTION("""COMPUTED_VALUE"""),497.27)</f>
        <v>497.27</v>
      </c>
      <c r="C2991" s="2">
        <f>IFERROR(__xludf.DUMMYFUNCTION("""COMPUTED_VALUE"""),500.74)</f>
        <v>500.74</v>
      </c>
      <c r="D2991" s="2">
        <f>IFERROR(__xludf.DUMMYFUNCTION("""COMPUTED_VALUE"""),491.82)</f>
        <v>491.82</v>
      </c>
      <c r="E2991" s="2">
        <f>IFERROR(__xludf.DUMMYFUNCTION("""COMPUTED_VALUE"""),498.33)</f>
        <v>498.33</v>
      </c>
      <c r="F2991" s="2">
        <f>IFERROR(__xludf.DUMMYFUNCTION("""COMPUTED_VALUE"""),4255466.0)</f>
        <v>4255466</v>
      </c>
    </row>
    <row r="2992">
      <c r="A2992" s="3">
        <f>IFERROR(__xludf.DUMMYFUNCTION("""COMPUTED_VALUE"""),41851.645833333336)</f>
        <v>41851.64583</v>
      </c>
      <c r="B2992" s="2">
        <f>IFERROR(__xludf.DUMMYFUNCTION("""COMPUTED_VALUE"""),499.22)</f>
        <v>499.22</v>
      </c>
      <c r="C2992" s="2">
        <f>IFERROR(__xludf.DUMMYFUNCTION("""COMPUTED_VALUE"""),505.14)</f>
        <v>505.14</v>
      </c>
      <c r="D2992" s="2">
        <f>IFERROR(__xludf.DUMMYFUNCTION("""COMPUTED_VALUE"""),496.28)</f>
        <v>496.28</v>
      </c>
      <c r="E2992" s="2">
        <f>IFERROR(__xludf.DUMMYFUNCTION("""COMPUTED_VALUE"""),498.48)</f>
        <v>498.48</v>
      </c>
      <c r="F2992" s="2">
        <f>IFERROR(__xludf.DUMMYFUNCTION("""COMPUTED_VALUE"""),4051138.0)</f>
        <v>4051138</v>
      </c>
    </row>
    <row r="2993">
      <c r="A2993" s="3">
        <f>IFERROR(__xludf.DUMMYFUNCTION("""COMPUTED_VALUE"""),41852.645833333336)</f>
        <v>41852.64583</v>
      </c>
      <c r="B2993" s="2">
        <f>IFERROR(__xludf.DUMMYFUNCTION("""COMPUTED_VALUE"""),492.81)</f>
        <v>492.81</v>
      </c>
      <c r="C2993" s="2">
        <f>IFERROR(__xludf.DUMMYFUNCTION("""COMPUTED_VALUE"""),494.79)</f>
        <v>494.79</v>
      </c>
      <c r="D2993" s="2">
        <f>IFERROR(__xludf.DUMMYFUNCTION("""COMPUTED_VALUE"""),482.9)</f>
        <v>482.9</v>
      </c>
      <c r="E2993" s="2">
        <f>IFERROR(__xludf.DUMMYFUNCTION("""COMPUTED_VALUE"""),483.55)</f>
        <v>483.55</v>
      </c>
      <c r="F2993" s="2">
        <f>IFERROR(__xludf.DUMMYFUNCTION("""COMPUTED_VALUE"""),3617603.0)</f>
        <v>3617603</v>
      </c>
    </row>
    <row r="2994">
      <c r="A2994" s="3">
        <f>IFERROR(__xludf.DUMMYFUNCTION("""COMPUTED_VALUE"""),41855.645833333336)</f>
        <v>41855.64583</v>
      </c>
      <c r="B2994" s="2">
        <f>IFERROR(__xludf.DUMMYFUNCTION("""COMPUTED_VALUE"""),485.88)</f>
        <v>485.88</v>
      </c>
      <c r="C2994" s="2">
        <f>IFERROR(__xludf.DUMMYFUNCTION("""COMPUTED_VALUE"""),490.19)</f>
        <v>490.19</v>
      </c>
      <c r="D2994" s="2">
        <f>IFERROR(__xludf.DUMMYFUNCTION("""COMPUTED_VALUE"""),483.42)</f>
        <v>483.42</v>
      </c>
      <c r="E2994" s="2">
        <f>IFERROR(__xludf.DUMMYFUNCTION("""COMPUTED_VALUE"""),487.86)</f>
        <v>487.86</v>
      </c>
      <c r="F2994" s="2">
        <f>IFERROR(__xludf.DUMMYFUNCTION("""COMPUTED_VALUE"""),3353808.0)</f>
        <v>3353808</v>
      </c>
    </row>
    <row r="2995">
      <c r="A2995" s="3">
        <f>IFERROR(__xludf.DUMMYFUNCTION("""COMPUTED_VALUE"""),41856.645833333336)</f>
        <v>41856.64583</v>
      </c>
      <c r="B2995" s="2">
        <f>IFERROR(__xludf.DUMMYFUNCTION("""COMPUTED_VALUE"""),487.91)</f>
        <v>487.91</v>
      </c>
      <c r="C2995" s="2">
        <f>IFERROR(__xludf.DUMMYFUNCTION("""COMPUTED_VALUE"""),489.27)</f>
        <v>489.27</v>
      </c>
      <c r="D2995" s="2">
        <f>IFERROR(__xludf.DUMMYFUNCTION("""COMPUTED_VALUE"""),480.92)</f>
        <v>480.92</v>
      </c>
      <c r="E2995" s="2">
        <f>IFERROR(__xludf.DUMMYFUNCTION("""COMPUTED_VALUE"""),487.29)</f>
        <v>487.29</v>
      </c>
      <c r="F2995" s="2">
        <f>IFERROR(__xludf.DUMMYFUNCTION("""COMPUTED_VALUE"""),2796475.0)</f>
        <v>2796475</v>
      </c>
    </row>
    <row r="2996">
      <c r="A2996" s="3">
        <f>IFERROR(__xludf.DUMMYFUNCTION("""COMPUTED_VALUE"""),41857.645833333336)</f>
        <v>41857.64583</v>
      </c>
      <c r="B2996" s="2">
        <f>IFERROR(__xludf.DUMMYFUNCTION("""COMPUTED_VALUE"""),487.81)</f>
        <v>487.81</v>
      </c>
      <c r="C2996" s="2">
        <f>IFERROR(__xludf.DUMMYFUNCTION("""COMPUTED_VALUE"""),494.59)</f>
        <v>494.59</v>
      </c>
      <c r="D2996" s="2">
        <f>IFERROR(__xludf.DUMMYFUNCTION("""COMPUTED_VALUE"""),485.13)</f>
        <v>485.13</v>
      </c>
      <c r="E2996" s="2">
        <f>IFERROR(__xludf.DUMMYFUNCTION("""COMPUTED_VALUE"""),489.42)</f>
        <v>489.42</v>
      </c>
      <c r="F2996" s="2">
        <f>IFERROR(__xludf.DUMMYFUNCTION("""COMPUTED_VALUE"""),3739249.0)</f>
        <v>3739249</v>
      </c>
    </row>
    <row r="2997">
      <c r="A2997" s="3">
        <f>IFERROR(__xludf.DUMMYFUNCTION("""COMPUTED_VALUE"""),41858.645833333336)</f>
        <v>41858.64583</v>
      </c>
      <c r="B2997" s="2">
        <f>IFERROR(__xludf.DUMMYFUNCTION("""COMPUTED_VALUE"""),489.84)</f>
        <v>489.84</v>
      </c>
      <c r="C2997" s="2">
        <f>IFERROR(__xludf.DUMMYFUNCTION("""COMPUTED_VALUE"""),493.65)</f>
        <v>493.65</v>
      </c>
      <c r="D2997" s="2">
        <f>IFERROR(__xludf.DUMMYFUNCTION("""COMPUTED_VALUE"""),487.04)</f>
        <v>487.04</v>
      </c>
      <c r="E2997" s="2">
        <f>IFERROR(__xludf.DUMMYFUNCTION("""COMPUTED_VALUE"""),489.99)</f>
        <v>489.99</v>
      </c>
      <c r="F2997" s="2">
        <f>IFERROR(__xludf.DUMMYFUNCTION("""COMPUTED_VALUE"""),2478789.0)</f>
        <v>2478789</v>
      </c>
    </row>
    <row r="2998">
      <c r="A2998" s="3">
        <f>IFERROR(__xludf.DUMMYFUNCTION("""COMPUTED_VALUE"""),41859.645833333336)</f>
        <v>41859.64583</v>
      </c>
      <c r="B2998" s="2">
        <f>IFERROR(__xludf.DUMMYFUNCTION("""COMPUTED_VALUE"""),485.16)</f>
        <v>485.16</v>
      </c>
      <c r="C2998" s="2">
        <f>IFERROR(__xludf.DUMMYFUNCTION("""COMPUTED_VALUE"""),487.11)</f>
        <v>487.11</v>
      </c>
      <c r="D2998" s="2">
        <f>IFERROR(__xludf.DUMMYFUNCTION("""COMPUTED_VALUE"""),481.96)</f>
        <v>481.96</v>
      </c>
      <c r="E2998" s="2">
        <f>IFERROR(__xludf.DUMMYFUNCTION("""COMPUTED_VALUE"""),485.63)</f>
        <v>485.63</v>
      </c>
      <c r="F2998" s="2">
        <f>IFERROR(__xludf.DUMMYFUNCTION("""COMPUTED_VALUE"""),2084325.0)</f>
        <v>2084325</v>
      </c>
    </row>
    <row r="2999">
      <c r="A2999" s="3">
        <f>IFERROR(__xludf.DUMMYFUNCTION("""COMPUTED_VALUE"""),41862.645833333336)</f>
        <v>41862.64583</v>
      </c>
      <c r="B2999" s="2">
        <f>IFERROR(__xludf.DUMMYFUNCTION("""COMPUTED_VALUE"""),487.93)</f>
        <v>487.93</v>
      </c>
      <c r="C2999" s="2">
        <f>IFERROR(__xludf.DUMMYFUNCTION("""COMPUTED_VALUE"""),488.97)</f>
        <v>488.97</v>
      </c>
      <c r="D2999" s="2">
        <f>IFERROR(__xludf.DUMMYFUNCTION("""COMPUTED_VALUE"""),484.09)</f>
        <v>484.09</v>
      </c>
      <c r="E2999" s="2">
        <f>IFERROR(__xludf.DUMMYFUNCTION("""COMPUTED_VALUE"""),485.63)</f>
        <v>485.63</v>
      </c>
      <c r="F2999" s="2">
        <f>IFERROR(__xludf.DUMMYFUNCTION("""COMPUTED_VALUE"""),1530775.0)</f>
        <v>1530775</v>
      </c>
    </row>
    <row r="3000">
      <c r="A3000" s="3">
        <f>IFERROR(__xludf.DUMMYFUNCTION("""COMPUTED_VALUE"""),41863.645833333336)</f>
        <v>41863.64583</v>
      </c>
      <c r="B3000" s="2">
        <f>IFERROR(__xludf.DUMMYFUNCTION("""COMPUTED_VALUE"""),488.35)</f>
        <v>488.35</v>
      </c>
      <c r="C3000" s="2">
        <f>IFERROR(__xludf.DUMMYFUNCTION("""COMPUTED_VALUE"""),488.82)</f>
        <v>488.82</v>
      </c>
      <c r="D3000" s="2">
        <f>IFERROR(__xludf.DUMMYFUNCTION("""COMPUTED_VALUE"""),483.57)</f>
        <v>483.57</v>
      </c>
      <c r="E3000" s="2">
        <f>IFERROR(__xludf.DUMMYFUNCTION("""COMPUTED_VALUE"""),487.56)</f>
        <v>487.56</v>
      </c>
      <c r="F3000" s="2">
        <f>IFERROR(__xludf.DUMMYFUNCTION("""COMPUTED_VALUE"""),2184401.0)</f>
        <v>2184401</v>
      </c>
    </row>
    <row r="3001">
      <c r="A3001" s="3">
        <f>IFERROR(__xludf.DUMMYFUNCTION("""COMPUTED_VALUE"""),41864.645833333336)</f>
        <v>41864.64583</v>
      </c>
      <c r="B3001" s="2">
        <f>IFERROR(__xludf.DUMMYFUNCTION("""COMPUTED_VALUE"""),487.02)</f>
        <v>487.02</v>
      </c>
      <c r="C3001" s="2">
        <f>IFERROR(__xludf.DUMMYFUNCTION("""COMPUTED_VALUE"""),493.6)</f>
        <v>493.6</v>
      </c>
      <c r="D3001" s="2">
        <f>IFERROR(__xludf.DUMMYFUNCTION("""COMPUTED_VALUE"""),485.38)</f>
        <v>485.38</v>
      </c>
      <c r="E3001" s="2">
        <f>IFERROR(__xludf.DUMMYFUNCTION("""COMPUTED_VALUE"""),490.41)</f>
        <v>490.41</v>
      </c>
      <c r="F3001" s="2">
        <f>IFERROR(__xludf.DUMMYFUNCTION("""COMPUTED_VALUE"""),3226166.0)</f>
        <v>3226166</v>
      </c>
    </row>
    <row r="3002">
      <c r="A3002" s="3">
        <f>IFERROR(__xludf.DUMMYFUNCTION("""COMPUTED_VALUE"""),41865.645833333336)</f>
        <v>41865.64583</v>
      </c>
      <c r="B3002" s="2">
        <f>IFERROR(__xludf.DUMMYFUNCTION("""COMPUTED_VALUE"""),492.81)</f>
        <v>492.81</v>
      </c>
      <c r="C3002" s="2">
        <f>IFERROR(__xludf.DUMMYFUNCTION("""COMPUTED_VALUE"""),497.76)</f>
        <v>497.76</v>
      </c>
      <c r="D3002" s="2">
        <f>IFERROR(__xludf.DUMMYFUNCTION("""COMPUTED_VALUE"""),491.2)</f>
        <v>491.2</v>
      </c>
      <c r="E3002" s="2">
        <f>IFERROR(__xludf.DUMMYFUNCTION("""COMPUTED_VALUE"""),496.75)</f>
        <v>496.75</v>
      </c>
      <c r="F3002" s="2">
        <f>IFERROR(__xludf.DUMMYFUNCTION("""COMPUTED_VALUE"""),2757188.0)</f>
        <v>2757188</v>
      </c>
    </row>
    <row r="3003">
      <c r="A3003" s="3">
        <f>IFERROR(__xludf.DUMMYFUNCTION("""COMPUTED_VALUE"""),41869.645833333336)</f>
        <v>41869.64583</v>
      </c>
      <c r="B3003" s="2">
        <f>IFERROR(__xludf.DUMMYFUNCTION("""COMPUTED_VALUE"""),495.83)</f>
        <v>495.83</v>
      </c>
      <c r="C3003" s="2">
        <f>IFERROR(__xludf.DUMMYFUNCTION("""COMPUTED_VALUE"""),502.94)</f>
        <v>502.94</v>
      </c>
      <c r="D3003" s="2">
        <f>IFERROR(__xludf.DUMMYFUNCTION("""COMPUTED_VALUE"""),494.05)</f>
        <v>494.05</v>
      </c>
      <c r="E3003" s="2">
        <f>IFERROR(__xludf.DUMMYFUNCTION("""COMPUTED_VALUE"""),501.75)</f>
        <v>501.75</v>
      </c>
      <c r="F3003" s="2">
        <f>IFERROR(__xludf.DUMMYFUNCTION("""COMPUTED_VALUE"""),1747178.0)</f>
        <v>1747178</v>
      </c>
    </row>
    <row r="3004">
      <c r="A3004" s="3">
        <f>IFERROR(__xludf.DUMMYFUNCTION("""COMPUTED_VALUE"""),41870.645833333336)</f>
        <v>41870.64583</v>
      </c>
      <c r="B3004" s="2">
        <f>IFERROR(__xludf.DUMMYFUNCTION("""COMPUTED_VALUE"""),502.72)</f>
        <v>502.72</v>
      </c>
      <c r="C3004" s="2">
        <f>IFERROR(__xludf.DUMMYFUNCTION("""COMPUTED_VALUE"""),506.68)</f>
        <v>506.68</v>
      </c>
      <c r="D3004" s="2">
        <f>IFERROR(__xludf.DUMMYFUNCTION("""COMPUTED_VALUE"""),498.31)</f>
        <v>498.31</v>
      </c>
      <c r="E3004" s="2">
        <f>IFERROR(__xludf.DUMMYFUNCTION("""COMPUTED_VALUE"""),499.89)</f>
        <v>499.89</v>
      </c>
      <c r="F3004" s="2">
        <f>IFERROR(__xludf.DUMMYFUNCTION("""COMPUTED_VALUE"""),3328022.0)</f>
        <v>3328022</v>
      </c>
    </row>
    <row r="3005">
      <c r="A3005" s="3">
        <f>IFERROR(__xludf.DUMMYFUNCTION("""COMPUTED_VALUE"""),41871.645833333336)</f>
        <v>41871.64583</v>
      </c>
      <c r="B3005" s="2">
        <f>IFERROR(__xludf.DUMMYFUNCTION("""COMPUTED_VALUE"""),500.74)</f>
        <v>500.74</v>
      </c>
      <c r="C3005" s="2">
        <f>IFERROR(__xludf.DUMMYFUNCTION("""COMPUTED_VALUE"""),504.42)</f>
        <v>504.42</v>
      </c>
      <c r="D3005" s="2">
        <f>IFERROR(__xludf.DUMMYFUNCTION("""COMPUTED_VALUE"""),492.98)</f>
        <v>492.98</v>
      </c>
      <c r="E3005" s="2">
        <f>IFERROR(__xludf.DUMMYFUNCTION("""COMPUTED_VALUE"""),494.47)</f>
        <v>494.47</v>
      </c>
      <c r="F3005" s="2">
        <f>IFERROR(__xludf.DUMMYFUNCTION("""COMPUTED_VALUE"""),2976628.0)</f>
        <v>2976628</v>
      </c>
    </row>
    <row r="3006">
      <c r="A3006" s="3">
        <f>IFERROR(__xludf.DUMMYFUNCTION("""COMPUTED_VALUE"""),41872.645833333336)</f>
        <v>41872.64583</v>
      </c>
      <c r="B3006" s="2">
        <f>IFERROR(__xludf.DUMMYFUNCTION("""COMPUTED_VALUE"""),495.29)</f>
        <v>495.29</v>
      </c>
      <c r="C3006" s="2">
        <f>IFERROR(__xludf.DUMMYFUNCTION("""COMPUTED_VALUE"""),497.27)</f>
        <v>497.27</v>
      </c>
      <c r="D3006" s="2">
        <f>IFERROR(__xludf.DUMMYFUNCTION("""COMPUTED_VALUE"""),490.38)</f>
        <v>490.38</v>
      </c>
      <c r="E3006" s="2">
        <f>IFERROR(__xludf.DUMMYFUNCTION("""COMPUTED_VALUE"""),492.86)</f>
        <v>492.86</v>
      </c>
      <c r="F3006" s="2">
        <f>IFERROR(__xludf.DUMMYFUNCTION("""COMPUTED_VALUE"""),3760015.0)</f>
        <v>3760015</v>
      </c>
    </row>
    <row r="3007">
      <c r="A3007" s="3">
        <f>IFERROR(__xludf.DUMMYFUNCTION("""COMPUTED_VALUE"""),41873.645833333336)</f>
        <v>41873.64583</v>
      </c>
      <c r="B3007" s="2">
        <f>IFERROR(__xludf.DUMMYFUNCTION("""COMPUTED_VALUE"""),495.34)</f>
        <v>495.34</v>
      </c>
      <c r="C3007" s="2">
        <f>IFERROR(__xludf.DUMMYFUNCTION("""COMPUTED_VALUE"""),498.75)</f>
        <v>498.75</v>
      </c>
      <c r="D3007" s="2">
        <f>IFERROR(__xludf.DUMMYFUNCTION("""COMPUTED_VALUE"""),492.96)</f>
        <v>492.96</v>
      </c>
      <c r="E3007" s="2">
        <f>IFERROR(__xludf.DUMMYFUNCTION("""COMPUTED_VALUE"""),494.44)</f>
        <v>494.44</v>
      </c>
      <c r="F3007" s="2">
        <f>IFERROR(__xludf.DUMMYFUNCTION("""COMPUTED_VALUE"""),1959327.0)</f>
        <v>1959327</v>
      </c>
    </row>
    <row r="3008">
      <c r="A3008" s="3">
        <f>IFERROR(__xludf.DUMMYFUNCTION("""COMPUTED_VALUE"""),41876.645833333336)</f>
        <v>41876.64583</v>
      </c>
      <c r="B3008" s="2">
        <f>IFERROR(__xludf.DUMMYFUNCTION("""COMPUTED_VALUE"""),495.29)</f>
        <v>495.29</v>
      </c>
      <c r="C3008" s="2">
        <f>IFERROR(__xludf.DUMMYFUNCTION("""COMPUTED_VALUE"""),499.5)</f>
        <v>499.5</v>
      </c>
      <c r="D3008" s="2">
        <f>IFERROR(__xludf.DUMMYFUNCTION("""COMPUTED_VALUE"""),492.04)</f>
        <v>492.04</v>
      </c>
      <c r="E3008" s="2">
        <f>IFERROR(__xludf.DUMMYFUNCTION("""COMPUTED_VALUE"""),493.21)</f>
        <v>493.21</v>
      </c>
      <c r="F3008" s="2">
        <f>IFERROR(__xludf.DUMMYFUNCTION("""COMPUTED_VALUE"""),1704141.0)</f>
        <v>1704141</v>
      </c>
    </row>
    <row r="3009">
      <c r="A3009" s="3">
        <f>IFERROR(__xludf.DUMMYFUNCTION("""COMPUTED_VALUE"""),41877.645833333336)</f>
        <v>41877.64583</v>
      </c>
      <c r="B3009" s="2">
        <f>IFERROR(__xludf.DUMMYFUNCTION("""COMPUTED_VALUE"""),493.31)</f>
        <v>493.31</v>
      </c>
      <c r="C3009" s="2">
        <f>IFERROR(__xludf.DUMMYFUNCTION("""COMPUTED_VALUE"""),493.78)</f>
        <v>493.78</v>
      </c>
      <c r="D3009" s="2">
        <f>IFERROR(__xludf.DUMMYFUNCTION("""COMPUTED_VALUE"""),486.87)</f>
        <v>486.87</v>
      </c>
      <c r="E3009" s="2">
        <f>IFERROR(__xludf.DUMMYFUNCTION("""COMPUTED_VALUE"""),491.99)</f>
        <v>491.99</v>
      </c>
      <c r="F3009" s="2">
        <f>IFERROR(__xludf.DUMMYFUNCTION("""COMPUTED_VALUE"""),2182560.0)</f>
        <v>2182560</v>
      </c>
    </row>
    <row r="3010">
      <c r="A3010" s="3">
        <f>IFERROR(__xludf.DUMMYFUNCTION("""COMPUTED_VALUE"""),41878.645833333336)</f>
        <v>41878.64583</v>
      </c>
      <c r="B3010" s="2">
        <f>IFERROR(__xludf.DUMMYFUNCTION("""COMPUTED_VALUE"""),493.9)</f>
        <v>493.9</v>
      </c>
      <c r="C3010" s="2">
        <f>IFERROR(__xludf.DUMMYFUNCTION("""COMPUTED_VALUE"""),496.18)</f>
        <v>496.18</v>
      </c>
      <c r="D3010" s="2">
        <f>IFERROR(__xludf.DUMMYFUNCTION("""COMPUTED_VALUE"""),488.77)</f>
        <v>488.77</v>
      </c>
      <c r="E3010" s="2">
        <f>IFERROR(__xludf.DUMMYFUNCTION("""COMPUTED_VALUE"""),492.17)</f>
        <v>492.17</v>
      </c>
      <c r="F3010" s="2">
        <f>IFERROR(__xludf.DUMMYFUNCTION("""COMPUTED_VALUE"""),1918182.0)</f>
        <v>1918182</v>
      </c>
    </row>
    <row r="3011">
      <c r="A3011" s="3">
        <f>IFERROR(__xludf.DUMMYFUNCTION("""COMPUTED_VALUE"""),41879.645833333336)</f>
        <v>41879.64583</v>
      </c>
      <c r="B3011" s="2">
        <f>IFERROR(__xludf.DUMMYFUNCTION("""COMPUTED_VALUE"""),492.61)</f>
        <v>492.61</v>
      </c>
      <c r="C3011" s="2">
        <f>IFERROR(__xludf.DUMMYFUNCTION("""COMPUTED_VALUE"""),497.27)</f>
        <v>497.27</v>
      </c>
      <c r="D3011" s="2">
        <f>IFERROR(__xludf.DUMMYFUNCTION("""COMPUTED_VALUE"""),492.61)</f>
        <v>492.61</v>
      </c>
      <c r="E3011" s="2">
        <f>IFERROR(__xludf.DUMMYFUNCTION("""COMPUTED_VALUE"""),494.64)</f>
        <v>494.64</v>
      </c>
      <c r="F3011" s="2">
        <f>IFERROR(__xludf.DUMMYFUNCTION("""COMPUTED_VALUE"""),3637682.0)</f>
        <v>3637682</v>
      </c>
    </row>
    <row r="3012">
      <c r="A3012" s="3">
        <f>IFERROR(__xludf.DUMMYFUNCTION("""COMPUTED_VALUE"""),41883.645833333336)</f>
        <v>41883.64583</v>
      </c>
      <c r="B3012" s="2">
        <f>IFERROR(__xludf.DUMMYFUNCTION("""COMPUTED_VALUE"""),497.44)</f>
        <v>497.44</v>
      </c>
      <c r="C3012" s="2">
        <f>IFERROR(__xludf.DUMMYFUNCTION("""COMPUTED_VALUE"""),505.69)</f>
        <v>505.69</v>
      </c>
      <c r="D3012" s="2">
        <f>IFERROR(__xludf.DUMMYFUNCTION("""COMPUTED_VALUE"""),493.11)</f>
        <v>493.11</v>
      </c>
      <c r="E3012" s="2">
        <f>IFERROR(__xludf.DUMMYFUNCTION("""COMPUTED_VALUE"""),502.27)</f>
        <v>502.27</v>
      </c>
      <c r="F3012" s="2">
        <f>IFERROR(__xludf.DUMMYFUNCTION("""COMPUTED_VALUE"""),3702468.0)</f>
        <v>3702468</v>
      </c>
    </row>
    <row r="3013">
      <c r="A3013" s="3">
        <f>IFERROR(__xludf.DUMMYFUNCTION("""COMPUTED_VALUE"""),41884.645833333336)</f>
        <v>41884.64583</v>
      </c>
      <c r="B3013" s="2">
        <f>IFERROR(__xludf.DUMMYFUNCTION("""COMPUTED_VALUE"""),504.45)</f>
        <v>504.45</v>
      </c>
      <c r="C3013" s="2">
        <f>IFERROR(__xludf.DUMMYFUNCTION("""COMPUTED_VALUE"""),510.91)</f>
        <v>510.91</v>
      </c>
      <c r="D3013" s="2">
        <f>IFERROR(__xludf.DUMMYFUNCTION("""COMPUTED_VALUE"""),500.54)</f>
        <v>500.54</v>
      </c>
      <c r="E3013" s="2">
        <f>IFERROR(__xludf.DUMMYFUNCTION("""COMPUTED_VALUE"""),507.07)</f>
        <v>507.07</v>
      </c>
      <c r="F3013" s="2">
        <f>IFERROR(__xludf.DUMMYFUNCTION("""COMPUTED_VALUE"""),3784599.0)</f>
        <v>3784599</v>
      </c>
    </row>
    <row r="3014">
      <c r="A3014" s="3">
        <f>IFERROR(__xludf.DUMMYFUNCTION("""COMPUTED_VALUE"""),41885.645833333336)</f>
        <v>41885.64583</v>
      </c>
      <c r="B3014" s="2">
        <f>IFERROR(__xludf.DUMMYFUNCTION("""COMPUTED_VALUE"""),507.74)</f>
        <v>507.74</v>
      </c>
      <c r="C3014" s="2">
        <f>IFERROR(__xludf.DUMMYFUNCTION("""COMPUTED_VALUE"""),513.09)</f>
        <v>513.09</v>
      </c>
      <c r="D3014" s="2">
        <f>IFERROR(__xludf.DUMMYFUNCTION("""COMPUTED_VALUE"""),505.74)</f>
        <v>505.74</v>
      </c>
      <c r="E3014" s="2">
        <f>IFERROR(__xludf.DUMMYFUNCTION("""COMPUTED_VALUE"""),510.76)</f>
        <v>510.76</v>
      </c>
      <c r="F3014" s="2">
        <f>IFERROR(__xludf.DUMMYFUNCTION("""COMPUTED_VALUE"""),5011067.0)</f>
        <v>5011067</v>
      </c>
    </row>
    <row r="3015">
      <c r="A3015" s="3">
        <f>IFERROR(__xludf.DUMMYFUNCTION("""COMPUTED_VALUE"""),41886.645833333336)</f>
        <v>41886.64583</v>
      </c>
      <c r="B3015" s="2">
        <f>IFERROR(__xludf.DUMMYFUNCTION("""COMPUTED_VALUE"""),509.65)</f>
        <v>509.65</v>
      </c>
      <c r="C3015" s="2">
        <f>IFERROR(__xludf.DUMMYFUNCTION("""COMPUTED_VALUE"""),512.08)</f>
        <v>512.08</v>
      </c>
      <c r="D3015" s="2">
        <f>IFERROR(__xludf.DUMMYFUNCTION("""COMPUTED_VALUE"""),504.25)</f>
        <v>504.25</v>
      </c>
      <c r="E3015" s="2">
        <f>IFERROR(__xludf.DUMMYFUNCTION("""COMPUTED_VALUE"""),508.11)</f>
        <v>508.11</v>
      </c>
      <c r="F3015" s="2">
        <f>IFERROR(__xludf.DUMMYFUNCTION("""COMPUTED_VALUE"""),2136513.0)</f>
        <v>2136513</v>
      </c>
    </row>
    <row r="3016">
      <c r="A3016" s="3">
        <f>IFERROR(__xludf.DUMMYFUNCTION("""COMPUTED_VALUE"""),41887.645833333336)</f>
        <v>41887.64583</v>
      </c>
      <c r="B3016" s="2">
        <f>IFERROR(__xludf.DUMMYFUNCTION("""COMPUTED_VALUE"""),509.01)</f>
        <v>509.01</v>
      </c>
      <c r="C3016" s="2">
        <f>IFERROR(__xludf.DUMMYFUNCTION("""COMPUTED_VALUE"""),511.85)</f>
        <v>511.85</v>
      </c>
      <c r="D3016" s="2">
        <f>IFERROR(__xludf.DUMMYFUNCTION("""COMPUTED_VALUE"""),505.49)</f>
        <v>505.49</v>
      </c>
      <c r="E3016" s="2">
        <f>IFERROR(__xludf.DUMMYFUNCTION("""COMPUTED_VALUE"""),507.99)</f>
        <v>507.99</v>
      </c>
      <c r="F3016" s="2">
        <f>IFERROR(__xludf.DUMMYFUNCTION("""COMPUTED_VALUE"""),2075273.0)</f>
        <v>2075273</v>
      </c>
    </row>
    <row r="3017">
      <c r="A3017" s="3">
        <f>IFERROR(__xludf.DUMMYFUNCTION("""COMPUTED_VALUE"""),41890.645833333336)</f>
        <v>41890.64583</v>
      </c>
      <c r="B3017" s="2">
        <f>IFERROR(__xludf.DUMMYFUNCTION("""COMPUTED_VALUE"""),512.08)</f>
        <v>512.08</v>
      </c>
      <c r="C3017" s="2">
        <f>IFERROR(__xludf.DUMMYFUNCTION("""COMPUTED_VALUE"""),514.78)</f>
        <v>514.78</v>
      </c>
      <c r="D3017" s="2">
        <f>IFERROR(__xludf.DUMMYFUNCTION("""COMPUTED_VALUE"""),509.15)</f>
        <v>509.15</v>
      </c>
      <c r="E3017" s="2">
        <f>IFERROR(__xludf.DUMMYFUNCTION("""COMPUTED_VALUE"""),513.96)</f>
        <v>513.96</v>
      </c>
      <c r="F3017" s="2">
        <f>IFERROR(__xludf.DUMMYFUNCTION("""COMPUTED_VALUE"""),3174286.0)</f>
        <v>3174286</v>
      </c>
    </row>
    <row r="3018">
      <c r="A3018" s="3">
        <f>IFERROR(__xludf.DUMMYFUNCTION("""COMPUTED_VALUE"""),41891.645833333336)</f>
        <v>41891.64583</v>
      </c>
      <c r="B3018" s="2">
        <f>IFERROR(__xludf.DUMMYFUNCTION("""COMPUTED_VALUE"""),511.19)</f>
        <v>511.19</v>
      </c>
      <c r="C3018" s="2">
        <f>IFERROR(__xludf.DUMMYFUNCTION("""COMPUTED_VALUE"""),515.74)</f>
        <v>515.74</v>
      </c>
      <c r="D3018" s="2">
        <f>IFERROR(__xludf.DUMMYFUNCTION("""COMPUTED_VALUE"""),509.25)</f>
        <v>509.25</v>
      </c>
      <c r="E3018" s="2">
        <f>IFERROR(__xludf.DUMMYFUNCTION("""COMPUTED_VALUE"""),511.63)</f>
        <v>511.63</v>
      </c>
      <c r="F3018" s="2">
        <f>IFERROR(__xludf.DUMMYFUNCTION("""COMPUTED_VALUE"""),2095351.0)</f>
        <v>2095351</v>
      </c>
    </row>
    <row r="3019">
      <c r="A3019" s="3">
        <f>IFERROR(__xludf.DUMMYFUNCTION("""COMPUTED_VALUE"""),41892.645833333336)</f>
        <v>41892.64583</v>
      </c>
      <c r="B3019" s="2">
        <f>IFERROR(__xludf.DUMMYFUNCTION("""COMPUTED_VALUE"""),509.23)</f>
        <v>509.23</v>
      </c>
      <c r="C3019" s="2">
        <f>IFERROR(__xludf.DUMMYFUNCTION("""COMPUTED_VALUE"""),509.7)</f>
        <v>509.7</v>
      </c>
      <c r="D3019" s="2">
        <f>IFERROR(__xludf.DUMMYFUNCTION("""COMPUTED_VALUE"""),501.53)</f>
        <v>501.53</v>
      </c>
      <c r="E3019" s="2">
        <f>IFERROR(__xludf.DUMMYFUNCTION("""COMPUTED_VALUE"""),503.14)</f>
        <v>503.14</v>
      </c>
      <c r="F3019" s="2">
        <f>IFERROR(__xludf.DUMMYFUNCTION("""COMPUTED_VALUE"""),2162176.0)</f>
        <v>2162176</v>
      </c>
    </row>
    <row r="3020">
      <c r="A3020" s="3">
        <f>IFERROR(__xludf.DUMMYFUNCTION("""COMPUTED_VALUE"""),41893.645833333336)</f>
        <v>41893.64583</v>
      </c>
      <c r="B3020" s="2">
        <f>IFERROR(__xludf.DUMMYFUNCTION("""COMPUTED_VALUE"""),505.34)</f>
        <v>505.34</v>
      </c>
      <c r="C3020" s="2">
        <f>IFERROR(__xludf.DUMMYFUNCTION("""COMPUTED_VALUE"""),510.15)</f>
        <v>510.15</v>
      </c>
      <c r="D3020" s="2">
        <f>IFERROR(__xludf.DUMMYFUNCTION("""COMPUTED_VALUE"""),499.25)</f>
        <v>499.25</v>
      </c>
      <c r="E3020" s="2">
        <f>IFERROR(__xludf.DUMMYFUNCTION("""COMPUTED_VALUE"""),504.9)</f>
        <v>504.9</v>
      </c>
      <c r="F3020" s="2">
        <f>IFERROR(__xludf.DUMMYFUNCTION("""COMPUTED_VALUE"""),2427349.0)</f>
        <v>2427349</v>
      </c>
    </row>
    <row r="3021">
      <c r="A3021" s="3">
        <f>IFERROR(__xludf.DUMMYFUNCTION("""COMPUTED_VALUE"""),41894.645833333336)</f>
        <v>41894.64583</v>
      </c>
      <c r="B3021" s="2">
        <f>IFERROR(__xludf.DUMMYFUNCTION("""COMPUTED_VALUE"""),504.45)</f>
        <v>504.45</v>
      </c>
      <c r="C3021" s="2">
        <f>IFERROR(__xludf.DUMMYFUNCTION("""COMPUTED_VALUE"""),507.17)</f>
        <v>507.17</v>
      </c>
      <c r="D3021" s="2">
        <f>IFERROR(__xludf.DUMMYFUNCTION("""COMPUTED_VALUE"""),500.96)</f>
        <v>500.96</v>
      </c>
      <c r="E3021" s="2">
        <f>IFERROR(__xludf.DUMMYFUNCTION("""COMPUTED_VALUE"""),503.01)</f>
        <v>503.01</v>
      </c>
      <c r="F3021" s="2">
        <f>IFERROR(__xludf.DUMMYFUNCTION("""COMPUTED_VALUE"""),2000076.0)</f>
        <v>2000076</v>
      </c>
    </row>
    <row r="3022">
      <c r="A3022" s="3">
        <f>IFERROR(__xludf.DUMMYFUNCTION("""COMPUTED_VALUE"""),41897.645833333336)</f>
        <v>41897.64583</v>
      </c>
      <c r="B3022" s="2">
        <f>IFERROR(__xludf.DUMMYFUNCTION("""COMPUTED_VALUE"""),499.79)</f>
        <v>499.79</v>
      </c>
      <c r="C3022" s="2">
        <f>IFERROR(__xludf.DUMMYFUNCTION("""COMPUTED_VALUE"""),501.23)</f>
        <v>501.23</v>
      </c>
      <c r="D3022" s="2">
        <f>IFERROR(__xludf.DUMMYFUNCTION("""COMPUTED_VALUE"""),495.78)</f>
        <v>495.78</v>
      </c>
      <c r="E3022" s="2">
        <f>IFERROR(__xludf.DUMMYFUNCTION("""COMPUTED_VALUE"""),496.65)</f>
        <v>496.65</v>
      </c>
      <c r="F3022" s="2">
        <f>IFERROR(__xludf.DUMMYFUNCTION("""COMPUTED_VALUE"""),1997452.0)</f>
        <v>1997452</v>
      </c>
    </row>
    <row r="3023">
      <c r="A3023" s="3">
        <f>IFERROR(__xludf.DUMMYFUNCTION("""COMPUTED_VALUE"""),41898.645833333336)</f>
        <v>41898.64583</v>
      </c>
      <c r="B3023" s="2">
        <f>IFERROR(__xludf.DUMMYFUNCTION("""COMPUTED_VALUE"""),495.98)</f>
        <v>495.98</v>
      </c>
      <c r="C3023" s="2">
        <f>IFERROR(__xludf.DUMMYFUNCTION("""COMPUTED_VALUE"""),497.34)</f>
        <v>497.34</v>
      </c>
      <c r="D3023" s="2">
        <f>IFERROR(__xludf.DUMMYFUNCTION("""COMPUTED_VALUE"""),483.65)</f>
        <v>483.65</v>
      </c>
      <c r="E3023" s="2">
        <f>IFERROR(__xludf.DUMMYFUNCTION("""COMPUTED_VALUE"""),485.08)</f>
        <v>485.08</v>
      </c>
      <c r="F3023" s="2">
        <f>IFERROR(__xludf.DUMMYFUNCTION("""COMPUTED_VALUE"""),3027126.0)</f>
        <v>3027126</v>
      </c>
    </row>
    <row r="3024">
      <c r="A3024" s="3">
        <f>IFERROR(__xludf.DUMMYFUNCTION("""COMPUTED_VALUE"""),41899.645833333336)</f>
        <v>41899.64583</v>
      </c>
      <c r="B3024" s="2">
        <f>IFERROR(__xludf.DUMMYFUNCTION("""COMPUTED_VALUE"""),487.81)</f>
        <v>487.81</v>
      </c>
      <c r="C3024" s="2">
        <f>IFERROR(__xludf.DUMMYFUNCTION("""COMPUTED_VALUE"""),490.61)</f>
        <v>490.61</v>
      </c>
      <c r="D3024" s="2">
        <f>IFERROR(__xludf.DUMMYFUNCTION("""COMPUTED_VALUE"""),484.86)</f>
        <v>484.86</v>
      </c>
      <c r="E3024" s="2">
        <f>IFERROR(__xludf.DUMMYFUNCTION("""COMPUTED_VALUE"""),489.67)</f>
        <v>489.67</v>
      </c>
      <c r="F3024" s="2">
        <f>IFERROR(__xludf.DUMMYFUNCTION("""COMPUTED_VALUE"""),2488647.0)</f>
        <v>2488647</v>
      </c>
    </row>
    <row r="3025">
      <c r="A3025" s="3">
        <f>IFERROR(__xludf.DUMMYFUNCTION("""COMPUTED_VALUE"""),41900.645833333336)</f>
        <v>41900.64583</v>
      </c>
      <c r="B3025" s="2">
        <f>IFERROR(__xludf.DUMMYFUNCTION("""COMPUTED_VALUE"""),487.86)</f>
        <v>487.86</v>
      </c>
      <c r="C3025" s="2">
        <f>IFERROR(__xludf.DUMMYFUNCTION("""COMPUTED_VALUE"""),500.24)</f>
        <v>500.24</v>
      </c>
      <c r="D3025" s="2">
        <f>IFERROR(__xludf.DUMMYFUNCTION("""COMPUTED_VALUE"""),487.21)</f>
        <v>487.21</v>
      </c>
      <c r="E3025" s="2">
        <f>IFERROR(__xludf.DUMMYFUNCTION("""COMPUTED_VALUE"""),497.71)</f>
        <v>497.71</v>
      </c>
      <c r="F3025" s="2">
        <f>IFERROR(__xludf.DUMMYFUNCTION("""COMPUTED_VALUE"""),2077617.0)</f>
        <v>2077617</v>
      </c>
    </row>
    <row r="3026">
      <c r="A3026" s="3">
        <f>IFERROR(__xludf.DUMMYFUNCTION("""COMPUTED_VALUE"""),41901.645833333336)</f>
        <v>41901.64583</v>
      </c>
      <c r="B3026" s="2">
        <f>IFERROR(__xludf.DUMMYFUNCTION("""COMPUTED_VALUE"""),498.26)</f>
        <v>498.26</v>
      </c>
      <c r="C3026" s="2">
        <f>IFERROR(__xludf.DUMMYFUNCTION("""COMPUTED_VALUE"""),503.11)</f>
        <v>503.11</v>
      </c>
      <c r="D3026" s="2">
        <f>IFERROR(__xludf.DUMMYFUNCTION("""COMPUTED_VALUE"""),490.83)</f>
        <v>490.83</v>
      </c>
      <c r="E3026" s="2">
        <f>IFERROR(__xludf.DUMMYFUNCTION("""COMPUTED_VALUE"""),493.03)</f>
        <v>493.03</v>
      </c>
      <c r="F3026" s="2">
        <f>IFERROR(__xludf.DUMMYFUNCTION("""COMPUTED_VALUE"""),3924732.0)</f>
        <v>3924732</v>
      </c>
    </row>
    <row r="3027">
      <c r="A3027" s="3">
        <f>IFERROR(__xludf.DUMMYFUNCTION("""COMPUTED_VALUE"""),41904.645833333336)</f>
        <v>41904.64583</v>
      </c>
      <c r="B3027" s="2">
        <f>IFERROR(__xludf.DUMMYFUNCTION("""COMPUTED_VALUE"""),491.82)</f>
        <v>491.82</v>
      </c>
      <c r="C3027" s="2">
        <f>IFERROR(__xludf.DUMMYFUNCTION("""COMPUTED_VALUE"""),493.31)</f>
        <v>493.31</v>
      </c>
      <c r="D3027" s="2">
        <f>IFERROR(__xludf.DUMMYFUNCTION("""COMPUTED_VALUE"""),489.19)</f>
        <v>489.19</v>
      </c>
      <c r="E3027" s="2">
        <f>IFERROR(__xludf.DUMMYFUNCTION("""COMPUTED_VALUE"""),491.1)</f>
        <v>491.1</v>
      </c>
      <c r="F3027" s="2">
        <f>IFERROR(__xludf.DUMMYFUNCTION("""COMPUTED_VALUE"""),1805858.0)</f>
        <v>1805858</v>
      </c>
    </row>
    <row r="3028">
      <c r="A3028" s="3">
        <f>IFERROR(__xludf.DUMMYFUNCTION("""COMPUTED_VALUE"""),41905.645833333336)</f>
        <v>41905.64583</v>
      </c>
      <c r="B3028" s="2">
        <f>IFERROR(__xludf.DUMMYFUNCTION("""COMPUTED_VALUE"""),491.18)</f>
        <v>491.18</v>
      </c>
      <c r="C3028" s="2">
        <f>IFERROR(__xludf.DUMMYFUNCTION("""COMPUTED_VALUE"""),493.03)</f>
        <v>493.03</v>
      </c>
      <c r="D3028" s="2">
        <f>IFERROR(__xludf.DUMMYFUNCTION("""COMPUTED_VALUE"""),476.99)</f>
        <v>476.99</v>
      </c>
      <c r="E3028" s="2">
        <f>IFERROR(__xludf.DUMMYFUNCTION("""COMPUTED_VALUE"""),478.37)</f>
        <v>478.37</v>
      </c>
      <c r="F3028" s="2">
        <f>IFERROR(__xludf.DUMMYFUNCTION("""COMPUTED_VALUE"""),4044643.0)</f>
        <v>4044643</v>
      </c>
    </row>
    <row r="3029">
      <c r="A3029" s="3">
        <f>IFERROR(__xludf.DUMMYFUNCTION("""COMPUTED_VALUE"""),41906.645833333336)</f>
        <v>41906.64583</v>
      </c>
      <c r="B3029" s="2">
        <f>IFERROR(__xludf.DUMMYFUNCTION("""COMPUTED_VALUE"""),479.69)</f>
        <v>479.69</v>
      </c>
      <c r="C3029" s="2">
        <f>IFERROR(__xludf.DUMMYFUNCTION("""COMPUTED_VALUE"""),482.46)</f>
        <v>482.46</v>
      </c>
      <c r="D3029" s="2">
        <f>IFERROR(__xludf.DUMMYFUNCTION("""COMPUTED_VALUE"""),473.2)</f>
        <v>473.2</v>
      </c>
      <c r="E3029" s="2">
        <f>IFERROR(__xludf.DUMMYFUNCTION("""COMPUTED_VALUE"""),477.98)</f>
        <v>477.98</v>
      </c>
      <c r="F3029" s="2">
        <f>IFERROR(__xludf.DUMMYFUNCTION("""COMPUTED_VALUE"""),3518809.0)</f>
        <v>3518809</v>
      </c>
    </row>
    <row r="3030">
      <c r="A3030" s="3">
        <f>IFERROR(__xludf.DUMMYFUNCTION("""COMPUTED_VALUE"""),41907.645833333336)</f>
        <v>41907.64583</v>
      </c>
      <c r="B3030" s="2">
        <f>IFERROR(__xludf.DUMMYFUNCTION("""COMPUTED_VALUE"""),478.5)</f>
        <v>478.5</v>
      </c>
      <c r="C3030" s="2">
        <f>IFERROR(__xludf.DUMMYFUNCTION("""COMPUTED_VALUE"""),479.34)</f>
        <v>479.34</v>
      </c>
      <c r="D3030" s="2">
        <f>IFERROR(__xludf.DUMMYFUNCTION("""COMPUTED_VALUE"""),456.98)</f>
        <v>456.98</v>
      </c>
      <c r="E3030" s="2">
        <f>IFERROR(__xludf.DUMMYFUNCTION("""COMPUTED_VALUE"""),460.54)</f>
        <v>460.54</v>
      </c>
      <c r="F3030" s="2">
        <f>IFERROR(__xludf.DUMMYFUNCTION("""COMPUTED_VALUE"""),7564288.0)</f>
        <v>7564288</v>
      </c>
    </row>
    <row r="3031">
      <c r="A3031" s="3">
        <f>IFERROR(__xludf.DUMMYFUNCTION("""COMPUTED_VALUE"""),41908.645833333336)</f>
        <v>41908.64583</v>
      </c>
      <c r="B3031" s="2">
        <f>IFERROR(__xludf.DUMMYFUNCTION("""COMPUTED_VALUE"""),460.12)</f>
        <v>460.12</v>
      </c>
      <c r="C3031" s="2">
        <f>IFERROR(__xludf.DUMMYFUNCTION("""COMPUTED_VALUE"""),466.39)</f>
        <v>466.39</v>
      </c>
      <c r="D3031" s="2">
        <f>IFERROR(__xludf.DUMMYFUNCTION("""COMPUTED_VALUE"""),454.33)</f>
        <v>454.33</v>
      </c>
      <c r="E3031" s="2">
        <f>IFERROR(__xludf.DUMMYFUNCTION("""COMPUTED_VALUE"""),462.23)</f>
        <v>462.23</v>
      </c>
      <c r="F3031" s="2">
        <f>IFERROR(__xludf.DUMMYFUNCTION("""COMPUTED_VALUE"""),3635611.0)</f>
        <v>3635611</v>
      </c>
    </row>
    <row r="3032">
      <c r="A3032" s="3">
        <f>IFERROR(__xludf.DUMMYFUNCTION("""COMPUTED_VALUE"""),41911.645833333336)</f>
        <v>41911.64583</v>
      </c>
      <c r="B3032" s="2">
        <f>IFERROR(__xludf.DUMMYFUNCTION("""COMPUTED_VALUE"""),464.06)</f>
        <v>464.06</v>
      </c>
      <c r="C3032" s="2">
        <f>IFERROR(__xludf.DUMMYFUNCTION("""COMPUTED_VALUE"""),466.91)</f>
        <v>466.91</v>
      </c>
      <c r="D3032" s="2">
        <f>IFERROR(__xludf.DUMMYFUNCTION("""COMPUTED_VALUE"""),460.42)</f>
        <v>460.42</v>
      </c>
      <c r="E3032" s="2">
        <f>IFERROR(__xludf.DUMMYFUNCTION("""COMPUTED_VALUE"""),462.18)</f>
        <v>462.18</v>
      </c>
      <c r="F3032" s="2">
        <f>IFERROR(__xludf.DUMMYFUNCTION("""COMPUTED_VALUE"""),2852977.0)</f>
        <v>2852977</v>
      </c>
    </row>
    <row r="3033">
      <c r="A3033" s="3">
        <f>IFERROR(__xludf.DUMMYFUNCTION("""COMPUTED_VALUE"""),41912.645833333336)</f>
        <v>41912.64583</v>
      </c>
      <c r="B3033" s="2">
        <f>IFERROR(__xludf.DUMMYFUNCTION("""COMPUTED_VALUE"""),459.63)</f>
        <v>459.63</v>
      </c>
      <c r="C3033" s="2">
        <f>IFERROR(__xludf.DUMMYFUNCTION("""COMPUTED_VALUE"""),469.75)</f>
        <v>469.75</v>
      </c>
      <c r="D3033" s="2">
        <f>IFERROR(__xludf.DUMMYFUNCTION("""COMPUTED_VALUE"""),458.17)</f>
        <v>458.17</v>
      </c>
      <c r="E3033" s="2">
        <f>IFERROR(__xludf.DUMMYFUNCTION("""COMPUTED_VALUE"""),468.39)</f>
        <v>468.39</v>
      </c>
      <c r="F3033" s="2">
        <f>IFERROR(__xludf.DUMMYFUNCTION("""COMPUTED_VALUE"""),4032700.0)</f>
        <v>4032700</v>
      </c>
    </row>
    <row r="3034">
      <c r="A3034" s="3">
        <f>IFERROR(__xludf.DUMMYFUNCTION("""COMPUTED_VALUE"""),41913.645833333336)</f>
        <v>41913.64583</v>
      </c>
      <c r="B3034" s="2">
        <f>IFERROR(__xludf.DUMMYFUNCTION("""COMPUTED_VALUE"""),467.35)</f>
        <v>467.35</v>
      </c>
      <c r="C3034" s="2">
        <f>IFERROR(__xludf.DUMMYFUNCTION("""COMPUTED_VALUE"""),468.34)</f>
        <v>468.34</v>
      </c>
      <c r="D3034" s="2">
        <f>IFERROR(__xludf.DUMMYFUNCTION("""COMPUTED_VALUE"""),458.64)</f>
        <v>458.64</v>
      </c>
      <c r="E3034" s="2">
        <f>IFERROR(__xludf.DUMMYFUNCTION("""COMPUTED_VALUE"""),459.23)</f>
        <v>459.23</v>
      </c>
      <c r="F3034" s="2">
        <f>IFERROR(__xludf.DUMMYFUNCTION("""COMPUTED_VALUE"""),1978672.0)</f>
        <v>1978672</v>
      </c>
    </row>
    <row r="3035">
      <c r="A3035" s="3">
        <f>IFERROR(__xludf.DUMMYFUNCTION("""COMPUTED_VALUE"""),41919.645833333336)</f>
        <v>41919.64583</v>
      </c>
      <c r="B3035" s="2">
        <f>IFERROR(__xludf.DUMMYFUNCTION("""COMPUTED_VALUE"""),459.25)</f>
        <v>459.25</v>
      </c>
      <c r="C3035" s="2">
        <f>IFERROR(__xludf.DUMMYFUNCTION("""COMPUTED_VALUE"""),463.04)</f>
        <v>463.04</v>
      </c>
      <c r="D3035" s="2">
        <f>IFERROR(__xludf.DUMMYFUNCTION("""COMPUTED_VALUE"""),457.37)</f>
        <v>457.37</v>
      </c>
      <c r="E3035" s="2">
        <f>IFERROR(__xludf.DUMMYFUNCTION("""COMPUTED_VALUE"""),458.71)</f>
        <v>458.71</v>
      </c>
      <c r="F3035" s="2">
        <f>IFERROR(__xludf.DUMMYFUNCTION("""COMPUTED_VALUE"""),2835389.0)</f>
        <v>2835389</v>
      </c>
    </row>
    <row r="3036">
      <c r="A3036" s="3">
        <f>IFERROR(__xludf.DUMMYFUNCTION("""COMPUTED_VALUE"""),41920.645833333336)</f>
        <v>41920.64583</v>
      </c>
      <c r="B3036" s="2">
        <f>IFERROR(__xludf.DUMMYFUNCTION("""COMPUTED_VALUE"""),456.23)</f>
        <v>456.23</v>
      </c>
      <c r="C3036" s="2">
        <f>IFERROR(__xludf.DUMMYFUNCTION("""COMPUTED_VALUE"""),466.31)</f>
        <v>466.31</v>
      </c>
      <c r="D3036" s="2">
        <f>IFERROR(__xludf.DUMMYFUNCTION("""COMPUTED_VALUE"""),456.23)</f>
        <v>456.23</v>
      </c>
      <c r="E3036" s="2">
        <f>IFERROR(__xludf.DUMMYFUNCTION("""COMPUTED_VALUE"""),463.94)</f>
        <v>463.94</v>
      </c>
      <c r="F3036" s="2">
        <f>IFERROR(__xludf.DUMMYFUNCTION("""COMPUTED_VALUE"""),2246466.0)</f>
        <v>2246466</v>
      </c>
    </row>
    <row r="3037">
      <c r="A3037" s="3">
        <f>IFERROR(__xludf.DUMMYFUNCTION("""COMPUTED_VALUE"""),41921.645833333336)</f>
        <v>41921.64583</v>
      </c>
      <c r="B3037" s="2">
        <f>IFERROR(__xludf.DUMMYFUNCTION("""COMPUTED_VALUE"""),464.68)</f>
        <v>464.68</v>
      </c>
      <c r="C3037" s="2">
        <f>IFERROR(__xludf.DUMMYFUNCTION("""COMPUTED_VALUE"""),474.11)</f>
        <v>474.11</v>
      </c>
      <c r="D3037" s="2">
        <f>IFERROR(__xludf.DUMMYFUNCTION("""COMPUTED_VALUE"""),464.68)</f>
        <v>464.68</v>
      </c>
      <c r="E3037" s="2">
        <f>IFERROR(__xludf.DUMMYFUNCTION("""COMPUTED_VALUE"""),472.83)</f>
        <v>472.83</v>
      </c>
      <c r="F3037" s="2">
        <f>IFERROR(__xludf.DUMMYFUNCTION("""COMPUTED_VALUE"""),2552056.0)</f>
        <v>2552056</v>
      </c>
    </row>
    <row r="3038">
      <c r="A3038" s="3">
        <f>IFERROR(__xludf.DUMMYFUNCTION("""COMPUTED_VALUE"""),41922.645833333336)</f>
        <v>41922.64583</v>
      </c>
      <c r="B3038" s="2">
        <f>IFERROR(__xludf.DUMMYFUNCTION("""COMPUTED_VALUE"""),469.04)</f>
        <v>469.04</v>
      </c>
      <c r="C3038" s="2">
        <f>IFERROR(__xludf.DUMMYFUNCTION("""COMPUTED_VALUE"""),479.93)</f>
        <v>479.93</v>
      </c>
      <c r="D3038" s="2">
        <f>IFERROR(__xludf.DUMMYFUNCTION("""COMPUTED_VALUE"""),463.64)</f>
        <v>463.64</v>
      </c>
      <c r="E3038" s="2">
        <f>IFERROR(__xludf.DUMMYFUNCTION("""COMPUTED_VALUE"""),475.8)</f>
        <v>475.8</v>
      </c>
      <c r="F3038" s="2">
        <f>IFERROR(__xludf.DUMMYFUNCTION("""COMPUTED_VALUE"""),3535189.0)</f>
        <v>3535189</v>
      </c>
    </row>
    <row r="3039">
      <c r="A3039" s="3">
        <f>IFERROR(__xludf.DUMMYFUNCTION("""COMPUTED_VALUE"""),41925.645833333336)</f>
        <v>41925.64583</v>
      </c>
      <c r="B3039" s="2">
        <f>IFERROR(__xludf.DUMMYFUNCTION("""COMPUTED_VALUE"""),476.37)</f>
        <v>476.37</v>
      </c>
      <c r="C3039" s="2">
        <f>IFERROR(__xludf.DUMMYFUNCTION("""COMPUTED_VALUE"""),477.83)</f>
        <v>477.83</v>
      </c>
      <c r="D3039" s="2">
        <f>IFERROR(__xludf.DUMMYFUNCTION("""COMPUTED_VALUE"""),469.56)</f>
        <v>469.56</v>
      </c>
      <c r="E3039" s="2">
        <f>IFERROR(__xludf.DUMMYFUNCTION("""COMPUTED_VALUE"""),474.44)</f>
        <v>474.44</v>
      </c>
      <c r="F3039" s="2">
        <f>IFERROR(__xludf.DUMMYFUNCTION("""COMPUTED_VALUE"""),3173161.0)</f>
        <v>3173161</v>
      </c>
    </row>
    <row r="3040">
      <c r="A3040" s="3">
        <f>IFERROR(__xludf.DUMMYFUNCTION("""COMPUTED_VALUE"""),41926.645833333336)</f>
        <v>41926.64583</v>
      </c>
      <c r="B3040" s="2">
        <f>IFERROR(__xludf.DUMMYFUNCTION("""COMPUTED_VALUE"""),484.89)</f>
        <v>484.89</v>
      </c>
      <c r="C3040" s="2">
        <f>IFERROR(__xludf.DUMMYFUNCTION("""COMPUTED_VALUE"""),484.89)</f>
        <v>484.89</v>
      </c>
      <c r="D3040" s="2">
        <f>IFERROR(__xludf.DUMMYFUNCTION("""COMPUTED_VALUE"""),474.78)</f>
        <v>474.78</v>
      </c>
      <c r="E3040" s="2">
        <f>IFERROR(__xludf.DUMMYFUNCTION("""COMPUTED_VALUE"""),476.09)</f>
        <v>476.09</v>
      </c>
      <c r="F3040" s="2">
        <f>IFERROR(__xludf.DUMMYFUNCTION("""COMPUTED_VALUE"""),4360890.0)</f>
        <v>4360890</v>
      </c>
    </row>
    <row r="3041">
      <c r="A3041" s="3">
        <f>IFERROR(__xludf.DUMMYFUNCTION("""COMPUTED_VALUE"""),41928.645833333336)</f>
        <v>41928.64583</v>
      </c>
      <c r="B3041" s="2">
        <f>IFERROR(__xludf.DUMMYFUNCTION("""COMPUTED_VALUE"""),471.34)</f>
        <v>471.34</v>
      </c>
      <c r="C3041" s="2">
        <f>IFERROR(__xludf.DUMMYFUNCTION("""COMPUTED_VALUE"""),473.94)</f>
        <v>473.94</v>
      </c>
      <c r="D3041" s="2">
        <f>IFERROR(__xludf.DUMMYFUNCTION("""COMPUTED_VALUE"""),459.63)</f>
        <v>459.63</v>
      </c>
      <c r="E3041" s="2">
        <f>IFERROR(__xludf.DUMMYFUNCTION("""COMPUTED_VALUE"""),461.11)</f>
        <v>461.11</v>
      </c>
      <c r="F3041" s="2">
        <f>IFERROR(__xludf.DUMMYFUNCTION("""COMPUTED_VALUE"""),4347008.0)</f>
        <v>4347008</v>
      </c>
    </row>
    <row r="3042">
      <c r="A3042" s="3">
        <f>IFERROR(__xludf.DUMMYFUNCTION("""COMPUTED_VALUE"""),41929.645833333336)</f>
        <v>41929.64583</v>
      </c>
      <c r="B3042" s="2">
        <f>IFERROR(__xludf.DUMMYFUNCTION("""COMPUTED_VALUE"""),463.59)</f>
        <v>463.59</v>
      </c>
      <c r="C3042" s="2">
        <f>IFERROR(__xludf.DUMMYFUNCTION("""COMPUTED_VALUE"""),465.89)</f>
        <v>465.89</v>
      </c>
      <c r="D3042" s="2">
        <f>IFERROR(__xludf.DUMMYFUNCTION("""COMPUTED_VALUE"""),458.24)</f>
        <v>458.24</v>
      </c>
      <c r="E3042" s="2">
        <f>IFERROR(__xludf.DUMMYFUNCTION("""COMPUTED_VALUE"""),464.53)</f>
        <v>464.53</v>
      </c>
      <c r="F3042" s="2">
        <f>IFERROR(__xludf.DUMMYFUNCTION("""COMPUTED_VALUE"""),3500356.0)</f>
        <v>3500356</v>
      </c>
    </row>
    <row r="3043">
      <c r="A3043" s="3">
        <f>IFERROR(__xludf.DUMMYFUNCTION("""COMPUTED_VALUE"""),41932.645833333336)</f>
        <v>41932.64583</v>
      </c>
      <c r="B3043" s="2">
        <f>IFERROR(__xludf.DUMMYFUNCTION("""COMPUTED_VALUE"""),464.83)</f>
        <v>464.83</v>
      </c>
      <c r="C3043" s="2">
        <f>IFERROR(__xludf.DUMMYFUNCTION("""COMPUTED_VALUE"""),465.87)</f>
        <v>465.87</v>
      </c>
      <c r="D3043" s="2">
        <f>IFERROR(__xludf.DUMMYFUNCTION("""COMPUTED_VALUE"""),451.48)</f>
        <v>451.48</v>
      </c>
      <c r="E3043" s="2">
        <f>IFERROR(__xludf.DUMMYFUNCTION("""COMPUTED_VALUE"""),463.12)</f>
        <v>463.12</v>
      </c>
      <c r="F3043" s="2">
        <f>IFERROR(__xludf.DUMMYFUNCTION("""COMPUTED_VALUE"""),4843061.0)</f>
        <v>4843061</v>
      </c>
    </row>
    <row r="3044">
      <c r="A3044" s="3">
        <f>IFERROR(__xludf.DUMMYFUNCTION("""COMPUTED_VALUE"""),41933.645833333336)</f>
        <v>41933.64583</v>
      </c>
      <c r="B3044" s="2">
        <f>IFERROR(__xludf.DUMMYFUNCTION("""COMPUTED_VALUE"""),462.72)</f>
        <v>462.72</v>
      </c>
      <c r="C3044" s="2">
        <f>IFERROR(__xludf.DUMMYFUNCTION("""COMPUTED_VALUE"""),464.08)</f>
        <v>464.08</v>
      </c>
      <c r="D3044" s="2">
        <f>IFERROR(__xludf.DUMMYFUNCTION("""COMPUTED_VALUE"""),459.18)</f>
        <v>459.18</v>
      </c>
      <c r="E3044" s="2">
        <f>IFERROR(__xludf.DUMMYFUNCTION("""COMPUTED_VALUE"""),460.29)</f>
        <v>460.29</v>
      </c>
      <c r="F3044" s="2">
        <f>IFERROR(__xludf.DUMMYFUNCTION("""COMPUTED_VALUE"""),4028045.0)</f>
        <v>4028045</v>
      </c>
    </row>
    <row r="3045">
      <c r="A3045" s="3">
        <f>IFERROR(__xludf.DUMMYFUNCTION("""COMPUTED_VALUE"""),41934.645833333336)</f>
        <v>41934.64583</v>
      </c>
      <c r="B3045" s="2">
        <f>IFERROR(__xludf.DUMMYFUNCTION("""COMPUTED_VALUE"""),463.14)</f>
        <v>463.14</v>
      </c>
      <c r="C3045" s="2">
        <f>IFERROR(__xludf.DUMMYFUNCTION("""COMPUTED_VALUE"""),470.92)</f>
        <v>470.92</v>
      </c>
      <c r="D3045" s="2">
        <f>IFERROR(__xludf.DUMMYFUNCTION("""COMPUTED_VALUE"""),462.18)</f>
        <v>462.18</v>
      </c>
      <c r="E3045" s="2">
        <f>IFERROR(__xludf.DUMMYFUNCTION("""COMPUTED_VALUE"""),468.37)</f>
        <v>468.37</v>
      </c>
      <c r="F3045" s="2">
        <f>IFERROR(__xludf.DUMMYFUNCTION("""COMPUTED_VALUE"""),3059361.0)</f>
        <v>3059361</v>
      </c>
    </row>
    <row r="3046">
      <c r="A3046" s="3">
        <f>IFERROR(__xludf.DUMMYFUNCTION("""COMPUTED_VALUE"""),41935.645833333336)</f>
        <v>41935.64583</v>
      </c>
      <c r="B3046" s="2">
        <f>IFERROR(__xludf.DUMMYFUNCTION("""COMPUTED_VALUE"""),470.27)</f>
        <v>470.27</v>
      </c>
      <c r="C3046" s="2">
        <f>IFERROR(__xludf.DUMMYFUNCTION("""COMPUTED_VALUE"""),472.75)</f>
        <v>472.75</v>
      </c>
      <c r="D3046" s="2">
        <f>IFERROR(__xludf.DUMMYFUNCTION("""COMPUTED_VALUE"""),470.03)</f>
        <v>470.03</v>
      </c>
      <c r="E3046" s="2">
        <f>IFERROR(__xludf.DUMMYFUNCTION("""COMPUTED_VALUE"""),471.91)</f>
        <v>471.91</v>
      </c>
      <c r="F3046" s="2">
        <f>IFERROR(__xludf.DUMMYFUNCTION("""COMPUTED_VALUE"""),429213.0)</f>
        <v>429213</v>
      </c>
    </row>
    <row r="3047">
      <c r="A3047" s="3">
        <f>IFERROR(__xludf.DUMMYFUNCTION("""COMPUTED_VALUE"""),41939.645833333336)</f>
        <v>41939.64583</v>
      </c>
      <c r="B3047" s="2">
        <f>IFERROR(__xludf.DUMMYFUNCTION("""COMPUTED_VALUE"""),477.43)</f>
        <v>477.43</v>
      </c>
      <c r="C3047" s="2">
        <f>IFERROR(__xludf.DUMMYFUNCTION("""COMPUTED_VALUE"""),477.43)</f>
        <v>477.43</v>
      </c>
      <c r="D3047" s="2">
        <f>IFERROR(__xludf.DUMMYFUNCTION("""COMPUTED_VALUE"""),463.98)</f>
        <v>463.98</v>
      </c>
      <c r="E3047" s="2">
        <f>IFERROR(__xludf.DUMMYFUNCTION("""COMPUTED_VALUE"""),466.24)</f>
        <v>466.24</v>
      </c>
      <c r="F3047" s="2">
        <f>IFERROR(__xludf.DUMMYFUNCTION("""COMPUTED_VALUE"""),2302432.0)</f>
        <v>2302432</v>
      </c>
    </row>
    <row r="3048">
      <c r="A3048" s="3">
        <f>IFERROR(__xludf.DUMMYFUNCTION("""COMPUTED_VALUE"""),41940.645833333336)</f>
        <v>41940.64583</v>
      </c>
      <c r="B3048" s="2">
        <f>IFERROR(__xludf.DUMMYFUNCTION("""COMPUTED_VALUE"""),466.11)</f>
        <v>466.11</v>
      </c>
      <c r="C3048" s="2">
        <f>IFERROR(__xludf.DUMMYFUNCTION("""COMPUTED_VALUE"""),466.56)</f>
        <v>466.56</v>
      </c>
      <c r="D3048" s="2">
        <f>IFERROR(__xludf.DUMMYFUNCTION("""COMPUTED_VALUE"""),458.69)</f>
        <v>458.69</v>
      </c>
      <c r="E3048" s="2">
        <f>IFERROR(__xludf.DUMMYFUNCTION("""COMPUTED_VALUE"""),462.62)</f>
        <v>462.62</v>
      </c>
      <c r="F3048" s="2">
        <f>IFERROR(__xludf.DUMMYFUNCTION("""COMPUTED_VALUE"""),5034195.0)</f>
        <v>5034195</v>
      </c>
    </row>
    <row r="3049">
      <c r="A3049" s="3">
        <f>IFERROR(__xludf.DUMMYFUNCTION("""COMPUTED_VALUE"""),41941.645833333336)</f>
        <v>41941.64583</v>
      </c>
      <c r="B3049" s="2">
        <f>IFERROR(__xludf.DUMMYFUNCTION("""COMPUTED_VALUE"""),463.89)</f>
        <v>463.89</v>
      </c>
      <c r="C3049" s="2">
        <f>IFERROR(__xludf.DUMMYFUNCTION("""COMPUTED_VALUE"""),472.21)</f>
        <v>472.21</v>
      </c>
      <c r="D3049" s="2">
        <f>IFERROR(__xludf.DUMMYFUNCTION("""COMPUTED_VALUE"""),462.67)</f>
        <v>462.67</v>
      </c>
      <c r="E3049" s="2">
        <f>IFERROR(__xludf.DUMMYFUNCTION("""COMPUTED_VALUE"""),471.32)</f>
        <v>471.32</v>
      </c>
      <c r="F3049" s="2">
        <f>IFERROR(__xludf.DUMMYFUNCTION("""COMPUTED_VALUE"""),4004057.0)</f>
        <v>4004057</v>
      </c>
    </row>
    <row r="3050">
      <c r="A3050" s="3">
        <f>IFERROR(__xludf.DUMMYFUNCTION("""COMPUTED_VALUE"""),41942.645833333336)</f>
        <v>41942.64583</v>
      </c>
      <c r="B3050" s="2">
        <f>IFERROR(__xludf.DUMMYFUNCTION("""COMPUTED_VALUE"""),469.53)</f>
        <v>469.53</v>
      </c>
      <c r="C3050" s="2">
        <f>IFERROR(__xludf.DUMMYFUNCTION("""COMPUTED_VALUE"""),486.15)</f>
        <v>486.15</v>
      </c>
      <c r="D3050" s="2">
        <f>IFERROR(__xludf.DUMMYFUNCTION("""COMPUTED_VALUE"""),469.09)</f>
        <v>469.09</v>
      </c>
      <c r="E3050" s="2">
        <f>IFERROR(__xludf.DUMMYFUNCTION("""COMPUTED_VALUE"""),485.01)</f>
        <v>485.01</v>
      </c>
      <c r="F3050" s="2">
        <f>IFERROR(__xludf.DUMMYFUNCTION("""COMPUTED_VALUE"""),7484984.0)</f>
        <v>7484984</v>
      </c>
    </row>
    <row r="3051">
      <c r="A3051" s="3">
        <f>IFERROR(__xludf.DUMMYFUNCTION("""COMPUTED_VALUE"""),41943.645833333336)</f>
        <v>41943.64583</v>
      </c>
      <c r="B3051" s="2">
        <f>IFERROR(__xludf.DUMMYFUNCTION("""COMPUTED_VALUE"""),486.3)</f>
        <v>486.3</v>
      </c>
      <c r="C3051" s="2">
        <f>IFERROR(__xludf.DUMMYFUNCTION("""COMPUTED_VALUE"""),497.12)</f>
        <v>497.12</v>
      </c>
      <c r="D3051" s="2">
        <f>IFERROR(__xludf.DUMMYFUNCTION("""COMPUTED_VALUE"""),486.3)</f>
        <v>486.3</v>
      </c>
      <c r="E3051" s="2">
        <f>IFERROR(__xludf.DUMMYFUNCTION("""COMPUTED_VALUE"""),495.56)</f>
        <v>495.56</v>
      </c>
      <c r="F3051" s="2">
        <f>IFERROR(__xludf.DUMMYFUNCTION("""COMPUTED_VALUE"""),3219842.0)</f>
        <v>3219842</v>
      </c>
    </row>
    <row r="3052">
      <c r="A3052" s="3">
        <f>IFERROR(__xludf.DUMMYFUNCTION("""COMPUTED_VALUE"""),41946.645833333336)</f>
        <v>41946.64583</v>
      </c>
      <c r="B3052" s="2">
        <f>IFERROR(__xludf.DUMMYFUNCTION("""COMPUTED_VALUE"""),497.27)</f>
        <v>497.27</v>
      </c>
      <c r="C3052" s="2">
        <f>IFERROR(__xludf.DUMMYFUNCTION("""COMPUTED_VALUE"""),499.74)</f>
        <v>499.74</v>
      </c>
      <c r="D3052" s="2">
        <f>IFERROR(__xludf.DUMMYFUNCTION("""COMPUTED_VALUE"""),490.41)</f>
        <v>490.41</v>
      </c>
      <c r="E3052" s="2">
        <f>IFERROR(__xludf.DUMMYFUNCTION("""COMPUTED_VALUE"""),496.45)</f>
        <v>496.45</v>
      </c>
      <c r="F3052" s="2">
        <f>IFERROR(__xludf.DUMMYFUNCTION("""COMPUTED_VALUE"""),2828980.0)</f>
        <v>2828980</v>
      </c>
    </row>
    <row r="3053">
      <c r="A3053" s="3">
        <f>IFERROR(__xludf.DUMMYFUNCTION("""COMPUTED_VALUE"""),41948.645833333336)</f>
        <v>41948.64583</v>
      </c>
      <c r="B3053" s="2">
        <f>IFERROR(__xludf.DUMMYFUNCTION("""COMPUTED_VALUE"""),496.28)</f>
        <v>496.28</v>
      </c>
      <c r="C3053" s="2">
        <f>IFERROR(__xludf.DUMMYFUNCTION("""COMPUTED_VALUE"""),499.5)</f>
        <v>499.5</v>
      </c>
      <c r="D3053" s="2">
        <f>IFERROR(__xludf.DUMMYFUNCTION("""COMPUTED_VALUE"""),489.54)</f>
        <v>489.54</v>
      </c>
      <c r="E3053" s="2">
        <f>IFERROR(__xludf.DUMMYFUNCTION("""COMPUTED_VALUE"""),490.98)</f>
        <v>490.98</v>
      </c>
      <c r="F3053" s="2">
        <f>IFERROR(__xludf.DUMMYFUNCTION("""COMPUTED_VALUE"""),3595614.0)</f>
        <v>3595614</v>
      </c>
    </row>
    <row r="3054">
      <c r="A3054" s="3">
        <f>IFERROR(__xludf.DUMMYFUNCTION("""COMPUTED_VALUE"""),41950.645833333336)</f>
        <v>41950.64583</v>
      </c>
      <c r="B3054" s="2">
        <f>IFERROR(__xludf.DUMMYFUNCTION("""COMPUTED_VALUE"""),490.56)</f>
        <v>490.56</v>
      </c>
      <c r="C3054" s="2">
        <f>IFERROR(__xludf.DUMMYFUNCTION("""COMPUTED_VALUE"""),492.98)</f>
        <v>492.98</v>
      </c>
      <c r="D3054" s="2">
        <f>IFERROR(__xludf.DUMMYFUNCTION("""COMPUTED_VALUE"""),484.42)</f>
        <v>484.42</v>
      </c>
      <c r="E3054" s="2">
        <f>IFERROR(__xludf.DUMMYFUNCTION("""COMPUTED_VALUE"""),485.63)</f>
        <v>485.63</v>
      </c>
      <c r="F3054" s="2">
        <f>IFERROR(__xludf.DUMMYFUNCTION("""COMPUTED_VALUE"""),2659263.0)</f>
        <v>2659263</v>
      </c>
    </row>
    <row r="3055">
      <c r="A3055" s="3">
        <f>IFERROR(__xludf.DUMMYFUNCTION("""COMPUTED_VALUE"""),41953.64583333333)</f>
        <v>41953.64583</v>
      </c>
      <c r="B3055" s="2">
        <f>IFERROR(__xludf.DUMMYFUNCTION("""COMPUTED_VALUE"""),486.77)</f>
        <v>486.77</v>
      </c>
      <c r="C3055" s="2">
        <f>IFERROR(__xludf.DUMMYFUNCTION("""COMPUTED_VALUE"""),490.23)</f>
        <v>490.23</v>
      </c>
      <c r="D3055" s="2">
        <f>IFERROR(__xludf.DUMMYFUNCTION("""COMPUTED_VALUE"""),479.07)</f>
        <v>479.07</v>
      </c>
      <c r="E3055" s="2">
        <f>IFERROR(__xludf.DUMMYFUNCTION("""COMPUTED_VALUE"""),480.11)</f>
        <v>480.11</v>
      </c>
      <c r="F3055" s="2">
        <f>IFERROR(__xludf.DUMMYFUNCTION("""COMPUTED_VALUE"""),2396133.0)</f>
        <v>2396133</v>
      </c>
    </row>
    <row r="3056">
      <c r="A3056" s="3">
        <f>IFERROR(__xludf.DUMMYFUNCTION("""COMPUTED_VALUE"""),41954.64583333333)</f>
        <v>41954.64583</v>
      </c>
      <c r="B3056" s="2">
        <f>IFERROR(__xludf.DUMMYFUNCTION("""COMPUTED_VALUE"""),481.62)</f>
        <v>481.62</v>
      </c>
      <c r="C3056" s="2">
        <f>IFERROR(__xludf.DUMMYFUNCTION("""COMPUTED_VALUE"""),489.24)</f>
        <v>489.24</v>
      </c>
      <c r="D3056" s="2">
        <f>IFERROR(__xludf.DUMMYFUNCTION("""COMPUTED_VALUE"""),478.57)</f>
        <v>478.57</v>
      </c>
      <c r="E3056" s="2">
        <f>IFERROR(__xludf.DUMMYFUNCTION("""COMPUTED_VALUE"""),484.24)</f>
        <v>484.24</v>
      </c>
      <c r="F3056" s="2">
        <f>IFERROR(__xludf.DUMMYFUNCTION("""COMPUTED_VALUE"""),2308713.0)</f>
        <v>2308713</v>
      </c>
    </row>
    <row r="3057">
      <c r="A3057" s="3">
        <f>IFERROR(__xludf.DUMMYFUNCTION("""COMPUTED_VALUE"""),41955.64583333333)</f>
        <v>41955.64583</v>
      </c>
      <c r="B3057" s="2">
        <f>IFERROR(__xludf.DUMMYFUNCTION("""COMPUTED_VALUE"""),486.35)</f>
        <v>486.35</v>
      </c>
      <c r="C3057" s="2">
        <f>IFERROR(__xludf.DUMMYFUNCTION("""COMPUTED_VALUE"""),486.87)</f>
        <v>486.87</v>
      </c>
      <c r="D3057" s="2">
        <f>IFERROR(__xludf.DUMMYFUNCTION("""COMPUTED_VALUE"""),479.78)</f>
        <v>479.78</v>
      </c>
      <c r="E3057" s="2">
        <f>IFERROR(__xludf.DUMMYFUNCTION("""COMPUTED_VALUE"""),482.43)</f>
        <v>482.43</v>
      </c>
      <c r="F3057" s="2">
        <f>IFERROR(__xludf.DUMMYFUNCTION("""COMPUTED_VALUE"""),2122642.0)</f>
        <v>2122642</v>
      </c>
    </row>
    <row r="3058">
      <c r="A3058" s="3">
        <f>IFERROR(__xludf.DUMMYFUNCTION("""COMPUTED_VALUE"""),41956.64583333333)</f>
        <v>41956.64583</v>
      </c>
      <c r="B3058" s="2">
        <f>IFERROR(__xludf.DUMMYFUNCTION("""COMPUTED_VALUE"""),482.41)</f>
        <v>482.41</v>
      </c>
      <c r="C3058" s="2">
        <f>IFERROR(__xludf.DUMMYFUNCTION("""COMPUTED_VALUE"""),485.28)</f>
        <v>485.28</v>
      </c>
      <c r="D3058" s="2">
        <f>IFERROR(__xludf.DUMMYFUNCTION("""COMPUTED_VALUE"""),477.16)</f>
        <v>477.16</v>
      </c>
      <c r="E3058" s="2">
        <f>IFERROR(__xludf.DUMMYFUNCTION("""COMPUTED_VALUE"""),480.06)</f>
        <v>480.06</v>
      </c>
      <c r="F3058" s="2">
        <f>IFERROR(__xludf.DUMMYFUNCTION("""COMPUTED_VALUE"""),1609576.0)</f>
        <v>1609576</v>
      </c>
    </row>
    <row r="3059">
      <c r="A3059" s="3">
        <f>IFERROR(__xludf.DUMMYFUNCTION("""COMPUTED_VALUE"""),41957.64583333333)</f>
        <v>41957.64583</v>
      </c>
      <c r="B3059" s="2">
        <f>IFERROR(__xludf.DUMMYFUNCTION("""COMPUTED_VALUE"""),479.93)</f>
        <v>479.93</v>
      </c>
      <c r="C3059" s="2">
        <f>IFERROR(__xludf.DUMMYFUNCTION("""COMPUTED_VALUE"""),484.27)</f>
        <v>484.27</v>
      </c>
      <c r="D3059" s="2">
        <f>IFERROR(__xludf.DUMMYFUNCTION("""COMPUTED_VALUE"""),477.98)</f>
        <v>477.98</v>
      </c>
      <c r="E3059" s="2">
        <f>IFERROR(__xludf.DUMMYFUNCTION("""COMPUTED_VALUE"""),480.01)</f>
        <v>480.01</v>
      </c>
      <c r="F3059" s="2">
        <f>IFERROR(__xludf.DUMMYFUNCTION("""COMPUTED_VALUE"""),1925588.0)</f>
        <v>1925588</v>
      </c>
    </row>
    <row r="3060">
      <c r="A3060" s="3">
        <f>IFERROR(__xludf.DUMMYFUNCTION("""COMPUTED_VALUE"""),41960.64583333333)</f>
        <v>41960.64583</v>
      </c>
      <c r="B3060" s="2">
        <f>IFERROR(__xludf.DUMMYFUNCTION("""COMPUTED_VALUE"""),478.45)</f>
        <v>478.45</v>
      </c>
      <c r="C3060" s="2">
        <f>IFERROR(__xludf.DUMMYFUNCTION("""COMPUTED_VALUE"""),489.12)</f>
        <v>489.12</v>
      </c>
      <c r="D3060" s="2">
        <f>IFERROR(__xludf.DUMMYFUNCTION("""COMPUTED_VALUE"""),478.45)</f>
        <v>478.45</v>
      </c>
      <c r="E3060" s="2">
        <f>IFERROR(__xludf.DUMMYFUNCTION("""COMPUTED_VALUE"""),487.96)</f>
        <v>487.96</v>
      </c>
      <c r="F3060" s="2">
        <f>IFERROR(__xludf.DUMMYFUNCTION("""COMPUTED_VALUE"""),2337114.0)</f>
        <v>2337114</v>
      </c>
    </row>
    <row r="3061">
      <c r="A3061" s="3">
        <f>IFERROR(__xludf.DUMMYFUNCTION("""COMPUTED_VALUE"""),41961.64583333333)</f>
        <v>41961.64583</v>
      </c>
      <c r="B3061" s="2">
        <f>IFERROR(__xludf.DUMMYFUNCTION("""COMPUTED_VALUE"""),488.08)</f>
        <v>488.08</v>
      </c>
      <c r="C3061" s="2">
        <f>IFERROR(__xludf.DUMMYFUNCTION("""COMPUTED_VALUE"""),494.15)</f>
        <v>494.15</v>
      </c>
      <c r="D3061" s="2">
        <f>IFERROR(__xludf.DUMMYFUNCTION("""COMPUTED_VALUE"""),487.96)</f>
        <v>487.96</v>
      </c>
      <c r="E3061" s="2">
        <f>IFERROR(__xludf.DUMMYFUNCTION("""COMPUTED_VALUE"""),489.67)</f>
        <v>489.67</v>
      </c>
      <c r="F3061" s="2">
        <f>IFERROR(__xludf.DUMMYFUNCTION("""COMPUTED_VALUE"""),3065433.0)</f>
        <v>3065433</v>
      </c>
    </row>
    <row r="3062">
      <c r="A3062" s="3">
        <f>IFERROR(__xludf.DUMMYFUNCTION("""COMPUTED_VALUE"""),41962.64583333333)</f>
        <v>41962.64583</v>
      </c>
      <c r="B3062" s="2">
        <f>IFERROR(__xludf.DUMMYFUNCTION("""COMPUTED_VALUE"""),489.67)</f>
        <v>489.67</v>
      </c>
      <c r="C3062" s="2">
        <f>IFERROR(__xludf.DUMMYFUNCTION("""COMPUTED_VALUE"""),491.32)</f>
        <v>491.32</v>
      </c>
      <c r="D3062" s="2">
        <f>IFERROR(__xludf.DUMMYFUNCTION("""COMPUTED_VALUE"""),483.65)</f>
        <v>483.65</v>
      </c>
      <c r="E3062" s="2">
        <f>IFERROR(__xludf.DUMMYFUNCTION("""COMPUTED_VALUE"""),484.46)</f>
        <v>484.46</v>
      </c>
      <c r="F3062" s="2">
        <f>IFERROR(__xludf.DUMMYFUNCTION("""COMPUTED_VALUE"""),1851368.0)</f>
        <v>1851368</v>
      </c>
    </row>
    <row r="3063">
      <c r="A3063" s="3">
        <f>IFERROR(__xludf.DUMMYFUNCTION("""COMPUTED_VALUE"""),41963.64583333333)</f>
        <v>41963.64583</v>
      </c>
      <c r="B3063" s="2">
        <f>IFERROR(__xludf.DUMMYFUNCTION("""COMPUTED_VALUE"""),484.39)</f>
        <v>484.39</v>
      </c>
      <c r="C3063" s="2">
        <f>IFERROR(__xludf.DUMMYFUNCTION("""COMPUTED_VALUE"""),487.21)</f>
        <v>487.21</v>
      </c>
      <c r="D3063" s="2">
        <f>IFERROR(__xludf.DUMMYFUNCTION("""COMPUTED_VALUE"""),480.58)</f>
        <v>480.58</v>
      </c>
      <c r="E3063" s="2">
        <f>IFERROR(__xludf.DUMMYFUNCTION("""COMPUTED_VALUE"""),485.75)</f>
        <v>485.75</v>
      </c>
      <c r="F3063" s="2">
        <f>IFERROR(__xludf.DUMMYFUNCTION("""COMPUTED_VALUE"""),2592595.0)</f>
        <v>2592595</v>
      </c>
    </row>
    <row r="3064">
      <c r="A3064" s="3">
        <f>IFERROR(__xludf.DUMMYFUNCTION("""COMPUTED_VALUE"""),41964.64583333333)</f>
        <v>41964.64583</v>
      </c>
      <c r="B3064" s="2">
        <f>IFERROR(__xludf.DUMMYFUNCTION("""COMPUTED_VALUE"""),485.48)</f>
        <v>485.48</v>
      </c>
      <c r="C3064" s="2">
        <f>IFERROR(__xludf.DUMMYFUNCTION("""COMPUTED_VALUE"""),495.78)</f>
        <v>495.78</v>
      </c>
      <c r="D3064" s="2">
        <f>IFERROR(__xludf.DUMMYFUNCTION("""COMPUTED_VALUE"""),485.48)</f>
        <v>485.48</v>
      </c>
      <c r="E3064" s="2">
        <f>IFERROR(__xludf.DUMMYFUNCTION("""COMPUTED_VALUE"""),494.15)</f>
        <v>494.15</v>
      </c>
      <c r="F3064" s="2">
        <f>IFERROR(__xludf.DUMMYFUNCTION("""COMPUTED_VALUE"""),2683538.0)</f>
        <v>2683538</v>
      </c>
    </row>
    <row r="3065">
      <c r="A3065" s="3">
        <f>IFERROR(__xludf.DUMMYFUNCTION("""COMPUTED_VALUE"""),41967.64583333333)</f>
        <v>41967.64583</v>
      </c>
      <c r="B3065" s="2">
        <f>IFERROR(__xludf.DUMMYFUNCTION("""COMPUTED_VALUE"""),495.39)</f>
        <v>495.39</v>
      </c>
      <c r="C3065" s="2">
        <f>IFERROR(__xludf.DUMMYFUNCTION("""COMPUTED_VALUE"""),497.34)</f>
        <v>497.34</v>
      </c>
      <c r="D3065" s="2">
        <f>IFERROR(__xludf.DUMMYFUNCTION("""COMPUTED_VALUE"""),486.22)</f>
        <v>486.22</v>
      </c>
      <c r="E3065" s="2">
        <f>IFERROR(__xludf.DUMMYFUNCTION("""COMPUTED_VALUE"""),488.03)</f>
        <v>488.03</v>
      </c>
      <c r="F3065" s="2">
        <f>IFERROR(__xludf.DUMMYFUNCTION("""COMPUTED_VALUE"""),2840424.0)</f>
        <v>2840424</v>
      </c>
    </row>
    <row r="3066">
      <c r="A3066" s="3">
        <f>IFERROR(__xludf.DUMMYFUNCTION("""COMPUTED_VALUE"""),41968.64583333333)</f>
        <v>41968.64583</v>
      </c>
      <c r="B3066" s="2">
        <f>IFERROR(__xludf.DUMMYFUNCTION("""COMPUTED_VALUE"""),487.91)</f>
        <v>487.91</v>
      </c>
      <c r="C3066" s="2">
        <f>IFERROR(__xludf.DUMMYFUNCTION("""COMPUTED_VALUE"""),492.76)</f>
        <v>492.76</v>
      </c>
      <c r="D3066" s="2">
        <f>IFERROR(__xludf.DUMMYFUNCTION("""COMPUTED_VALUE"""),482.06)</f>
        <v>482.06</v>
      </c>
      <c r="E3066" s="2">
        <f>IFERROR(__xludf.DUMMYFUNCTION("""COMPUTED_VALUE"""),491.82)</f>
        <v>491.82</v>
      </c>
      <c r="F3066" s="2">
        <f>IFERROR(__xludf.DUMMYFUNCTION("""COMPUTED_VALUE"""),3338732.0)</f>
        <v>3338732</v>
      </c>
    </row>
    <row r="3067">
      <c r="A3067" s="3">
        <f>IFERROR(__xludf.DUMMYFUNCTION("""COMPUTED_VALUE"""),41969.64583333333)</f>
        <v>41969.64583</v>
      </c>
      <c r="B3067" s="2">
        <f>IFERROR(__xludf.DUMMYFUNCTION("""COMPUTED_VALUE"""),491.3)</f>
        <v>491.3</v>
      </c>
      <c r="C3067" s="2">
        <f>IFERROR(__xludf.DUMMYFUNCTION("""COMPUTED_VALUE"""),491.82)</f>
        <v>491.82</v>
      </c>
      <c r="D3067" s="2">
        <f>IFERROR(__xludf.DUMMYFUNCTION("""COMPUTED_VALUE"""),486.67)</f>
        <v>486.67</v>
      </c>
      <c r="E3067" s="2">
        <f>IFERROR(__xludf.DUMMYFUNCTION("""COMPUTED_VALUE"""),488.87)</f>
        <v>488.87</v>
      </c>
      <c r="F3067" s="2">
        <f>IFERROR(__xludf.DUMMYFUNCTION("""COMPUTED_VALUE"""),3007076.0)</f>
        <v>3007076</v>
      </c>
    </row>
    <row r="3068">
      <c r="A3068" s="3">
        <f>IFERROR(__xludf.DUMMYFUNCTION("""COMPUTED_VALUE"""),41970.64583333333)</f>
        <v>41970.64583</v>
      </c>
      <c r="B3068" s="2">
        <f>IFERROR(__xludf.DUMMYFUNCTION("""COMPUTED_VALUE"""),490.33)</f>
        <v>490.33</v>
      </c>
      <c r="C3068" s="2">
        <f>IFERROR(__xludf.DUMMYFUNCTION("""COMPUTED_VALUE"""),491.82)</f>
        <v>491.82</v>
      </c>
      <c r="D3068" s="2">
        <f>IFERROR(__xludf.DUMMYFUNCTION("""COMPUTED_VALUE"""),486.89)</f>
        <v>486.89</v>
      </c>
      <c r="E3068" s="2">
        <f>IFERROR(__xludf.DUMMYFUNCTION("""COMPUTED_VALUE"""),489.67)</f>
        <v>489.67</v>
      </c>
      <c r="F3068" s="2">
        <f>IFERROR(__xludf.DUMMYFUNCTION("""COMPUTED_VALUE"""),2806993.0)</f>
        <v>2806993</v>
      </c>
    </row>
    <row r="3069">
      <c r="A3069" s="3">
        <f>IFERROR(__xludf.DUMMYFUNCTION("""COMPUTED_VALUE"""),41971.64583333333)</f>
        <v>41971.64583</v>
      </c>
      <c r="B3069" s="2">
        <f>IFERROR(__xludf.DUMMYFUNCTION("""COMPUTED_VALUE"""),490.19)</f>
        <v>490.19</v>
      </c>
      <c r="C3069" s="2">
        <f>IFERROR(__xludf.DUMMYFUNCTION("""COMPUTED_VALUE"""),503.88)</f>
        <v>503.88</v>
      </c>
      <c r="D3069" s="2">
        <f>IFERROR(__xludf.DUMMYFUNCTION("""COMPUTED_VALUE"""),486.97)</f>
        <v>486.97</v>
      </c>
      <c r="E3069" s="2">
        <f>IFERROR(__xludf.DUMMYFUNCTION("""COMPUTED_VALUE"""),491.13)</f>
        <v>491.13</v>
      </c>
      <c r="F3069" s="2">
        <f>IFERROR(__xludf.DUMMYFUNCTION("""COMPUTED_VALUE"""),4773085.0)</f>
        <v>4773085</v>
      </c>
    </row>
    <row r="3070">
      <c r="A3070" s="3">
        <f>IFERROR(__xludf.DUMMYFUNCTION("""COMPUTED_VALUE"""),41974.64583333333)</f>
        <v>41974.64583</v>
      </c>
      <c r="B3070" s="2">
        <f>IFERROR(__xludf.DUMMYFUNCTION("""COMPUTED_VALUE"""),489.84)</f>
        <v>489.84</v>
      </c>
      <c r="C3070" s="2">
        <f>IFERROR(__xludf.DUMMYFUNCTION("""COMPUTED_VALUE"""),491.3)</f>
        <v>491.3</v>
      </c>
      <c r="D3070" s="2">
        <f>IFERROR(__xludf.DUMMYFUNCTION("""COMPUTED_VALUE"""),474.76)</f>
        <v>474.76</v>
      </c>
      <c r="E3070" s="2">
        <f>IFERROR(__xludf.DUMMYFUNCTION("""COMPUTED_VALUE"""),476.27)</f>
        <v>476.27</v>
      </c>
      <c r="F3070" s="2">
        <f>IFERROR(__xludf.DUMMYFUNCTION("""COMPUTED_VALUE"""),3973275.0)</f>
        <v>3973275</v>
      </c>
    </row>
    <row r="3071">
      <c r="A3071" s="3">
        <f>IFERROR(__xludf.DUMMYFUNCTION("""COMPUTED_VALUE"""),41975.64583333333)</f>
        <v>41975.64583</v>
      </c>
      <c r="B3071" s="2">
        <f>IFERROR(__xludf.DUMMYFUNCTION("""COMPUTED_VALUE"""),476.47)</f>
        <v>476.47</v>
      </c>
      <c r="C3071" s="2">
        <f>IFERROR(__xludf.DUMMYFUNCTION("""COMPUTED_VALUE"""),481.05)</f>
        <v>481.05</v>
      </c>
      <c r="D3071" s="2">
        <f>IFERROR(__xludf.DUMMYFUNCTION("""COMPUTED_VALUE"""),474.48)</f>
        <v>474.48</v>
      </c>
      <c r="E3071" s="2">
        <f>IFERROR(__xludf.DUMMYFUNCTION("""COMPUTED_VALUE"""),476.79)</f>
        <v>476.79</v>
      </c>
      <c r="F3071" s="2">
        <f>IFERROR(__xludf.DUMMYFUNCTION("""COMPUTED_VALUE"""),2160807.0)</f>
        <v>2160807</v>
      </c>
    </row>
    <row r="3072">
      <c r="A3072" s="3">
        <f>IFERROR(__xludf.DUMMYFUNCTION("""COMPUTED_VALUE"""),41976.64583333333)</f>
        <v>41976.64583</v>
      </c>
      <c r="B3072" s="2">
        <f>IFERROR(__xludf.DUMMYFUNCTION("""COMPUTED_VALUE"""),474.76)</f>
        <v>474.76</v>
      </c>
      <c r="C3072" s="2">
        <f>IFERROR(__xludf.DUMMYFUNCTION("""COMPUTED_VALUE"""),482.41)</f>
        <v>482.41</v>
      </c>
      <c r="D3072" s="2">
        <f>IFERROR(__xludf.DUMMYFUNCTION("""COMPUTED_VALUE"""),474.76)</f>
        <v>474.76</v>
      </c>
      <c r="E3072" s="2">
        <f>IFERROR(__xludf.DUMMYFUNCTION("""COMPUTED_VALUE"""),479.61)</f>
        <v>479.61</v>
      </c>
      <c r="F3072" s="2">
        <f>IFERROR(__xludf.DUMMYFUNCTION("""COMPUTED_VALUE"""),2237796.0)</f>
        <v>2237796</v>
      </c>
    </row>
    <row r="3073">
      <c r="A3073" s="3">
        <f>IFERROR(__xludf.DUMMYFUNCTION("""COMPUTED_VALUE"""),41977.64583333333)</f>
        <v>41977.64583</v>
      </c>
      <c r="B3073" s="2">
        <f>IFERROR(__xludf.DUMMYFUNCTION("""COMPUTED_VALUE"""),479.49)</f>
        <v>479.49</v>
      </c>
      <c r="C3073" s="2">
        <f>IFERROR(__xludf.DUMMYFUNCTION("""COMPUTED_VALUE"""),482.88)</f>
        <v>482.88</v>
      </c>
      <c r="D3073" s="2">
        <f>IFERROR(__xludf.DUMMYFUNCTION("""COMPUTED_VALUE"""),473.35)</f>
        <v>473.35</v>
      </c>
      <c r="E3073" s="2">
        <f>IFERROR(__xludf.DUMMYFUNCTION("""COMPUTED_VALUE"""),474.76)</f>
        <v>474.76</v>
      </c>
      <c r="F3073" s="2">
        <f>IFERROR(__xludf.DUMMYFUNCTION("""COMPUTED_VALUE"""),2463051.0)</f>
        <v>2463051</v>
      </c>
    </row>
    <row r="3074">
      <c r="A3074" s="3">
        <f>IFERROR(__xludf.DUMMYFUNCTION("""COMPUTED_VALUE"""),41978.64583333333)</f>
        <v>41978.64583</v>
      </c>
      <c r="B3074" s="2">
        <f>IFERROR(__xludf.DUMMYFUNCTION("""COMPUTED_VALUE"""),475.97)</f>
        <v>475.97</v>
      </c>
      <c r="C3074" s="2">
        <f>IFERROR(__xludf.DUMMYFUNCTION("""COMPUTED_VALUE"""),478.94)</f>
        <v>478.94</v>
      </c>
      <c r="D3074" s="2">
        <f>IFERROR(__xludf.DUMMYFUNCTION("""COMPUTED_VALUE"""),473.05)</f>
        <v>473.05</v>
      </c>
      <c r="E3074" s="2">
        <f>IFERROR(__xludf.DUMMYFUNCTION("""COMPUTED_VALUE"""),474.16)</f>
        <v>474.16</v>
      </c>
      <c r="F3074" s="2">
        <f>IFERROR(__xludf.DUMMYFUNCTION("""COMPUTED_VALUE"""),2296865.0)</f>
        <v>2296865</v>
      </c>
    </row>
    <row r="3075">
      <c r="A3075" s="3">
        <f>IFERROR(__xludf.DUMMYFUNCTION("""COMPUTED_VALUE"""),41981.64583333333)</f>
        <v>41981.64583</v>
      </c>
      <c r="B3075" s="2">
        <f>IFERROR(__xludf.DUMMYFUNCTION("""COMPUTED_VALUE"""),475.48)</f>
        <v>475.48</v>
      </c>
      <c r="C3075" s="2">
        <f>IFERROR(__xludf.DUMMYFUNCTION("""COMPUTED_VALUE"""),476.89)</f>
        <v>476.89</v>
      </c>
      <c r="D3075" s="2">
        <f>IFERROR(__xludf.DUMMYFUNCTION("""COMPUTED_VALUE"""),466.68)</f>
        <v>466.68</v>
      </c>
      <c r="E3075" s="2">
        <f>IFERROR(__xludf.DUMMYFUNCTION("""COMPUTED_VALUE"""),467.85)</f>
        <v>467.85</v>
      </c>
      <c r="F3075" s="2">
        <f>IFERROR(__xludf.DUMMYFUNCTION("""COMPUTED_VALUE"""),2340414.0)</f>
        <v>2340414</v>
      </c>
    </row>
    <row r="3076">
      <c r="A3076" s="3">
        <f>IFERROR(__xludf.DUMMYFUNCTION("""COMPUTED_VALUE"""),41982.64583333333)</f>
        <v>41982.64583</v>
      </c>
      <c r="B3076" s="2">
        <f>IFERROR(__xludf.DUMMYFUNCTION("""COMPUTED_VALUE"""),466.06)</f>
        <v>466.06</v>
      </c>
      <c r="C3076" s="2">
        <f>IFERROR(__xludf.DUMMYFUNCTION("""COMPUTED_VALUE"""),470.87)</f>
        <v>470.87</v>
      </c>
      <c r="D3076" s="2">
        <f>IFERROR(__xludf.DUMMYFUNCTION("""COMPUTED_VALUE"""),461.11)</f>
        <v>461.11</v>
      </c>
      <c r="E3076" s="2">
        <f>IFERROR(__xludf.DUMMYFUNCTION("""COMPUTED_VALUE"""),465.5)</f>
        <v>465.5</v>
      </c>
      <c r="F3076" s="2">
        <f>IFERROR(__xludf.DUMMYFUNCTION("""COMPUTED_VALUE"""),2422696.0)</f>
        <v>2422696</v>
      </c>
    </row>
    <row r="3077">
      <c r="A3077" s="3">
        <f>IFERROR(__xludf.DUMMYFUNCTION("""COMPUTED_VALUE"""),41983.64583333333)</f>
        <v>41983.64583</v>
      </c>
      <c r="B3077" s="2">
        <f>IFERROR(__xludf.DUMMYFUNCTION("""COMPUTED_VALUE"""),461.33)</f>
        <v>461.33</v>
      </c>
      <c r="C3077" s="2">
        <f>IFERROR(__xludf.DUMMYFUNCTION("""COMPUTED_VALUE"""),466.04)</f>
        <v>466.04</v>
      </c>
      <c r="D3077" s="2">
        <f>IFERROR(__xludf.DUMMYFUNCTION("""COMPUTED_VALUE"""),460.62)</f>
        <v>460.62</v>
      </c>
      <c r="E3077" s="2">
        <f>IFERROR(__xludf.DUMMYFUNCTION("""COMPUTED_VALUE"""),461.88)</f>
        <v>461.88</v>
      </c>
      <c r="F3077" s="2">
        <f>IFERROR(__xludf.DUMMYFUNCTION("""COMPUTED_VALUE"""),3027071.0)</f>
        <v>3027071</v>
      </c>
    </row>
    <row r="3078">
      <c r="A3078" s="3">
        <f>IFERROR(__xludf.DUMMYFUNCTION("""COMPUTED_VALUE"""),41984.64583333333)</f>
        <v>41984.64583</v>
      </c>
      <c r="B3078" s="2">
        <f>IFERROR(__xludf.DUMMYFUNCTION("""COMPUTED_VALUE"""),460.12)</f>
        <v>460.12</v>
      </c>
      <c r="C3078" s="2">
        <f>IFERROR(__xludf.DUMMYFUNCTION("""COMPUTED_VALUE"""),460.12)</f>
        <v>460.12</v>
      </c>
      <c r="D3078" s="2">
        <f>IFERROR(__xludf.DUMMYFUNCTION("""COMPUTED_VALUE"""),447.42)</f>
        <v>447.42</v>
      </c>
      <c r="E3078" s="2">
        <f>IFERROR(__xludf.DUMMYFUNCTION("""COMPUTED_VALUE"""),448.8)</f>
        <v>448.8</v>
      </c>
      <c r="F3078" s="2">
        <f>IFERROR(__xludf.DUMMYFUNCTION("""COMPUTED_VALUE"""),5170702.0)</f>
        <v>5170702</v>
      </c>
    </row>
    <row r="3079">
      <c r="A3079" s="3">
        <f>IFERROR(__xludf.DUMMYFUNCTION("""COMPUTED_VALUE"""),41985.64583333333)</f>
        <v>41985.64583</v>
      </c>
      <c r="B3079" s="2">
        <f>IFERROR(__xludf.DUMMYFUNCTION("""COMPUTED_VALUE"""),449.23)</f>
        <v>449.23</v>
      </c>
      <c r="C3079" s="2">
        <f>IFERROR(__xludf.DUMMYFUNCTION("""COMPUTED_VALUE"""),451.21)</f>
        <v>451.21</v>
      </c>
      <c r="D3079" s="2">
        <f>IFERROR(__xludf.DUMMYFUNCTION("""COMPUTED_VALUE"""),435.53)</f>
        <v>435.53</v>
      </c>
      <c r="E3079" s="2">
        <f>IFERROR(__xludf.DUMMYFUNCTION("""COMPUTED_VALUE"""),437.02)</f>
        <v>437.02</v>
      </c>
      <c r="F3079" s="2">
        <f>IFERROR(__xludf.DUMMYFUNCTION("""COMPUTED_VALUE"""),4085890.0)</f>
        <v>4085890</v>
      </c>
    </row>
    <row r="3080">
      <c r="A3080" s="3">
        <f>IFERROR(__xludf.DUMMYFUNCTION("""COMPUTED_VALUE"""),41988.64583333333)</f>
        <v>41988.64583</v>
      </c>
      <c r="B3080" s="2">
        <f>IFERROR(__xludf.DUMMYFUNCTION("""COMPUTED_VALUE"""),434.84)</f>
        <v>434.84</v>
      </c>
      <c r="C3080" s="2">
        <f>IFERROR(__xludf.DUMMYFUNCTION("""COMPUTED_VALUE"""),436.74)</f>
        <v>436.74</v>
      </c>
      <c r="D3080" s="2">
        <f>IFERROR(__xludf.DUMMYFUNCTION("""COMPUTED_VALUE"""),431.89)</f>
        <v>431.89</v>
      </c>
      <c r="E3080" s="2">
        <f>IFERROR(__xludf.DUMMYFUNCTION("""COMPUTED_VALUE"""),435.26)</f>
        <v>435.26</v>
      </c>
      <c r="F3080" s="2">
        <f>IFERROR(__xludf.DUMMYFUNCTION("""COMPUTED_VALUE"""),2891112.0)</f>
        <v>2891112</v>
      </c>
    </row>
    <row r="3081">
      <c r="A3081" s="3">
        <f>IFERROR(__xludf.DUMMYFUNCTION("""COMPUTED_VALUE"""),41989.64583333333)</f>
        <v>41989.64583</v>
      </c>
      <c r="B3081" s="2">
        <f>IFERROR(__xludf.DUMMYFUNCTION("""COMPUTED_VALUE"""),434.27)</f>
        <v>434.27</v>
      </c>
      <c r="C3081" s="2">
        <f>IFERROR(__xludf.DUMMYFUNCTION("""COMPUTED_VALUE"""),437.46)</f>
        <v>437.46</v>
      </c>
      <c r="D3081" s="2">
        <f>IFERROR(__xludf.DUMMYFUNCTION("""COMPUTED_VALUE"""),425.8)</f>
        <v>425.8</v>
      </c>
      <c r="E3081" s="2">
        <f>IFERROR(__xludf.DUMMYFUNCTION("""COMPUTED_VALUE"""),428.23)</f>
        <v>428.23</v>
      </c>
      <c r="F3081" s="2">
        <f>IFERROR(__xludf.DUMMYFUNCTION("""COMPUTED_VALUE"""),4774252.0)</f>
        <v>4774252</v>
      </c>
    </row>
    <row r="3082">
      <c r="A3082" s="3">
        <f>IFERROR(__xludf.DUMMYFUNCTION("""COMPUTED_VALUE"""),41990.64583333333)</f>
        <v>41990.64583</v>
      </c>
      <c r="B3082" s="2">
        <f>IFERROR(__xludf.DUMMYFUNCTION("""COMPUTED_VALUE"""),428.55)</f>
        <v>428.55</v>
      </c>
      <c r="C3082" s="2">
        <f>IFERROR(__xludf.DUMMYFUNCTION("""COMPUTED_VALUE"""),433.33)</f>
        <v>433.33</v>
      </c>
      <c r="D3082" s="2">
        <f>IFERROR(__xludf.DUMMYFUNCTION("""COMPUTED_VALUE"""),428.15)</f>
        <v>428.15</v>
      </c>
      <c r="E3082" s="2">
        <f>IFERROR(__xludf.DUMMYFUNCTION("""COMPUTED_VALUE"""),430.65)</f>
        <v>430.65</v>
      </c>
      <c r="F3082" s="2">
        <f>IFERROR(__xludf.DUMMYFUNCTION("""COMPUTED_VALUE"""),4749947.0)</f>
        <v>4749947</v>
      </c>
    </row>
    <row r="3083">
      <c r="A3083" s="3">
        <f>IFERROR(__xludf.DUMMYFUNCTION("""COMPUTED_VALUE"""),41991.64583333333)</f>
        <v>41991.64583</v>
      </c>
      <c r="B3083" s="2">
        <f>IFERROR(__xludf.DUMMYFUNCTION("""COMPUTED_VALUE"""),436.62)</f>
        <v>436.62</v>
      </c>
      <c r="C3083" s="2">
        <f>IFERROR(__xludf.DUMMYFUNCTION("""COMPUTED_VALUE"""),438.23)</f>
        <v>438.23</v>
      </c>
      <c r="D3083" s="2">
        <f>IFERROR(__xludf.DUMMYFUNCTION("""COMPUTED_VALUE"""),428.25)</f>
        <v>428.25</v>
      </c>
      <c r="E3083" s="2">
        <f>IFERROR(__xludf.DUMMYFUNCTION("""COMPUTED_VALUE"""),435.9)</f>
        <v>435.9</v>
      </c>
      <c r="F3083" s="2">
        <f>IFERROR(__xludf.DUMMYFUNCTION("""COMPUTED_VALUE"""),3422050.0)</f>
        <v>3422050</v>
      </c>
    </row>
    <row r="3084">
      <c r="A3084" s="3">
        <f>IFERROR(__xludf.DUMMYFUNCTION("""COMPUTED_VALUE"""),41992.64583333333)</f>
        <v>41992.64583</v>
      </c>
      <c r="B3084" s="2">
        <f>IFERROR(__xludf.DUMMYFUNCTION("""COMPUTED_VALUE"""),438.38)</f>
        <v>438.38</v>
      </c>
      <c r="C3084" s="2">
        <f>IFERROR(__xludf.DUMMYFUNCTION("""COMPUTED_VALUE"""),449.92)</f>
        <v>449.92</v>
      </c>
      <c r="D3084" s="2">
        <f>IFERROR(__xludf.DUMMYFUNCTION("""COMPUTED_VALUE"""),437.09)</f>
        <v>437.09</v>
      </c>
      <c r="E3084" s="2">
        <f>IFERROR(__xludf.DUMMYFUNCTION("""COMPUTED_VALUE"""),446.03)</f>
        <v>446.03</v>
      </c>
      <c r="F3084" s="2">
        <f>IFERROR(__xludf.DUMMYFUNCTION("""COMPUTED_VALUE"""),4588473.0)</f>
        <v>4588473</v>
      </c>
    </row>
    <row r="3085">
      <c r="A3085" s="3">
        <f>IFERROR(__xludf.DUMMYFUNCTION("""COMPUTED_VALUE"""),41995.64583333333)</f>
        <v>41995.64583</v>
      </c>
      <c r="B3085" s="2">
        <f>IFERROR(__xludf.DUMMYFUNCTION("""COMPUTED_VALUE"""),446.75)</f>
        <v>446.75</v>
      </c>
      <c r="C3085" s="2">
        <f>IFERROR(__xludf.DUMMYFUNCTION("""COMPUTED_VALUE"""),449.13)</f>
        <v>449.13</v>
      </c>
      <c r="D3085" s="2">
        <f>IFERROR(__xludf.DUMMYFUNCTION("""COMPUTED_VALUE"""),441.3)</f>
        <v>441.3</v>
      </c>
      <c r="E3085" s="2">
        <f>IFERROR(__xludf.DUMMYFUNCTION("""COMPUTED_VALUE"""),448.19)</f>
        <v>448.19</v>
      </c>
      <c r="F3085" s="2">
        <f>IFERROR(__xludf.DUMMYFUNCTION("""COMPUTED_VALUE"""),1898416.0)</f>
        <v>1898416</v>
      </c>
    </row>
    <row r="3086">
      <c r="A3086" s="3">
        <f>IFERROR(__xludf.DUMMYFUNCTION("""COMPUTED_VALUE"""),41996.64583333333)</f>
        <v>41996.64583</v>
      </c>
      <c r="B3086" s="2">
        <f>IFERROR(__xludf.DUMMYFUNCTION("""COMPUTED_VALUE"""),446.92)</f>
        <v>446.92</v>
      </c>
      <c r="C3086" s="2">
        <f>IFERROR(__xludf.DUMMYFUNCTION("""COMPUTED_VALUE"""),447.81)</f>
        <v>447.81</v>
      </c>
      <c r="D3086" s="2">
        <f>IFERROR(__xludf.DUMMYFUNCTION("""COMPUTED_VALUE"""),441.7)</f>
        <v>441.7</v>
      </c>
      <c r="E3086" s="2">
        <f>IFERROR(__xludf.DUMMYFUNCTION("""COMPUTED_VALUE"""),442.66)</f>
        <v>442.66</v>
      </c>
      <c r="F3086" s="2">
        <f>IFERROR(__xludf.DUMMYFUNCTION("""COMPUTED_VALUE"""),2419143.0)</f>
        <v>2419143</v>
      </c>
    </row>
    <row r="3087">
      <c r="A3087" s="3">
        <f>IFERROR(__xludf.DUMMYFUNCTION("""COMPUTED_VALUE"""),41997.64583333333)</f>
        <v>41997.64583</v>
      </c>
      <c r="B3087" s="2">
        <f>IFERROR(__xludf.DUMMYFUNCTION("""COMPUTED_VALUE"""),442.66)</f>
        <v>442.66</v>
      </c>
      <c r="C3087" s="2">
        <f>IFERROR(__xludf.DUMMYFUNCTION("""COMPUTED_VALUE"""),444.35)</f>
        <v>444.35</v>
      </c>
      <c r="D3087" s="2">
        <f>IFERROR(__xludf.DUMMYFUNCTION("""COMPUTED_VALUE"""),435.85)</f>
        <v>435.85</v>
      </c>
      <c r="E3087" s="2">
        <f>IFERROR(__xludf.DUMMYFUNCTION("""COMPUTED_VALUE"""),437.91)</f>
        <v>437.91</v>
      </c>
      <c r="F3087" s="2">
        <f>IFERROR(__xludf.DUMMYFUNCTION("""COMPUTED_VALUE"""),5138493.0)</f>
        <v>5138493</v>
      </c>
    </row>
    <row r="3088">
      <c r="A3088" s="3">
        <f>IFERROR(__xludf.DUMMYFUNCTION("""COMPUTED_VALUE"""),41999.64583333333)</f>
        <v>41999.64583</v>
      </c>
      <c r="B3088" s="2">
        <f>IFERROR(__xludf.DUMMYFUNCTION("""COMPUTED_VALUE"""),439.12)</f>
        <v>439.12</v>
      </c>
      <c r="C3088" s="2">
        <f>IFERROR(__xludf.DUMMYFUNCTION("""COMPUTED_VALUE"""),442.12)</f>
        <v>442.12</v>
      </c>
      <c r="D3088" s="2">
        <f>IFERROR(__xludf.DUMMYFUNCTION("""COMPUTED_VALUE"""),435.9)</f>
        <v>435.9</v>
      </c>
      <c r="E3088" s="2">
        <f>IFERROR(__xludf.DUMMYFUNCTION("""COMPUTED_VALUE"""),440.24)</f>
        <v>440.24</v>
      </c>
      <c r="F3088" s="2">
        <f>IFERROR(__xludf.DUMMYFUNCTION("""COMPUTED_VALUE"""),1117804.0)</f>
        <v>1117804</v>
      </c>
    </row>
    <row r="3089">
      <c r="A3089" s="3">
        <f>IFERROR(__xludf.DUMMYFUNCTION("""COMPUTED_VALUE"""),42002.64583333333)</f>
        <v>42002.64583</v>
      </c>
      <c r="B3089" s="2">
        <f>IFERROR(__xludf.DUMMYFUNCTION("""COMPUTED_VALUE"""),440.06)</f>
        <v>440.06</v>
      </c>
      <c r="C3089" s="2">
        <f>IFERROR(__xludf.DUMMYFUNCTION("""COMPUTED_VALUE"""),445.29)</f>
        <v>445.29</v>
      </c>
      <c r="D3089" s="2">
        <f>IFERROR(__xludf.DUMMYFUNCTION("""COMPUTED_VALUE"""),439.29)</f>
        <v>439.29</v>
      </c>
      <c r="E3089" s="2">
        <f>IFERROR(__xludf.DUMMYFUNCTION("""COMPUTED_VALUE"""),444.27)</f>
        <v>444.27</v>
      </c>
      <c r="F3089" s="2">
        <f>IFERROR(__xludf.DUMMYFUNCTION("""COMPUTED_VALUE"""),1584461.0)</f>
        <v>1584461</v>
      </c>
    </row>
    <row r="3090">
      <c r="A3090" s="3">
        <f>IFERROR(__xludf.DUMMYFUNCTION("""COMPUTED_VALUE"""),42003.64583333333)</f>
        <v>42003.64583</v>
      </c>
      <c r="B3090" s="2">
        <f>IFERROR(__xludf.DUMMYFUNCTION("""COMPUTED_VALUE"""),444.32)</f>
        <v>444.32</v>
      </c>
      <c r="C3090" s="2">
        <f>IFERROR(__xludf.DUMMYFUNCTION("""COMPUTED_VALUE"""),444.97)</f>
        <v>444.97</v>
      </c>
      <c r="D3090" s="2">
        <f>IFERROR(__xludf.DUMMYFUNCTION("""COMPUTED_VALUE"""),434.42)</f>
        <v>434.42</v>
      </c>
      <c r="E3090" s="2">
        <f>IFERROR(__xludf.DUMMYFUNCTION("""COMPUTED_VALUE"""),435.93)</f>
        <v>435.93</v>
      </c>
      <c r="F3090" s="2">
        <f>IFERROR(__xludf.DUMMYFUNCTION("""COMPUTED_VALUE"""),2657831.0)</f>
        <v>2657831</v>
      </c>
    </row>
    <row r="3091">
      <c r="A3091" s="3">
        <f>IFERROR(__xludf.DUMMYFUNCTION("""COMPUTED_VALUE"""),42004.64583333333)</f>
        <v>42004.64583</v>
      </c>
      <c r="B3091" s="2">
        <f>IFERROR(__xludf.DUMMYFUNCTION("""COMPUTED_VALUE"""),435.85)</f>
        <v>435.85</v>
      </c>
      <c r="C3091" s="2">
        <f>IFERROR(__xludf.DUMMYFUNCTION("""COMPUTED_VALUE"""),442.74)</f>
        <v>442.74</v>
      </c>
      <c r="D3091" s="2">
        <f>IFERROR(__xludf.DUMMYFUNCTION("""COMPUTED_VALUE"""),435.38)</f>
        <v>435.38</v>
      </c>
      <c r="E3091" s="2">
        <f>IFERROR(__xludf.DUMMYFUNCTION("""COMPUTED_VALUE"""),441.37)</f>
        <v>441.37</v>
      </c>
      <c r="F3091" s="2">
        <f>IFERROR(__xludf.DUMMYFUNCTION("""COMPUTED_VALUE"""),1934955.0)</f>
        <v>1934955</v>
      </c>
    </row>
    <row r="3092">
      <c r="A3092" s="3">
        <f>IFERROR(__xludf.DUMMYFUNCTION("""COMPUTED_VALUE"""),42005.64583333333)</f>
        <v>42005.64583</v>
      </c>
      <c r="B3092" s="2">
        <f>IFERROR(__xludf.DUMMYFUNCTION("""COMPUTED_VALUE"""),438.97)</f>
        <v>438.97</v>
      </c>
      <c r="C3092" s="2">
        <f>IFERROR(__xludf.DUMMYFUNCTION("""COMPUTED_VALUE"""),441.8)</f>
        <v>441.8</v>
      </c>
      <c r="D3092" s="2">
        <f>IFERROR(__xludf.DUMMYFUNCTION("""COMPUTED_VALUE"""),437.66)</f>
        <v>437.66</v>
      </c>
      <c r="E3092" s="2">
        <f>IFERROR(__xludf.DUMMYFUNCTION("""COMPUTED_VALUE"""),439.77)</f>
        <v>439.77</v>
      </c>
      <c r="F3092" s="2">
        <f>IFERROR(__xludf.DUMMYFUNCTION("""COMPUTED_VALUE"""),677439.0)</f>
        <v>677439</v>
      </c>
    </row>
    <row r="3093">
      <c r="A3093" s="3">
        <f>IFERROR(__xludf.DUMMYFUNCTION("""COMPUTED_VALUE"""),42006.64583333333)</f>
        <v>42006.64583</v>
      </c>
      <c r="B3093" s="2">
        <f>IFERROR(__xludf.DUMMYFUNCTION("""COMPUTED_VALUE"""),439.86)</f>
        <v>439.86</v>
      </c>
      <c r="C3093" s="2">
        <f>IFERROR(__xludf.DUMMYFUNCTION("""COMPUTED_VALUE"""),443.8)</f>
        <v>443.8</v>
      </c>
      <c r="D3093" s="2">
        <f>IFERROR(__xludf.DUMMYFUNCTION("""COMPUTED_VALUE"""),437.98)</f>
        <v>437.98</v>
      </c>
      <c r="E3093" s="2">
        <f>IFERROR(__xludf.DUMMYFUNCTION("""COMPUTED_VALUE"""),438.6)</f>
        <v>438.6</v>
      </c>
      <c r="F3093" s="2">
        <f>IFERROR(__xludf.DUMMYFUNCTION("""COMPUTED_VALUE"""),1675827.0)</f>
        <v>1675827</v>
      </c>
    </row>
    <row r="3094">
      <c r="A3094" s="3">
        <f>IFERROR(__xludf.DUMMYFUNCTION("""COMPUTED_VALUE"""),42009.64583333333)</f>
        <v>42009.64583</v>
      </c>
      <c r="B3094" s="2">
        <f>IFERROR(__xludf.DUMMYFUNCTION("""COMPUTED_VALUE"""),438.33)</f>
        <v>438.33</v>
      </c>
      <c r="C3094" s="2">
        <f>IFERROR(__xludf.DUMMYFUNCTION("""COMPUTED_VALUE"""),441.25)</f>
        <v>441.25</v>
      </c>
      <c r="D3094" s="2">
        <f>IFERROR(__xludf.DUMMYFUNCTION("""COMPUTED_VALUE"""),432.93)</f>
        <v>432.93</v>
      </c>
      <c r="E3094" s="2">
        <f>IFERROR(__xludf.DUMMYFUNCTION("""COMPUTED_VALUE"""),433.8)</f>
        <v>433.8</v>
      </c>
      <c r="F3094" s="2">
        <f>IFERROR(__xludf.DUMMYFUNCTION("""COMPUTED_VALUE"""),2309591.0)</f>
        <v>2309591</v>
      </c>
    </row>
    <row r="3095">
      <c r="A3095" s="3">
        <f>IFERROR(__xludf.DUMMYFUNCTION("""COMPUTED_VALUE"""),42010.64583333333)</f>
        <v>42010.64583</v>
      </c>
      <c r="B3095" s="2">
        <f>IFERROR(__xludf.DUMMYFUNCTION("""COMPUTED_VALUE"""),430.9)</f>
        <v>430.9</v>
      </c>
      <c r="C3095" s="2">
        <f>IFERROR(__xludf.DUMMYFUNCTION("""COMPUTED_VALUE"""),432.39)</f>
        <v>432.39</v>
      </c>
      <c r="D3095" s="2">
        <f>IFERROR(__xludf.DUMMYFUNCTION("""COMPUTED_VALUE"""),412.08)</f>
        <v>412.08</v>
      </c>
      <c r="E3095" s="2">
        <f>IFERROR(__xludf.DUMMYFUNCTION("""COMPUTED_VALUE"""),414.11)</f>
        <v>414.11</v>
      </c>
      <c r="F3095" s="2">
        <f>IFERROR(__xludf.DUMMYFUNCTION("""COMPUTED_VALUE"""),4258043.0)</f>
        <v>4258043</v>
      </c>
    </row>
    <row r="3096">
      <c r="A3096" s="3">
        <f>IFERROR(__xludf.DUMMYFUNCTION("""COMPUTED_VALUE"""),42011.64583333333)</f>
        <v>42011.64583</v>
      </c>
      <c r="B3096" s="2">
        <f>IFERROR(__xludf.DUMMYFUNCTION("""COMPUTED_VALUE"""),414.6)</f>
        <v>414.6</v>
      </c>
      <c r="C3096" s="2">
        <f>IFERROR(__xludf.DUMMYFUNCTION("""COMPUTED_VALUE"""),425.35)</f>
        <v>425.35</v>
      </c>
      <c r="D3096" s="2">
        <f>IFERROR(__xludf.DUMMYFUNCTION("""COMPUTED_VALUE"""),414.56)</f>
        <v>414.56</v>
      </c>
      <c r="E3096" s="2">
        <f>IFERROR(__xludf.DUMMYFUNCTION("""COMPUTED_VALUE"""),423.12)</f>
        <v>423.12</v>
      </c>
      <c r="F3096" s="2">
        <f>IFERROR(__xludf.DUMMYFUNCTION("""COMPUTED_VALUE"""),4736315.0)</f>
        <v>4736315</v>
      </c>
    </row>
    <row r="3097">
      <c r="A3097" s="3">
        <f>IFERROR(__xludf.DUMMYFUNCTION("""COMPUTED_VALUE"""),42012.64583333333)</f>
        <v>42012.64583</v>
      </c>
      <c r="B3097" s="2">
        <f>IFERROR(__xludf.DUMMYFUNCTION("""COMPUTED_VALUE"""),426.0)</f>
        <v>426</v>
      </c>
      <c r="C3097" s="2">
        <f>IFERROR(__xludf.DUMMYFUNCTION("""COMPUTED_VALUE"""),427.38)</f>
        <v>427.38</v>
      </c>
      <c r="D3097" s="2">
        <f>IFERROR(__xludf.DUMMYFUNCTION("""COMPUTED_VALUE"""),416.12)</f>
        <v>416.12</v>
      </c>
      <c r="E3097" s="2">
        <f>IFERROR(__xludf.DUMMYFUNCTION("""COMPUTED_VALUE"""),417.06)</f>
        <v>417.06</v>
      </c>
      <c r="F3097" s="2">
        <f>IFERROR(__xludf.DUMMYFUNCTION("""COMPUTED_VALUE"""),4542457.0)</f>
        <v>4542457</v>
      </c>
    </row>
    <row r="3098">
      <c r="A3098" s="3">
        <f>IFERROR(__xludf.DUMMYFUNCTION("""COMPUTED_VALUE"""),42013.64583333333)</f>
        <v>42013.64583</v>
      </c>
      <c r="B3098" s="2">
        <f>IFERROR(__xludf.DUMMYFUNCTION("""COMPUTED_VALUE"""),420.2)</f>
        <v>420.2</v>
      </c>
      <c r="C3098" s="2">
        <f>IFERROR(__xludf.DUMMYFUNCTION("""COMPUTED_VALUE"""),426.94)</f>
        <v>426.94</v>
      </c>
      <c r="D3098" s="2">
        <f>IFERROR(__xludf.DUMMYFUNCTION("""COMPUTED_VALUE"""),418.52)</f>
        <v>418.52</v>
      </c>
      <c r="E3098" s="2">
        <f>IFERROR(__xludf.DUMMYFUNCTION("""COMPUTED_VALUE"""),426.1)</f>
        <v>426.1</v>
      </c>
      <c r="F3098" s="2">
        <f>IFERROR(__xludf.DUMMYFUNCTION("""COMPUTED_VALUE"""),3061366.0)</f>
        <v>3061366</v>
      </c>
    </row>
    <row r="3099">
      <c r="A3099" s="3">
        <f>IFERROR(__xludf.DUMMYFUNCTION("""COMPUTED_VALUE"""),42016.64583333333)</f>
        <v>42016.64583</v>
      </c>
      <c r="B3099" s="2">
        <f>IFERROR(__xludf.DUMMYFUNCTION("""COMPUTED_VALUE"""),426.19)</f>
        <v>426.19</v>
      </c>
      <c r="C3099" s="2">
        <f>IFERROR(__xludf.DUMMYFUNCTION("""COMPUTED_VALUE"""),426.44)</f>
        <v>426.44</v>
      </c>
      <c r="D3099" s="2">
        <f>IFERROR(__xludf.DUMMYFUNCTION("""COMPUTED_VALUE"""),416.83)</f>
        <v>416.83</v>
      </c>
      <c r="E3099" s="2">
        <f>IFERROR(__xludf.DUMMYFUNCTION("""COMPUTED_VALUE"""),421.14)</f>
        <v>421.14</v>
      </c>
      <c r="F3099" s="2">
        <f>IFERROR(__xludf.DUMMYFUNCTION("""COMPUTED_VALUE"""),2308716.0)</f>
        <v>2308716</v>
      </c>
    </row>
    <row r="3100">
      <c r="A3100" s="3">
        <f>IFERROR(__xludf.DUMMYFUNCTION("""COMPUTED_VALUE"""),42017.64583333333)</f>
        <v>42017.64583</v>
      </c>
      <c r="B3100" s="2">
        <f>IFERROR(__xludf.DUMMYFUNCTION("""COMPUTED_VALUE"""),422.48)</f>
        <v>422.48</v>
      </c>
      <c r="C3100" s="2">
        <f>IFERROR(__xludf.DUMMYFUNCTION("""COMPUTED_VALUE"""),423.45)</f>
        <v>423.45</v>
      </c>
      <c r="D3100" s="2">
        <f>IFERROR(__xludf.DUMMYFUNCTION("""COMPUTED_VALUE"""),416.29)</f>
        <v>416.29</v>
      </c>
      <c r="E3100" s="2">
        <f>IFERROR(__xludf.DUMMYFUNCTION("""COMPUTED_VALUE"""),417.6)</f>
        <v>417.6</v>
      </c>
      <c r="F3100" s="2">
        <f>IFERROR(__xludf.DUMMYFUNCTION("""COMPUTED_VALUE"""),2274108.0)</f>
        <v>2274108</v>
      </c>
    </row>
    <row r="3101">
      <c r="A3101" s="3">
        <f>IFERROR(__xludf.DUMMYFUNCTION("""COMPUTED_VALUE"""),42018.64583333333)</f>
        <v>42018.64583</v>
      </c>
      <c r="B3101" s="2">
        <f>IFERROR(__xludf.DUMMYFUNCTION("""COMPUTED_VALUE"""),417.53)</f>
        <v>417.53</v>
      </c>
      <c r="C3101" s="2">
        <f>IFERROR(__xludf.DUMMYFUNCTION("""COMPUTED_VALUE"""),419.51)</f>
        <v>419.51</v>
      </c>
      <c r="D3101" s="2">
        <f>IFERROR(__xludf.DUMMYFUNCTION("""COMPUTED_VALUE"""),411.68)</f>
        <v>411.68</v>
      </c>
      <c r="E3101" s="2">
        <f>IFERROR(__xludf.DUMMYFUNCTION("""COMPUTED_VALUE"""),413.54)</f>
        <v>413.54</v>
      </c>
      <c r="F3101" s="2">
        <f>IFERROR(__xludf.DUMMYFUNCTION("""COMPUTED_VALUE"""),2601286.0)</f>
        <v>2601286</v>
      </c>
    </row>
    <row r="3102">
      <c r="A3102" s="3">
        <f>IFERROR(__xludf.DUMMYFUNCTION("""COMPUTED_VALUE"""),42019.64583333333)</f>
        <v>42019.64583</v>
      </c>
      <c r="B3102" s="2">
        <f>IFERROR(__xludf.DUMMYFUNCTION("""COMPUTED_VALUE"""),416.04)</f>
        <v>416.04</v>
      </c>
      <c r="C3102" s="2">
        <f>IFERROR(__xludf.DUMMYFUNCTION("""COMPUTED_VALUE"""),431.44)</f>
        <v>431.44</v>
      </c>
      <c r="D3102" s="2">
        <f>IFERROR(__xludf.DUMMYFUNCTION("""COMPUTED_VALUE"""),416.04)</f>
        <v>416.04</v>
      </c>
      <c r="E3102" s="2">
        <f>IFERROR(__xludf.DUMMYFUNCTION("""COMPUTED_VALUE"""),428.05)</f>
        <v>428.05</v>
      </c>
      <c r="F3102" s="2">
        <f>IFERROR(__xludf.DUMMYFUNCTION("""COMPUTED_VALUE"""),3869247.0)</f>
        <v>3869247</v>
      </c>
    </row>
    <row r="3103">
      <c r="A3103" s="3">
        <f>IFERROR(__xludf.DUMMYFUNCTION("""COMPUTED_VALUE"""),42020.64583333333)</f>
        <v>42020.64583</v>
      </c>
      <c r="B3103" s="2">
        <f>IFERROR(__xludf.DUMMYFUNCTION("""COMPUTED_VALUE"""),425.95)</f>
        <v>425.95</v>
      </c>
      <c r="C3103" s="2">
        <f>IFERROR(__xludf.DUMMYFUNCTION("""COMPUTED_VALUE"""),433.38)</f>
        <v>433.38</v>
      </c>
      <c r="D3103" s="2">
        <f>IFERROR(__xludf.DUMMYFUNCTION("""COMPUTED_VALUE"""),422.01)</f>
        <v>422.01</v>
      </c>
      <c r="E3103" s="2">
        <f>IFERROR(__xludf.DUMMYFUNCTION("""COMPUTED_VALUE"""),430.75)</f>
        <v>430.75</v>
      </c>
      <c r="F3103" s="2">
        <f>IFERROR(__xludf.DUMMYFUNCTION("""COMPUTED_VALUE"""),4374388.0)</f>
        <v>4374388</v>
      </c>
    </row>
    <row r="3104">
      <c r="A3104" s="3">
        <f>IFERROR(__xludf.DUMMYFUNCTION("""COMPUTED_VALUE"""),42023.64583333333)</f>
        <v>42023.64583</v>
      </c>
      <c r="B3104" s="2">
        <f>IFERROR(__xludf.DUMMYFUNCTION("""COMPUTED_VALUE"""),431.0)</f>
        <v>431</v>
      </c>
      <c r="C3104" s="2">
        <f>IFERROR(__xludf.DUMMYFUNCTION("""COMPUTED_VALUE"""),438.82)</f>
        <v>438.82</v>
      </c>
      <c r="D3104" s="2">
        <f>IFERROR(__xludf.DUMMYFUNCTION("""COMPUTED_VALUE"""),425.33)</f>
        <v>425.33</v>
      </c>
      <c r="E3104" s="2">
        <f>IFERROR(__xludf.DUMMYFUNCTION("""COMPUTED_VALUE"""),435.68)</f>
        <v>435.68</v>
      </c>
      <c r="F3104" s="2">
        <f>IFERROR(__xludf.DUMMYFUNCTION("""COMPUTED_VALUE"""),3049291.0)</f>
        <v>3049291</v>
      </c>
    </row>
    <row r="3105">
      <c r="A3105" s="3">
        <f>IFERROR(__xludf.DUMMYFUNCTION("""COMPUTED_VALUE"""),42024.64583333333)</f>
        <v>42024.64583</v>
      </c>
      <c r="B3105" s="2">
        <f>IFERROR(__xludf.DUMMYFUNCTION("""COMPUTED_VALUE"""),436.6)</f>
        <v>436.6</v>
      </c>
      <c r="C3105" s="2">
        <f>IFERROR(__xludf.DUMMYFUNCTION("""COMPUTED_VALUE"""),448.51)</f>
        <v>448.51</v>
      </c>
      <c r="D3105" s="2">
        <f>IFERROR(__xludf.DUMMYFUNCTION("""COMPUTED_VALUE"""),435.28)</f>
        <v>435.28</v>
      </c>
      <c r="E3105" s="2">
        <f>IFERROR(__xludf.DUMMYFUNCTION("""COMPUTED_VALUE"""),447.27)</f>
        <v>447.27</v>
      </c>
      <c r="F3105" s="2">
        <f>IFERROR(__xludf.DUMMYFUNCTION("""COMPUTED_VALUE"""),3054173.0)</f>
        <v>3054173</v>
      </c>
    </row>
    <row r="3106">
      <c r="A3106" s="3">
        <f>IFERROR(__xludf.DUMMYFUNCTION("""COMPUTED_VALUE"""),42025.64583333333)</f>
        <v>42025.64583</v>
      </c>
      <c r="B3106" s="2">
        <f>IFERROR(__xludf.DUMMYFUNCTION("""COMPUTED_VALUE"""),448.23)</f>
        <v>448.23</v>
      </c>
      <c r="C3106" s="2">
        <f>IFERROR(__xludf.DUMMYFUNCTION("""COMPUTED_VALUE"""),451.4)</f>
        <v>451.4</v>
      </c>
      <c r="D3106" s="2">
        <f>IFERROR(__xludf.DUMMYFUNCTION("""COMPUTED_VALUE"""),441.82)</f>
        <v>441.82</v>
      </c>
      <c r="E3106" s="2">
        <f>IFERROR(__xludf.DUMMYFUNCTION("""COMPUTED_VALUE"""),449.1)</f>
        <v>449.1</v>
      </c>
      <c r="F3106" s="2">
        <f>IFERROR(__xludf.DUMMYFUNCTION("""COMPUTED_VALUE"""),3905183.0)</f>
        <v>3905183</v>
      </c>
    </row>
    <row r="3107">
      <c r="A3107" s="3">
        <f>IFERROR(__xludf.DUMMYFUNCTION("""COMPUTED_VALUE"""),42026.64583333333)</f>
        <v>42026.64583</v>
      </c>
      <c r="B3107" s="2">
        <f>IFERROR(__xludf.DUMMYFUNCTION("""COMPUTED_VALUE"""),448.31)</f>
        <v>448.31</v>
      </c>
      <c r="C3107" s="2">
        <f>IFERROR(__xludf.DUMMYFUNCTION("""COMPUTED_VALUE"""),449.32)</f>
        <v>449.32</v>
      </c>
      <c r="D3107" s="2">
        <f>IFERROR(__xludf.DUMMYFUNCTION("""COMPUTED_VALUE"""),435.6)</f>
        <v>435.6</v>
      </c>
      <c r="E3107" s="2">
        <f>IFERROR(__xludf.DUMMYFUNCTION("""COMPUTED_VALUE"""),437.71)</f>
        <v>437.71</v>
      </c>
      <c r="F3107" s="2">
        <f>IFERROR(__xludf.DUMMYFUNCTION("""COMPUTED_VALUE"""),5422365.0)</f>
        <v>5422365</v>
      </c>
    </row>
    <row r="3108">
      <c r="A3108" s="3">
        <f>IFERROR(__xludf.DUMMYFUNCTION("""COMPUTED_VALUE"""),42027.64583333333)</f>
        <v>42027.64583</v>
      </c>
      <c r="B3108" s="2">
        <f>IFERROR(__xludf.DUMMYFUNCTION("""COMPUTED_VALUE"""),440.81)</f>
        <v>440.81</v>
      </c>
      <c r="C3108" s="2">
        <f>IFERROR(__xludf.DUMMYFUNCTION("""COMPUTED_VALUE"""),444.67)</f>
        <v>444.67</v>
      </c>
      <c r="D3108" s="2">
        <f>IFERROR(__xludf.DUMMYFUNCTION("""COMPUTED_VALUE"""),434.37)</f>
        <v>434.37</v>
      </c>
      <c r="E3108" s="2">
        <f>IFERROR(__xludf.DUMMYFUNCTION("""COMPUTED_VALUE"""),439.27)</f>
        <v>439.27</v>
      </c>
      <c r="F3108" s="2">
        <f>IFERROR(__xludf.DUMMYFUNCTION("""COMPUTED_VALUE"""),4132897.0)</f>
        <v>4132897</v>
      </c>
    </row>
    <row r="3109">
      <c r="A3109" s="3">
        <f>IFERROR(__xludf.DUMMYFUNCTION("""COMPUTED_VALUE"""),42031.64583333333)</f>
        <v>42031.64583</v>
      </c>
      <c r="B3109" s="2">
        <f>IFERROR(__xludf.DUMMYFUNCTION("""COMPUTED_VALUE"""),442.24)</f>
        <v>442.24</v>
      </c>
      <c r="C3109" s="2">
        <f>IFERROR(__xludf.DUMMYFUNCTION("""COMPUTED_VALUE"""),444.12)</f>
        <v>444.12</v>
      </c>
      <c r="D3109" s="2">
        <f>IFERROR(__xludf.DUMMYFUNCTION("""COMPUTED_VALUE"""),436.1)</f>
        <v>436.1</v>
      </c>
      <c r="E3109" s="2">
        <f>IFERROR(__xludf.DUMMYFUNCTION("""COMPUTED_VALUE"""),440.33)</f>
        <v>440.33</v>
      </c>
      <c r="F3109" s="2">
        <f>IFERROR(__xludf.DUMMYFUNCTION("""COMPUTED_VALUE"""),4100754.0)</f>
        <v>4100754</v>
      </c>
    </row>
    <row r="3110">
      <c r="A3110" s="3">
        <f>IFERROR(__xludf.DUMMYFUNCTION("""COMPUTED_VALUE"""),42032.64583333333)</f>
        <v>42032.64583</v>
      </c>
      <c r="B3110" s="2">
        <f>IFERROR(__xludf.DUMMYFUNCTION("""COMPUTED_VALUE"""),438.87)</f>
        <v>438.87</v>
      </c>
      <c r="C3110" s="2">
        <f>IFERROR(__xludf.DUMMYFUNCTION("""COMPUTED_VALUE"""),450.61)</f>
        <v>450.61</v>
      </c>
      <c r="D3110" s="2">
        <f>IFERROR(__xludf.DUMMYFUNCTION("""COMPUTED_VALUE"""),438.87)</f>
        <v>438.87</v>
      </c>
      <c r="E3110" s="2">
        <f>IFERROR(__xludf.DUMMYFUNCTION("""COMPUTED_VALUE"""),449.15)</f>
        <v>449.15</v>
      </c>
      <c r="F3110" s="2">
        <f>IFERROR(__xludf.DUMMYFUNCTION("""COMPUTED_VALUE"""),4411227.0)</f>
        <v>4411227</v>
      </c>
    </row>
    <row r="3111">
      <c r="A3111" s="3">
        <f>IFERROR(__xludf.DUMMYFUNCTION("""COMPUTED_VALUE"""),42033.64583333333)</f>
        <v>42033.64583</v>
      </c>
      <c r="B3111" s="2">
        <f>IFERROR(__xludf.DUMMYFUNCTION("""COMPUTED_VALUE"""),449.27)</f>
        <v>449.27</v>
      </c>
      <c r="C3111" s="2">
        <f>IFERROR(__xludf.DUMMYFUNCTION("""COMPUTED_VALUE"""),462.85)</f>
        <v>462.85</v>
      </c>
      <c r="D3111" s="2">
        <f>IFERROR(__xludf.DUMMYFUNCTION("""COMPUTED_VALUE"""),449.18)</f>
        <v>449.18</v>
      </c>
      <c r="E3111" s="2">
        <f>IFERROR(__xludf.DUMMYFUNCTION("""COMPUTED_VALUE"""),460.32)</f>
        <v>460.32</v>
      </c>
      <c r="F3111" s="2">
        <f>IFERROR(__xludf.DUMMYFUNCTION("""COMPUTED_VALUE"""),8255888.0)</f>
        <v>8255888</v>
      </c>
    </row>
    <row r="3112">
      <c r="A3112" s="3">
        <f>IFERROR(__xludf.DUMMYFUNCTION("""COMPUTED_VALUE"""),42034.64583333333)</f>
        <v>42034.64583</v>
      </c>
      <c r="B3112" s="2">
        <f>IFERROR(__xludf.DUMMYFUNCTION("""COMPUTED_VALUE"""),460.62)</f>
        <v>460.62</v>
      </c>
      <c r="C3112" s="2">
        <f>IFERROR(__xludf.DUMMYFUNCTION("""COMPUTED_VALUE"""),461.24)</f>
        <v>461.24</v>
      </c>
      <c r="D3112" s="2">
        <f>IFERROR(__xludf.DUMMYFUNCTION("""COMPUTED_VALUE"""),450.22)</f>
        <v>450.22</v>
      </c>
      <c r="E3112" s="2">
        <f>IFERROR(__xludf.DUMMYFUNCTION("""COMPUTED_VALUE"""),453.31)</f>
        <v>453.31</v>
      </c>
      <c r="F3112" s="2">
        <f>IFERROR(__xludf.DUMMYFUNCTION("""COMPUTED_VALUE"""),4970953.0)</f>
        <v>4970953</v>
      </c>
    </row>
    <row r="3113">
      <c r="A3113" s="3">
        <f>IFERROR(__xludf.DUMMYFUNCTION("""COMPUTED_VALUE"""),42037.64583333333)</f>
        <v>42037.64583</v>
      </c>
      <c r="B3113" s="2">
        <f>IFERROR(__xludf.DUMMYFUNCTION("""COMPUTED_VALUE"""),453.71)</f>
        <v>453.71</v>
      </c>
      <c r="C3113" s="2">
        <f>IFERROR(__xludf.DUMMYFUNCTION("""COMPUTED_VALUE"""),455.61)</f>
        <v>455.61</v>
      </c>
      <c r="D3113" s="2">
        <f>IFERROR(__xludf.DUMMYFUNCTION("""COMPUTED_VALUE"""),448.58)</f>
        <v>448.58</v>
      </c>
      <c r="E3113" s="2">
        <f>IFERROR(__xludf.DUMMYFUNCTION("""COMPUTED_VALUE"""),449.75)</f>
        <v>449.75</v>
      </c>
      <c r="F3113" s="2">
        <f>IFERROR(__xludf.DUMMYFUNCTION("""COMPUTED_VALUE"""),4412275.0)</f>
        <v>4412275</v>
      </c>
    </row>
    <row r="3114">
      <c r="A3114" s="3">
        <f>IFERROR(__xludf.DUMMYFUNCTION("""COMPUTED_VALUE"""),42038.64583333333)</f>
        <v>42038.64583</v>
      </c>
      <c r="B3114" s="2">
        <f>IFERROR(__xludf.DUMMYFUNCTION("""COMPUTED_VALUE"""),452.3)</f>
        <v>452.3</v>
      </c>
      <c r="C3114" s="2">
        <f>IFERROR(__xludf.DUMMYFUNCTION("""COMPUTED_VALUE"""),465.99)</f>
        <v>465.99</v>
      </c>
      <c r="D3114" s="2">
        <f>IFERROR(__xludf.DUMMYFUNCTION("""COMPUTED_VALUE"""),452.3)</f>
        <v>452.3</v>
      </c>
      <c r="E3114" s="2">
        <f>IFERROR(__xludf.DUMMYFUNCTION("""COMPUTED_VALUE"""),464.38)</f>
        <v>464.38</v>
      </c>
      <c r="F3114" s="2">
        <f>IFERROR(__xludf.DUMMYFUNCTION("""COMPUTED_VALUE"""),3907020.0)</f>
        <v>3907020</v>
      </c>
    </row>
    <row r="3115">
      <c r="A3115" s="3">
        <f>IFERROR(__xludf.DUMMYFUNCTION("""COMPUTED_VALUE"""),42039.64583333333)</f>
        <v>42039.64583</v>
      </c>
      <c r="B3115" s="2">
        <f>IFERROR(__xludf.DUMMYFUNCTION("""COMPUTED_VALUE"""),465.12)</f>
        <v>465.12</v>
      </c>
      <c r="C3115" s="2">
        <f>IFERROR(__xludf.DUMMYFUNCTION("""COMPUTED_VALUE"""),467.45)</f>
        <v>467.45</v>
      </c>
      <c r="D3115" s="2">
        <f>IFERROR(__xludf.DUMMYFUNCTION("""COMPUTED_VALUE"""),458.59)</f>
        <v>458.59</v>
      </c>
      <c r="E3115" s="2">
        <f>IFERROR(__xludf.DUMMYFUNCTION("""COMPUTED_VALUE"""),460.02)</f>
        <v>460.02</v>
      </c>
      <c r="F3115" s="2">
        <f>IFERROR(__xludf.DUMMYFUNCTION("""COMPUTED_VALUE"""),3216827.0)</f>
        <v>3216827</v>
      </c>
    </row>
    <row r="3116">
      <c r="A3116" s="3">
        <f>IFERROR(__xludf.DUMMYFUNCTION("""COMPUTED_VALUE"""),42040.64583333333)</f>
        <v>42040.64583</v>
      </c>
      <c r="B3116" s="2">
        <f>IFERROR(__xludf.DUMMYFUNCTION("""COMPUTED_VALUE"""),463.59)</f>
        <v>463.59</v>
      </c>
      <c r="C3116" s="2">
        <f>IFERROR(__xludf.DUMMYFUNCTION("""COMPUTED_VALUE"""),465.52)</f>
        <v>465.52</v>
      </c>
      <c r="D3116" s="2">
        <f>IFERROR(__xludf.DUMMYFUNCTION("""COMPUTED_VALUE"""),454.48)</f>
        <v>454.48</v>
      </c>
      <c r="E3116" s="2">
        <f>IFERROR(__xludf.DUMMYFUNCTION("""COMPUTED_VALUE"""),457.5)</f>
        <v>457.5</v>
      </c>
      <c r="F3116" s="2">
        <f>IFERROR(__xludf.DUMMYFUNCTION("""COMPUTED_VALUE"""),2826578.0)</f>
        <v>2826578</v>
      </c>
    </row>
    <row r="3117">
      <c r="A3117" s="3">
        <f>IFERROR(__xludf.DUMMYFUNCTION("""COMPUTED_VALUE"""),42041.64583333333)</f>
        <v>42041.64583</v>
      </c>
      <c r="B3117" s="2">
        <f>IFERROR(__xludf.DUMMYFUNCTION("""COMPUTED_VALUE"""),457.69)</f>
        <v>457.69</v>
      </c>
      <c r="C3117" s="2">
        <f>IFERROR(__xludf.DUMMYFUNCTION("""COMPUTED_VALUE"""),460.62)</f>
        <v>460.62</v>
      </c>
      <c r="D3117" s="2">
        <f>IFERROR(__xludf.DUMMYFUNCTION("""COMPUTED_VALUE"""),447.24)</f>
        <v>447.24</v>
      </c>
      <c r="E3117" s="2">
        <f>IFERROR(__xludf.DUMMYFUNCTION("""COMPUTED_VALUE"""),450.66)</f>
        <v>450.66</v>
      </c>
      <c r="F3117" s="2">
        <f>IFERROR(__xludf.DUMMYFUNCTION("""COMPUTED_VALUE"""),2067728.0)</f>
        <v>2067728</v>
      </c>
    </row>
    <row r="3118">
      <c r="A3118" s="3">
        <f>IFERROR(__xludf.DUMMYFUNCTION("""COMPUTED_VALUE"""),42044.64583333333)</f>
        <v>42044.64583</v>
      </c>
      <c r="B3118" s="2">
        <f>IFERROR(__xludf.DUMMYFUNCTION("""COMPUTED_VALUE"""),446.35)</f>
        <v>446.35</v>
      </c>
      <c r="C3118" s="2">
        <f>IFERROR(__xludf.DUMMYFUNCTION("""COMPUTED_VALUE"""),454.67)</f>
        <v>454.67</v>
      </c>
      <c r="D3118" s="2">
        <f>IFERROR(__xludf.DUMMYFUNCTION("""COMPUTED_VALUE"""),441.8)</f>
        <v>441.8</v>
      </c>
      <c r="E3118" s="2">
        <f>IFERROR(__xludf.DUMMYFUNCTION("""COMPUTED_VALUE"""),444.12)</f>
        <v>444.12</v>
      </c>
      <c r="F3118" s="2">
        <f>IFERROR(__xludf.DUMMYFUNCTION("""COMPUTED_VALUE"""),2020605.0)</f>
        <v>2020605</v>
      </c>
    </row>
    <row r="3119">
      <c r="A3119" s="3">
        <f>IFERROR(__xludf.DUMMYFUNCTION("""COMPUTED_VALUE"""),42045.64583333333)</f>
        <v>42045.64583</v>
      </c>
      <c r="B3119" s="2">
        <f>IFERROR(__xludf.DUMMYFUNCTION("""COMPUTED_VALUE"""),444.77)</f>
        <v>444.77</v>
      </c>
      <c r="C3119" s="2">
        <f>IFERROR(__xludf.DUMMYFUNCTION("""COMPUTED_VALUE"""),447.99)</f>
        <v>447.99</v>
      </c>
      <c r="D3119" s="2">
        <f>IFERROR(__xludf.DUMMYFUNCTION("""COMPUTED_VALUE"""),426.59)</f>
        <v>426.59</v>
      </c>
      <c r="E3119" s="2">
        <f>IFERROR(__xludf.DUMMYFUNCTION("""COMPUTED_VALUE"""),436.84)</f>
        <v>436.84</v>
      </c>
      <c r="F3119" s="2">
        <f>IFERROR(__xludf.DUMMYFUNCTION("""COMPUTED_VALUE"""),3120391.0)</f>
        <v>3120391</v>
      </c>
    </row>
    <row r="3120">
      <c r="A3120" s="3">
        <f>IFERROR(__xludf.DUMMYFUNCTION("""COMPUTED_VALUE"""),42046.64583333333)</f>
        <v>42046.64583</v>
      </c>
      <c r="B3120" s="2">
        <f>IFERROR(__xludf.DUMMYFUNCTION("""COMPUTED_VALUE"""),438.82)</f>
        <v>438.82</v>
      </c>
      <c r="C3120" s="2">
        <f>IFERROR(__xludf.DUMMYFUNCTION("""COMPUTED_VALUE"""),448.11)</f>
        <v>448.11</v>
      </c>
      <c r="D3120" s="2">
        <f>IFERROR(__xludf.DUMMYFUNCTION("""COMPUTED_VALUE"""),437.34)</f>
        <v>437.34</v>
      </c>
      <c r="E3120" s="2">
        <f>IFERROR(__xludf.DUMMYFUNCTION("""COMPUTED_VALUE"""),446.1)</f>
        <v>446.1</v>
      </c>
      <c r="F3120" s="2">
        <f>IFERROR(__xludf.DUMMYFUNCTION("""COMPUTED_VALUE"""),2235774.0)</f>
        <v>2235774</v>
      </c>
    </row>
    <row r="3121">
      <c r="A3121" s="3">
        <f>IFERROR(__xludf.DUMMYFUNCTION("""COMPUTED_VALUE"""),42047.64583333333)</f>
        <v>42047.64583</v>
      </c>
      <c r="B3121" s="2">
        <f>IFERROR(__xludf.DUMMYFUNCTION("""COMPUTED_VALUE"""),449.72)</f>
        <v>449.72</v>
      </c>
      <c r="C3121" s="2">
        <f>IFERROR(__xludf.DUMMYFUNCTION("""COMPUTED_VALUE"""),452.67)</f>
        <v>452.67</v>
      </c>
      <c r="D3121" s="2">
        <f>IFERROR(__xludf.DUMMYFUNCTION("""COMPUTED_VALUE"""),439.44)</f>
        <v>439.44</v>
      </c>
      <c r="E3121" s="2">
        <f>IFERROR(__xludf.DUMMYFUNCTION("""COMPUTED_VALUE"""),450.29)</f>
        <v>450.29</v>
      </c>
      <c r="F3121" s="2">
        <f>IFERROR(__xludf.DUMMYFUNCTION("""COMPUTED_VALUE"""),1990874.0)</f>
        <v>1990874</v>
      </c>
    </row>
    <row r="3122">
      <c r="A3122" s="3">
        <f>IFERROR(__xludf.DUMMYFUNCTION("""COMPUTED_VALUE"""),42048.64583333333)</f>
        <v>42048.64583</v>
      </c>
      <c r="B3122" s="2">
        <f>IFERROR(__xludf.DUMMYFUNCTION("""COMPUTED_VALUE"""),452.69)</f>
        <v>452.69</v>
      </c>
      <c r="C3122" s="2">
        <f>IFERROR(__xludf.DUMMYFUNCTION("""COMPUTED_VALUE"""),456.06)</f>
        <v>456.06</v>
      </c>
      <c r="D3122" s="2">
        <f>IFERROR(__xludf.DUMMYFUNCTION("""COMPUTED_VALUE"""),450.24)</f>
        <v>450.24</v>
      </c>
      <c r="E3122" s="2">
        <f>IFERROR(__xludf.DUMMYFUNCTION("""COMPUTED_VALUE"""),454.43)</f>
        <v>454.43</v>
      </c>
      <c r="F3122" s="2">
        <f>IFERROR(__xludf.DUMMYFUNCTION("""COMPUTED_VALUE"""),1690071.0)</f>
        <v>1690071</v>
      </c>
    </row>
    <row r="3123">
      <c r="A3123" s="3">
        <f>IFERROR(__xludf.DUMMYFUNCTION("""COMPUTED_VALUE"""),42051.64583333333)</f>
        <v>42051.64583</v>
      </c>
      <c r="B3123" s="2">
        <f>IFERROR(__xludf.DUMMYFUNCTION("""COMPUTED_VALUE"""),455.02)</f>
        <v>455.02</v>
      </c>
      <c r="C3123" s="2">
        <f>IFERROR(__xludf.DUMMYFUNCTION("""COMPUTED_VALUE"""),457.74)</f>
        <v>457.74</v>
      </c>
      <c r="D3123" s="2">
        <f>IFERROR(__xludf.DUMMYFUNCTION("""COMPUTED_VALUE"""),445.76)</f>
        <v>445.76</v>
      </c>
      <c r="E3123" s="2">
        <f>IFERROR(__xludf.DUMMYFUNCTION("""COMPUTED_VALUE"""),447.15)</f>
        <v>447.15</v>
      </c>
      <c r="F3123" s="2">
        <f>IFERROR(__xludf.DUMMYFUNCTION("""COMPUTED_VALUE"""),2803961.0)</f>
        <v>2803961</v>
      </c>
    </row>
    <row r="3124">
      <c r="A3124" s="3">
        <f>IFERROR(__xludf.DUMMYFUNCTION("""COMPUTED_VALUE"""),42053.64583333333)</f>
        <v>42053.64583</v>
      </c>
      <c r="B3124" s="2">
        <f>IFERROR(__xludf.DUMMYFUNCTION("""COMPUTED_VALUE"""),445.76)</f>
        <v>445.76</v>
      </c>
      <c r="C3124" s="2">
        <f>IFERROR(__xludf.DUMMYFUNCTION("""COMPUTED_VALUE"""),449.72)</f>
        <v>449.72</v>
      </c>
      <c r="D3124" s="2">
        <f>IFERROR(__xludf.DUMMYFUNCTION("""COMPUTED_VALUE"""),442.98)</f>
        <v>442.98</v>
      </c>
      <c r="E3124" s="2">
        <f>IFERROR(__xludf.DUMMYFUNCTION("""COMPUTED_VALUE"""),446.58)</f>
        <v>446.58</v>
      </c>
      <c r="F3124" s="2">
        <f>IFERROR(__xludf.DUMMYFUNCTION("""COMPUTED_VALUE"""),2248124.0)</f>
        <v>2248124</v>
      </c>
    </row>
    <row r="3125">
      <c r="A3125" s="3">
        <f>IFERROR(__xludf.DUMMYFUNCTION("""COMPUTED_VALUE"""),42054.64583333333)</f>
        <v>42054.64583</v>
      </c>
      <c r="B3125" s="2">
        <f>IFERROR(__xludf.DUMMYFUNCTION("""COMPUTED_VALUE"""),449.2)</f>
        <v>449.2</v>
      </c>
      <c r="C3125" s="2">
        <f>IFERROR(__xludf.DUMMYFUNCTION("""COMPUTED_VALUE"""),449.52)</f>
        <v>449.52</v>
      </c>
      <c r="D3125" s="2">
        <f>IFERROR(__xludf.DUMMYFUNCTION("""COMPUTED_VALUE"""),439.59)</f>
        <v>439.59</v>
      </c>
      <c r="E3125" s="2">
        <f>IFERROR(__xludf.DUMMYFUNCTION("""COMPUTED_VALUE"""),446.77)</f>
        <v>446.77</v>
      </c>
      <c r="F3125" s="2">
        <f>IFERROR(__xludf.DUMMYFUNCTION("""COMPUTED_VALUE"""),2183115.0)</f>
        <v>2183115</v>
      </c>
    </row>
    <row r="3126">
      <c r="A3126" s="3">
        <f>IFERROR(__xludf.DUMMYFUNCTION("""COMPUTED_VALUE"""),42055.64583333333)</f>
        <v>42055.64583</v>
      </c>
      <c r="B3126" s="2">
        <f>IFERROR(__xludf.DUMMYFUNCTION("""COMPUTED_VALUE"""),443.41)</f>
        <v>443.41</v>
      </c>
      <c r="C3126" s="2">
        <f>IFERROR(__xludf.DUMMYFUNCTION("""COMPUTED_VALUE"""),443.78)</f>
        <v>443.78</v>
      </c>
      <c r="D3126" s="2">
        <f>IFERROR(__xludf.DUMMYFUNCTION("""COMPUTED_VALUE"""),431.54)</f>
        <v>431.54</v>
      </c>
      <c r="E3126" s="2">
        <f>IFERROR(__xludf.DUMMYFUNCTION("""COMPUTED_VALUE"""),432.43)</f>
        <v>432.43</v>
      </c>
      <c r="F3126" s="2">
        <f>IFERROR(__xludf.DUMMYFUNCTION("""COMPUTED_VALUE"""),4278437.0)</f>
        <v>4278437</v>
      </c>
    </row>
    <row r="3127">
      <c r="A3127" s="3">
        <f>IFERROR(__xludf.DUMMYFUNCTION("""COMPUTED_VALUE"""),42058.64583333333)</f>
        <v>42058.64583</v>
      </c>
      <c r="B3127" s="2">
        <f>IFERROR(__xludf.DUMMYFUNCTION("""COMPUTED_VALUE"""),430.87)</f>
        <v>430.87</v>
      </c>
      <c r="C3127" s="2">
        <f>IFERROR(__xludf.DUMMYFUNCTION("""COMPUTED_VALUE"""),434.24)</f>
        <v>434.24</v>
      </c>
      <c r="D3127" s="2">
        <f>IFERROR(__xludf.DUMMYFUNCTION("""COMPUTED_VALUE"""),419.56)</f>
        <v>419.56</v>
      </c>
      <c r="E3127" s="2">
        <f>IFERROR(__xludf.DUMMYFUNCTION("""COMPUTED_VALUE"""),421.71)</f>
        <v>421.71</v>
      </c>
      <c r="F3127" s="2">
        <f>IFERROR(__xludf.DUMMYFUNCTION("""COMPUTED_VALUE"""),3224043.0)</f>
        <v>3224043</v>
      </c>
    </row>
    <row r="3128">
      <c r="A3128" s="3">
        <f>IFERROR(__xludf.DUMMYFUNCTION("""COMPUTED_VALUE"""),42059.64583333333)</f>
        <v>42059.64583</v>
      </c>
      <c r="B3128" s="2">
        <f>IFERROR(__xludf.DUMMYFUNCTION("""COMPUTED_VALUE"""),423.1)</f>
        <v>423.1</v>
      </c>
      <c r="C3128" s="2">
        <f>IFERROR(__xludf.DUMMYFUNCTION("""COMPUTED_VALUE"""),424.36)</f>
        <v>424.36</v>
      </c>
      <c r="D3128" s="2">
        <f>IFERROR(__xludf.DUMMYFUNCTION("""COMPUTED_VALUE"""),414.56)</f>
        <v>414.56</v>
      </c>
      <c r="E3128" s="2">
        <f>IFERROR(__xludf.DUMMYFUNCTION("""COMPUTED_VALUE"""),416.76)</f>
        <v>416.76</v>
      </c>
      <c r="F3128" s="2">
        <f>IFERROR(__xludf.DUMMYFUNCTION("""COMPUTED_VALUE"""),4559370.0)</f>
        <v>4559370</v>
      </c>
    </row>
    <row r="3129">
      <c r="A3129" s="3">
        <f>IFERROR(__xludf.DUMMYFUNCTION("""COMPUTED_VALUE"""),42060.64583333333)</f>
        <v>42060.64583</v>
      </c>
      <c r="B3129" s="2">
        <f>IFERROR(__xludf.DUMMYFUNCTION("""COMPUTED_VALUE"""),420.4)</f>
        <v>420.4</v>
      </c>
      <c r="C3129" s="2">
        <f>IFERROR(__xludf.DUMMYFUNCTION("""COMPUTED_VALUE"""),424.21)</f>
        <v>424.21</v>
      </c>
      <c r="D3129" s="2">
        <f>IFERROR(__xludf.DUMMYFUNCTION("""COMPUTED_VALUE"""),416.56)</f>
        <v>416.56</v>
      </c>
      <c r="E3129" s="2">
        <f>IFERROR(__xludf.DUMMYFUNCTION("""COMPUTED_VALUE"""),417.6)</f>
        <v>417.6</v>
      </c>
      <c r="F3129" s="2">
        <f>IFERROR(__xludf.DUMMYFUNCTION("""COMPUTED_VALUE"""),3491406.0)</f>
        <v>3491406</v>
      </c>
    </row>
    <row r="3130">
      <c r="A3130" s="3">
        <f>IFERROR(__xludf.DUMMYFUNCTION("""COMPUTED_VALUE"""),42061.64583333333)</f>
        <v>42061.64583</v>
      </c>
      <c r="B3130" s="2">
        <f>IFERROR(__xludf.DUMMYFUNCTION("""COMPUTED_VALUE"""),419.06)</f>
        <v>419.06</v>
      </c>
      <c r="C3130" s="2">
        <f>IFERROR(__xludf.DUMMYFUNCTION("""COMPUTED_VALUE"""),420.99)</f>
        <v>420.99</v>
      </c>
      <c r="D3130" s="2">
        <f>IFERROR(__xludf.DUMMYFUNCTION("""COMPUTED_VALUE"""),414.36)</f>
        <v>414.36</v>
      </c>
      <c r="E3130" s="2">
        <f>IFERROR(__xludf.DUMMYFUNCTION("""COMPUTED_VALUE"""),417.03)</f>
        <v>417.03</v>
      </c>
      <c r="F3130" s="2">
        <f>IFERROR(__xludf.DUMMYFUNCTION("""COMPUTED_VALUE"""),4905338.0)</f>
        <v>4905338</v>
      </c>
    </row>
    <row r="3131">
      <c r="A3131" s="3">
        <f>IFERROR(__xludf.DUMMYFUNCTION("""COMPUTED_VALUE"""),42062.64583333333)</f>
        <v>42062.64583</v>
      </c>
      <c r="B3131" s="2">
        <f>IFERROR(__xludf.DUMMYFUNCTION("""COMPUTED_VALUE"""),419.78)</f>
        <v>419.78</v>
      </c>
      <c r="C3131" s="2">
        <f>IFERROR(__xludf.DUMMYFUNCTION("""COMPUTED_VALUE"""),426.44)</f>
        <v>426.44</v>
      </c>
      <c r="D3131" s="2">
        <f>IFERROR(__xludf.DUMMYFUNCTION("""COMPUTED_VALUE"""),418.32)</f>
        <v>418.32</v>
      </c>
      <c r="E3131" s="2">
        <f>IFERROR(__xludf.DUMMYFUNCTION("""COMPUTED_VALUE"""),423.74)</f>
        <v>423.74</v>
      </c>
      <c r="F3131" s="2">
        <f>IFERROR(__xludf.DUMMYFUNCTION("""COMPUTED_VALUE"""),4265220.0)</f>
        <v>4265220</v>
      </c>
    </row>
    <row r="3132">
      <c r="A3132" s="3">
        <f>IFERROR(__xludf.DUMMYFUNCTION("""COMPUTED_VALUE"""),42065.64583333333)</f>
        <v>42065.64583</v>
      </c>
      <c r="B3132" s="2">
        <f>IFERROR(__xludf.DUMMYFUNCTION("""COMPUTED_VALUE"""),430.4)</f>
        <v>430.4</v>
      </c>
      <c r="C3132" s="2">
        <f>IFERROR(__xludf.DUMMYFUNCTION("""COMPUTED_VALUE"""),433.62)</f>
        <v>433.62</v>
      </c>
      <c r="D3132" s="2">
        <f>IFERROR(__xludf.DUMMYFUNCTION("""COMPUTED_VALUE"""),423.74)</f>
        <v>423.74</v>
      </c>
      <c r="E3132" s="2">
        <f>IFERROR(__xludf.DUMMYFUNCTION("""COMPUTED_VALUE"""),428.05)</f>
        <v>428.05</v>
      </c>
      <c r="F3132" s="2">
        <f>IFERROR(__xludf.DUMMYFUNCTION("""COMPUTED_VALUE"""),3332631.0)</f>
        <v>3332631</v>
      </c>
    </row>
    <row r="3133">
      <c r="A3133" s="3">
        <f>IFERROR(__xludf.DUMMYFUNCTION("""COMPUTED_VALUE"""),42066.64583333333)</f>
        <v>42066.64583</v>
      </c>
      <c r="B3133" s="2">
        <f>IFERROR(__xludf.DUMMYFUNCTION("""COMPUTED_VALUE"""),430.4)</f>
        <v>430.4</v>
      </c>
      <c r="C3133" s="2">
        <f>IFERROR(__xludf.DUMMYFUNCTION("""COMPUTED_VALUE"""),448.95)</f>
        <v>448.95</v>
      </c>
      <c r="D3133" s="2">
        <f>IFERROR(__xludf.DUMMYFUNCTION("""COMPUTED_VALUE"""),429.61)</f>
        <v>429.61</v>
      </c>
      <c r="E3133" s="2">
        <f>IFERROR(__xludf.DUMMYFUNCTION("""COMPUTED_VALUE"""),446.15)</f>
        <v>446.15</v>
      </c>
      <c r="F3133" s="2">
        <f>IFERROR(__xludf.DUMMYFUNCTION("""COMPUTED_VALUE"""),4717254.0)</f>
        <v>4717254</v>
      </c>
    </row>
    <row r="3134">
      <c r="A3134" s="3">
        <f>IFERROR(__xludf.DUMMYFUNCTION("""COMPUTED_VALUE"""),42067.64583333333)</f>
        <v>42067.64583</v>
      </c>
      <c r="B3134" s="2">
        <f>IFERROR(__xludf.DUMMYFUNCTION("""COMPUTED_VALUE"""),448.73)</f>
        <v>448.73</v>
      </c>
      <c r="C3134" s="2">
        <f>IFERROR(__xludf.DUMMYFUNCTION("""COMPUTED_VALUE"""),450.54)</f>
        <v>450.54</v>
      </c>
      <c r="D3134" s="2">
        <f>IFERROR(__xludf.DUMMYFUNCTION("""COMPUTED_VALUE"""),435.88)</f>
        <v>435.88</v>
      </c>
      <c r="E3134" s="2">
        <f>IFERROR(__xludf.DUMMYFUNCTION("""COMPUTED_VALUE"""),439.74)</f>
        <v>439.74</v>
      </c>
      <c r="F3134" s="2">
        <f>IFERROR(__xludf.DUMMYFUNCTION("""COMPUTED_VALUE"""),3308981.0)</f>
        <v>3308981</v>
      </c>
    </row>
    <row r="3135">
      <c r="A3135" s="3">
        <f>IFERROR(__xludf.DUMMYFUNCTION("""COMPUTED_VALUE"""),42068.64583333333)</f>
        <v>42068.64583</v>
      </c>
      <c r="B3135" s="2">
        <f>IFERROR(__xludf.DUMMYFUNCTION("""COMPUTED_VALUE"""),442.04)</f>
        <v>442.04</v>
      </c>
      <c r="C3135" s="2">
        <f>IFERROR(__xludf.DUMMYFUNCTION("""COMPUTED_VALUE"""),445.14)</f>
        <v>445.14</v>
      </c>
      <c r="D3135" s="2">
        <f>IFERROR(__xludf.DUMMYFUNCTION("""COMPUTED_VALUE"""),434.94)</f>
        <v>434.94</v>
      </c>
      <c r="E3135" s="2">
        <f>IFERROR(__xludf.DUMMYFUNCTION("""COMPUTED_VALUE"""),438.3)</f>
        <v>438.3</v>
      </c>
      <c r="F3135" s="2">
        <f>IFERROR(__xludf.DUMMYFUNCTION("""COMPUTED_VALUE"""),2449658.0)</f>
        <v>2449658</v>
      </c>
    </row>
    <row r="3136">
      <c r="A3136" s="3">
        <f>IFERROR(__xludf.DUMMYFUNCTION("""COMPUTED_VALUE"""),42072.64583333333)</f>
        <v>42072.64583</v>
      </c>
      <c r="B3136" s="2">
        <f>IFERROR(__xludf.DUMMYFUNCTION("""COMPUTED_VALUE"""),438.38)</f>
        <v>438.38</v>
      </c>
      <c r="C3136" s="2">
        <f>IFERROR(__xludf.DUMMYFUNCTION("""COMPUTED_VALUE"""),441.67)</f>
        <v>441.67</v>
      </c>
      <c r="D3136" s="2">
        <f>IFERROR(__xludf.DUMMYFUNCTION("""COMPUTED_VALUE"""),428.0)</f>
        <v>428</v>
      </c>
      <c r="E3136" s="2">
        <f>IFERROR(__xludf.DUMMYFUNCTION("""COMPUTED_VALUE"""),430.73)</f>
        <v>430.73</v>
      </c>
      <c r="F3136" s="2">
        <f>IFERROR(__xludf.DUMMYFUNCTION("""COMPUTED_VALUE"""),3215112.0)</f>
        <v>3215112</v>
      </c>
    </row>
    <row r="3137">
      <c r="A3137" s="3">
        <f>IFERROR(__xludf.DUMMYFUNCTION("""COMPUTED_VALUE"""),42073.64583333333)</f>
        <v>42073.64583</v>
      </c>
      <c r="B3137" s="2">
        <f>IFERROR(__xludf.DUMMYFUNCTION("""COMPUTED_VALUE"""),430.38)</f>
        <v>430.38</v>
      </c>
      <c r="C3137" s="2">
        <f>IFERROR(__xludf.DUMMYFUNCTION("""COMPUTED_VALUE"""),433.77)</f>
        <v>433.77</v>
      </c>
      <c r="D3137" s="2">
        <f>IFERROR(__xludf.DUMMYFUNCTION("""COMPUTED_VALUE"""),423.67)</f>
        <v>423.67</v>
      </c>
      <c r="E3137" s="2">
        <f>IFERROR(__xludf.DUMMYFUNCTION("""COMPUTED_VALUE"""),425.53)</f>
        <v>425.53</v>
      </c>
      <c r="F3137" s="2">
        <f>IFERROR(__xludf.DUMMYFUNCTION("""COMPUTED_VALUE"""),3482250.0)</f>
        <v>3482250</v>
      </c>
    </row>
    <row r="3138">
      <c r="A3138" s="3">
        <f>IFERROR(__xludf.DUMMYFUNCTION("""COMPUTED_VALUE"""),42074.64583333333)</f>
        <v>42074.64583</v>
      </c>
      <c r="B3138" s="2">
        <f>IFERROR(__xludf.DUMMYFUNCTION("""COMPUTED_VALUE"""),426.42)</f>
        <v>426.42</v>
      </c>
      <c r="C3138" s="2">
        <f>IFERROR(__xludf.DUMMYFUNCTION("""COMPUTED_VALUE"""),430.7)</f>
        <v>430.7</v>
      </c>
      <c r="D3138" s="2">
        <f>IFERROR(__xludf.DUMMYFUNCTION("""COMPUTED_VALUE"""),422.18)</f>
        <v>422.18</v>
      </c>
      <c r="E3138" s="2">
        <f>IFERROR(__xludf.DUMMYFUNCTION("""COMPUTED_VALUE"""),423.94)</f>
        <v>423.94</v>
      </c>
      <c r="F3138" s="2">
        <f>IFERROR(__xludf.DUMMYFUNCTION("""COMPUTED_VALUE"""),2659765.0)</f>
        <v>2659765</v>
      </c>
    </row>
    <row r="3139">
      <c r="A3139" s="3">
        <f>IFERROR(__xludf.DUMMYFUNCTION("""COMPUTED_VALUE"""),42075.64583333333)</f>
        <v>42075.64583</v>
      </c>
      <c r="B3139" s="2">
        <f>IFERROR(__xludf.DUMMYFUNCTION("""COMPUTED_VALUE"""),424.96)</f>
        <v>424.96</v>
      </c>
      <c r="C3139" s="2">
        <f>IFERROR(__xludf.DUMMYFUNCTION("""COMPUTED_VALUE"""),429.61)</f>
        <v>429.61</v>
      </c>
      <c r="D3139" s="2">
        <f>IFERROR(__xludf.DUMMYFUNCTION("""COMPUTED_VALUE"""),423.77)</f>
        <v>423.77</v>
      </c>
      <c r="E3139" s="2">
        <f>IFERROR(__xludf.DUMMYFUNCTION("""COMPUTED_VALUE"""),427.83)</f>
        <v>427.83</v>
      </c>
      <c r="F3139" s="2">
        <f>IFERROR(__xludf.DUMMYFUNCTION("""COMPUTED_VALUE"""),2693254.0)</f>
        <v>2693254</v>
      </c>
    </row>
    <row r="3140">
      <c r="A3140" s="3">
        <f>IFERROR(__xludf.DUMMYFUNCTION("""COMPUTED_VALUE"""),42076.64583333333)</f>
        <v>42076.64583</v>
      </c>
      <c r="B3140" s="2">
        <f>IFERROR(__xludf.DUMMYFUNCTION("""COMPUTED_VALUE"""),430.4)</f>
        <v>430.4</v>
      </c>
      <c r="C3140" s="2">
        <f>IFERROR(__xludf.DUMMYFUNCTION("""COMPUTED_VALUE"""),430.7)</f>
        <v>430.7</v>
      </c>
      <c r="D3140" s="2">
        <f>IFERROR(__xludf.DUMMYFUNCTION("""COMPUTED_VALUE"""),419.51)</f>
        <v>419.51</v>
      </c>
      <c r="E3140" s="2">
        <f>IFERROR(__xludf.DUMMYFUNCTION("""COMPUTED_VALUE"""),421.04)</f>
        <v>421.04</v>
      </c>
      <c r="F3140" s="2">
        <f>IFERROR(__xludf.DUMMYFUNCTION("""COMPUTED_VALUE"""),2956988.0)</f>
        <v>2956988</v>
      </c>
    </row>
    <row r="3141">
      <c r="A3141" s="3">
        <f>IFERROR(__xludf.DUMMYFUNCTION("""COMPUTED_VALUE"""),42079.64583333333)</f>
        <v>42079.64583</v>
      </c>
      <c r="B3141" s="2">
        <f>IFERROR(__xludf.DUMMYFUNCTION("""COMPUTED_VALUE"""),421.74)</f>
        <v>421.74</v>
      </c>
      <c r="C3141" s="2">
        <f>IFERROR(__xludf.DUMMYFUNCTION("""COMPUTED_VALUE"""),422.95)</f>
        <v>422.95</v>
      </c>
      <c r="D3141" s="2">
        <f>IFERROR(__xludf.DUMMYFUNCTION("""COMPUTED_VALUE"""),416.19)</f>
        <v>416.19</v>
      </c>
      <c r="E3141" s="2">
        <f>IFERROR(__xludf.DUMMYFUNCTION("""COMPUTED_VALUE"""),417.08)</f>
        <v>417.08</v>
      </c>
      <c r="F3141" s="2">
        <f>IFERROR(__xludf.DUMMYFUNCTION("""COMPUTED_VALUE"""),3163589.0)</f>
        <v>3163589</v>
      </c>
    </row>
    <row r="3142">
      <c r="A3142" s="3">
        <f>IFERROR(__xludf.DUMMYFUNCTION("""COMPUTED_VALUE"""),42080.64583333333)</f>
        <v>42080.64583</v>
      </c>
      <c r="B3142" s="2">
        <f>IFERROR(__xludf.DUMMYFUNCTION("""COMPUTED_VALUE"""),421.27)</f>
        <v>421.27</v>
      </c>
      <c r="C3142" s="2">
        <f>IFERROR(__xludf.DUMMYFUNCTION("""COMPUTED_VALUE"""),425.9)</f>
        <v>425.9</v>
      </c>
      <c r="D3142" s="2">
        <f>IFERROR(__xludf.DUMMYFUNCTION("""COMPUTED_VALUE"""),416.54)</f>
        <v>416.54</v>
      </c>
      <c r="E3142" s="2">
        <f>IFERROR(__xludf.DUMMYFUNCTION("""COMPUTED_VALUE"""),424.39)</f>
        <v>424.39</v>
      </c>
      <c r="F3142" s="2">
        <f>IFERROR(__xludf.DUMMYFUNCTION("""COMPUTED_VALUE"""),4359100.0)</f>
        <v>4359100</v>
      </c>
    </row>
    <row r="3143">
      <c r="A3143" s="3">
        <f>IFERROR(__xludf.DUMMYFUNCTION("""COMPUTED_VALUE"""),42081.64583333333)</f>
        <v>42081.64583</v>
      </c>
      <c r="B3143" s="2">
        <f>IFERROR(__xludf.DUMMYFUNCTION("""COMPUTED_VALUE"""),424.46)</f>
        <v>424.46</v>
      </c>
      <c r="C3143" s="2">
        <f>IFERROR(__xludf.DUMMYFUNCTION("""COMPUTED_VALUE"""),432.01)</f>
        <v>432.01</v>
      </c>
      <c r="D3143" s="2">
        <f>IFERROR(__xludf.DUMMYFUNCTION("""COMPUTED_VALUE"""),423.32)</f>
        <v>423.32</v>
      </c>
      <c r="E3143" s="2">
        <f>IFERROR(__xludf.DUMMYFUNCTION("""COMPUTED_VALUE"""),430.23)</f>
        <v>430.23</v>
      </c>
      <c r="F3143" s="2">
        <f>IFERROR(__xludf.DUMMYFUNCTION("""COMPUTED_VALUE"""),2118940.0)</f>
        <v>2118940</v>
      </c>
    </row>
    <row r="3144">
      <c r="A3144" s="3">
        <f>IFERROR(__xludf.DUMMYFUNCTION("""COMPUTED_VALUE"""),42082.64583333333)</f>
        <v>42082.64583</v>
      </c>
      <c r="B3144" s="2">
        <f>IFERROR(__xludf.DUMMYFUNCTION("""COMPUTED_VALUE"""),433.65)</f>
        <v>433.65</v>
      </c>
      <c r="C3144" s="2">
        <f>IFERROR(__xludf.DUMMYFUNCTION("""COMPUTED_VALUE"""),434.22)</f>
        <v>434.22</v>
      </c>
      <c r="D3144" s="2">
        <f>IFERROR(__xludf.DUMMYFUNCTION("""COMPUTED_VALUE"""),423.02)</f>
        <v>423.02</v>
      </c>
      <c r="E3144" s="2">
        <f>IFERROR(__xludf.DUMMYFUNCTION("""COMPUTED_VALUE"""),424.04)</f>
        <v>424.04</v>
      </c>
      <c r="F3144" s="2">
        <f>IFERROR(__xludf.DUMMYFUNCTION("""COMPUTED_VALUE"""),3185218.0)</f>
        <v>3185218</v>
      </c>
    </row>
    <row r="3145">
      <c r="A3145" s="3">
        <f>IFERROR(__xludf.DUMMYFUNCTION("""COMPUTED_VALUE"""),42083.64583333333)</f>
        <v>42083.64583</v>
      </c>
      <c r="B3145" s="2">
        <f>IFERROR(__xludf.DUMMYFUNCTION("""COMPUTED_VALUE"""),424.91)</f>
        <v>424.91</v>
      </c>
      <c r="C3145" s="2">
        <f>IFERROR(__xludf.DUMMYFUNCTION("""COMPUTED_VALUE"""),426.52)</f>
        <v>426.52</v>
      </c>
      <c r="D3145" s="2">
        <f>IFERROR(__xludf.DUMMYFUNCTION("""COMPUTED_VALUE"""),420.3)</f>
        <v>420.3</v>
      </c>
      <c r="E3145" s="2">
        <f>IFERROR(__xludf.DUMMYFUNCTION("""COMPUTED_VALUE"""),423.02)</f>
        <v>423.02</v>
      </c>
      <c r="F3145" s="2">
        <f>IFERROR(__xludf.DUMMYFUNCTION("""COMPUTED_VALUE"""),2378572.0)</f>
        <v>2378572</v>
      </c>
    </row>
    <row r="3146">
      <c r="A3146" s="3">
        <f>IFERROR(__xludf.DUMMYFUNCTION("""COMPUTED_VALUE"""),42086.64583333333)</f>
        <v>42086.64583</v>
      </c>
      <c r="B3146" s="2">
        <f>IFERROR(__xludf.DUMMYFUNCTION("""COMPUTED_VALUE"""),424.21)</f>
        <v>424.21</v>
      </c>
      <c r="C3146" s="2">
        <f>IFERROR(__xludf.DUMMYFUNCTION("""COMPUTED_VALUE"""),427.93)</f>
        <v>427.93</v>
      </c>
      <c r="D3146" s="2">
        <f>IFERROR(__xludf.DUMMYFUNCTION("""COMPUTED_VALUE"""),415.1)</f>
        <v>415.1</v>
      </c>
      <c r="E3146" s="2">
        <f>IFERROR(__xludf.DUMMYFUNCTION("""COMPUTED_VALUE"""),417.01)</f>
        <v>417.01</v>
      </c>
      <c r="F3146" s="2">
        <f>IFERROR(__xludf.DUMMYFUNCTION("""COMPUTED_VALUE"""),3029112.0)</f>
        <v>3029112</v>
      </c>
    </row>
    <row r="3147">
      <c r="A3147" s="3">
        <f>IFERROR(__xludf.DUMMYFUNCTION("""COMPUTED_VALUE"""),42087.64583333333)</f>
        <v>42087.64583</v>
      </c>
      <c r="B3147" s="2">
        <f>IFERROR(__xludf.DUMMYFUNCTION("""COMPUTED_VALUE"""),417.08)</f>
        <v>417.08</v>
      </c>
      <c r="C3147" s="2">
        <f>IFERROR(__xludf.DUMMYFUNCTION("""COMPUTED_VALUE"""),423.12)</f>
        <v>423.12</v>
      </c>
      <c r="D3147" s="2">
        <f>IFERROR(__xludf.DUMMYFUNCTION("""COMPUTED_VALUE"""),417.08)</f>
        <v>417.08</v>
      </c>
      <c r="E3147" s="2">
        <f>IFERROR(__xludf.DUMMYFUNCTION("""COMPUTED_VALUE"""),419.98)</f>
        <v>419.98</v>
      </c>
      <c r="F3147" s="2">
        <f>IFERROR(__xludf.DUMMYFUNCTION("""COMPUTED_VALUE"""),2111750.0)</f>
        <v>2111750</v>
      </c>
    </row>
    <row r="3148">
      <c r="A3148" s="3">
        <f>IFERROR(__xludf.DUMMYFUNCTION("""COMPUTED_VALUE"""),42088.64583333333)</f>
        <v>42088.64583</v>
      </c>
      <c r="B3148" s="2">
        <f>IFERROR(__xludf.DUMMYFUNCTION("""COMPUTED_VALUE"""),420.5)</f>
        <v>420.5</v>
      </c>
      <c r="C3148" s="2">
        <f>IFERROR(__xludf.DUMMYFUNCTION("""COMPUTED_VALUE"""),420.75)</f>
        <v>420.75</v>
      </c>
      <c r="D3148" s="2">
        <f>IFERROR(__xludf.DUMMYFUNCTION("""COMPUTED_VALUE"""),416.54)</f>
        <v>416.54</v>
      </c>
      <c r="E3148" s="2">
        <f>IFERROR(__xludf.DUMMYFUNCTION("""COMPUTED_VALUE"""),418.47)</f>
        <v>418.47</v>
      </c>
      <c r="F3148" s="2">
        <f>IFERROR(__xludf.DUMMYFUNCTION("""COMPUTED_VALUE"""),2346393.0)</f>
        <v>2346393</v>
      </c>
    </row>
    <row r="3149">
      <c r="A3149" s="3">
        <f>IFERROR(__xludf.DUMMYFUNCTION("""COMPUTED_VALUE"""),42089.64583333333)</f>
        <v>42089.64583</v>
      </c>
      <c r="B3149" s="2">
        <f>IFERROR(__xludf.DUMMYFUNCTION("""COMPUTED_VALUE"""),416.59)</f>
        <v>416.59</v>
      </c>
      <c r="C3149" s="2">
        <f>IFERROR(__xludf.DUMMYFUNCTION("""COMPUTED_VALUE"""),420.62)</f>
        <v>420.62</v>
      </c>
      <c r="D3149" s="2">
        <f>IFERROR(__xludf.DUMMYFUNCTION("""COMPUTED_VALUE"""),408.17)</f>
        <v>408.17</v>
      </c>
      <c r="E3149" s="2">
        <f>IFERROR(__xludf.DUMMYFUNCTION("""COMPUTED_VALUE"""),410.74)</f>
        <v>410.74</v>
      </c>
      <c r="F3149" s="2">
        <f>IFERROR(__xludf.DUMMYFUNCTION("""COMPUTED_VALUE"""),4713693.0)</f>
        <v>4713693</v>
      </c>
    </row>
    <row r="3150">
      <c r="A3150" s="3">
        <f>IFERROR(__xludf.DUMMYFUNCTION("""COMPUTED_VALUE"""),42090.64583333333)</f>
        <v>42090.64583</v>
      </c>
      <c r="B3150" s="2">
        <f>IFERROR(__xludf.DUMMYFUNCTION("""COMPUTED_VALUE"""),413.02)</f>
        <v>413.02</v>
      </c>
      <c r="C3150" s="2">
        <f>IFERROR(__xludf.DUMMYFUNCTION("""COMPUTED_VALUE"""),413.56)</f>
        <v>413.56</v>
      </c>
      <c r="D3150" s="2">
        <f>IFERROR(__xludf.DUMMYFUNCTION("""COMPUTED_VALUE"""),396.95)</f>
        <v>396.95</v>
      </c>
      <c r="E3150" s="2">
        <f>IFERROR(__xludf.DUMMYFUNCTION("""COMPUTED_VALUE"""),402.02)</f>
        <v>402.02</v>
      </c>
      <c r="F3150" s="2">
        <f>IFERROR(__xludf.DUMMYFUNCTION("""COMPUTED_VALUE"""),5332142.0)</f>
        <v>5332142</v>
      </c>
    </row>
    <row r="3151">
      <c r="A3151" s="3">
        <f>IFERROR(__xludf.DUMMYFUNCTION("""COMPUTED_VALUE"""),42093.64583333333)</f>
        <v>42093.64583</v>
      </c>
      <c r="B3151" s="2">
        <f>IFERROR(__xludf.DUMMYFUNCTION("""COMPUTED_VALUE"""),404.45)</f>
        <v>404.45</v>
      </c>
      <c r="C3151" s="2">
        <f>IFERROR(__xludf.DUMMYFUNCTION("""COMPUTED_VALUE"""),405.0)</f>
        <v>405</v>
      </c>
      <c r="D3151" s="2">
        <f>IFERROR(__xludf.DUMMYFUNCTION("""COMPUTED_VALUE"""),394.47)</f>
        <v>394.47</v>
      </c>
      <c r="E3151" s="2">
        <f>IFERROR(__xludf.DUMMYFUNCTION("""COMPUTED_VALUE"""),401.55)</f>
        <v>401.55</v>
      </c>
      <c r="F3151" s="2">
        <f>IFERROR(__xludf.DUMMYFUNCTION("""COMPUTED_VALUE"""),3961481.0)</f>
        <v>3961481</v>
      </c>
    </row>
    <row r="3152">
      <c r="A3152" s="3">
        <f>IFERROR(__xludf.DUMMYFUNCTION("""COMPUTED_VALUE"""),42094.64583333333)</f>
        <v>42094.64583</v>
      </c>
      <c r="B3152" s="2">
        <f>IFERROR(__xludf.DUMMYFUNCTION("""COMPUTED_VALUE"""),405.14)</f>
        <v>405.14</v>
      </c>
      <c r="C3152" s="2">
        <f>IFERROR(__xludf.DUMMYFUNCTION("""COMPUTED_VALUE"""),412.52)</f>
        <v>412.52</v>
      </c>
      <c r="D3152" s="2">
        <f>IFERROR(__xludf.DUMMYFUNCTION("""COMPUTED_VALUE"""),405.14)</f>
        <v>405.14</v>
      </c>
      <c r="E3152" s="2">
        <f>IFERROR(__xludf.DUMMYFUNCTION("""COMPUTED_VALUE"""),409.11)</f>
        <v>409.11</v>
      </c>
      <c r="F3152" s="2">
        <f>IFERROR(__xludf.DUMMYFUNCTION("""COMPUTED_VALUE"""),4625471.0)</f>
        <v>4625471</v>
      </c>
    </row>
    <row r="3153">
      <c r="A3153" s="3">
        <f>IFERROR(__xludf.DUMMYFUNCTION("""COMPUTED_VALUE"""),42095.64583333333)</f>
        <v>42095.64583</v>
      </c>
      <c r="B3153" s="2">
        <f>IFERROR(__xludf.DUMMYFUNCTION("""COMPUTED_VALUE"""),408.56)</f>
        <v>408.56</v>
      </c>
      <c r="C3153" s="2">
        <f>IFERROR(__xludf.DUMMYFUNCTION("""COMPUTED_VALUE"""),415.55)</f>
        <v>415.55</v>
      </c>
      <c r="D3153" s="2">
        <f>IFERROR(__xludf.DUMMYFUNCTION("""COMPUTED_VALUE"""),402.72)</f>
        <v>402.72</v>
      </c>
      <c r="E3153" s="2">
        <f>IFERROR(__xludf.DUMMYFUNCTION("""COMPUTED_VALUE"""),414.08)</f>
        <v>414.08</v>
      </c>
      <c r="F3153" s="2">
        <f>IFERROR(__xludf.DUMMYFUNCTION("""COMPUTED_VALUE"""),3334693.0)</f>
        <v>3334693</v>
      </c>
    </row>
    <row r="3154">
      <c r="A3154" s="3">
        <f>IFERROR(__xludf.DUMMYFUNCTION("""COMPUTED_VALUE"""),42100.64583333333)</f>
        <v>42100.64583</v>
      </c>
      <c r="B3154" s="2">
        <f>IFERROR(__xludf.DUMMYFUNCTION("""COMPUTED_VALUE"""),414.06)</f>
        <v>414.06</v>
      </c>
      <c r="C3154" s="2">
        <f>IFERROR(__xludf.DUMMYFUNCTION("""COMPUTED_VALUE"""),415.05)</f>
        <v>415.05</v>
      </c>
      <c r="D3154" s="2">
        <f>IFERROR(__xludf.DUMMYFUNCTION("""COMPUTED_VALUE"""),406.83)</f>
        <v>406.83</v>
      </c>
      <c r="E3154" s="2">
        <f>IFERROR(__xludf.DUMMYFUNCTION("""COMPUTED_VALUE"""),408.44)</f>
        <v>408.44</v>
      </c>
      <c r="F3154" s="2">
        <f>IFERROR(__xludf.DUMMYFUNCTION("""COMPUTED_VALUE"""),2819367.0)</f>
        <v>2819367</v>
      </c>
    </row>
    <row r="3155">
      <c r="A3155" s="3">
        <f>IFERROR(__xludf.DUMMYFUNCTION("""COMPUTED_VALUE"""),42101.64583333333)</f>
        <v>42101.64583</v>
      </c>
      <c r="B3155" s="2">
        <f>IFERROR(__xludf.DUMMYFUNCTION("""COMPUTED_VALUE"""),409.13)</f>
        <v>409.13</v>
      </c>
      <c r="C3155" s="2">
        <f>IFERROR(__xludf.DUMMYFUNCTION("""COMPUTED_VALUE"""),414.11)</f>
        <v>414.11</v>
      </c>
      <c r="D3155" s="2">
        <f>IFERROR(__xludf.DUMMYFUNCTION("""COMPUTED_VALUE"""),409.13)</f>
        <v>409.13</v>
      </c>
      <c r="E3155" s="2">
        <f>IFERROR(__xludf.DUMMYFUNCTION("""COMPUTED_VALUE"""),412.5)</f>
        <v>412.5</v>
      </c>
      <c r="F3155" s="2">
        <f>IFERROR(__xludf.DUMMYFUNCTION("""COMPUTED_VALUE"""),4863211.0)</f>
        <v>4863211</v>
      </c>
    </row>
    <row r="3156">
      <c r="A3156" s="3">
        <f>IFERROR(__xludf.DUMMYFUNCTION("""COMPUTED_VALUE"""),42102.64583333333)</f>
        <v>42102.64583</v>
      </c>
      <c r="B3156" s="2">
        <f>IFERROR(__xludf.DUMMYFUNCTION("""COMPUTED_VALUE"""),412.82)</f>
        <v>412.82</v>
      </c>
      <c r="C3156" s="2">
        <f>IFERROR(__xludf.DUMMYFUNCTION("""COMPUTED_VALUE"""),430.65)</f>
        <v>430.65</v>
      </c>
      <c r="D3156" s="2">
        <f>IFERROR(__xludf.DUMMYFUNCTION("""COMPUTED_VALUE"""),412.52)</f>
        <v>412.52</v>
      </c>
      <c r="E3156" s="2">
        <f>IFERROR(__xludf.DUMMYFUNCTION("""COMPUTED_VALUE"""),428.87)</f>
        <v>428.87</v>
      </c>
      <c r="F3156" s="2">
        <f>IFERROR(__xludf.DUMMYFUNCTION("""COMPUTED_VALUE"""),5673710.0)</f>
        <v>5673710</v>
      </c>
    </row>
    <row r="3157">
      <c r="A3157" s="3">
        <f>IFERROR(__xludf.DUMMYFUNCTION("""COMPUTED_VALUE"""),42103.64583333333)</f>
        <v>42103.64583</v>
      </c>
      <c r="B3157" s="2">
        <f>IFERROR(__xludf.DUMMYFUNCTION("""COMPUTED_VALUE"""),428.67)</f>
        <v>428.67</v>
      </c>
      <c r="C3157" s="2">
        <f>IFERROR(__xludf.DUMMYFUNCTION("""COMPUTED_VALUE"""),445.26)</f>
        <v>445.26</v>
      </c>
      <c r="D3157" s="2">
        <f>IFERROR(__xludf.DUMMYFUNCTION("""COMPUTED_VALUE"""),425.35)</f>
        <v>425.35</v>
      </c>
      <c r="E3157" s="2">
        <f>IFERROR(__xludf.DUMMYFUNCTION("""COMPUTED_VALUE"""),443.33)</f>
        <v>443.33</v>
      </c>
      <c r="F3157" s="2">
        <f>IFERROR(__xludf.DUMMYFUNCTION("""COMPUTED_VALUE"""),6234931.0)</f>
        <v>6234931</v>
      </c>
    </row>
    <row r="3158">
      <c r="A3158" s="3">
        <f>IFERROR(__xludf.DUMMYFUNCTION("""COMPUTED_VALUE"""),42104.64583333333)</f>
        <v>42104.64583</v>
      </c>
      <c r="B3158" s="2">
        <f>IFERROR(__xludf.DUMMYFUNCTION("""COMPUTED_VALUE"""),443.26)</f>
        <v>443.26</v>
      </c>
      <c r="C3158" s="2">
        <f>IFERROR(__xludf.DUMMYFUNCTION("""COMPUTED_VALUE"""),450.12)</f>
        <v>450.12</v>
      </c>
      <c r="D3158" s="2">
        <f>IFERROR(__xludf.DUMMYFUNCTION("""COMPUTED_VALUE"""),440.36)</f>
        <v>440.36</v>
      </c>
      <c r="E3158" s="2">
        <f>IFERROR(__xludf.DUMMYFUNCTION("""COMPUTED_VALUE"""),447.91)</f>
        <v>447.91</v>
      </c>
      <c r="F3158" s="2">
        <f>IFERROR(__xludf.DUMMYFUNCTION("""COMPUTED_VALUE"""),5788462.0)</f>
        <v>5788462</v>
      </c>
    </row>
    <row r="3159">
      <c r="A3159" s="3">
        <f>IFERROR(__xludf.DUMMYFUNCTION("""COMPUTED_VALUE"""),42107.64583333333)</f>
        <v>42107.64583</v>
      </c>
      <c r="B3159" s="2">
        <f>IFERROR(__xludf.DUMMYFUNCTION("""COMPUTED_VALUE"""),449.13)</f>
        <v>449.13</v>
      </c>
      <c r="C3159" s="2">
        <f>IFERROR(__xludf.DUMMYFUNCTION("""COMPUTED_VALUE"""),458.02)</f>
        <v>458.02</v>
      </c>
      <c r="D3159" s="2">
        <f>IFERROR(__xludf.DUMMYFUNCTION("""COMPUTED_VALUE"""),445.14)</f>
        <v>445.14</v>
      </c>
      <c r="E3159" s="2">
        <f>IFERROR(__xludf.DUMMYFUNCTION("""COMPUTED_VALUE"""),456.9)</f>
        <v>456.9</v>
      </c>
      <c r="F3159" s="2">
        <f>IFERROR(__xludf.DUMMYFUNCTION("""COMPUTED_VALUE"""),4612201.0)</f>
        <v>4612201</v>
      </c>
    </row>
    <row r="3160">
      <c r="A3160" s="3">
        <f>IFERROR(__xludf.DUMMYFUNCTION("""COMPUTED_VALUE"""),42109.64583333333)</f>
        <v>42109.64583</v>
      </c>
      <c r="B3160" s="2">
        <f>IFERROR(__xludf.DUMMYFUNCTION("""COMPUTED_VALUE"""),456.16)</f>
        <v>456.16</v>
      </c>
      <c r="C3160" s="2">
        <f>IFERROR(__xludf.DUMMYFUNCTION("""COMPUTED_VALUE"""),465.37)</f>
        <v>465.37</v>
      </c>
      <c r="D3160" s="2">
        <f>IFERROR(__xludf.DUMMYFUNCTION("""COMPUTED_VALUE"""),449.32)</f>
        <v>449.32</v>
      </c>
      <c r="E3160" s="2">
        <f>IFERROR(__xludf.DUMMYFUNCTION("""COMPUTED_VALUE"""),457.47)</f>
        <v>457.47</v>
      </c>
      <c r="F3160" s="2">
        <f>IFERROR(__xludf.DUMMYFUNCTION("""COMPUTED_VALUE"""),5081693.0)</f>
        <v>5081693</v>
      </c>
    </row>
    <row r="3161">
      <c r="A3161" s="3">
        <f>IFERROR(__xludf.DUMMYFUNCTION("""COMPUTED_VALUE"""),42110.64583333333)</f>
        <v>42110.64583</v>
      </c>
      <c r="B3161" s="2">
        <f>IFERROR(__xludf.DUMMYFUNCTION("""COMPUTED_VALUE"""),457.89)</f>
        <v>457.89</v>
      </c>
      <c r="C3161" s="2">
        <f>IFERROR(__xludf.DUMMYFUNCTION("""COMPUTED_VALUE"""),464.58)</f>
        <v>464.58</v>
      </c>
      <c r="D3161" s="2">
        <f>IFERROR(__xludf.DUMMYFUNCTION("""COMPUTED_VALUE"""),455.17)</f>
        <v>455.17</v>
      </c>
      <c r="E3161" s="2">
        <f>IFERROR(__xludf.DUMMYFUNCTION("""COMPUTED_VALUE"""),459.8)</f>
        <v>459.8</v>
      </c>
      <c r="F3161" s="2">
        <f>IFERROR(__xludf.DUMMYFUNCTION("""COMPUTED_VALUE"""),4612192.0)</f>
        <v>4612192</v>
      </c>
    </row>
    <row r="3162">
      <c r="A3162" s="3">
        <f>IFERROR(__xludf.DUMMYFUNCTION("""COMPUTED_VALUE"""),42111.64583333333)</f>
        <v>42111.64583</v>
      </c>
      <c r="B3162" s="2">
        <f>IFERROR(__xludf.DUMMYFUNCTION("""COMPUTED_VALUE"""),463.12)</f>
        <v>463.12</v>
      </c>
      <c r="C3162" s="2">
        <f>IFERROR(__xludf.DUMMYFUNCTION("""COMPUTED_VALUE"""),467.7)</f>
        <v>467.7</v>
      </c>
      <c r="D3162" s="2">
        <f>IFERROR(__xludf.DUMMYFUNCTION("""COMPUTED_VALUE"""),456.95)</f>
        <v>456.95</v>
      </c>
      <c r="E3162" s="2">
        <f>IFERROR(__xludf.DUMMYFUNCTION("""COMPUTED_VALUE"""),459.06)</f>
        <v>459.06</v>
      </c>
      <c r="F3162" s="2">
        <f>IFERROR(__xludf.DUMMYFUNCTION("""COMPUTED_VALUE"""),5476551.0)</f>
        <v>5476551</v>
      </c>
    </row>
    <row r="3163">
      <c r="A3163" s="3">
        <f>IFERROR(__xludf.DUMMYFUNCTION("""COMPUTED_VALUE"""),42114.64583333333)</f>
        <v>42114.64583</v>
      </c>
      <c r="B3163" s="2">
        <f>IFERROR(__xludf.DUMMYFUNCTION("""COMPUTED_VALUE"""),464.23)</f>
        <v>464.23</v>
      </c>
      <c r="C3163" s="2">
        <f>IFERROR(__xludf.DUMMYFUNCTION("""COMPUTED_VALUE"""),464.31)</f>
        <v>464.31</v>
      </c>
      <c r="D3163" s="2">
        <f>IFERROR(__xludf.DUMMYFUNCTION("""COMPUTED_VALUE"""),435.11)</f>
        <v>435.11</v>
      </c>
      <c r="E3163" s="2">
        <f>IFERROR(__xludf.DUMMYFUNCTION("""COMPUTED_VALUE"""),438.65)</f>
        <v>438.65</v>
      </c>
      <c r="F3163" s="2">
        <f>IFERROR(__xludf.DUMMYFUNCTION("""COMPUTED_VALUE"""),8601165.0)</f>
        <v>8601165</v>
      </c>
    </row>
    <row r="3164">
      <c r="A3164" s="3">
        <f>IFERROR(__xludf.DUMMYFUNCTION("""COMPUTED_VALUE"""),42115.64583333333)</f>
        <v>42115.64583</v>
      </c>
      <c r="B3164" s="2">
        <f>IFERROR(__xludf.DUMMYFUNCTION("""COMPUTED_VALUE"""),440.88)</f>
        <v>440.88</v>
      </c>
      <c r="C3164" s="2">
        <f>IFERROR(__xludf.DUMMYFUNCTION("""COMPUTED_VALUE"""),443.53)</f>
        <v>443.53</v>
      </c>
      <c r="D3164" s="2">
        <f>IFERROR(__xludf.DUMMYFUNCTION("""COMPUTED_VALUE"""),432.11)</f>
        <v>432.11</v>
      </c>
      <c r="E3164" s="2">
        <f>IFERROR(__xludf.DUMMYFUNCTION("""COMPUTED_VALUE"""),434.09)</f>
        <v>434.09</v>
      </c>
      <c r="F3164" s="2">
        <f>IFERROR(__xludf.DUMMYFUNCTION("""COMPUTED_VALUE"""),4047524.0)</f>
        <v>4047524</v>
      </c>
    </row>
    <row r="3165">
      <c r="A3165" s="3">
        <f>IFERROR(__xludf.DUMMYFUNCTION("""COMPUTED_VALUE"""),42116.64583333333)</f>
        <v>42116.64583</v>
      </c>
      <c r="B3165" s="2">
        <f>IFERROR(__xludf.DUMMYFUNCTION("""COMPUTED_VALUE"""),436.79)</f>
        <v>436.79</v>
      </c>
      <c r="C3165" s="2">
        <f>IFERROR(__xludf.DUMMYFUNCTION("""COMPUTED_VALUE"""),439.2)</f>
        <v>439.2</v>
      </c>
      <c r="D3165" s="2">
        <f>IFERROR(__xludf.DUMMYFUNCTION("""COMPUTED_VALUE"""),429.41)</f>
        <v>429.41</v>
      </c>
      <c r="E3165" s="2">
        <f>IFERROR(__xludf.DUMMYFUNCTION("""COMPUTED_VALUE"""),435.73)</f>
        <v>435.73</v>
      </c>
      <c r="F3165" s="2">
        <f>IFERROR(__xludf.DUMMYFUNCTION("""COMPUTED_VALUE"""),3374188.0)</f>
        <v>3374188</v>
      </c>
    </row>
    <row r="3166">
      <c r="A3166" s="3">
        <f>IFERROR(__xludf.DUMMYFUNCTION("""COMPUTED_VALUE"""),42117.64583333333)</f>
        <v>42117.64583</v>
      </c>
      <c r="B3166" s="2">
        <f>IFERROR(__xludf.DUMMYFUNCTION("""COMPUTED_VALUE"""),437.76)</f>
        <v>437.76</v>
      </c>
      <c r="C3166" s="2">
        <f>IFERROR(__xludf.DUMMYFUNCTION("""COMPUTED_VALUE"""),440.51)</f>
        <v>440.51</v>
      </c>
      <c r="D3166" s="2">
        <f>IFERROR(__xludf.DUMMYFUNCTION("""COMPUTED_VALUE"""),430.43)</f>
        <v>430.43</v>
      </c>
      <c r="E3166" s="2">
        <f>IFERROR(__xludf.DUMMYFUNCTION("""COMPUTED_VALUE"""),434.39)</f>
        <v>434.39</v>
      </c>
      <c r="F3166" s="2">
        <f>IFERROR(__xludf.DUMMYFUNCTION("""COMPUTED_VALUE"""),3048801.0)</f>
        <v>3048801</v>
      </c>
    </row>
    <row r="3167">
      <c r="A3167" s="3">
        <f>IFERROR(__xludf.DUMMYFUNCTION("""COMPUTED_VALUE"""),42118.64583333333)</f>
        <v>42118.64583</v>
      </c>
      <c r="B3167" s="2">
        <f>IFERROR(__xludf.DUMMYFUNCTION("""COMPUTED_VALUE"""),434.37)</f>
        <v>434.37</v>
      </c>
      <c r="C3167" s="2">
        <f>IFERROR(__xludf.DUMMYFUNCTION("""COMPUTED_VALUE"""),438.06)</f>
        <v>438.06</v>
      </c>
      <c r="D3167" s="2">
        <f>IFERROR(__xludf.DUMMYFUNCTION("""COMPUTED_VALUE"""),430.23)</f>
        <v>430.23</v>
      </c>
      <c r="E3167" s="2">
        <f>IFERROR(__xludf.DUMMYFUNCTION("""COMPUTED_VALUE"""),435.31)</f>
        <v>435.31</v>
      </c>
      <c r="F3167" s="2">
        <f>IFERROR(__xludf.DUMMYFUNCTION("""COMPUTED_VALUE"""),2905259.0)</f>
        <v>2905259</v>
      </c>
    </row>
    <row r="3168">
      <c r="A3168" s="3">
        <f>IFERROR(__xludf.DUMMYFUNCTION("""COMPUTED_VALUE"""),42121.64583333333)</f>
        <v>42121.64583</v>
      </c>
      <c r="B3168" s="2">
        <f>IFERROR(__xludf.DUMMYFUNCTION("""COMPUTED_VALUE"""),435.88)</f>
        <v>435.88</v>
      </c>
      <c r="C3168" s="2">
        <f>IFERROR(__xludf.DUMMYFUNCTION("""COMPUTED_VALUE"""),439.57)</f>
        <v>439.57</v>
      </c>
      <c r="D3168" s="2">
        <f>IFERROR(__xludf.DUMMYFUNCTION("""COMPUTED_VALUE"""),431.62)</f>
        <v>431.62</v>
      </c>
      <c r="E3168" s="2">
        <f>IFERROR(__xludf.DUMMYFUNCTION("""COMPUTED_VALUE"""),433.52)</f>
        <v>433.52</v>
      </c>
      <c r="F3168" s="2">
        <f>IFERROR(__xludf.DUMMYFUNCTION("""COMPUTED_VALUE"""),2524227.0)</f>
        <v>2524227</v>
      </c>
    </row>
    <row r="3169">
      <c r="A3169" s="3">
        <f>IFERROR(__xludf.DUMMYFUNCTION("""COMPUTED_VALUE"""),42122.64583333333)</f>
        <v>42122.64583</v>
      </c>
      <c r="B3169" s="2">
        <f>IFERROR(__xludf.DUMMYFUNCTION("""COMPUTED_VALUE"""),433.23)</f>
        <v>433.23</v>
      </c>
      <c r="C3169" s="2">
        <f>IFERROR(__xludf.DUMMYFUNCTION("""COMPUTED_VALUE"""),436.84)</f>
        <v>436.84</v>
      </c>
      <c r="D3169" s="2">
        <f>IFERROR(__xludf.DUMMYFUNCTION("""COMPUTED_VALUE"""),425.23)</f>
        <v>425.23</v>
      </c>
      <c r="E3169" s="2">
        <f>IFERROR(__xludf.DUMMYFUNCTION("""COMPUTED_VALUE"""),428.52)</f>
        <v>428.52</v>
      </c>
      <c r="F3169" s="2">
        <f>IFERROR(__xludf.DUMMYFUNCTION("""COMPUTED_VALUE"""),3357286.0)</f>
        <v>3357286</v>
      </c>
    </row>
    <row r="3170">
      <c r="A3170" s="3">
        <f>IFERROR(__xludf.DUMMYFUNCTION("""COMPUTED_VALUE"""),42123.64583333333)</f>
        <v>42123.64583</v>
      </c>
      <c r="B3170" s="2">
        <f>IFERROR(__xludf.DUMMYFUNCTION("""COMPUTED_VALUE"""),426.94)</f>
        <v>426.94</v>
      </c>
      <c r="C3170" s="2">
        <f>IFERROR(__xludf.DUMMYFUNCTION("""COMPUTED_VALUE"""),431.17)</f>
        <v>431.17</v>
      </c>
      <c r="D3170" s="2">
        <f>IFERROR(__xludf.DUMMYFUNCTION("""COMPUTED_VALUE"""),419.71)</f>
        <v>419.71</v>
      </c>
      <c r="E3170" s="2">
        <f>IFERROR(__xludf.DUMMYFUNCTION("""COMPUTED_VALUE"""),420.99)</f>
        <v>420.99</v>
      </c>
      <c r="F3170" s="2">
        <f>IFERROR(__xludf.DUMMYFUNCTION("""COMPUTED_VALUE"""),3746012.0)</f>
        <v>3746012</v>
      </c>
    </row>
    <row r="3171">
      <c r="A3171" s="3">
        <f>IFERROR(__xludf.DUMMYFUNCTION("""COMPUTED_VALUE"""),42124.64583333333)</f>
        <v>42124.64583</v>
      </c>
      <c r="B3171" s="2">
        <f>IFERROR(__xludf.DUMMYFUNCTION("""COMPUTED_VALUE"""),420.99)</f>
        <v>420.99</v>
      </c>
      <c r="C3171" s="2">
        <f>IFERROR(__xludf.DUMMYFUNCTION("""COMPUTED_VALUE"""),428.87)</f>
        <v>428.87</v>
      </c>
      <c r="D3171" s="2">
        <f>IFERROR(__xludf.DUMMYFUNCTION("""COMPUTED_VALUE"""),419.98)</f>
        <v>419.98</v>
      </c>
      <c r="E3171" s="2">
        <f>IFERROR(__xludf.DUMMYFUNCTION("""COMPUTED_VALUE"""),427.11)</f>
        <v>427.11</v>
      </c>
      <c r="F3171" s="2">
        <f>IFERROR(__xludf.DUMMYFUNCTION("""COMPUTED_VALUE"""),7955186.0)</f>
        <v>7955186</v>
      </c>
    </row>
    <row r="3172">
      <c r="A3172" s="3">
        <f>IFERROR(__xludf.DUMMYFUNCTION("""COMPUTED_VALUE"""),42128.64583333333)</f>
        <v>42128.64583</v>
      </c>
      <c r="B3172" s="2">
        <f>IFERROR(__xludf.DUMMYFUNCTION("""COMPUTED_VALUE"""),429.02)</f>
        <v>429.02</v>
      </c>
      <c r="C3172" s="2">
        <f>IFERROR(__xludf.DUMMYFUNCTION("""COMPUTED_VALUE"""),442.74)</f>
        <v>442.74</v>
      </c>
      <c r="D3172" s="2">
        <f>IFERROR(__xludf.DUMMYFUNCTION("""COMPUTED_VALUE"""),426.19)</f>
        <v>426.19</v>
      </c>
      <c r="E3172" s="2">
        <f>IFERROR(__xludf.DUMMYFUNCTION("""COMPUTED_VALUE"""),441.28)</f>
        <v>441.28</v>
      </c>
      <c r="F3172" s="2">
        <f>IFERROR(__xludf.DUMMYFUNCTION("""COMPUTED_VALUE"""),3446692.0)</f>
        <v>3446692</v>
      </c>
    </row>
    <row r="3173">
      <c r="A3173" s="3">
        <f>IFERROR(__xludf.DUMMYFUNCTION("""COMPUTED_VALUE"""),42129.64583333333)</f>
        <v>42129.64583</v>
      </c>
      <c r="B3173" s="2">
        <f>IFERROR(__xludf.DUMMYFUNCTION("""COMPUTED_VALUE"""),442.64)</f>
        <v>442.64</v>
      </c>
      <c r="C3173" s="2">
        <f>IFERROR(__xludf.DUMMYFUNCTION("""COMPUTED_VALUE"""),446.65)</f>
        <v>446.65</v>
      </c>
      <c r="D3173" s="2">
        <f>IFERROR(__xludf.DUMMYFUNCTION("""COMPUTED_VALUE"""),438.38)</f>
        <v>438.38</v>
      </c>
      <c r="E3173" s="2">
        <f>IFERROR(__xludf.DUMMYFUNCTION("""COMPUTED_VALUE"""),441.87)</f>
        <v>441.87</v>
      </c>
      <c r="F3173" s="2">
        <f>IFERROR(__xludf.DUMMYFUNCTION("""COMPUTED_VALUE"""),4079468.0)</f>
        <v>4079468</v>
      </c>
    </row>
    <row r="3174">
      <c r="A3174" s="3">
        <f>IFERROR(__xludf.DUMMYFUNCTION("""COMPUTED_VALUE"""),42130.64583333333)</f>
        <v>42130.64583</v>
      </c>
      <c r="B3174" s="2">
        <f>IFERROR(__xludf.DUMMYFUNCTION("""COMPUTED_VALUE"""),440.81)</f>
        <v>440.81</v>
      </c>
      <c r="C3174" s="2">
        <f>IFERROR(__xludf.DUMMYFUNCTION("""COMPUTED_VALUE"""),444.15)</f>
        <v>444.15</v>
      </c>
      <c r="D3174" s="2">
        <f>IFERROR(__xludf.DUMMYFUNCTION("""COMPUTED_VALUE"""),431.89)</f>
        <v>431.89</v>
      </c>
      <c r="E3174" s="2">
        <f>IFERROR(__xludf.DUMMYFUNCTION("""COMPUTED_VALUE"""),435.98)</f>
        <v>435.98</v>
      </c>
      <c r="F3174" s="2">
        <f>IFERROR(__xludf.DUMMYFUNCTION("""COMPUTED_VALUE"""),5128997.0)</f>
        <v>5128997</v>
      </c>
    </row>
    <row r="3175">
      <c r="A3175" s="3">
        <f>IFERROR(__xludf.DUMMYFUNCTION("""COMPUTED_VALUE"""),42131.64583333333)</f>
        <v>42131.64583</v>
      </c>
      <c r="B3175" s="2">
        <f>IFERROR(__xludf.DUMMYFUNCTION("""COMPUTED_VALUE"""),433.38)</f>
        <v>433.38</v>
      </c>
      <c r="C3175" s="2">
        <f>IFERROR(__xludf.DUMMYFUNCTION("""COMPUTED_VALUE"""),435.08)</f>
        <v>435.08</v>
      </c>
      <c r="D3175" s="2">
        <f>IFERROR(__xludf.DUMMYFUNCTION("""COMPUTED_VALUE"""),425.95)</f>
        <v>425.95</v>
      </c>
      <c r="E3175" s="2">
        <f>IFERROR(__xludf.DUMMYFUNCTION("""COMPUTED_VALUE"""),431.27)</f>
        <v>431.27</v>
      </c>
      <c r="F3175" s="2">
        <f>IFERROR(__xludf.DUMMYFUNCTION("""COMPUTED_VALUE"""),3825462.0)</f>
        <v>3825462</v>
      </c>
    </row>
    <row r="3176">
      <c r="A3176" s="3">
        <f>IFERROR(__xludf.DUMMYFUNCTION("""COMPUTED_VALUE"""),42132.64583333333)</f>
        <v>42132.64583</v>
      </c>
      <c r="B3176" s="2">
        <f>IFERROR(__xludf.DUMMYFUNCTION("""COMPUTED_VALUE"""),431.39)</f>
        <v>431.39</v>
      </c>
      <c r="C3176" s="2">
        <f>IFERROR(__xludf.DUMMYFUNCTION("""COMPUTED_VALUE"""),442.66)</f>
        <v>442.66</v>
      </c>
      <c r="D3176" s="2">
        <f>IFERROR(__xludf.DUMMYFUNCTION("""COMPUTED_VALUE"""),426.49)</f>
        <v>426.49</v>
      </c>
      <c r="E3176" s="2">
        <f>IFERROR(__xludf.DUMMYFUNCTION("""COMPUTED_VALUE"""),440.66)</f>
        <v>440.66</v>
      </c>
      <c r="F3176" s="2">
        <f>IFERROR(__xludf.DUMMYFUNCTION("""COMPUTED_VALUE"""),3909788.0)</f>
        <v>3909788</v>
      </c>
    </row>
    <row r="3177">
      <c r="A3177" s="3">
        <f>IFERROR(__xludf.DUMMYFUNCTION("""COMPUTED_VALUE"""),42135.64583333333)</f>
        <v>42135.64583</v>
      </c>
      <c r="B3177" s="2">
        <f>IFERROR(__xludf.DUMMYFUNCTION("""COMPUTED_VALUE"""),442.22)</f>
        <v>442.22</v>
      </c>
      <c r="C3177" s="2">
        <f>IFERROR(__xludf.DUMMYFUNCTION("""COMPUTED_VALUE"""),445.49)</f>
        <v>445.49</v>
      </c>
      <c r="D3177" s="2">
        <f>IFERROR(__xludf.DUMMYFUNCTION("""COMPUTED_VALUE"""),437.54)</f>
        <v>437.54</v>
      </c>
      <c r="E3177" s="2">
        <f>IFERROR(__xludf.DUMMYFUNCTION("""COMPUTED_VALUE"""),443.75)</f>
        <v>443.75</v>
      </c>
      <c r="F3177" s="2">
        <f>IFERROR(__xludf.DUMMYFUNCTION("""COMPUTED_VALUE"""),3249083.0)</f>
        <v>3249083</v>
      </c>
    </row>
    <row r="3178">
      <c r="A3178" s="3">
        <f>IFERROR(__xludf.DUMMYFUNCTION("""COMPUTED_VALUE"""),42136.64583333333)</f>
        <v>42136.64583</v>
      </c>
      <c r="B3178" s="2">
        <f>IFERROR(__xludf.DUMMYFUNCTION("""COMPUTED_VALUE"""),443.23)</f>
        <v>443.23</v>
      </c>
      <c r="C3178" s="2">
        <f>IFERROR(__xludf.DUMMYFUNCTION("""COMPUTED_VALUE"""),443.23)</f>
        <v>443.23</v>
      </c>
      <c r="D3178" s="2">
        <f>IFERROR(__xludf.DUMMYFUNCTION("""COMPUTED_VALUE"""),428.5)</f>
        <v>428.5</v>
      </c>
      <c r="E3178" s="2">
        <f>IFERROR(__xludf.DUMMYFUNCTION("""COMPUTED_VALUE"""),430.26)</f>
        <v>430.26</v>
      </c>
      <c r="F3178" s="2">
        <f>IFERROR(__xludf.DUMMYFUNCTION("""COMPUTED_VALUE"""),3805956.0)</f>
        <v>3805956</v>
      </c>
    </row>
    <row r="3179">
      <c r="A3179" s="3">
        <f>IFERROR(__xludf.DUMMYFUNCTION("""COMPUTED_VALUE"""),42137.64583333333)</f>
        <v>42137.64583</v>
      </c>
      <c r="B3179" s="2">
        <f>IFERROR(__xludf.DUMMYFUNCTION("""COMPUTED_VALUE"""),432.56)</f>
        <v>432.56</v>
      </c>
      <c r="C3179" s="2">
        <f>IFERROR(__xludf.DUMMYFUNCTION("""COMPUTED_VALUE"""),440.14)</f>
        <v>440.14</v>
      </c>
      <c r="D3179" s="2">
        <f>IFERROR(__xludf.DUMMYFUNCTION("""COMPUTED_VALUE"""),424.56)</f>
        <v>424.56</v>
      </c>
      <c r="E3179" s="2">
        <f>IFERROR(__xludf.DUMMYFUNCTION("""COMPUTED_VALUE"""),438.38)</f>
        <v>438.38</v>
      </c>
      <c r="F3179" s="2">
        <f>IFERROR(__xludf.DUMMYFUNCTION("""COMPUTED_VALUE"""),3817667.0)</f>
        <v>3817667</v>
      </c>
    </row>
    <row r="3180">
      <c r="A3180" s="3">
        <f>IFERROR(__xludf.DUMMYFUNCTION("""COMPUTED_VALUE"""),42138.64583333333)</f>
        <v>42138.64583</v>
      </c>
      <c r="B3180" s="2">
        <f>IFERROR(__xludf.DUMMYFUNCTION("""COMPUTED_VALUE"""),438.82)</f>
        <v>438.82</v>
      </c>
      <c r="C3180" s="2">
        <f>IFERROR(__xludf.DUMMYFUNCTION("""COMPUTED_VALUE"""),438.92)</f>
        <v>438.92</v>
      </c>
      <c r="D3180" s="2">
        <f>IFERROR(__xludf.DUMMYFUNCTION("""COMPUTED_VALUE"""),431.05)</f>
        <v>431.05</v>
      </c>
      <c r="E3180" s="2">
        <f>IFERROR(__xludf.DUMMYFUNCTION("""COMPUTED_VALUE"""),434.96)</f>
        <v>434.96</v>
      </c>
      <c r="F3180" s="2">
        <f>IFERROR(__xludf.DUMMYFUNCTION("""COMPUTED_VALUE"""),2818365.0)</f>
        <v>2818365</v>
      </c>
    </row>
    <row r="3181">
      <c r="A3181" s="3">
        <f>IFERROR(__xludf.DUMMYFUNCTION("""COMPUTED_VALUE"""),42139.64583333333)</f>
        <v>42139.64583</v>
      </c>
      <c r="B3181" s="2">
        <f>IFERROR(__xludf.DUMMYFUNCTION("""COMPUTED_VALUE"""),436.79)</f>
        <v>436.79</v>
      </c>
      <c r="C3181" s="2">
        <f>IFERROR(__xludf.DUMMYFUNCTION("""COMPUTED_VALUE"""),439.29)</f>
        <v>439.29</v>
      </c>
      <c r="D3181" s="2">
        <f>IFERROR(__xludf.DUMMYFUNCTION("""COMPUTED_VALUE"""),430.95)</f>
        <v>430.95</v>
      </c>
      <c r="E3181" s="2">
        <f>IFERROR(__xludf.DUMMYFUNCTION("""COMPUTED_VALUE"""),432.86)</f>
        <v>432.86</v>
      </c>
      <c r="F3181" s="2">
        <f>IFERROR(__xludf.DUMMYFUNCTION("""COMPUTED_VALUE"""),1904490.0)</f>
        <v>1904490</v>
      </c>
    </row>
    <row r="3182">
      <c r="A3182" s="3">
        <f>IFERROR(__xludf.DUMMYFUNCTION("""COMPUTED_VALUE"""),42142.64583333333)</f>
        <v>42142.64583</v>
      </c>
      <c r="B3182" s="2">
        <f>IFERROR(__xludf.DUMMYFUNCTION("""COMPUTED_VALUE"""),433.33)</f>
        <v>433.33</v>
      </c>
      <c r="C3182" s="2">
        <f>IFERROR(__xludf.DUMMYFUNCTION("""COMPUTED_VALUE"""),442.79)</f>
        <v>442.79</v>
      </c>
      <c r="D3182" s="2">
        <f>IFERROR(__xludf.DUMMYFUNCTION("""COMPUTED_VALUE"""),431.99)</f>
        <v>431.99</v>
      </c>
      <c r="E3182" s="2">
        <f>IFERROR(__xludf.DUMMYFUNCTION("""COMPUTED_VALUE"""),441.57)</f>
        <v>441.57</v>
      </c>
      <c r="F3182" s="2">
        <f>IFERROR(__xludf.DUMMYFUNCTION("""COMPUTED_VALUE"""),2250982.0)</f>
        <v>2250982</v>
      </c>
    </row>
    <row r="3183">
      <c r="A3183" s="3">
        <f>IFERROR(__xludf.DUMMYFUNCTION("""COMPUTED_VALUE"""),42143.64583333333)</f>
        <v>42143.64583</v>
      </c>
      <c r="B3183" s="2">
        <f>IFERROR(__xludf.DUMMYFUNCTION("""COMPUTED_VALUE"""),441.42)</f>
        <v>441.42</v>
      </c>
      <c r="C3183" s="2">
        <f>IFERROR(__xludf.DUMMYFUNCTION("""COMPUTED_VALUE"""),448.11)</f>
        <v>448.11</v>
      </c>
      <c r="D3183" s="2">
        <f>IFERROR(__xludf.DUMMYFUNCTION("""COMPUTED_VALUE"""),439.12)</f>
        <v>439.12</v>
      </c>
      <c r="E3183" s="2">
        <f>IFERROR(__xludf.DUMMYFUNCTION("""COMPUTED_VALUE"""),443.55)</f>
        <v>443.55</v>
      </c>
      <c r="F3183" s="2">
        <f>IFERROR(__xludf.DUMMYFUNCTION("""COMPUTED_VALUE"""),3317436.0)</f>
        <v>3317436</v>
      </c>
    </row>
    <row r="3184">
      <c r="A3184" s="3">
        <f>IFERROR(__xludf.DUMMYFUNCTION("""COMPUTED_VALUE"""),42144.64583333333)</f>
        <v>42144.64583</v>
      </c>
      <c r="B3184" s="2">
        <f>IFERROR(__xludf.DUMMYFUNCTION("""COMPUTED_VALUE"""),445.96)</f>
        <v>445.96</v>
      </c>
      <c r="C3184" s="2">
        <f>IFERROR(__xludf.DUMMYFUNCTION("""COMPUTED_VALUE"""),451.21)</f>
        <v>451.21</v>
      </c>
      <c r="D3184" s="2">
        <f>IFERROR(__xludf.DUMMYFUNCTION("""COMPUTED_VALUE"""),444.62)</f>
        <v>444.62</v>
      </c>
      <c r="E3184" s="2">
        <f>IFERROR(__xludf.DUMMYFUNCTION("""COMPUTED_VALUE"""),450.14)</f>
        <v>450.14</v>
      </c>
      <c r="F3184" s="2">
        <f>IFERROR(__xludf.DUMMYFUNCTION("""COMPUTED_VALUE"""),1990706.0)</f>
        <v>1990706</v>
      </c>
    </row>
    <row r="3185">
      <c r="A3185" s="3">
        <f>IFERROR(__xludf.DUMMYFUNCTION("""COMPUTED_VALUE"""),42145.64583333333)</f>
        <v>42145.64583</v>
      </c>
      <c r="B3185" s="2">
        <f>IFERROR(__xludf.DUMMYFUNCTION("""COMPUTED_VALUE"""),451.33)</f>
        <v>451.33</v>
      </c>
      <c r="C3185" s="2">
        <f>IFERROR(__xludf.DUMMYFUNCTION("""COMPUTED_VALUE"""),453.39)</f>
        <v>453.39</v>
      </c>
      <c r="D3185" s="2">
        <f>IFERROR(__xludf.DUMMYFUNCTION("""COMPUTED_VALUE"""),442.84)</f>
        <v>442.84</v>
      </c>
      <c r="E3185" s="2">
        <f>IFERROR(__xludf.DUMMYFUNCTION("""COMPUTED_VALUE"""),444.15)</f>
        <v>444.15</v>
      </c>
      <c r="F3185" s="2">
        <f>IFERROR(__xludf.DUMMYFUNCTION("""COMPUTED_VALUE"""),2459446.0)</f>
        <v>2459446</v>
      </c>
    </row>
    <row r="3186">
      <c r="A3186" s="3">
        <f>IFERROR(__xludf.DUMMYFUNCTION("""COMPUTED_VALUE"""),42146.64583333333)</f>
        <v>42146.64583</v>
      </c>
      <c r="B3186" s="2">
        <f>IFERROR(__xludf.DUMMYFUNCTION("""COMPUTED_VALUE"""),444.27)</f>
        <v>444.27</v>
      </c>
      <c r="C3186" s="2">
        <f>IFERROR(__xludf.DUMMYFUNCTION("""COMPUTED_VALUE"""),448.53)</f>
        <v>448.53</v>
      </c>
      <c r="D3186" s="2">
        <f>IFERROR(__xludf.DUMMYFUNCTION("""COMPUTED_VALUE"""),444.27)</f>
        <v>444.27</v>
      </c>
      <c r="E3186" s="2">
        <f>IFERROR(__xludf.DUMMYFUNCTION("""COMPUTED_VALUE"""),447.67)</f>
        <v>447.67</v>
      </c>
      <c r="F3186" s="2">
        <f>IFERROR(__xludf.DUMMYFUNCTION("""COMPUTED_VALUE"""),1908452.0)</f>
        <v>1908452</v>
      </c>
    </row>
    <row r="3187">
      <c r="A3187" s="3">
        <f>IFERROR(__xludf.DUMMYFUNCTION("""COMPUTED_VALUE"""),42149.64583333333)</f>
        <v>42149.64583</v>
      </c>
      <c r="B3187" s="2">
        <f>IFERROR(__xludf.DUMMYFUNCTION("""COMPUTED_VALUE"""),445.76)</f>
        <v>445.76</v>
      </c>
      <c r="C3187" s="2">
        <f>IFERROR(__xludf.DUMMYFUNCTION("""COMPUTED_VALUE"""),449.72)</f>
        <v>449.72</v>
      </c>
      <c r="D3187" s="2">
        <f>IFERROR(__xludf.DUMMYFUNCTION("""COMPUTED_VALUE"""),441.97)</f>
        <v>441.97</v>
      </c>
      <c r="E3187" s="2">
        <f>IFERROR(__xludf.DUMMYFUNCTION("""COMPUTED_VALUE"""),443.03)</f>
        <v>443.03</v>
      </c>
      <c r="F3187" s="2">
        <f>IFERROR(__xludf.DUMMYFUNCTION("""COMPUTED_VALUE"""),1512612.0)</f>
        <v>1512612</v>
      </c>
    </row>
    <row r="3188">
      <c r="A3188" s="3">
        <f>IFERROR(__xludf.DUMMYFUNCTION("""COMPUTED_VALUE"""),42150.64583333333)</f>
        <v>42150.64583</v>
      </c>
      <c r="B3188" s="2">
        <f>IFERROR(__xludf.DUMMYFUNCTION("""COMPUTED_VALUE"""),443.28)</f>
        <v>443.28</v>
      </c>
      <c r="C3188" s="2">
        <f>IFERROR(__xludf.DUMMYFUNCTION("""COMPUTED_VALUE"""),443.78)</f>
        <v>443.78</v>
      </c>
      <c r="D3188" s="2">
        <f>IFERROR(__xludf.DUMMYFUNCTION("""COMPUTED_VALUE"""),437.19)</f>
        <v>437.19</v>
      </c>
      <c r="E3188" s="2">
        <f>IFERROR(__xludf.DUMMYFUNCTION("""COMPUTED_VALUE"""),438.13)</f>
        <v>438.13</v>
      </c>
      <c r="F3188" s="2">
        <f>IFERROR(__xludf.DUMMYFUNCTION("""COMPUTED_VALUE"""),2173883.0)</f>
        <v>2173883</v>
      </c>
    </row>
    <row r="3189">
      <c r="A3189" s="3">
        <f>IFERROR(__xludf.DUMMYFUNCTION("""COMPUTED_VALUE"""),42151.64583333333)</f>
        <v>42151.64583</v>
      </c>
      <c r="B3189" s="2">
        <f>IFERROR(__xludf.DUMMYFUNCTION("""COMPUTED_VALUE"""),438.82)</f>
        <v>438.82</v>
      </c>
      <c r="C3189" s="2">
        <f>IFERROR(__xludf.DUMMYFUNCTION("""COMPUTED_VALUE"""),441.25)</f>
        <v>441.25</v>
      </c>
      <c r="D3189" s="2">
        <f>IFERROR(__xludf.DUMMYFUNCTION("""COMPUTED_VALUE"""),435.95)</f>
        <v>435.95</v>
      </c>
      <c r="E3189" s="2">
        <f>IFERROR(__xludf.DUMMYFUNCTION("""COMPUTED_VALUE"""),438.48)</f>
        <v>438.48</v>
      </c>
      <c r="F3189" s="2">
        <f>IFERROR(__xludf.DUMMYFUNCTION("""COMPUTED_VALUE"""),1846549.0)</f>
        <v>1846549</v>
      </c>
    </row>
    <row r="3190">
      <c r="A3190" s="3">
        <f>IFERROR(__xludf.DUMMYFUNCTION("""COMPUTED_VALUE"""),42152.64583333333)</f>
        <v>42152.64583</v>
      </c>
      <c r="B3190" s="2">
        <f>IFERROR(__xludf.DUMMYFUNCTION("""COMPUTED_VALUE"""),438.75)</f>
        <v>438.75</v>
      </c>
      <c r="C3190" s="2">
        <f>IFERROR(__xludf.DUMMYFUNCTION("""COMPUTED_VALUE"""),442.91)</f>
        <v>442.91</v>
      </c>
      <c r="D3190" s="2">
        <f>IFERROR(__xludf.DUMMYFUNCTION("""COMPUTED_VALUE"""),431.89)</f>
        <v>431.89</v>
      </c>
      <c r="E3190" s="2">
        <f>IFERROR(__xludf.DUMMYFUNCTION("""COMPUTED_VALUE"""),433.77)</f>
        <v>433.77</v>
      </c>
      <c r="F3190" s="2">
        <f>IFERROR(__xludf.DUMMYFUNCTION("""COMPUTED_VALUE"""),6066339.0)</f>
        <v>6066339</v>
      </c>
    </row>
    <row r="3191">
      <c r="A3191" s="3">
        <f>IFERROR(__xludf.DUMMYFUNCTION("""COMPUTED_VALUE"""),42153.64583333333)</f>
        <v>42153.64583</v>
      </c>
      <c r="B3191" s="2">
        <f>IFERROR(__xludf.DUMMYFUNCTION("""COMPUTED_VALUE"""),435.8)</f>
        <v>435.8</v>
      </c>
      <c r="C3191" s="2">
        <f>IFERROR(__xludf.DUMMYFUNCTION("""COMPUTED_VALUE"""),439.05)</f>
        <v>439.05</v>
      </c>
      <c r="D3191" s="2">
        <f>IFERROR(__xludf.DUMMYFUNCTION("""COMPUTED_VALUE"""),432.43)</f>
        <v>432.43</v>
      </c>
      <c r="E3191" s="2">
        <f>IFERROR(__xludf.DUMMYFUNCTION("""COMPUTED_VALUE"""),434.37)</f>
        <v>434.37</v>
      </c>
      <c r="F3191" s="2">
        <f>IFERROR(__xludf.DUMMYFUNCTION("""COMPUTED_VALUE"""),6692348.0)</f>
        <v>6692348</v>
      </c>
    </row>
    <row r="3192">
      <c r="A3192" s="3">
        <f>IFERROR(__xludf.DUMMYFUNCTION("""COMPUTED_VALUE"""),42156.64583333333)</f>
        <v>42156.64583</v>
      </c>
      <c r="B3192" s="2">
        <f>IFERROR(__xludf.DUMMYFUNCTION("""COMPUTED_VALUE"""),435.85)</f>
        <v>435.85</v>
      </c>
      <c r="C3192" s="2">
        <f>IFERROR(__xludf.DUMMYFUNCTION("""COMPUTED_VALUE"""),448.19)</f>
        <v>448.19</v>
      </c>
      <c r="D3192" s="2">
        <f>IFERROR(__xludf.DUMMYFUNCTION("""COMPUTED_VALUE"""),434.86)</f>
        <v>434.86</v>
      </c>
      <c r="E3192" s="2">
        <f>IFERROR(__xludf.DUMMYFUNCTION("""COMPUTED_VALUE"""),446.87)</f>
        <v>446.87</v>
      </c>
      <c r="F3192" s="2">
        <f>IFERROR(__xludf.DUMMYFUNCTION("""COMPUTED_VALUE"""),4479082.0)</f>
        <v>4479082</v>
      </c>
    </row>
    <row r="3193">
      <c r="A3193" s="3">
        <f>IFERROR(__xludf.DUMMYFUNCTION("""COMPUTED_VALUE"""),42157.64583333333)</f>
        <v>42157.64583</v>
      </c>
      <c r="B3193" s="2">
        <f>IFERROR(__xludf.DUMMYFUNCTION("""COMPUTED_VALUE"""),448.61)</f>
        <v>448.61</v>
      </c>
      <c r="C3193" s="2">
        <f>IFERROR(__xludf.DUMMYFUNCTION("""COMPUTED_VALUE"""),455.07)</f>
        <v>455.07</v>
      </c>
      <c r="D3193" s="2">
        <f>IFERROR(__xludf.DUMMYFUNCTION("""COMPUTED_VALUE"""),441.52)</f>
        <v>441.52</v>
      </c>
      <c r="E3193" s="2">
        <f>IFERROR(__xludf.DUMMYFUNCTION("""COMPUTED_VALUE"""),445.09)</f>
        <v>445.09</v>
      </c>
      <c r="F3193" s="2">
        <f>IFERROR(__xludf.DUMMYFUNCTION("""COMPUTED_VALUE"""),4612571.0)</f>
        <v>4612571</v>
      </c>
    </row>
    <row r="3194">
      <c r="A3194" s="3">
        <f>IFERROR(__xludf.DUMMYFUNCTION("""COMPUTED_VALUE"""),42158.64583333333)</f>
        <v>42158.64583</v>
      </c>
      <c r="B3194" s="2">
        <f>IFERROR(__xludf.DUMMYFUNCTION("""COMPUTED_VALUE"""),445.26)</f>
        <v>445.26</v>
      </c>
      <c r="C3194" s="2">
        <f>IFERROR(__xludf.DUMMYFUNCTION("""COMPUTED_VALUE"""),450.93)</f>
        <v>450.93</v>
      </c>
      <c r="D3194" s="2">
        <f>IFERROR(__xludf.DUMMYFUNCTION("""COMPUTED_VALUE"""),440.06)</f>
        <v>440.06</v>
      </c>
      <c r="E3194" s="2">
        <f>IFERROR(__xludf.DUMMYFUNCTION("""COMPUTED_VALUE"""),443.95)</f>
        <v>443.95</v>
      </c>
      <c r="F3194" s="2">
        <f>IFERROR(__xludf.DUMMYFUNCTION("""COMPUTED_VALUE"""),3553618.0)</f>
        <v>3553618</v>
      </c>
    </row>
    <row r="3195">
      <c r="A3195" s="3">
        <f>IFERROR(__xludf.DUMMYFUNCTION("""COMPUTED_VALUE"""),42159.64583333333)</f>
        <v>42159.64583</v>
      </c>
      <c r="B3195" s="2">
        <f>IFERROR(__xludf.DUMMYFUNCTION("""COMPUTED_VALUE"""),447.84)</f>
        <v>447.84</v>
      </c>
      <c r="C3195" s="2">
        <f>IFERROR(__xludf.DUMMYFUNCTION("""COMPUTED_VALUE"""),453.78)</f>
        <v>453.78</v>
      </c>
      <c r="D3195" s="2">
        <f>IFERROR(__xludf.DUMMYFUNCTION("""COMPUTED_VALUE"""),442.07)</f>
        <v>442.07</v>
      </c>
      <c r="E3195" s="2">
        <f>IFERROR(__xludf.DUMMYFUNCTION("""COMPUTED_VALUE"""),452.05)</f>
        <v>452.05</v>
      </c>
      <c r="F3195" s="2">
        <f>IFERROR(__xludf.DUMMYFUNCTION("""COMPUTED_VALUE"""),3641649.0)</f>
        <v>3641649</v>
      </c>
    </row>
    <row r="3196">
      <c r="A3196" s="3">
        <f>IFERROR(__xludf.DUMMYFUNCTION("""COMPUTED_VALUE"""),42160.64583333333)</f>
        <v>42160.64583</v>
      </c>
      <c r="B3196" s="2">
        <f>IFERROR(__xludf.DUMMYFUNCTION("""COMPUTED_VALUE"""),450.66)</f>
        <v>450.66</v>
      </c>
      <c r="C3196" s="2">
        <f>IFERROR(__xludf.DUMMYFUNCTION("""COMPUTED_VALUE"""),454.15)</f>
        <v>454.15</v>
      </c>
      <c r="D3196" s="2">
        <f>IFERROR(__xludf.DUMMYFUNCTION("""COMPUTED_VALUE"""),447.96)</f>
        <v>447.96</v>
      </c>
      <c r="E3196" s="2">
        <f>IFERROR(__xludf.DUMMYFUNCTION("""COMPUTED_VALUE"""),449.6)</f>
        <v>449.6</v>
      </c>
      <c r="F3196" s="2">
        <f>IFERROR(__xludf.DUMMYFUNCTION("""COMPUTED_VALUE"""),2986745.0)</f>
        <v>2986745</v>
      </c>
    </row>
    <row r="3197">
      <c r="A3197" s="3">
        <f>IFERROR(__xludf.DUMMYFUNCTION("""COMPUTED_VALUE"""),42163.64583333333)</f>
        <v>42163.64583</v>
      </c>
      <c r="B3197" s="2">
        <f>IFERROR(__xludf.DUMMYFUNCTION("""COMPUTED_VALUE"""),449.13)</f>
        <v>449.13</v>
      </c>
      <c r="C3197" s="2">
        <f>IFERROR(__xludf.DUMMYFUNCTION("""COMPUTED_VALUE"""),450.71)</f>
        <v>450.71</v>
      </c>
      <c r="D3197" s="2">
        <f>IFERROR(__xludf.DUMMYFUNCTION("""COMPUTED_VALUE"""),437.39)</f>
        <v>437.39</v>
      </c>
      <c r="E3197" s="2">
        <f>IFERROR(__xludf.DUMMYFUNCTION("""COMPUTED_VALUE"""),438.55)</f>
        <v>438.55</v>
      </c>
      <c r="F3197" s="2">
        <f>IFERROR(__xludf.DUMMYFUNCTION("""COMPUTED_VALUE"""),2479431.0)</f>
        <v>2479431</v>
      </c>
    </row>
    <row r="3198">
      <c r="A3198" s="3">
        <f>IFERROR(__xludf.DUMMYFUNCTION("""COMPUTED_VALUE"""),42164.64583333333)</f>
        <v>42164.64583</v>
      </c>
      <c r="B3198" s="2">
        <f>IFERROR(__xludf.DUMMYFUNCTION("""COMPUTED_VALUE"""),437.61)</f>
        <v>437.61</v>
      </c>
      <c r="C3198" s="2">
        <f>IFERROR(__xludf.DUMMYFUNCTION("""COMPUTED_VALUE"""),441.13)</f>
        <v>441.13</v>
      </c>
      <c r="D3198" s="2">
        <f>IFERROR(__xludf.DUMMYFUNCTION("""COMPUTED_VALUE"""),434.54)</f>
        <v>434.54</v>
      </c>
      <c r="E3198" s="2">
        <f>IFERROR(__xludf.DUMMYFUNCTION("""COMPUTED_VALUE"""),437.69)</f>
        <v>437.69</v>
      </c>
      <c r="F3198" s="2">
        <f>IFERROR(__xludf.DUMMYFUNCTION("""COMPUTED_VALUE"""),2092303.0)</f>
        <v>2092303</v>
      </c>
    </row>
    <row r="3199">
      <c r="A3199" s="3">
        <f>IFERROR(__xludf.DUMMYFUNCTION("""COMPUTED_VALUE"""),42165.64583333333)</f>
        <v>42165.64583</v>
      </c>
      <c r="B3199" s="2">
        <f>IFERROR(__xludf.DUMMYFUNCTION("""COMPUTED_VALUE"""),438.82)</f>
        <v>438.82</v>
      </c>
      <c r="C3199" s="2">
        <f>IFERROR(__xludf.DUMMYFUNCTION("""COMPUTED_VALUE"""),450.66)</f>
        <v>450.66</v>
      </c>
      <c r="D3199" s="2">
        <f>IFERROR(__xludf.DUMMYFUNCTION("""COMPUTED_VALUE"""),438.33)</f>
        <v>438.33</v>
      </c>
      <c r="E3199" s="2">
        <f>IFERROR(__xludf.DUMMYFUNCTION("""COMPUTED_VALUE"""),448.63)</f>
        <v>448.63</v>
      </c>
      <c r="F3199" s="2">
        <f>IFERROR(__xludf.DUMMYFUNCTION("""COMPUTED_VALUE"""),3088017.0)</f>
        <v>3088017</v>
      </c>
    </row>
    <row r="3200">
      <c r="A3200" s="3">
        <f>IFERROR(__xludf.DUMMYFUNCTION("""COMPUTED_VALUE"""),42166.64583333333)</f>
        <v>42166.64583</v>
      </c>
      <c r="B3200" s="2">
        <f>IFERROR(__xludf.DUMMYFUNCTION("""COMPUTED_VALUE"""),448.73)</f>
        <v>448.73</v>
      </c>
      <c r="C3200" s="2">
        <f>IFERROR(__xludf.DUMMYFUNCTION("""COMPUTED_VALUE"""),450.46)</f>
        <v>450.46</v>
      </c>
      <c r="D3200" s="2">
        <f>IFERROR(__xludf.DUMMYFUNCTION("""COMPUTED_VALUE"""),432.71)</f>
        <v>432.71</v>
      </c>
      <c r="E3200" s="2">
        <f>IFERROR(__xludf.DUMMYFUNCTION("""COMPUTED_VALUE"""),434.44)</f>
        <v>434.44</v>
      </c>
      <c r="F3200" s="2">
        <f>IFERROR(__xludf.DUMMYFUNCTION("""COMPUTED_VALUE"""),3354787.0)</f>
        <v>3354787</v>
      </c>
    </row>
    <row r="3201">
      <c r="A3201" s="3">
        <f>IFERROR(__xludf.DUMMYFUNCTION("""COMPUTED_VALUE"""),42167.64583333333)</f>
        <v>42167.64583</v>
      </c>
      <c r="B3201" s="2">
        <f>IFERROR(__xludf.DUMMYFUNCTION("""COMPUTED_VALUE"""),435.36)</f>
        <v>435.36</v>
      </c>
      <c r="C3201" s="2">
        <f>IFERROR(__xludf.DUMMYFUNCTION("""COMPUTED_VALUE"""),442.14)</f>
        <v>442.14</v>
      </c>
      <c r="D3201" s="2">
        <f>IFERROR(__xludf.DUMMYFUNCTION("""COMPUTED_VALUE"""),434.99)</f>
        <v>434.99</v>
      </c>
      <c r="E3201" s="2">
        <f>IFERROR(__xludf.DUMMYFUNCTION("""COMPUTED_VALUE"""),440.73)</f>
        <v>440.73</v>
      </c>
      <c r="F3201" s="2">
        <f>IFERROR(__xludf.DUMMYFUNCTION("""COMPUTED_VALUE"""),4924556.0)</f>
        <v>4924556</v>
      </c>
    </row>
    <row r="3202">
      <c r="A3202" s="3">
        <f>IFERROR(__xludf.DUMMYFUNCTION("""COMPUTED_VALUE"""),42170.64583333333)</f>
        <v>42170.64583</v>
      </c>
      <c r="B3202" s="2">
        <f>IFERROR(__xludf.DUMMYFUNCTION("""COMPUTED_VALUE"""),443.23)</f>
        <v>443.23</v>
      </c>
      <c r="C3202" s="2">
        <f>IFERROR(__xludf.DUMMYFUNCTION("""COMPUTED_VALUE"""),448.23)</f>
        <v>448.23</v>
      </c>
      <c r="D3202" s="2">
        <f>IFERROR(__xludf.DUMMYFUNCTION("""COMPUTED_VALUE"""),440.81)</f>
        <v>440.81</v>
      </c>
      <c r="E3202" s="2">
        <f>IFERROR(__xludf.DUMMYFUNCTION("""COMPUTED_VALUE"""),446.62)</f>
        <v>446.62</v>
      </c>
      <c r="F3202" s="2">
        <f>IFERROR(__xludf.DUMMYFUNCTION("""COMPUTED_VALUE"""),2939253.0)</f>
        <v>2939253</v>
      </c>
    </row>
    <row r="3203">
      <c r="A3203" s="3">
        <f>IFERROR(__xludf.DUMMYFUNCTION("""COMPUTED_VALUE"""),42171.64583333333)</f>
        <v>42171.64583</v>
      </c>
      <c r="B3203" s="2">
        <f>IFERROR(__xludf.DUMMYFUNCTION("""COMPUTED_VALUE"""),445.26)</f>
        <v>445.26</v>
      </c>
      <c r="C3203" s="2">
        <f>IFERROR(__xludf.DUMMYFUNCTION("""COMPUTED_VALUE"""),448.23)</f>
        <v>448.23</v>
      </c>
      <c r="D3203" s="2">
        <f>IFERROR(__xludf.DUMMYFUNCTION("""COMPUTED_VALUE"""),442.39)</f>
        <v>442.39</v>
      </c>
      <c r="E3203" s="2">
        <f>IFERROR(__xludf.DUMMYFUNCTION("""COMPUTED_VALUE"""),447.71)</f>
        <v>447.71</v>
      </c>
      <c r="F3203" s="2">
        <f>IFERROR(__xludf.DUMMYFUNCTION("""COMPUTED_VALUE"""),3184005.0)</f>
        <v>3184005</v>
      </c>
    </row>
    <row r="3204">
      <c r="A3204" s="3">
        <f>IFERROR(__xludf.DUMMYFUNCTION("""COMPUTED_VALUE"""),42172.64583333333)</f>
        <v>42172.64583</v>
      </c>
      <c r="B3204" s="2">
        <f>IFERROR(__xludf.DUMMYFUNCTION("""COMPUTED_VALUE"""),448.26)</f>
        <v>448.26</v>
      </c>
      <c r="C3204" s="2">
        <f>IFERROR(__xludf.DUMMYFUNCTION("""COMPUTED_VALUE"""),466.73)</f>
        <v>466.73</v>
      </c>
      <c r="D3204" s="2">
        <f>IFERROR(__xludf.DUMMYFUNCTION("""COMPUTED_VALUE"""),442.79)</f>
        <v>442.79</v>
      </c>
      <c r="E3204" s="2">
        <f>IFERROR(__xludf.DUMMYFUNCTION("""COMPUTED_VALUE"""),461.21)</f>
        <v>461.21</v>
      </c>
      <c r="F3204" s="2">
        <f>IFERROR(__xludf.DUMMYFUNCTION("""COMPUTED_VALUE"""),5996339.0)</f>
        <v>5996339</v>
      </c>
    </row>
    <row r="3205">
      <c r="A3205" s="3">
        <f>IFERROR(__xludf.DUMMYFUNCTION("""COMPUTED_VALUE"""),42173.64583333333)</f>
        <v>42173.64583</v>
      </c>
      <c r="B3205" s="2">
        <f>IFERROR(__xludf.DUMMYFUNCTION("""COMPUTED_VALUE"""),461.88)</f>
        <v>461.88</v>
      </c>
      <c r="C3205" s="2">
        <f>IFERROR(__xludf.DUMMYFUNCTION("""COMPUTED_VALUE"""),486.37)</f>
        <v>486.37</v>
      </c>
      <c r="D3205" s="2">
        <f>IFERROR(__xludf.DUMMYFUNCTION("""COMPUTED_VALUE"""),461.86)</f>
        <v>461.86</v>
      </c>
      <c r="E3205" s="2">
        <f>IFERROR(__xludf.DUMMYFUNCTION("""COMPUTED_VALUE"""),484.86)</f>
        <v>484.86</v>
      </c>
      <c r="F3205" s="2">
        <f>IFERROR(__xludf.DUMMYFUNCTION("""COMPUTED_VALUE"""),1.128442E7)</f>
        <v>11284420</v>
      </c>
    </row>
    <row r="3206">
      <c r="A3206" s="3">
        <f>IFERROR(__xludf.DUMMYFUNCTION("""COMPUTED_VALUE"""),42174.64583333333)</f>
        <v>42174.64583</v>
      </c>
      <c r="B3206" s="2">
        <f>IFERROR(__xludf.DUMMYFUNCTION("""COMPUTED_VALUE"""),486.62)</f>
        <v>486.62</v>
      </c>
      <c r="C3206" s="2">
        <f>IFERROR(__xludf.DUMMYFUNCTION("""COMPUTED_VALUE"""),498.46)</f>
        <v>498.46</v>
      </c>
      <c r="D3206" s="2">
        <f>IFERROR(__xludf.DUMMYFUNCTION("""COMPUTED_VALUE"""),486.62)</f>
        <v>486.62</v>
      </c>
      <c r="E3206" s="2">
        <f>IFERROR(__xludf.DUMMYFUNCTION("""COMPUTED_VALUE"""),493.63)</f>
        <v>493.63</v>
      </c>
      <c r="F3206" s="2">
        <f>IFERROR(__xludf.DUMMYFUNCTION("""COMPUTED_VALUE"""),1.0448751E7)</f>
        <v>10448751</v>
      </c>
    </row>
    <row r="3207">
      <c r="A3207" s="3">
        <f>IFERROR(__xludf.DUMMYFUNCTION("""COMPUTED_VALUE"""),42177.64583333333)</f>
        <v>42177.64583</v>
      </c>
      <c r="B3207" s="2">
        <f>IFERROR(__xludf.DUMMYFUNCTION("""COMPUTED_VALUE"""),493.78)</f>
        <v>493.78</v>
      </c>
      <c r="C3207" s="2">
        <f>IFERROR(__xludf.DUMMYFUNCTION("""COMPUTED_VALUE"""),499.6)</f>
        <v>499.6</v>
      </c>
      <c r="D3207" s="2">
        <f>IFERROR(__xludf.DUMMYFUNCTION("""COMPUTED_VALUE"""),488.6)</f>
        <v>488.6</v>
      </c>
      <c r="E3207" s="2">
        <f>IFERROR(__xludf.DUMMYFUNCTION("""COMPUTED_VALUE"""),491.18)</f>
        <v>491.18</v>
      </c>
      <c r="F3207" s="2">
        <f>IFERROR(__xludf.DUMMYFUNCTION("""COMPUTED_VALUE"""),4433185.0)</f>
        <v>4433185</v>
      </c>
    </row>
    <row r="3208">
      <c r="A3208" s="3">
        <f>IFERROR(__xludf.DUMMYFUNCTION("""COMPUTED_VALUE"""),42178.64583333333)</f>
        <v>42178.64583</v>
      </c>
      <c r="B3208" s="2">
        <f>IFERROR(__xludf.DUMMYFUNCTION("""COMPUTED_VALUE"""),491.65)</f>
        <v>491.65</v>
      </c>
      <c r="C3208" s="2">
        <f>IFERROR(__xludf.DUMMYFUNCTION("""COMPUTED_VALUE"""),496.62)</f>
        <v>496.62</v>
      </c>
      <c r="D3208" s="2">
        <f>IFERROR(__xludf.DUMMYFUNCTION("""COMPUTED_VALUE"""),490.83)</f>
        <v>490.83</v>
      </c>
      <c r="E3208" s="2">
        <f>IFERROR(__xludf.DUMMYFUNCTION("""COMPUTED_VALUE"""),492.81)</f>
        <v>492.81</v>
      </c>
      <c r="F3208" s="2">
        <f>IFERROR(__xludf.DUMMYFUNCTION("""COMPUTED_VALUE"""),3659045.0)</f>
        <v>3659045</v>
      </c>
    </row>
    <row r="3209">
      <c r="A3209" s="3">
        <f>IFERROR(__xludf.DUMMYFUNCTION("""COMPUTED_VALUE"""),42179.64583333333)</f>
        <v>42179.64583</v>
      </c>
      <c r="B3209" s="2">
        <f>IFERROR(__xludf.DUMMYFUNCTION("""COMPUTED_VALUE"""),492.81)</f>
        <v>492.81</v>
      </c>
      <c r="C3209" s="2">
        <f>IFERROR(__xludf.DUMMYFUNCTION("""COMPUTED_VALUE"""),498.48)</f>
        <v>498.48</v>
      </c>
      <c r="D3209" s="2">
        <f>IFERROR(__xludf.DUMMYFUNCTION("""COMPUTED_VALUE"""),488.67)</f>
        <v>488.67</v>
      </c>
      <c r="E3209" s="2">
        <f>IFERROR(__xludf.DUMMYFUNCTION("""COMPUTED_VALUE"""),490.78)</f>
        <v>490.78</v>
      </c>
      <c r="F3209" s="2">
        <f>IFERROR(__xludf.DUMMYFUNCTION("""COMPUTED_VALUE"""),4252334.0)</f>
        <v>4252334</v>
      </c>
    </row>
    <row r="3210">
      <c r="A3210" s="3">
        <f>IFERROR(__xludf.DUMMYFUNCTION("""COMPUTED_VALUE"""),42180.64583333333)</f>
        <v>42180.64583</v>
      </c>
      <c r="B3210" s="2">
        <f>IFERROR(__xludf.DUMMYFUNCTION("""COMPUTED_VALUE"""),488.85)</f>
        <v>488.85</v>
      </c>
      <c r="C3210" s="2">
        <f>IFERROR(__xludf.DUMMYFUNCTION("""COMPUTED_VALUE"""),499.74)</f>
        <v>499.74</v>
      </c>
      <c r="D3210" s="2">
        <f>IFERROR(__xludf.DUMMYFUNCTION("""COMPUTED_VALUE"""),487.86)</f>
        <v>487.86</v>
      </c>
      <c r="E3210" s="2">
        <f>IFERROR(__xludf.DUMMYFUNCTION("""COMPUTED_VALUE"""),497.54)</f>
        <v>497.54</v>
      </c>
      <c r="F3210" s="2">
        <f>IFERROR(__xludf.DUMMYFUNCTION("""COMPUTED_VALUE"""),6211775.0)</f>
        <v>6211775</v>
      </c>
    </row>
    <row r="3211">
      <c r="A3211" s="3">
        <f>IFERROR(__xludf.DUMMYFUNCTION("""COMPUTED_VALUE"""),42181.64583333333)</f>
        <v>42181.64583</v>
      </c>
      <c r="B3211" s="2">
        <f>IFERROR(__xludf.DUMMYFUNCTION("""COMPUTED_VALUE"""),495.24)</f>
        <v>495.24</v>
      </c>
      <c r="C3211" s="2">
        <f>IFERROR(__xludf.DUMMYFUNCTION("""COMPUTED_VALUE"""),502.27)</f>
        <v>502.27</v>
      </c>
      <c r="D3211" s="2">
        <f>IFERROR(__xludf.DUMMYFUNCTION("""COMPUTED_VALUE"""),493.01)</f>
        <v>493.01</v>
      </c>
      <c r="E3211" s="2">
        <f>IFERROR(__xludf.DUMMYFUNCTION("""COMPUTED_VALUE"""),495.63)</f>
        <v>495.63</v>
      </c>
      <c r="F3211" s="2">
        <f>IFERROR(__xludf.DUMMYFUNCTION("""COMPUTED_VALUE"""),4792657.0)</f>
        <v>4792657</v>
      </c>
    </row>
    <row r="3212">
      <c r="A3212" s="3">
        <f>IFERROR(__xludf.DUMMYFUNCTION("""COMPUTED_VALUE"""),42184.64583333333)</f>
        <v>42184.64583</v>
      </c>
      <c r="B3212" s="2">
        <f>IFERROR(__xludf.DUMMYFUNCTION("""COMPUTED_VALUE"""),489.29)</f>
        <v>489.29</v>
      </c>
      <c r="C3212" s="2">
        <f>IFERROR(__xludf.DUMMYFUNCTION("""COMPUTED_VALUE"""),492.24)</f>
        <v>492.24</v>
      </c>
      <c r="D3212" s="2">
        <f>IFERROR(__xludf.DUMMYFUNCTION("""COMPUTED_VALUE"""),481.42)</f>
        <v>481.42</v>
      </c>
      <c r="E3212" s="2">
        <f>IFERROR(__xludf.DUMMYFUNCTION("""COMPUTED_VALUE"""),490.76)</f>
        <v>490.76</v>
      </c>
      <c r="F3212" s="2">
        <f>IFERROR(__xludf.DUMMYFUNCTION("""COMPUTED_VALUE"""),4610282.0)</f>
        <v>4610282</v>
      </c>
    </row>
    <row r="3213">
      <c r="A3213" s="3">
        <f>IFERROR(__xludf.DUMMYFUNCTION("""COMPUTED_VALUE"""),42185.64583333333)</f>
        <v>42185.64583</v>
      </c>
      <c r="B3213" s="2">
        <f>IFERROR(__xludf.DUMMYFUNCTION("""COMPUTED_VALUE"""),490.28)</f>
        <v>490.28</v>
      </c>
      <c r="C3213" s="2">
        <f>IFERROR(__xludf.DUMMYFUNCTION("""COMPUTED_VALUE"""),496.7)</f>
        <v>496.7</v>
      </c>
      <c r="D3213" s="2">
        <f>IFERROR(__xludf.DUMMYFUNCTION("""COMPUTED_VALUE"""),489.34)</f>
        <v>489.34</v>
      </c>
      <c r="E3213" s="2">
        <f>IFERROR(__xludf.DUMMYFUNCTION("""COMPUTED_VALUE"""),495.34)</f>
        <v>495.34</v>
      </c>
      <c r="F3213" s="2">
        <f>IFERROR(__xludf.DUMMYFUNCTION("""COMPUTED_VALUE"""),5299670.0)</f>
        <v>5299670</v>
      </c>
    </row>
    <row r="3214">
      <c r="A3214" s="3">
        <f>IFERROR(__xludf.DUMMYFUNCTION("""COMPUTED_VALUE"""),42186.64583333333)</f>
        <v>42186.64583</v>
      </c>
      <c r="B3214" s="2">
        <f>IFERROR(__xludf.DUMMYFUNCTION("""COMPUTED_VALUE"""),495.78)</f>
        <v>495.78</v>
      </c>
      <c r="C3214" s="2">
        <f>IFERROR(__xludf.DUMMYFUNCTION("""COMPUTED_VALUE"""),500.46)</f>
        <v>500.46</v>
      </c>
      <c r="D3214" s="2">
        <f>IFERROR(__xludf.DUMMYFUNCTION("""COMPUTED_VALUE"""),495.78)</f>
        <v>495.78</v>
      </c>
      <c r="E3214" s="2">
        <f>IFERROR(__xludf.DUMMYFUNCTION("""COMPUTED_VALUE"""),498.09)</f>
        <v>498.09</v>
      </c>
      <c r="F3214" s="2">
        <f>IFERROR(__xludf.DUMMYFUNCTION("""COMPUTED_VALUE"""),3388578.0)</f>
        <v>3388578</v>
      </c>
    </row>
    <row r="3215">
      <c r="A3215" s="3">
        <f>IFERROR(__xludf.DUMMYFUNCTION("""COMPUTED_VALUE"""),42187.64583333333)</f>
        <v>42187.64583</v>
      </c>
      <c r="B3215" s="2">
        <f>IFERROR(__xludf.DUMMYFUNCTION("""COMPUTED_VALUE"""),499.74)</f>
        <v>499.74</v>
      </c>
      <c r="C3215" s="2">
        <f>IFERROR(__xludf.DUMMYFUNCTION("""COMPUTED_VALUE"""),505.07)</f>
        <v>505.07</v>
      </c>
      <c r="D3215" s="2">
        <f>IFERROR(__xludf.DUMMYFUNCTION("""COMPUTED_VALUE"""),498.8)</f>
        <v>498.8</v>
      </c>
      <c r="E3215" s="2">
        <f>IFERROR(__xludf.DUMMYFUNCTION("""COMPUTED_VALUE"""),500.66)</f>
        <v>500.66</v>
      </c>
      <c r="F3215" s="2">
        <f>IFERROR(__xludf.DUMMYFUNCTION("""COMPUTED_VALUE"""),3641605.0)</f>
        <v>3641605</v>
      </c>
    </row>
    <row r="3216">
      <c r="A3216" s="3">
        <f>IFERROR(__xludf.DUMMYFUNCTION("""COMPUTED_VALUE"""),42188.64583333333)</f>
        <v>42188.64583</v>
      </c>
      <c r="B3216" s="2">
        <f>IFERROR(__xludf.DUMMYFUNCTION("""COMPUTED_VALUE"""),500.12)</f>
        <v>500.12</v>
      </c>
      <c r="C3216" s="2">
        <f>IFERROR(__xludf.DUMMYFUNCTION("""COMPUTED_VALUE"""),502.12)</f>
        <v>502.12</v>
      </c>
      <c r="D3216" s="2">
        <f>IFERROR(__xludf.DUMMYFUNCTION("""COMPUTED_VALUE"""),496.8)</f>
        <v>496.8</v>
      </c>
      <c r="E3216" s="2">
        <f>IFERROR(__xludf.DUMMYFUNCTION("""COMPUTED_VALUE"""),498.85)</f>
        <v>498.85</v>
      </c>
      <c r="F3216" s="2">
        <f>IFERROR(__xludf.DUMMYFUNCTION("""COMPUTED_VALUE"""),3161556.0)</f>
        <v>3161556</v>
      </c>
    </row>
    <row r="3217">
      <c r="A3217" s="3">
        <f>IFERROR(__xludf.DUMMYFUNCTION("""COMPUTED_VALUE"""),42191.64583333333)</f>
        <v>42191.64583</v>
      </c>
      <c r="B3217" s="2">
        <f>IFERROR(__xludf.DUMMYFUNCTION("""COMPUTED_VALUE"""),493.36)</f>
        <v>493.36</v>
      </c>
      <c r="C3217" s="2">
        <f>IFERROR(__xludf.DUMMYFUNCTION("""COMPUTED_VALUE"""),504.65)</f>
        <v>504.65</v>
      </c>
      <c r="D3217" s="2">
        <f>IFERROR(__xludf.DUMMYFUNCTION("""COMPUTED_VALUE"""),492.91)</f>
        <v>492.91</v>
      </c>
      <c r="E3217" s="2">
        <f>IFERROR(__xludf.DUMMYFUNCTION("""COMPUTED_VALUE"""),502.99)</f>
        <v>502.99</v>
      </c>
      <c r="F3217" s="2">
        <f>IFERROR(__xludf.DUMMYFUNCTION("""COMPUTED_VALUE"""),2797340.0)</f>
        <v>2797340</v>
      </c>
    </row>
    <row r="3218">
      <c r="A3218" s="3">
        <f>IFERROR(__xludf.DUMMYFUNCTION("""COMPUTED_VALUE"""),42192.64583333333)</f>
        <v>42192.64583</v>
      </c>
      <c r="B3218" s="2">
        <f>IFERROR(__xludf.DUMMYFUNCTION("""COMPUTED_VALUE"""),500.74)</f>
        <v>500.74</v>
      </c>
      <c r="C3218" s="2">
        <f>IFERROR(__xludf.DUMMYFUNCTION("""COMPUTED_VALUE"""),503.51)</f>
        <v>503.51</v>
      </c>
      <c r="D3218" s="2">
        <f>IFERROR(__xludf.DUMMYFUNCTION("""COMPUTED_VALUE"""),495.29)</f>
        <v>495.29</v>
      </c>
      <c r="E3218" s="2">
        <f>IFERROR(__xludf.DUMMYFUNCTION("""COMPUTED_VALUE"""),496.9)</f>
        <v>496.9</v>
      </c>
      <c r="F3218" s="2">
        <f>IFERROR(__xludf.DUMMYFUNCTION("""COMPUTED_VALUE"""),2581847.0)</f>
        <v>2581847</v>
      </c>
    </row>
    <row r="3219">
      <c r="A3219" s="3">
        <f>IFERROR(__xludf.DUMMYFUNCTION("""COMPUTED_VALUE"""),42193.64583333333)</f>
        <v>42193.64583</v>
      </c>
      <c r="B3219" s="2">
        <f>IFERROR(__xludf.DUMMYFUNCTION("""COMPUTED_VALUE"""),493.23)</f>
        <v>493.23</v>
      </c>
      <c r="C3219" s="2">
        <f>IFERROR(__xludf.DUMMYFUNCTION("""COMPUTED_VALUE"""),499.6)</f>
        <v>499.6</v>
      </c>
      <c r="D3219" s="2">
        <f>IFERROR(__xludf.DUMMYFUNCTION("""COMPUTED_VALUE"""),491.15)</f>
        <v>491.15</v>
      </c>
      <c r="E3219" s="2">
        <f>IFERROR(__xludf.DUMMYFUNCTION("""COMPUTED_VALUE"""),493.6)</f>
        <v>493.6</v>
      </c>
      <c r="F3219" s="2">
        <f>IFERROR(__xludf.DUMMYFUNCTION("""COMPUTED_VALUE"""),3472328.0)</f>
        <v>3472328</v>
      </c>
    </row>
    <row r="3220">
      <c r="A3220" s="3">
        <f>IFERROR(__xludf.DUMMYFUNCTION("""COMPUTED_VALUE"""),42194.64583333333)</f>
        <v>42194.64583</v>
      </c>
      <c r="B3220" s="2">
        <f>IFERROR(__xludf.DUMMYFUNCTION("""COMPUTED_VALUE"""),493.31)</f>
        <v>493.31</v>
      </c>
      <c r="C3220" s="2">
        <f>IFERROR(__xludf.DUMMYFUNCTION("""COMPUTED_VALUE"""),495.78)</f>
        <v>495.78</v>
      </c>
      <c r="D3220" s="2">
        <f>IFERROR(__xludf.DUMMYFUNCTION("""COMPUTED_VALUE"""),486.94)</f>
        <v>486.94</v>
      </c>
      <c r="E3220" s="2">
        <f>IFERROR(__xludf.DUMMYFUNCTION("""COMPUTED_VALUE"""),489.05)</f>
        <v>489.05</v>
      </c>
      <c r="F3220" s="2">
        <f>IFERROR(__xludf.DUMMYFUNCTION("""COMPUTED_VALUE"""),3713532.0)</f>
        <v>3713532</v>
      </c>
    </row>
    <row r="3221">
      <c r="A3221" s="3">
        <f>IFERROR(__xludf.DUMMYFUNCTION("""COMPUTED_VALUE"""),42195.64583333333)</f>
        <v>42195.64583</v>
      </c>
      <c r="B3221" s="2">
        <f>IFERROR(__xludf.DUMMYFUNCTION("""COMPUTED_VALUE"""),490.88)</f>
        <v>490.88</v>
      </c>
      <c r="C3221" s="2">
        <f>IFERROR(__xludf.DUMMYFUNCTION("""COMPUTED_VALUE"""),497.27)</f>
        <v>497.27</v>
      </c>
      <c r="D3221" s="2">
        <f>IFERROR(__xludf.DUMMYFUNCTION("""COMPUTED_VALUE"""),490.46)</f>
        <v>490.46</v>
      </c>
      <c r="E3221" s="2">
        <f>IFERROR(__xludf.DUMMYFUNCTION("""COMPUTED_VALUE"""),496.18)</f>
        <v>496.18</v>
      </c>
      <c r="F3221" s="2">
        <f>IFERROR(__xludf.DUMMYFUNCTION("""COMPUTED_VALUE"""),3682606.0)</f>
        <v>3682606</v>
      </c>
    </row>
    <row r="3222">
      <c r="A3222" s="3">
        <f>IFERROR(__xludf.DUMMYFUNCTION("""COMPUTED_VALUE"""),42198.64583333333)</f>
        <v>42198.64583</v>
      </c>
      <c r="B3222" s="2">
        <f>IFERROR(__xludf.DUMMYFUNCTION("""COMPUTED_VALUE"""),496.18)</f>
        <v>496.18</v>
      </c>
      <c r="C3222" s="2">
        <f>IFERROR(__xludf.DUMMYFUNCTION("""COMPUTED_VALUE"""),501.48)</f>
        <v>501.48</v>
      </c>
      <c r="D3222" s="2">
        <f>IFERROR(__xludf.DUMMYFUNCTION("""COMPUTED_VALUE"""),492.88)</f>
        <v>492.88</v>
      </c>
      <c r="E3222" s="2">
        <f>IFERROR(__xludf.DUMMYFUNCTION("""COMPUTED_VALUE"""),498.75)</f>
        <v>498.75</v>
      </c>
      <c r="F3222" s="2">
        <f>IFERROR(__xludf.DUMMYFUNCTION("""COMPUTED_VALUE"""),2253887.0)</f>
        <v>2253887</v>
      </c>
    </row>
    <row r="3223">
      <c r="A3223" s="3">
        <f>IFERROR(__xludf.DUMMYFUNCTION("""COMPUTED_VALUE"""),42199.64583333333)</f>
        <v>42199.64583</v>
      </c>
      <c r="B3223" s="2">
        <f>IFERROR(__xludf.DUMMYFUNCTION("""COMPUTED_VALUE"""),499.69)</f>
        <v>499.69</v>
      </c>
      <c r="C3223" s="2">
        <f>IFERROR(__xludf.DUMMYFUNCTION("""COMPUTED_VALUE"""),500.98)</f>
        <v>500.98</v>
      </c>
      <c r="D3223" s="2">
        <f>IFERROR(__xludf.DUMMYFUNCTION("""COMPUTED_VALUE"""),492.91)</f>
        <v>492.91</v>
      </c>
      <c r="E3223" s="2">
        <f>IFERROR(__xludf.DUMMYFUNCTION("""COMPUTED_VALUE"""),494.2)</f>
        <v>494.2</v>
      </c>
      <c r="F3223" s="2">
        <f>IFERROR(__xludf.DUMMYFUNCTION("""COMPUTED_VALUE"""),2272786.0)</f>
        <v>2272786</v>
      </c>
    </row>
    <row r="3224">
      <c r="A3224" s="3">
        <f>IFERROR(__xludf.DUMMYFUNCTION("""COMPUTED_VALUE"""),42200.64583333333)</f>
        <v>42200.64583</v>
      </c>
      <c r="B3224" s="2">
        <f>IFERROR(__xludf.DUMMYFUNCTION("""COMPUTED_VALUE"""),495.16)</f>
        <v>495.16</v>
      </c>
      <c r="C3224" s="2">
        <f>IFERROR(__xludf.DUMMYFUNCTION("""COMPUTED_VALUE"""),502.42)</f>
        <v>502.42</v>
      </c>
      <c r="D3224" s="2">
        <f>IFERROR(__xludf.DUMMYFUNCTION("""COMPUTED_VALUE"""),495.06)</f>
        <v>495.06</v>
      </c>
      <c r="E3224" s="2">
        <f>IFERROR(__xludf.DUMMYFUNCTION("""COMPUTED_VALUE"""),500.81)</f>
        <v>500.81</v>
      </c>
      <c r="F3224" s="2">
        <f>IFERROR(__xludf.DUMMYFUNCTION("""COMPUTED_VALUE"""),3093396.0)</f>
        <v>3093396</v>
      </c>
    </row>
    <row r="3225">
      <c r="A3225" s="3">
        <f>IFERROR(__xludf.DUMMYFUNCTION("""COMPUTED_VALUE"""),42201.64583333333)</f>
        <v>42201.64583</v>
      </c>
      <c r="B3225" s="2">
        <f>IFERROR(__xludf.DUMMYFUNCTION("""COMPUTED_VALUE"""),501.23)</f>
        <v>501.23</v>
      </c>
      <c r="C3225" s="2">
        <f>IFERROR(__xludf.DUMMYFUNCTION("""COMPUTED_VALUE"""),509.06)</f>
        <v>509.06</v>
      </c>
      <c r="D3225" s="2">
        <f>IFERROR(__xludf.DUMMYFUNCTION("""COMPUTED_VALUE"""),500.81)</f>
        <v>500.81</v>
      </c>
      <c r="E3225" s="2">
        <f>IFERROR(__xludf.DUMMYFUNCTION("""COMPUTED_VALUE"""),507.03)</f>
        <v>507.03</v>
      </c>
      <c r="F3225" s="2">
        <f>IFERROR(__xludf.DUMMYFUNCTION("""COMPUTED_VALUE"""),3395442.0)</f>
        <v>3395442</v>
      </c>
    </row>
    <row r="3226">
      <c r="A3226" s="3">
        <f>IFERROR(__xludf.DUMMYFUNCTION("""COMPUTED_VALUE"""),42202.64583333333)</f>
        <v>42202.64583</v>
      </c>
      <c r="B3226" s="2">
        <f>IFERROR(__xludf.DUMMYFUNCTION("""COMPUTED_VALUE"""),507.79)</f>
        <v>507.79</v>
      </c>
      <c r="C3226" s="2">
        <f>IFERROR(__xludf.DUMMYFUNCTION("""COMPUTED_VALUE"""),510.72)</f>
        <v>510.72</v>
      </c>
      <c r="D3226" s="2">
        <f>IFERROR(__xludf.DUMMYFUNCTION("""COMPUTED_VALUE"""),504.2)</f>
        <v>504.2</v>
      </c>
      <c r="E3226" s="2">
        <f>IFERROR(__xludf.DUMMYFUNCTION("""COMPUTED_VALUE"""),506.03)</f>
        <v>506.03</v>
      </c>
      <c r="F3226" s="2">
        <f>IFERROR(__xludf.DUMMYFUNCTION("""COMPUTED_VALUE"""),2330438.0)</f>
        <v>2330438</v>
      </c>
    </row>
    <row r="3227">
      <c r="A3227" s="3">
        <f>IFERROR(__xludf.DUMMYFUNCTION("""COMPUTED_VALUE"""),42205.64583333333)</f>
        <v>42205.64583</v>
      </c>
      <c r="B3227" s="2">
        <f>IFERROR(__xludf.DUMMYFUNCTION("""COMPUTED_VALUE"""),509.06)</f>
        <v>509.06</v>
      </c>
      <c r="C3227" s="2">
        <f>IFERROR(__xludf.DUMMYFUNCTION("""COMPUTED_VALUE"""),510.12)</f>
        <v>510.12</v>
      </c>
      <c r="D3227" s="2">
        <f>IFERROR(__xludf.DUMMYFUNCTION("""COMPUTED_VALUE"""),504.15)</f>
        <v>504.15</v>
      </c>
      <c r="E3227" s="2">
        <f>IFERROR(__xludf.DUMMYFUNCTION("""COMPUTED_VALUE"""),507.55)</f>
        <v>507.55</v>
      </c>
      <c r="F3227" s="2">
        <f>IFERROR(__xludf.DUMMYFUNCTION("""COMPUTED_VALUE"""),1451127.0)</f>
        <v>1451127</v>
      </c>
    </row>
    <row r="3228">
      <c r="A3228" s="3">
        <f>IFERROR(__xludf.DUMMYFUNCTION("""COMPUTED_VALUE"""),42206.64583333333)</f>
        <v>42206.64583</v>
      </c>
      <c r="B3228" s="2">
        <f>IFERROR(__xludf.DUMMYFUNCTION("""COMPUTED_VALUE"""),509.15)</f>
        <v>509.15</v>
      </c>
      <c r="C3228" s="2">
        <f>IFERROR(__xludf.DUMMYFUNCTION("""COMPUTED_VALUE"""),509.38)</f>
        <v>509.38</v>
      </c>
      <c r="D3228" s="2">
        <f>IFERROR(__xludf.DUMMYFUNCTION("""COMPUTED_VALUE"""),496.65)</f>
        <v>496.65</v>
      </c>
      <c r="E3228" s="2">
        <f>IFERROR(__xludf.DUMMYFUNCTION("""COMPUTED_VALUE"""),499.15)</f>
        <v>499.15</v>
      </c>
      <c r="F3228" s="2">
        <f>IFERROR(__xludf.DUMMYFUNCTION("""COMPUTED_VALUE"""),1811142.0)</f>
        <v>1811142</v>
      </c>
    </row>
    <row r="3229">
      <c r="A3229" s="3">
        <f>IFERROR(__xludf.DUMMYFUNCTION("""COMPUTED_VALUE"""),42207.64583333333)</f>
        <v>42207.64583</v>
      </c>
      <c r="B3229" s="2">
        <f>IFERROR(__xludf.DUMMYFUNCTION("""COMPUTED_VALUE"""),497.76)</f>
        <v>497.76</v>
      </c>
      <c r="C3229" s="2">
        <f>IFERROR(__xludf.DUMMYFUNCTION("""COMPUTED_VALUE"""),522.01)</f>
        <v>522.01</v>
      </c>
      <c r="D3229" s="2">
        <f>IFERROR(__xludf.DUMMYFUNCTION("""COMPUTED_VALUE"""),497.57)</f>
        <v>497.57</v>
      </c>
      <c r="E3229" s="2">
        <f>IFERROR(__xludf.DUMMYFUNCTION("""COMPUTED_VALUE"""),520.25)</f>
        <v>520.25</v>
      </c>
      <c r="F3229" s="2">
        <f>IFERROR(__xludf.DUMMYFUNCTION("""COMPUTED_VALUE"""),3956647.0)</f>
        <v>3956647</v>
      </c>
    </row>
    <row r="3230">
      <c r="A3230" s="3">
        <f>IFERROR(__xludf.DUMMYFUNCTION("""COMPUTED_VALUE"""),42208.64583333333)</f>
        <v>42208.64583</v>
      </c>
      <c r="B3230" s="2">
        <f>IFERROR(__xludf.DUMMYFUNCTION("""COMPUTED_VALUE"""),521.78)</f>
        <v>521.78</v>
      </c>
      <c r="C3230" s="2">
        <f>IFERROR(__xludf.DUMMYFUNCTION("""COMPUTED_VALUE"""),528.89)</f>
        <v>528.89</v>
      </c>
      <c r="D3230" s="2">
        <f>IFERROR(__xludf.DUMMYFUNCTION("""COMPUTED_VALUE"""),515.69)</f>
        <v>515.69</v>
      </c>
      <c r="E3230" s="2">
        <f>IFERROR(__xludf.DUMMYFUNCTION("""COMPUTED_VALUE"""),517.72)</f>
        <v>517.72</v>
      </c>
      <c r="F3230" s="2">
        <f>IFERROR(__xludf.DUMMYFUNCTION("""COMPUTED_VALUE"""),4261457.0)</f>
        <v>4261457</v>
      </c>
    </row>
    <row r="3231">
      <c r="A3231" s="3">
        <f>IFERROR(__xludf.DUMMYFUNCTION("""COMPUTED_VALUE"""),42209.64583333333)</f>
        <v>42209.64583</v>
      </c>
      <c r="B3231" s="2">
        <f>IFERROR(__xludf.DUMMYFUNCTION("""COMPUTED_VALUE"""),519.06)</f>
        <v>519.06</v>
      </c>
      <c r="C3231" s="2">
        <f>IFERROR(__xludf.DUMMYFUNCTION("""COMPUTED_VALUE"""),519.88)</f>
        <v>519.88</v>
      </c>
      <c r="D3231" s="2">
        <f>IFERROR(__xludf.DUMMYFUNCTION("""COMPUTED_VALUE"""),505.74)</f>
        <v>505.74</v>
      </c>
      <c r="E3231" s="2">
        <f>IFERROR(__xludf.DUMMYFUNCTION("""COMPUTED_VALUE"""),507.69)</f>
        <v>507.69</v>
      </c>
      <c r="F3231" s="2">
        <f>IFERROR(__xludf.DUMMYFUNCTION("""COMPUTED_VALUE"""),2994363.0)</f>
        <v>2994363</v>
      </c>
    </row>
    <row r="3232">
      <c r="A3232" s="3">
        <f>IFERROR(__xludf.DUMMYFUNCTION("""COMPUTED_VALUE"""),42212.64583333333)</f>
        <v>42212.64583</v>
      </c>
      <c r="B3232" s="2">
        <f>IFERROR(__xludf.DUMMYFUNCTION("""COMPUTED_VALUE"""),507.62)</f>
        <v>507.62</v>
      </c>
      <c r="C3232" s="2">
        <f>IFERROR(__xludf.DUMMYFUNCTION("""COMPUTED_VALUE"""),510.1)</f>
        <v>510.1</v>
      </c>
      <c r="D3232" s="2">
        <f>IFERROR(__xludf.DUMMYFUNCTION("""COMPUTED_VALUE"""),496.15)</f>
        <v>496.15</v>
      </c>
      <c r="E3232" s="2">
        <f>IFERROR(__xludf.DUMMYFUNCTION("""COMPUTED_VALUE"""),497.94)</f>
        <v>497.94</v>
      </c>
      <c r="F3232" s="2">
        <f>IFERROR(__xludf.DUMMYFUNCTION("""COMPUTED_VALUE"""),4598763.0)</f>
        <v>4598763</v>
      </c>
    </row>
    <row r="3233">
      <c r="A3233" s="3">
        <f>IFERROR(__xludf.DUMMYFUNCTION("""COMPUTED_VALUE"""),42213.64583333333)</f>
        <v>42213.64583</v>
      </c>
      <c r="B3233" s="2">
        <f>IFERROR(__xludf.DUMMYFUNCTION("""COMPUTED_VALUE"""),499.4)</f>
        <v>499.4</v>
      </c>
      <c r="C3233" s="2">
        <f>IFERROR(__xludf.DUMMYFUNCTION("""COMPUTED_VALUE"""),503.56)</f>
        <v>503.56</v>
      </c>
      <c r="D3233" s="2">
        <f>IFERROR(__xludf.DUMMYFUNCTION("""COMPUTED_VALUE"""),495.34)</f>
        <v>495.34</v>
      </c>
      <c r="E3233" s="2">
        <f>IFERROR(__xludf.DUMMYFUNCTION("""COMPUTED_VALUE"""),500.36)</f>
        <v>500.36</v>
      </c>
      <c r="F3233" s="2">
        <f>IFERROR(__xludf.DUMMYFUNCTION("""COMPUTED_VALUE"""),3059101.0)</f>
        <v>3059101</v>
      </c>
    </row>
    <row r="3234">
      <c r="A3234" s="3">
        <f>IFERROR(__xludf.DUMMYFUNCTION("""COMPUTED_VALUE"""),42214.64583333333)</f>
        <v>42214.64583</v>
      </c>
      <c r="B3234" s="2">
        <f>IFERROR(__xludf.DUMMYFUNCTION("""COMPUTED_VALUE"""),499.99)</f>
        <v>499.99</v>
      </c>
      <c r="C3234" s="2">
        <f>IFERROR(__xludf.DUMMYFUNCTION("""COMPUTED_VALUE"""),501.58)</f>
        <v>501.58</v>
      </c>
      <c r="D3234" s="2">
        <f>IFERROR(__xludf.DUMMYFUNCTION("""COMPUTED_VALUE"""),491.37)</f>
        <v>491.37</v>
      </c>
      <c r="E3234" s="2">
        <f>IFERROR(__xludf.DUMMYFUNCTION("""COMPUTED_VALUE"""),493.31)</f>
        <v>493.31</v>
      </c>
      <c r="F3234" s="2">
        <f>IFERROR(__xludf.DUMMYFUNCTION("""COMPUTED_VALUE"""),3380933.0)</f>
        <v>3380933</v>
      </c>
    </row>
    <row r="3235">
      <c r="A3235" s="3">
        <f>IFERROR(__xludf.DUMMYFUNCTION("""COMPUTED_VALUE"""),42215.64583333333)</f>
        <v>42215.64583</v>
      </c>
      <c r="B3235" s="2">
        <f>IFERROR(__xludf.DUMMYFUNCTION("""COMPUTED_VALUE"""),495.34)</f>
        <v>495.34</v>
      </c>
      <c r="C3235" s="2">
        <f>IFERROR(__xludf.DUMMYFUNCTION("""COMPUTED_VALUE"""),499.25)</f>
        <v>499.25</v>
      </c>
      <c r="D3235" s="2">
        <f>IFERROR(__xludf.DUMMYFUNCTION("""COMPUTED_VALUE"""),491.47)</f>
        <v>491.47</v>
      </c>
      <c r="E3235" s="2">
        <f>IFERROR(__xludf.DUMMYFUNCTION("""COMPUTED_VALUE"""),495.36)</f>
        <v>495.36</v>
      </c>
      <c r="F3235" s="2">
        <f>IFERROR(__xludf.DUMMYFUNCTION("""COMPUTED_VALUE"""),2674704.0)</f>
        <v>2674704</v>
      </c>
    </row>
    <row r="3236">
      <c r="A3236" s="3">
        <f>IFERROR(__xludf.DUMMYFUNCTION("""COMPUTED_VALUE"""),42216.64583333333)</f>
        <v>42216.64583</v>
      </c>
      <c r="B3236" s="2">
        <f>IFERROR(__xludf.DUMMYFUNCTION("""COMPUTED_VALUE"""),495.29)</f>
        <v>495.29</v>
      </c>
      <c r="C3236" s="2">
        <f>IFERROR(__xludf.DUMMYFUNCTION("""COMPUTED_VALUE"""),499.2)</f>
        <v>499.2</v>
      </c>
      <c r="D3236" s="2">
        <f>IFERROR(__xludf.DUMMYFUNCTION("""COMPUTED_VALUE"""),490.33)</f>
        <v>490.33</v>
      </c>
      <c r="E3236" s="2">
        <f>IFERROR(__xludf.DUMMYFUNCTION("""COMPUTED_VALUE"""),496.2)</f>
        <v>496.2</v>
      </c>
      <c r="F3236" s="2">
        <f>IFERROR(__xludf.DUMMYFUNCTION("""COMPUTED_VALUE"""),3802312.0)</f>
        <v>3802312</v>
      </c>
    </row>
    <row r="3237">
      <c r="A3237" s="3">
        <f>IFERROR(__xludf.DUMMYFUNCTION("""COMPUTED_VALUE"""),42219.64583333333)</f>
        <v>42219.64583</v>
      </c>
      <c r="B3237" s="2">
        <f>IFERROR(__xludf.DUMMYFUNCTION("""COMPUTED_VALUE"""),495.78)</f>
        <v>495.78</v>
      </c>
      <c r="C3237" s="2">
        <f>IFERROR(__xludf.DUMMYFUNCTION("""COMPUTED_VALUE"""),502.15)</f>
        <v>502.15</v>
      </c>
      <c r="D3237" s="2">
        <f>IFERROR(__xludf.DUMMYFUNCTION("""COMPUTED_VALUE"""),494.99)</f>
        <v>494.99</v>
      </c>
      <c r="E3237" s="2">
        <f>IFERROR(__xludf.DUMMYFUNCTION("""COMPUTED_VALUE"""),496.5)</f>
        <v>496.5</v>
      </c>
      <c r="F3237" s="2">
        <f>IFERROR(__xludf.DUMMYFUNCTION("""COMPUTED_VALUE"""),2260182.0)</f>
        <v>2260182</v>
      </c>
    </row>
    <row r="3238">
      <c r="A3238" s="3">
        <f>IFERROR(__xludf.DUMMYFUNCTION("""COMPUTED_VALUE"""),42220.64583333333)</f>
        <v>42220.64583</v>
      </c>
      <c r="B3238" s="2">
        <f>IFERROR(__xludf.DUMMYFUNCTION("""COMPUTED_VALUE"""),496.97)</f>
        <v>496.97</v>
      </c>
      <c r="C3238" s="2">
        <f>IFERROR(__xludf.DUMMYFUNCTION("""COMPUTED_VALUE"""),498.09)</f>
        <v>498.09</v>
      </c>
      <c r="D3238" s="2">
        <f>IFERROR(__xludf.DUMMYFUNCTION("""COMPUTED_VALUE"""),485.38)</f>
        <v>485.38</v>
      </c>
      <c r="E3238" s="2">
        <f>IFERROR(__xludf.DUMMYFUNCTION("""COMPUTED_VALUE"""),489.34)</f>
        <v>489.34</v>
      </c>
      <c r="F3238" s="2">
        <f>IFERROR(__xludf.DUMMYFUNCTION("""COMPUTED_VALUE"""),2744569.0)</f>
        <v>2744569</v>
      </c>
    </row>
    <row r="3239">
      <c r="A3239" s="3">
        <f>IFERROR(__xludf.DUMMYFUNCTION("""COMPUTED_VALUE"""),42221.64583333333)</f>
        <v>42221.64583</v>
      </c>
      <c r="B3239" s="2">
        <f>IFERROR(__xludf.DUMMYFUNCTION("""COMPUTED_VALUE"""),489.47)</f>
        <v>489.47</v>
      </c>
      <c r="C3239" s="2">
        <f>IFERROR(__xludf.DUMMYFUNCTION("""COMPUTED_VALUE"""),495.68)</f>
        <v>495.68</v>
      </c>
      <c r="D3239" s="2">
        <f>IFERROR(__xludf.DUMMYFUNCTION("""COMPUTED_VALUE"""),487.41)</f>
        <v>487.41</v>
      </c>
      <c r="E3239" s="2">
        <f>IFERROR(__xludf.DUMMYFUNCTION("""COMPUTED_VALUE"""),489.22)</f>
        <v>489.22</v>
      </c>
      <c r="F3239" s="2">
        <f>IFERROR(__xludf.DUMMYFUNCTION("""COMPUTED_VALUE"""),3279028.0)</f>
        <v>3279028</v>
      </c>
    </row>
    <row r="3240">
      <c r="A3240" s="3">
        <f>IFERROR(__xludf.DUMMYFUNCTION("""COMPUTED_VALUE"""),42222.64583333333)</f>
        <v>42222.64583</v>
      </c>
      <c r="B3240" s="2">
        <f>IFERROR(__xludf.DUMMYFUNCTION("""COMPUTED_VALUE"""),490.83)</f>
        <v>490.83</v>
      </c>
      <c r="C3240" s="2">
        <f>IFERROR(__xludf.DUMMYFUNCTION("""COMPUTED_VALUE"""),491.32)</f>
        <v>491.32</v>
      </c>
      <c r="D3240" s="2">
        <f>IFERROR(__xludf.DUMMYFUNCTION("""COMPUTED_VALUE"""),484.14)</f>
        <v>484.14</v>
      </c>
      <c r="E3240" s="2">
        <f>IFERROR(__xludf.DUMMYFUNCTION("""COMPUTED_VALUE"""),484.86)</f>
        <v>484.86</v>
      </c>
      <c r="F3240" s="2">
        <f>IFERROR(__xludf.DUMMYFUNCTION("""COMPUTED_VALUE"""),1990511.0)</f>
        <v>1990511</v>
      </c>
    </row>
    <row r="3241">
      <c r="A3241" s="3">
        <f>IFERROR(__xludf.DUMMYFUNCTION("""COMPUTED_VALUE"""),42223.64583333333)</f>
        <v>42223.64583</v>
      </c>
      <c r="B3241" s="2">
        <f>IFERROR(__xludf.DUMMYFUNCTION("""COMPUTED_VALUE"""),484.89)</f>
        <v>484.89</v>
      </c>
      <c r="C3241" s="2">
        <f>IFERROR(__xludf.DUMMYFUNCTION("""COMPUTED_VALUE"""),492.32)</f>
        <v>492.32</v>
      </c>
      <c r="D3241" s="2">
        <f>IFERROR(__xludf.DUMMYFUNCTION("""COMPUTED_VALUE"""),483.97)</f>
        <v>483.97</v>
      </c>
      <c r="E3241" s="2">
        <f>IFERROR(__xludf.DUMMYFUNCTION("""COMPUTED_VALUE"""),487.54)</f>
        <v>487.54</v>
      </c>
      <c r="F3241" s="2">
        <f>IFERROR(__xludf.DUMMYFUNCTION("""COMPUTED_VALUE"""),1967847.0)</f>
        <v>1967847</v>
      </c>
    </row>
    <row r="3242">
      <c r="A3242" s="3">
        <f>IFERROR(__xludf.DUMMYFUNCTION("""COMPUTED_VALUE"""),42226.64583333333)</f>
        <v>42226.64583</v>
      </c>
      <c r="B3242" s="2">
        <f>IFERROR(__xludf.DUMMYFUNCTION("""COMPUTED_VALUE"""),487.61)</f>
        <v>487.61</v>
      </c>
      <c r="C3242" s="2">
        <f>IFERROR(__xludf.DUMMYFUNCTION("""COMPUTED_VALUE"""),489.74)</f>
        <v>489.74</v>
      </c>
      <c r="D3242" s="2">
        <f>IFERROR(__xludf.DUMMYFUNCTION("""COMPUTED_VALUE"""),477.7)</f>
        <v>477.7</v>
      </c>
      <c r="E3242" s="2">
        <f>IFERROR(__xludf.DUMMYFUNCTION("""COMPUTED_VALUE"""),479.88)</f>
        <v>479.88</v>
      </c>
      <c r="F3242" s="2">
        <f>IFERROR(__xludf.DUMMYFUNCTION("""COMPUTED_VALUE"""),2123285.0)</f>
        <v>2123285</v>
      </c>
    </row>
    <row r="3243">
      <c r="A3243" s="3">
        <f>IFERROR(__xludf.DUMMYFUNCTION("""COMPUTED_VALUE"""),42227.64583333333)</f>
        <v>42227.64583</v>
      </c>
      <c r="B3243" s="2">
        <f>IFERROR(__xludf.DUMMYFUNCTION("""COMPUTED_VALUE"""),480.92)</f>
        <v>480.92</v>
      </c>
      <c r="C3243" s="2">
        <f>IFERROR(__xludf.DUMMYFUNCTION("""COMPUTED_VALUE"""),482.24)</f>
        <v>482.24</v>
      </c>
      <c r="D3243" s="2">
        <f>IFERROR(__xludf.DUMMYFUNCTION("""COMPUTED_VALUE"""),474.48)</f>
        <v>474.48</v>
      </c>
      <c r="E3243" s="2">
        <f>IFERROR(__xludf.DUMMYFUNCTION("""COMPUTED_VALUE"""),478.45)</f>
        <v>478.45</v>
      </c>
      <c r="F3243" s="2">
        <f>IFERROR(__xludf.DUMMYFUNCTION("""COMPUTED_VALUE"""),2002952.0)</f>
        <v>2002952</v>
      </c>
    </row>
    <row r="3244">
      <c r="A3244" s="3">
        <f>IFERROR(__xludf.DUMMYFUNCTION("""COMPUTED_VALUE"""),42228.64583333333)</f>
        <v>42228.64583</v>
      </c>
      <c r="B3244" s="2">
        <f>IFERROR(__xludf.DUMMYFUNCTION("""COMPUTED_VALUE"""),477.26)</f>
        <v>477.26</v>
      </c>
      <c r="C3244" s="2">
        <f>IFERROR(__xludf.DUMMYFUNCTION("""COMPUTED_VALUE"""),0.0)</f>
        <v>0</v>
      </c>
      <c r="D3244" s="2">
        <f>IFERROR(__xludf.DUMMYFUNCTION("""COMPUTED_VALUE"""),0.0)</f>
        <v>0</v>
      </c>
      <c r="E3244" s="2">
        <f>IFERROR(__xludf.DUMMYFUNCTION("""COMPUTED_VALUE"""),478.45)</f>
        <v>478.45</v>
      </c>
      <c r="F3244" s="2">
        <f>IFERROR(__xludf.DUMMYFUNCTION("""COMPUTED_VALUE"""),0.0)</f>
        <v>0</v>
      </c>
    </row>
    <row r="3245">
      <c r="A3245" s="3">
        <f>IFERROR(__xludf.DUMMYFUNCTION("""COMPUTED_VALUE"""),42229.64583333333)</f>
        <v>42229.64583</v>
      </c>
      <c r="B3245" s="2">
        <f>IFERROR(__xludf.DUMMYFUNCTION("""COMPUTED_VALUE"""),469.04)</f>
        <v>469.04</v>
      </c>
      <c r="C3245" s="2">
        <f>IFERROR(__xludf.DUMMYFUNCTION("""COMPUTED_VALUE"""),472.48)</f>
        <v>472.48</v>
      </c>
      <c r="D3245" s="2">
        <f>IFERROR(__xludf.DUMMYFUNCTION("""COMPUTED_VALUE"""),460.32)</f>
        <v>460.32</v>
      </c>
      <c r="E3245" s="2">
        <f>IFERROR(__xludf.DUMMYFUNCTION("""COMPUTED_VALUE"""),462.28)</f>
        <v>462.28</v>
      </c>
      <c r="F3245" s="2">
        <f>IFERROR(__xludf.DUMMYFUNCTION("""COMPUTED_VALUE"""),2135047.0)</f>
        <v>2135047</v>
      </c>
    </row>
    <row r="3246">
      <c r="A3246" s="3">
        <f>IFERROR(__xludf.DUMMYFUNCTION("""COMPUTED_VALUE"""),42230.64583333333)</f>
        <v>42230.64583</v>
      </c>
      <c r="B3246" s="2">
        <f>IFERROR(__xludf.DUMMYFUNCTION("""COMPUTED_VALUE"""),465.69)</f>
        <v>465.69</v>
      </c>
      <c r="C3246" s="2">
        <f>IFERROR(__xludf.DUMMYFUNCTION("""COMPUTED_VALUE"""),481.42)</f>
        <v>481.42</v>
      </c>
      <c r="D3246" s="2">
        <f>IFERROR(__xludf.DUMMYFUNCTION("""COMPUTED_VALUE"""),462.75)</f>
        <v>462.75</v>
      </c>
      <c r="E3246" s="2">
        <f>IFERROR(__xludf.DUMMYFUNCTION("""COMPUTED_VALUE"""),478.92)</f>
        <v>478.92</v>
      </c>
      <c r="F3246" s="2">
        <f>IFERROR(__xludf.DUMMYFUNCTION("""COMPUTED_VALUE"""),2912005.0)</f>
        <v>2912005</v>
      </c>
    </row>
    <row r="3247">
      <c r="A3247" s="3">
        <f>IFERROR(__xludf.DUMMYFUNCTION("""COMPUTED_VALUE"""),42233.64583333333)</f>
        <v>42233.64583</v>
      </c>
      <c r="B3247" s="2">
        <f>IFERROR(__xludf.DUMMYFUNCTION("""COMPUTED_VALUE"""),478.45)</f>
        <v>478.45</v>
      </c>
      <c r="C3247" s="2">
        <f>IFERROR(__xludf.DUMMYFUNCTION("""COMPUTED_VALUE"""),478.45)</f>
        <v>478.45</v>
      </c>
      <c r="D3247" s="2">
        <f>IFERROR(__xludf.DUMMYFUNCTION("""COMPUTED_VALUE"""),468.57)</f>
        <v>468.57</v>
      </c>
      <c r="E3247" s="2">
        <f>IFERROR(__xludf.DUMMYFUNCTION("""COMPUTED_VALUE"""),470.87)</f>
        <v>470.87</v>
      </c>
      <c r="F3247" s="2">
        <f>IFERROR(__xludf.DUMMYFUNCTION("""COMPUTED_VALUE"""),2481826.0)</f>
        <v>2481826</v>
      </c>
    </row>
    <row r="3248">
      <c r="A3248" s="3">
        <f>IFERROR(__xludf.DUMMYFUNCTION("""COMPUTED_VALUE"""),42234.64583333333)</f>
        <v>42234.64583</v>
      </c>
      <c r="B3248" s="2">
        <f>IFERROR(__xludf.DUMMYFUNCTION("""COMPUTED_VALUE"""),473.49)</f>
        <v>473.49</v>
      </c>
      <c r="C3248" s="2">
        <f>IFERROR(__xludf.DUMMYFUNCTION("""COMPUTED_VALUE"""),473.49)</f>
        <v>473.49</v>
      </c>
      <c r="D3248" s="2">
        <f>IFERROR(__xludf.DUMMYFUNCTION("""COMPUTED_VALUE"""),466.66)</f>
        <v>466.66</v>
      </c>
      <c r="E3248" s="2">
        <f>IFERROR(__xludf.DUMMYFUNCTION("""COMPUTED_VALUE"""),467.6)</f>
        <v>467.6</v>
      </c>
      <c r="F3248" s="2">
        <f>IFERROR(__xludf.DUMMYFUNCTION("""COMPUTED_VALUE"""),1515583.0)</f>
        <v>1515583</v>
      </c>
    </row>
    <row r="3249">
      <c r="A3249" s="3">
        <f>IFERROR(__xludf.DUMMYFUNCTION("""COMPUTED_VALUE"""),42235.64583333333)</f>
        <v>42235.64583</v>
      </c>
      <c r="B3249" s="2">
        <f>IFERROR(__xludf.DUMMYFUNCTION("""COMPUTED_VALUE"""),467.55)</f>
        <v>467.55</v>
      </c>
      <c r="C3249" s="2">
        <f>IFERROR(__xludf.DUMMYFUNCTION("""COMPUTED_VALUE"""),475.97)</f>
        <v>475.97</v>
      </c>
      <c r="D3249" s="2">
        <f>IFERROR(__xludf.DUMMYFUNCTION("""COMPUTED_VALUE"""),465.3)</f>
        <v>465.3</v>
      </c>
      <c r="E3249" s="2">
        <f>IFERROR(__xludf.DUMMYFUNCTION("""COMPUTED_VALUE"""),472.8)</f>
        <v>472.8</v>
      </c>
      <c r="F3249" s="2">
        <f>IFERROR(__xludf.DUMMYFUNCTION("""COMPUTED_VALUE"""),2029201.0)</f>
        <v>2029201</v>
      </c>
    </row>
    <row r="3250">
      <c r="A3250" s="3">
        <f>IFERROR(__xludf.DUMMYFUNCTION("""COMPUTED_VALUE"""),42236.64583333333)</f>
        <v>42236.64583</v>
      </c>
      <c r="B3250" s="2">
        <f>IFERROR(__xludf.DUMMYFUNCTION("""COMPUTED_VALUE"""),475.45)</f>
        <v>475.45</v>
      </c>
      <c r="C3250" s="2">
        <f>IFERROR(__xludf.DUMMYFUNCTION("""COMPUTED_VALUE"""),475.45)</f>
        <v>475.45</v>
      </c>
      <c r="D3250" s="2">
        <f>IFERROR(__xludf.DUMMYFUNCTION("""COMPUTED_VALUE"""),452.57)</f>
        <v>452.57</v>
      </c>
      <c r="E3250" s="2">
        <f>IFERROR(__xludf.DUMMYFUNCTION("""COMPUTED_VALUE"""),453.83)</f>
        <v>453.83</v>
      </c>
      <c r="F3250" s="2">
        <f>IFERROR(__xludf.DUMMYFUNCTION("""COMPUTED_VALUE"""),4344929.0)</f>
        <v>4344929</v>
      </c>
    </row>
    <row r="3251">
      <c r="A3251" s="3">
        <f>IFERROR(__xludf.DUMMYFUNCTION("""COMPUTED_VALUE"""),42237.64583333333)</f>
        <v>42237.64583</v>
      </c>
      <c r="B3251" s="2">
        <f>IFERROR(__xludf.DUMMYFUNCTION("""COMPUTED_VALUE"""),450.71)</f>
        <v>450.71</v>
      </c>
      <c r="C3251" s="2">
        <f>IFERROR(__xludf.DUMMYFUNCTION("""COMPUTED_VALUE"""),451.65)</f>
        <v>451.65</v>
      </c>
      <c r="D3251" s="2">
        <f>IFERROR(__xludf.DUMMYFUNCTION("""COMPUTED_VALUE"""),444.27)</f>
        <v>444.27</v>
      </c>
      <c r="E3251" s="2">
        <f>IFERROR(__xludf.DUMMYFUNCTION("""COMPUTED_VALUE"""),449.7)</f>
        <v>449.7</v>
      </c>
      <c r="F3251" s="2">
        <f>IFERROR(__xludf.DUMMYFUNCTION("""COMPUTED_VALUE"""),4583212.0)</f>
        <v>4583212</v>
      </c>
    </row>
    <row r="3252">
      <c r="A3252" s="3">
        <f>IFERROR(__xludf.DUMMYFUNCTION("""COMPUTED_VALUE"""),42240.64583333333)</f>
        <v>42240.64583</v>
      </c>
      <c r="B3252" s="2">
        <f>IFERROR(__xludf.DUMMYFUNCTION("""COMPUTED_VALUE"""),435.85)</f>
        <v>435.85</v>
      </c>
      <c r="C3252" s="2">
        <f>IFERROR(__xludf.DUMMYFUNCTION("""COMPUTED_VALUE"""),435.85)</f>
        <v>435.85</v>
      </c>
      <c r="D3252" s="2">
        <f>IFERROR(__xludf.DUMMYFUNCTION("""COMPUTED_VALUE"""),405.14)</f>
        <v>405.14</v>
      </c>
      <c r="E3252" s="2">
        <f>IFERROR(__xludf.DUMMYFUNCTION("""COMPUTED_VALUE"""),410.87)</f>
        <v>410.87</v>
      </c>
      <c r="F3252" s="2">
        <f>IFERROR(__xludf.DUMMYFUNCTION("""COMPUTED_VALUE"""),8145723.0)</f>
        <v>8145723</v>
      </c>
    </row>
    <row r="3253">
      <c r="A3253" s="3">
        <f>IFERROR(__xludf.DUMMYFUNCTION("""COMPUTED_VALUE"""),42241.64583333333)</f>
        <v>42241.64583</v>
      </c>
      <c r="B3253" s="2">
        <f>IFERROR(__xludf.DUMMYFUNCTION("""COMPUTED_VALUE"""),416.46)</f>
        <v>416.46</v>
      </c>
      <c r="C3253" s="2">
        <f>IFERROR(__xludf.DUMMYFUNCTION("""COMPUTED_VALUE"""),426.27)</f>
        <v>426.27</v>
      </c>
      <c r="D3253" s="2">
        <f>IFERROR(__xludf.DUMMYFUNCTION("""COMPUTED_VALUE"""),407.72)</f>
        <v>407.72</v>
      </c>
      <c r="E3253" s="2">
        <f>IFERROR(__xludf.DUMMYFUNCTION("""COMPUTED_VALUE"""),420.08)</f>
        <v>420.08</v>
      </c>
      <c r="F3253" s="2">
        <f>IFERROR(__xludf.DUMMYFUNCTION("""COMPUTED_VALUE"""),1.1315843E7)</f>
        <v>11315843</v>
      </c>
    </row>
    <row r="3254">
      <c r="A3254" s="3">
        <f>IFERROR(__xludf.DUMMYFUNCTION("""COMPUTED_VALUE"""),42242.64583333333)</f>
        <v>42242.64583</v>
      </c>
      <c r="B3254" s="2">
        <f>IFERROR(__xludf.DUMMYFUNCTION("""COMPUTED_VALUE"""),419.9)</f>
        <v>419.9</v>
      </c>
      <c r="C3254" s="2">
        <f>IFERROR(__xludf.DUMMYFUNCTION("""COMPUTED_VALUE"""),433.28)</f>
        <v>433.28</v>
      </c>
      <c r="D3254" s="2">
        <f>IFERROR(__xludf.DUMMYFUNCTION("""COMPUTED_VALUE"""),416.04)</f>
        <v>416.04</v>
      </c>
      <c r="E3254" s="2">
        <f>IFERROR(__xludf.DUMMYFUNCTION("""COMPUTED_VALUE"""),422.68)</f>
        <v>422.68</v>
      </c>
      <c r="F3254" s="2">
        <f>IFERROR(__xludf.DUMMYFUNCTION("""COMPUTED_VALUE"""),4332912.0)</f>
        <v>4332912</v>
      </c>
    </row>
    <row r="3255">
      <c r="A3255" s="3">
        <f>IFERROR(__xludf.DUMMYFUNCTION("""COMPUTED_VALUE"""),42243.64583333333)</f>
        <v>42243.64583</v>
      </c>
      <c r="B3255" s="2">
        <f>IFERROR(__xludf.DUMMYFUNCTION("""COMPUTED_VALUE"""),429.31)</f>
        <v>429.31</v>
      </c>
      <c r="C3255" s="2">
        <f>IFERROR(__xludf.DUMMYFUNCTION("""COMPUTED_VALUE"""),436.47)</f>
        <v>436.47</v>
      </c>
      <c r="D3255" s="2">
        <f>IFERROR(__xludf.DUMMYFUNCTION("""COMPUTED_VALUE"""),424.49)</f>
        <v>424.49</v>
      </c>
      <c r="E3255" s="2">
        <f>IFERROR(__xludf.DUMMYFUNCTION("""COMPUTED_VALUE"""),430.48)</f>
        <v>430.48</v>
      </c>
      <c r="F3255" s="2">
        <f>IFERROR(__xludf.DUMMYFUNCTION("""COMPUTED_VALUE"""),6171185.0)</f>
        <v>6171185</v>
      </c>
    </row>
    <row r="3256">
      <c r="A3256" s="3">
        <f>IFERROR(__xludf.DUMMYFUNCTION("""COMPUTED_VALUE"""),42244.64583333333)</f>
        <v>42244.64583</v>
      </c>
      <c r="B3256" s="2">
        <f>IFERROR(__xludf.DUMMYFUNCTION("""COMPUTED_VALUE"""),433.38)</f>
        <v>433.38</v>
      </c>
      <c r="C3256" s="2">
        <f>IFERROR(__xludf.DUMMYFUNCTION("""COMPUTED_VALUE"""),437.34)</f>
        <v>437.34</v>
      </c>
      <c r="D3256" s="2">
        <f>IFERROR(__xludf.DUMMYFUNCTION("""COMPUTED_VALUE"""),428.97)</f>
        <v>428.97</v>
      </c>
      <c r="E3256" s="2">
        <f>IFERROR(__xludf.DUMMYFUNCTION("""COMPUTED_VALUE"""),432.09)</f>
        <v>432.09</v>
      </c>
      <c r="F3256" s="2">
        <f>IFERROR(__xludf.DUMMYFUNCTION("""COMPUTED_VALUE"""),2461890.0)</f>
        <v>2461890</v>
      </c>
    </row>
    <row r="3257">
      <c r="A3257" s="3">
        <f>IFERROR(__xludf.DUMMYFUNCTION("""COMPUTED_VALUE"""),42247.64583333333)</f>
        <v>42247.64583</v>
      </c>
      <c r="B3257" s="2">
        <f>IFERROR(__xludf.DUMMYFUNCTION("""COMPUTED_VALUE"""),432.31)</f>
        <v>432.31</v>
      </c>
      <c r="C3257" s="2">
        <f>IFERROR(__xludf.DUMMYFUNCTION("""COMPUTED_VALUE"""),432.31)</f>
        <v>432.31</v>
      </c>
      <c r="D3257" s="2">
        <f>IFERROR(__xludf.DUMMYFUNCTION("""COMPUTED_VALUE"""),422.88)</f>
        <v>422.88</v>
      </c>
      <c r="E3257" s="2">
        <f>IFERROR(__xludf.DUMMYFUNCTION("""COMPUTED_VALUE"""),423.92)</f>
        <v>423.92</v>
      </c>
      <c r="F3257" s="2">
        <f>IFERROR(__xludf.DUMMYFUNCTION("""COMPUTED_VALUE"""),4733716.0)</f>
        <v>4733716</v>
      </c>
    </row>
    <row r="3258">
      <c r="A3258" s="3">
        <f>IFERROR(__xludf.DUMMYFUNCTION("""COMPUTED_VALUE"""),42248.64583333333)</f>
        <v>42248.64583</v>
      </c>
      <c r="B3258" s="2">
        <f>IFERROR(__xludf.DUMMYFUNCTION("""COMPUTED_VALUE"""),422.93)</f>
        <v>422.93</v>
      </c>
      <c r="C3258" s="2">
        <f>IFERROR(__xludf.DUMMYFUNCTION("""COMPUTED_VALUE"""),422.93)</f>
        <v>422.93</v>
      </c>
      <c r="D3258" s="2">
        <f>IFERROR(__xludf.DUMMYFUNCTION("""COMPUTED_VALUE"""),413.61)</f>
        <v>413.61</v>
      </c>
      <c r="E3258" s="2">
        <f>IFERROR(__xludf.DUMMYFUNCTION("""COMPUTED_VALUE"""),415.97)</f>
        <v>415.97</v>
      </c>
      <c r="F3258" s="2">
        <f>IFERROR(__xludf.DUMMYFUNCTION("""COMPUTED_VALUE"""),4947842.0)</f>
        <v>4947842</v>
      </c>
    </row>
    <row r="3259">
      <c r="A3259" s="3">
        <f>IFERROR(__xludf.DUMMYFUNCTION("""COMPUTED_VALUE"""),42249.64583333333)</f>
        <v>42249.64583</v>
      </c>
      <c r="B3259" s="2">
        <f>IFERROR(__xludf.DUMMYFUNCTION("""COMPUTED_VALUE"""),420.99)</f>
        <v>420.99</v>
      </c>
      <c r="C3259" s="2">
        <f>IFERROR(__xludf.DUMMYFUNCTION("""COMPUTED_VALUE"""),424.51)</f>
        <v>424.51</v>
      </c>
      <c r="D3259" s="2">
        <f>IFERROR(__xludf.DUMMYFUNCTION("""COMPUTED_VALUE"""),417.33)</f>
        <v>417.33</v>
      </c>
      <c r="E3259" s="2">
        <f>IFERROR(__xludf.DUMMYFUNCTION("""COMPUTED_VALUE"""),420.77)</f>
        <v>420.77</v>
      </c>
      <c r="F3259" s="2">
        <f>IFERROR(__xludf.DUMMYFUNCTION("""COMPUTED_VALUE"""),4492201.0)</f>
        <v>4492201</v>
      </c>
    </row>
    <row r="3260">
      <c r="A3260" s="3">
        <f>IFERROR(__xludf.DUMMYFUNCTION("""COMPUTED_VALUE"""),42250.64583333333)</f>
        <v>42250.64583</v>
      </c>
      <c r="B3260" s="2">
        <f>IFERROR(__xludf.DUMMYFUNCTION("""COMPUTED_VALUE"""),423.0)</f>
        <v>423</v>
      </c>
      <c r="C3260" s="2">
        <f>IFERROR(__xludf.DUMMYFUNCTION("""COMPUTED_VALUE"""),426.32)</f>
        <v>426.32</v>
      </c>
      <c r="D3260" s="2">
        <f>IFERROR(__xludf.DUMMYFUNCTION("""COMPUTED_VALUE"""),418.22)</f>
        <v>418.22</v>
      </c>
      <c r="E3260" s="2">
        <f>IFERROR(__xludf.DUMMYFUNCTION("""COMPUTED_VALUE"""),422.9)</f>
        <v>422.9</v>
      </c>
      <c r="F3260" s="2">
        <f>IFERROR(__xludf.DUMMYFUNCTION("""COMPUTED_VALUE"""),2665275.0)</f>
        <v>2665275</v>
      </c>
    </row>
    <row r="3261">
      <c r="A3261" s="3">
        <f>IFERROR(__xludf.DUMMYFUNCTION("""COMPUTED_VALUE"""),42251.64583333333)</f>
        <v>42251.64583</v>
      </c>
      <c r="B3261" s="2">
        <f>IFERROR(__xludf.DUMMYFUNCTION("""COMPUTED_VALUE"""),420.85)</f>
        <v>420.85</v>
      </c>
      <c r="C3261" s="2">
        <f>IFERROR(__xludf.DUMMYFUNCTION("""COMPUTED_VALUE"""),420.85)</f>
        <v>420.85</v>
      </c>
      <c r="D3261" s="2">
        <f>IFERROR(__xludf.DUMMYFUNCTION("""COMPUTED_VALUE"""),408.66)</f>
        <v>408.66</v>
      </c>
      <c r="E3261" s="2">
        <f>IFERROR(__xludf.DUMMYFUNCTION("""COMPUTED_VALUE"""),414.01)</f>
        <v>414.01</v>
      </c>
      <c r="F3261" s="2">
        <f>IFERROR(__xludf.DUMMYFUNCTION("""COMPUTED_VALUE"""),3703036.0)</f>
        <v>3703036</v>
      </c>
    </row>
    <row r="3262">
      <c r="A3262" s="3">
        <f>IFERROR(__xludf.DUMMYFUNCTION("""COMPUTED_VALUE"""),42254.64583333333)</f>
        <v>42254.64583</v>
      </c>
      <c r="B3262" s="2">
        <f>IFERROR(__xludf.DUMMYFUNCTION("""COMPUTED_VALUE"""),415.17)</f>
        <v>415.17</v>
      </c>
      <c r="C3262" s="2">
        <f>IFERROR(__xludf.DUMMYFUNCTION("""COMPUTED_VALUE"""),418.02)</f>
        <v>418.02</v>
      </c>
      <c r="D3262" s="2">
        <f>IFERROR(__xludf.DUMMYFUNCTION("""COMPUTED_VALUE"""),409.95)</f>
        <v>409.95</v>
      </c>
      <c r="E3262" s="2">
        <f>IFERROR(__xludf.DUMMYFUNCTION("""COMPUTED_VALUE"""),412.67)</f>
        <v>412.67</v>
      </c>
      <c r="F3262" s="2">
        <f>IFERROR(__xludf.DUMMYFUNCTION("""COMPUTED_VALUE"""),2339465.0)</f>
        <v>2339465</v>
      </c>
    </row>
    <row r="3263">
      <c r="A3263" s="3">
        <f>IFERROR(__xludf.DUMMYFUNCTION("""COMPUTED_VALUE"""),42255.64583333333)</f>
        <v>42255.64583</v>
      </c>
      <c r="B3263" s="2">
        <f>IFERROR(__xludf.DUMMYFUNCTION("""COMPUTED_VALUE"""),414.06)</f>
        <v>414.06</v>
      </c>
      <c r="C3263" s="2">
        <f>IFERROR(__xludf.DUMMYFUNCTION("""COMPUTED_VALUE"""),422.45)</f>
        <v>422.45</v>
      </c>
      <c r="D3263" s="2">
        <f>IFERROR(__xludf.DUMMYFUNCTION("""COMPUTED_VALUE"""),408.66)</f>
        <v>408.66</v>
      </c>
      <c r="E3263" s="2">
        <f>IFERROR(__xludf.DUMMYFUNCTION("""COMPUTED_VALUE"""),420.3)</f>
        <v>420.3</v>
      </c>
      <c r="F3263" s="2">
        <f>IFERROR(__xludf.DUMMYFUNCTION("""COMPUTED_VALUE"""),2948830.0)</f>
        <v>2948830</v>
      </c>
    </row>
    <row r="3264">
      <c r="A3264" s="3">
        <f>IFERROR(__xludf.DUMMYFUNCTION("""COMPUTED_VALUE"""),42256.64583333333)</f>
        <v>42256.64583</v>
      </c>
      <c r="B3264" s="2">
        <f>IFERROR(__xludf.DUMMYFUNCTION("""COMPUTED_VALUE"""),426.44)</f>
        <v>426.44</v>
      </c>
      <c r="C3264" s="2">
        <f>IFERROR(__xludf.DUMMYFUNCTION("""COMPUTED_VALUE"""),435.21)</f>
        <v>435.21</v>
      </c>
      <c r="D3264" s="2">
        <f>IFERROR(__xludf.DUMMYFUNCTION("""COMPUTED_VALUE"""),421.24)</f>
        <v>421.24</v>
      </c>
      <c r="E3264" s="2">
        <f>IFERROR(__xludf.DUMMYFUNCTION("""COMPUTED_VALUE"""),432.91)</f>
        <v>432.91</v>
      </c>
      <c r="F3264" s="2">
        <f>IFERROR(__xludf.DUMMYFUNCTION("""COMPUTED_VALUE"""),3963791.0)</f>
        <v>3963791</v>
      </c>
    </row>
    <row r="3265">
      <c r="A3265" s="3">
        <f>IFERROR(__xludf.DUMMYFUNCTION("""COMPUTED_VALUE"""),42257.64583333333)</f>
        <v>42257.64583</v>
      </c>
      <c r="B3265" s="2">
        <f>IFERROR(__xludf.DUMMYFUNCTION("""COMPUTED_VALUE"""),426.44)</f>
        <v>426.44</v>
      </c>
      <c r="C3265" s="2">
        <f>IFERROR(__xludf.DUMMYFUNCTION("""COMPUTED_VALUE"""),431.15)</f>
        <v>431.15</v>
      </c>
      <c r="D3265" s="2">
        <f>IFERROR(__xludf.DUMMYFUNCTION("""COMPUTED_VALUE"""),423.72)</f>
        <v>423.72</v>
      </c>
      <c r="E3265" s="2">
        <f>IFERROR(__xludf.DUMMYFUNCTION("""COMPUTED_VALUE"""),429.41)</f>
        <v>429.41</v>
      </c>
      <c r="F3265" s="2">
        <f>IFERROR(__xludf.DUMMYFUNCTION("""COMPUTED_VALUE"""),2531423.0)</f>
        <v>2531423</v>
      </c>
    </row>
    <row r="3266">
      <c r="A3266" s="3">
        <f>IFERROR(__xludf.DUMMYFUNCTION("""COMPUTED_VALUE"""),42258.64583333333)</f>
        <v>42258.64583</v>
      </c>
      <c r="B3266" s="2">
        <f>IFERROR(__xludf.DUMMYFUNCTION("""COMPUTED_VALUE"""),431.89)</f>
        <v>431.89</v>
      </c>
      <c r="C3266" s="2">
        <f>IFERROR(__xludf.DUMMYFUNCTION("""COMPUTED_VALUE"""),433.92)</f>
        <v>433.92</v>
      </c>
      <c r="D3266" s="2">
        <f>IFERROR(__xludf.DUMMYFUNCTION("""COMPUTED_VALUE"""),424.06)</f>
        <v>424.06</v>
      </c>
      <c r="E3266" s="2">
        <f>IFERROR(__xludf.DUMMYFUNCTION("""COMPUTED_VALUE"""),426.42)</f>
        <v>426.42</v>
      </c>
      <c r="F3266" s="2">
        <f>IFERROR(__xludf.DUMMYFUNCTION("""COMPUTED_VALUE"""),2430944.0)</f>
        <v>2430944</v>
      </c>
    </row>
    <row r="3267">
      <c r="A3267" s="3">
        <f>IFERROR(__xludf.DUMMYFUNCTION("""COMPUTED_VALUE"""),42261.64583333333)</f>
        <v>42261.64583</v>
      </c>
      <c r="B3267" s="2">
        <f>IFERROR(__xludf.DUMMYFUNCTION("""COMPUTED_VALUE"""),426.81)</f>
        <v>426.81</v>
      </c>
      <c r="C3267" s="2">
        <f>IFERROR(__xludf.DUMMYFUNCTION("""COMPUTED_VALUE"""),428.77)</f>
        <v>428.77</v>
      </c>
      <c r="D3267" s="2">
        <f>IFERROR(__xludf.DUMMYFUNCTION("""COMPUTED_VALUE"""),421.93)</f>
        <v>421.93</v>
      </c>
      <c r="E3267" s="2">
        <f>IFERROR(__xludf.DUMMYFUNCTION("""COMPUTED_VALUE"""),427.85)</f>
        <v>427.85</v>
      </c>
      <c r="F3267" s="2">
        <f>IFERROR(__xludf.DUMMYFUNCTION("""COMPUTED_VALUE"""),1820453.0)</f>
        <v>1820453</v>
      </c>
    </row>
    <row r="3268">
      <c r="A3268" s="3">
        <f>IFERROR(__xludf.DUMMYFUNCTION("""COMPUTED_VALUE"""),42262.64583333333)</f>
        <v>42262.64583</v>
      </c>
      <c r="B3268" s="2">
        <f>IFERROR(__xludf.DUMMYFUNCTION("""COMPUTED_VALUE"""),426.94)</f>
        <v>426.94</v>
      </c>
      <c r="C3268" s="2">
        <f>IFERROR(__xludf.DUMMYFUNCTION("""COMPUTED_VALUE"""),430.9)</f>
        <v>430.9</v>
      </c>
      <c r="D3268" s="2">
        <f>IFERROR(__xludf.DUMMYFUNCTION("""COMPUTED_VALUE"""),423.77)</f>
        <v>423.77</v>
      </c>
      <c r="E3268" s="2">
        <f>IFERROR(__xludf.DUMMYFUNCTION("""COMPUTED_VALUE"""),429.41)</f>
        <v>429.41</v>
      </c>
      <c r="F3268" s="2">
        <f>IFERROR(__xludf.DUMMYFUNCTION("""COMPUTED_VALUE"""),2630944.0)</f>
        <v>2630944</v>
      </c>
    </row>
    <row r="3269">
      <c r="A3269" s="3">
        <f>IFERROR(__xludf.DUMMYFUNCTION("""COMPUTED_VALUE"""),42263.64583333333)</f>
        <v>42263.64583</v>
      </c>
      <c r="B3269" s="2">
        <f>IFERROR(__xludf.DUMMYFUNCTION("""COMPUTED_VALUE"""),431.94)</f>
        <v>431.94</v>
      </c>
      <c r="C3269" s="2">
        <f>IFERROR(__xludf.DUMMYFUNCTION("""COMPUTED_VALUE"""),434.54)</f>
        <v>434.54</v>
      </c>
      <c r="D3269" s="2">
        <f>IFERROR(__xludf.DUMMYFUNCTION("""COMPUTED_VALUE"""),428.52)</f>
        <v>428.52</v>
      </c>
      <c r="E3269" s="2">
        <f>IFERROR(__xludf.DUMMYFUNCTION("""COMPUTED_VALUE"""),432.16)</f>
        <v>432.16</v>
      </c>
      <c r="F3269" s="2">
        <f>IFERROR(__xludf.DUMMYFUNCTION("""COMPUTED_VALUE"""),3068686.0)</f>
        <v>3068686</v>
      </c>
    </row>
    <row r="3270">
      <c r="A3270" s="3">
        <f>IFERROR(__xludf.DUMMYFUNCTION("""COMPUTED_VALUE"""),42265.64583333333)</f>
        <v>42265.64583</v>
      </c>
      <c r="B3270" s="2">
        <f>IFERROR(__xludf.DUMMYFUNCTION("""COMPUTED_VALUE"""),435.08)</f>
        <v>435.08</v>
      </c>
      <c r="C3270" s="2">
        <f>IFERROR(__xludf.DUMMYFUNCTION("""COMPUTED_VALUE"""),445.51)</f>
        <v>445.51</v>
      </c>
      <c r="D3270" s="2">
        <f>IFERROR(__xludf.DUMMYFUNCTION("""COMPUTED_VALUE"""),434.44)</f>
        <v>434.44</v>
      </c>
      <c r="E3270" s="2">
        <f>IFERROR(__xludf.DUMMYFUNCTION("""COMPUTED_VALUE"""),443.48)</f>
        <v>443.48</v>
      </c>
      <c r="F3270" s="2">
        <f>IFERROR(__xludf.DUMMYFUNCTION("""COMPUTED_VALUE"""),7831592.0)</f>
        <v>7831592</v>
      </c>
    </row>
    <row r="3271">
      <c r="A3271" s="3">
        <f>IFERROR(__xludf.DUMMYFUNCTION("""COMPUTED_VALUE"""),42268.64583333333)</f>
        <v>42268.64583</v>
      </c>
      <c r="B3271" s="2">
        <f>IFERROR(__xludf.DUMMYFUNCTION("""COMPUTED_VALUE"""),435.85)</f>
        <v>435.85</v>
      </c>
      <c r="C3271" s="2">
        <f>IFERROR(__xludf.DUMMYFUNCTION("""COMPUTED_VALUE"""),439.91)</f>
        <v>439.91</v>
      </c>
      <c r="D3271" s="2">
        <f>IFERROR(__xludf.DUMMYFUNCTION("""COMPUTED_VALUE"""),433.9)</f>
        <v>433.9</v>
      </c>
      <c r="E3271" s="2">
        <f>IFERROR(__xludf.DUMMYFUNCTION("""COMPUTED_VALUE"""),434.91)</f>
        <v>434.91</v>
      </c>
      <c r="F3271" s="2">
        <f>IFERROR(__xludf.DUMMYFUNCTION("""COMPUTED_VALUE"""),2910364.0)</f>
        <v>2910364</v>
      </c>
    </row>
    <row r="3272">
      <c r="A3272" s="3">
        <f>IFERROR(__xludf.DUMMYFUNCTION("""COMPUTED_VALUE"""),42269.64583333333)</f>
        <v>42269.64583</v>
      </c>
      <c r="B3272" s="2">
        <f>IFERROR(__xludf.DUMMYFUNCTION("""COMPUTED_VALUE"""),435.85)</f>
        <v>435.85</v>
      </c>
      <c r="C3272" s="2">
        <f>IFERROR(__xludf.DUMMYFUNCTION("""COMPUTED_VALUE"""),438.28)</f>
        <v>438.28</v>
      </c>
      <c r="D3272" s="2">
        <f>IFERROR(__xludf.DUMMYFUNCTION("""COMPUTED_VALUE"""),418.27)</f>
        <v>418.27</v>
      </c>
      <c r="E3272" s="2">
        <f>IFERROR(__xludf.DUMMYFUNCTION("""COMPUTED_VALUE"""),419.95)</f>
        <v>419.95</v>
      </c>
      <c r="F3272" s="2">
        <f>IFERROR(__xludf.DUMMYFUNCTION("""COMPUTED_VALUE"""),3599162.0)</f>
        <v>3599162</v>
      </c>
    </row>
    <row r="3273">
      <c r="A3273" s="3">
        <f>IFERROR(__xludf.DUMMYFUNCTION("""COMPUTED_VALUE"""),42270.64583333333)</f>
        <v>42270.64583</v>
      </c>
      <c r="B3273" s="2">
        <f>IFERROR(__xludf.DUMMYFUNCTION("""COMPUTED_VALUE"""),417.53)</f>
        <v>417.53</v>
      </c>
      <c r="C3273" s="2">
        <f>IFERROR(__xludf.DUMMYFUNCTION("""COMPUTED_VALUE"""),424.36)</f>
        <v>424.36</v>
      </c>
      <c r="D3273" s="2">
        <f>IFERROR(__xludf.DUMMYFUNCTION("""COMPUTED_VALUE"""),416.04)</f>
        <v>416.04</v>
      </c>
      <c r="E3273" s="2">
        <f>IFERROR(__xludf.DUMMYFUNCTION("""COMPUTED_VALUE"""),421.17)</f>
        <v>421.17</v>
      </c>
      <c r="F3273" s="2">
        <f>IFERROR(__xludf.DUMMYFUNCTION("""COMPUTED_VALUE"""),3479324.0)</f>
        <v>3479324</v>
      </c>
    </row>
    <row r="3274">
      <c r="A3274" s="3">
        <f>IFERROR(__xludf.DUMMYFUNCTION("""COMPUTED_VALUE"""),42271.64583333333)</f>
        <v>42271.64583</v>
      </c>
      <c r="B3274" s="2">
        <f>IFERROR(__xludf.DUMMYFUNCTION("""COMPUTED_VALUE"""),420.0)</f>
        <v>420</v>
      </c>
      <c r="C3274" s="2">
        <f>IFERROR(__xludf.DUMMYFUNCTION("""COMPUTED_VALUE"""),420.0)</f>
        <v>420</v>
      </c>
      <c r="D3274" s="2">
        <f>IFERROR(__xludf.DUMMYFUNCTION("""COMPUTED_VALUE"""),413.44)</f>
        <v>413.44</v>
      </c>
      <c r="E3274" s="2">
        <f>IFERROR(__xludf.DUMMYFUNCTION("""COMPUTED_VALUE"""),414.73)</f>
        <v>414.73</v>
      </c>
      <c r="F3274" s="2">
        <f>IFERROR(__xludf.DUMMYFUNCTION("""COMPUTED_VALUE"""),6646509.0)</f>
        <v>6646509</v>
      </c>
    </row>
    <row r="3275">
      <c r="A3275" s="3">
        <f>IFERROR(__xludf.DUMMYFUNCTION("""COMPUTED_VALUE"""),42275.64583333333)</f>
        <v>42275.64583</v>
      </c>
      <c r="B3275" s="2">
        <f>IFERROR(__xludf.DUMMYFUNCTION("""COMPUTED_VALUE"""),415.94)</f>
        <v>415.94</v>
      </c>
      <c r="C3275" s="2">
        <f>IFERROR(__xludf.DUMMYFUNCTION("""COMPUTED_VALUE"""),416.49)</f>
        <v>416.49</v>
      </c>
      <c r="D3275" s="2">
        <f>IFERROR(__xludf.DUMMYFUNCTION("""COMPUTED_VALUE"""),410.44)</f>
        <v>410.44</v>
      </c>
      <c r="E3275" s="2">
        <f>IFERROR(__xludf.DUMMYFUNCTION("""COMPUTED_VALUE"""),413.19)</f>
        <v>413.19</v>
      </c>
      <c r="F3275" s="2">
        <f>IFERROR(__xludf.DUMMYFUNCTION("""COMPUTED_VALUE"""),2657197.0)</f>
        <v>2657197</v>
      </c>
    </row>
    <row r="3276">
      <c r="A3276" s="3">
        <f>IFERROR(__xludf.DUMMYFUNCTION("""COMPUTED_VALUE"""),42276.64583333333)</f>
        <v>42276.64583</v>
      </c>
      <c r="B3276" s="2">
        <f>IFERROR(__xludf.DUMMYFUNCTION("""COMPUTED_VALUE"""),411.09)</f>
        <v>411.09</v>
      </c>
      <c r="C3276" s="2">
        <f>IFERROR(__xludf.DUMMYFUNCTION("""COMPUTED_VALUE"""),421.12)</f>
        <v>421.12</v>
      </c>
      <c r="D3276" s="2">
        <f>IFERROR(__xludf.DUMMYFUNCTION("""COMPUTED_VALUE"""),409.16)</f>
        <v>409.16</v>
      </c>
      <c r="E3276" s="2">
        <f>IFERROR(__xludf.DUMMYFUNCTION("""COMPUTED_VALUE"""),416.41)</f>
        <v>416.41</v>
      </c>
      <c r="F3276" s="2">
        <f>IFERROR(__xludf.DUMMYFUNCTION("""COMPUTED_VALUE"""),3623837.0)</f>
        <v>3623837</v>
      </c>
    </row>
    <row r="3277">
      <c r="A3277" s="3">
        <f>IFERROR(__xludf.DUMMYFUNCTION("""COMPUTED_VALUE"""),42277.64583333333)</f>
        <v>42277.64583</v>
      </c>
      <c r="B3277" s="2">
        <f>IFERROR(__xludf.DUMMYFUNCTION("""COMPUTED_VALUE"""),421.49)</f>
        <v>421.49</v>
      </c>
      <c r="C3277" s="2">
        <f>IFERROR(__xludf.DUMMYFUNCTION("""COMPUTED_VALUE"""),428.32)</f>
        <v>428.32</v>
      </c>
      <c r="D3277" s="2">
        <f>IFERROR(__xludf.DUMMYFUNCTION("""COMPUTED_VALUE"""),415.3)</f>
        <v>415.3</v>
      </c>
      <c r="E3277" s="2">
        <f>IFERROR(__xludf.DUMMYFUNCTION("""COMPUTED_VALUE"""),427.09)</f>
        <v>427.09</v>
      </c>
      <c r="F3277" s="2">
        <f>IFERROR(__xludf.DUMMYFUNCTION("""COMPUTED_VALUE"""),3952665.0)</f>
        <v>3952665</v>
      </c>
    </row>
    <row r="3278">
      <c r="A3278" s="3">
        <f>IFERROR(__xludf.DUMMYFUNCTION("""COMPUTED_VALUE"""),42278.64583333333)</f>
        <v>42278.64583</v>
      </c>
      <c r="B3278" s="2">
        <f>IFERROR(__xludf.DUMMYFUNCTION("""COMPUTED_VALUE"""),432.86)</f>
        <v>432.86</v>
      </c>
      <c r="C3278" s="2">
        <f>IFERROR(__xludf.DUMMYFUNCTION("""COMPUTED_VALUE"""),432.86)</f>
        <v>432.86</v>
      </c>
      <c r="D3278" s="2">
        <f>IFERROR(__xludf.DUMMYFUNCTION("""COMPUTED_VALUE"""),425.25)</f>
        <v>425.25</v>
      </c>
      <c r="E3278" s="2">
        <f>IFERROR(__xludf.DUMMYFUNCTION("""COMPUTED_VALUE"""),428.27)</f>
        <v>428.27</v>
      </c>
      <c r="F3278" s="2">
        <f>IFERROR(__xludf.DUMMYFUNCTION("""COMPUTED_VALUE"""),1980306.0)</f>
        <v>1980306</v>
      </c>
    </row>
    <row r="3279">
      <c r="A3279" s="3">
        <f>IFERROR(__xludf.DUMMYFUNCTION("""COMPUTED_VALUE"""),42282.64583333333)</f>
        <v>42282.64583</v>
      </c>
      <c r="B3279" s="2">
        <f>IFERROR(__xludf.DUMMYFUNCTION("""COMPUTED_VALUE"""),427.33)</f>
        <v>427.33</v>
      </c>
      <c r="C3279" s="2">
        <f>IFERROR(__xludf.DUMMYFUNCTION("""COMPUTED_VALUE"""),440.81)</f>
        <v>440.81</v>
      </c>
      <c r="D3279" s="2">
        <f>IFERROR(__xludf.DUMMYFUNCTION("""COMPUTED_VALUE"""),426.86)</f>
        <v>426.86</v>
      </c>
      <c r="E3279" s="2">
        <f>IFERROR(__xludf.DUMMYFUNCTION("""COMPUTED_VALUE"""),439.81)</f>
        <v>439.81</v>
      </c>
      <c r="F3279" s="2">
        <f>IFERROR(__xludf.DUMMYFUNCTION("""COMPUTED_VALUE"""),3660854.0)</f>
        <v>3660854</v>
      </c>
    </row>
    <row r="3280">
      <c r="A3280" s="3">
        <f>IFERROR(__xludf.DUMMYFUNCTION("""COMPUTED_VALUE"""),42283.64583333333)</f>
        <v>42283.64583</v>
      </c>
      <c r="B3280" s="2">
        <f>IFERROR(__xludf.DUMMYFUNCTION("""COMPUTED_VALUE"""),443.6)</f>
        <v>443.6</v>
      </c>
      <c r="C3280" s="2">
        <f>IFERROR(__xludf.DUMMYFUNCTION("""COMPUTED_VALUE"""),446.01)</f>
        <v>446.01</v>
      </c>
      <c r="D3280" s="2">
        <f>IFERROR(__xludf.DUMMYFUNCTION("""COMPUTED_VALUE"""),438.7)</f>
        <v>438.7</v>
      </c>
      <c r="E3280" s="2">
        <f>IFERROR(__xludf.DUMMYFUNCTION("""COMPUTED_VALUE"""),444.79)</f>
        <v>444.79</v>
      </c>
      <c r="F3280" s="2">
        <f>IFERROR(__xludf.DUMMYFUNCTION("""COMPUTED_VALUE"""),2818498.0)</f>
        <v>2818498</v>
      </c>
    </row>
    <row r="3281">
      <c r="A3281" s="3">
        <f>IFERROR(__xludf.DUMMYFUNCTION("""COMPUTED_VALUE"""),42284.64583333333)</f>
        <v>42284.64583</v>
      </c>
      <c r="B3281" s="2">
        <f>IFERROR(__xludf.DUMMYFUNCTION("""COMPUTED_VALUE"""),443.13)</f>
        <v>443.13</v>
      </c>
      <c r="C3281" s="2">
        <f>IFERROR(__xludf.DUMMYFUNCTION("""COMPUTED_VALUE"""),454.7)</f>
        <v>454.7</v>
      </c>
      <c r="D3281" s="2">
        <f>IFERROR(__xludf.DUMMYFUNCTION("""COMPUTED_VALUE"""),441.3)</f>
        <v>441.3</v>
      </c>
      <c r="E3281" s="2">
        <f>IFERROR(__xludf.DUMMYFUNCTION("""COMPUTED_VALUE"""),452.59)</f>
        <v>452.59</v>
      </c>
      <c r="F3281" s="2">
        <f>IFERROR(__xludf.DUMMYFUNCTION("""COMPUTED_VALUE"""),2632179.0)</f>
        <v>2632179</v>
      </c>
    </row>
    <row r="3282">
      <c r="A3282" s="3">
        <f>IFERROR(__xludf.DUMMYFUNCTION("""COMPUTED_VALUE"""),42285.64583333333)</f>
        <v>42285.64583</v>
      </c>
      <c r="B3282" s="2">
        <f>IFERROR(__xludf.DUMMYFUNCTION("""COMPUTED_VALUE"""),453.14)</f>
        <v>453.14</v>
      </c>
      <c r="C3282" s="2">
        <f>IFERROR(__xludf.DUMMYFUNCTION("""COMPUTED_VALUE"""),453.14)</f>
        <v>453.14</v>
      </c>
      <c r="D3282" s="2">
        <f>IFERROR(__xludf.DUMMYFUNCTION("""COMPUTED_VALUE"""),438.95)</f>
        <v>438.95</v>
      </c>
      <c r="E3282" s="2">
        <f>IFERROR(__xludf.DUMMYFUNCTION("""COMPUTED_VALUE"""),440.36)</f>
        <v>440.36</v>
      </c>
      <c r="F3282" s="2">
        <f>IFERROR(__xludf.DUMMYFUNCTION("""COMPUTED_VALUE"""),2457989.0)</f>
        <v>2457989</v>
      </c>
    </row>
    <row r="3283">
      <c r="A3283" s="3">
        <f>IFERROR(__xludf.DUMMYFUNCTION("""COMPUTED_VALUE"""),42286.64583333333)</f>
        <v>42286.64583</v>
      </c>
      <c r="B3283" s="2">
        <f>IFERROR(__xludf.DUMMYFUNCTION("""COMPUTED_VALUE"""),442.81)</f>
        <v>442.81</v>
      </c>
      <c r="C3283" s="2">
        <f>IFERROR(__xludf.DUMMYFUNCTION("""COMPUTED_VALUE"""),448.46)</f>
        <v>448.46</v>
      </c>
      <c r="D3283" s="2">
        <f>IFERROR(__xludf.DUMMYFUNCTION("""COMPUTED_VALUE"""),436.6)</f>
        <v>436.6</v>
      </c>
      <c r="E3283" s="2">
        <f>IFERROR(__xludf.DUMMYFUNCTION("""COMPUTED_VALUE"""),439.49)</f>
        <v>439.49</v>
      </c>
      <c r="F3283" s="2">
        <f>IFERROR(__xludf.DUMMYFUNCTION("""COMPUTED_VALUE"""),2132195.0)</f>
        <v>2132195</v>
      </c>
    </row>
    <row r="3284">
      <c r="A3284" s="3">
        <f>IFERROR(__xludf.DUMMYFUNCTION("""COMPUTED_VALUE"""),42289.64583333333)</f>
        <v>42289.64583</v>
      </c>
      <c r="B3284" s="2">
        <f>IFERROR(__xludf.DUMMYFUNCTION("""COMPUTED_VALUE"""),439.81)</f>
        <v>439.81</v>
      </c>
      <c r="C3284" s="2">
        <f>IFERROR(__xludf.DUMMYFUNCTION("""COMPUTED_VALUE"""),446.55)</f>
        <v>446.55</v>
      </c>
      <c r="D3284" s="2">
        <f>IFERROR(__xludf.DUMMYFUNCTION("""COMPUTED_VALUE"""),439.81)</f>
        <v>439.81</v>
      </c>
      <c r="E3284" s="2">
        <f>IFERROR(__xludf.DUMMYFUNCTION("""COMPUTED_VALUE"""),441.67)</f>
        <v>441.67</v>
      </c>
      <c r="F3284" s="2">
        <f>IFERROR(__xludf.DUMMYFUNCTION("""COMPUTED_VALUE"""),1420049.0)</f>
        <v>1420049</v>
      </c>
    </row>
    <row r="3285">
      <c r="A3285" s="3">
        <f>IFERROR(__xludf.DUMMYFUNCTION("""COMPUTED_VALUE"""),42290.64583333333)</f>
        <v>42290.64583</v>
      </c>
      <c r="B3285" s="2">
        <f>IFERROR(__xludf.DUMMYFUNCTION("""COMPUTED_VALUE"""),438.35)</f>
        <v>438.35</v>
      </c>
      <c r="C3285" s="2">
        <f>IFERROR(__xludf.DUMMYFUNCTION("""COMPUTED_VALUE"""),443.93)</f>
        <v>443.93</v>
      </c>
      <c r="D3285" s="2">
        <f>IFERROR(__xludf.DUMMYFUNCTION("""COMPUTED_VALUE"""),437.29)</f>
        <v>437.29</v>
      </c>
      <c r="E3285" s="2">
        <f>IFERROR(__xludf.DUMMYFUNCTION("""COMPUTED_VALUE"""),442.59)</f>
        <v>442.59</v>
      </c>
      <c r="F3285" s="2">
        <f>IFERROR(__xludf.DUMMYFUNCTION("""COMPUTED_VALUE"""),1408658.0)</f>
        <v>1408658</v>
      </c>
    </row>
    <row r="3286">
      <c r="A3286" s="3">
        <f>IFERROR(__xludf.DUMMYFUNCTION("""COMPUTED_VALUE"""),42291.64583333333)</f>
        <v>42291.64583</v>
      </c>
      <c r="B3286" s="2">
        <f>IFERROR(__xludf.DUMMYFUNCTION("""COMPUTED_VALUE"""),443.68)</f>
        <v>443.68</v>
      </c>
      <c r="C3286" s="2">
        <f>IFERROR(__xludf.DUMMYFUNCTION("""COMPUTED_VALUE"""),448.23)</f>
        <v>448.23</v>
      </c>
      <c r="D3286" s="2">
        <f>IFERROR(__xludf.DUMMYFUNCTION("""COMPUTED_VALUE"""),442.76)</f>
        <v>442.76</v>
      </c>
      <c r="E3286" s="2">
        <f>IFERROR(__xludf.DUMMYFUNCTION("""COMPUTED_VALUE"""),447.22)</f>
        <v>447.22</v>
      </c>
      <c r="F3286" s="2">
        <f>IFERROR(__xludf.DUMMYFUNCTION("""COMPUTED_VALUE"""),1829257.0)</f>
        <v>1829257</v>
      </c>
    </row>
    <row r="3287">
      <c r="A3287" s="3">
        <f>IFERROR(__xludf.DUMMYFUNCTION("""COMPUTED_VALUE"""),42292.64583333333)</f>
        <v>42292.64583</v>
      </c>
      <c r="B3287" s="2">
        <f>IFERROR(__xludf.DUMMYFUNCTION("""COMPUTED_VALUE"""),449.57)</f>
        <v>449.57</v>
      </c>
      <c r="C3287" s="2">
        <f>IFERROR(__xludf.DUMMYFUNCTION("""COMPUTED_VALUE"""),451.21)</f>
        <v>451.21</v>
      </c>
      <c r="D3287" s="2">
        <f>IFERROR(__xludf.DUMMYFUNCTION("""COMPUTED_VALUE"""),445.81)</f>
        <v>445.81</v>
      </c>
      <c r="E3287" s="2">
        <f>IFERROR(__xludf.DUMMYFUNCTION("""COMPUTED_VALUE"""),447.59)</f>
        <v>447.59</v>
      </c>
      <c r="F3287" s="2">
        <f>IFERROR(__xludf.DUMMYFUNCTION("""COMPUTED_VALUE"""),2068330.0)</f>
        <v>2068330</v>
      </c>
    </row>
    <row r="3288">
      <c r="A3288" s="3">
        <f>IFERROR(__xludf.DUMMYFUNCTION("""COMPUTED_VALUE"""),42293.64583333333)</f>
        <v>42293.64583</v>
      </c>
      <c r="B3288" s="2">
        <f>IFERROR(__xludf.DUMMYFUNCTION("""COMPUTED_VALUE"""),447.99)</f>
        <v>447.99</v>
      </c>
      <c r="C3288" s="2">
        <f>IFERROR(__xludf.DUMMYFUNCTION("""COMPUTED_VALUE"""),453.09)</f>
        <v>453.09</v>
      </c>
      <c r="D3288" s="2">
        <f>IFERROR(__xludf.DUMMYFUNCTION("""COMPUTED_VALUE"""),447.59)</f>
        <v>447.59</v>
      </c>
      <c r="E3288" s="2">
        <f>IFERROR(__xludf.DUMMYFUNCTION("""COMPUTED_VALUE"""),453.09)</f>
        <v>453.09</v>
      </c>
      <c r="F3288" s="2">
        <f>IFERROR(__xludf.DUMMYFUNCTION("""COMPUTED_VALUE"""),3485193.0)</f>
        <v>3485193</v>
      </c>
    </row>
    <row r="3289">
      <c r="A3289" s="3">
        <f>IFERROR(__xludf.DUMMYFUNCTION("""COMPUTED_VALUE"""),42296.64583333333)</f>
        <v>42296.64583</v>
      </c>
      <c r="B3289" s="2">
        <f>IFERROR(__xludf.DUMMYFUNCTION("""COMPUTED_VALUE"""),466.06)</f>
        <v>466.06</v>
      </c>
      <c r="C3289" s="2">
        <f>IFERROR(__xludf.DUMMYFUNCTION("""COMPUTED_VALUE"""),478.2)</f>
        <v>478.2</v>
      </c>
      <c r="D3289" s="2">
        <f>IFERROR(__xludf.DUMMYFUNCTION("""COMPUTED_VALUE"""),466.06)</f>
        <v>466.06</v>
      </c>
      <c r="E3289" s="2">
        <f>IFERROR(__xludf.DUMMYFUNCTION("""COMPUTED_VALUE"""),477.21)</f>
        <v>477.21</v>
      </c>
      <c r="F3289" s="2">
        <f>IFERROR(__xludf.DUMMYFUNCTION("""COMPUTED_VALUE"""),7658875.0)</f>
        <v>7658875</v>
      </c>
    </row>
    <row r="3290">
      <c r="A3290" s="3">
        <f>IFERROR(__xludf.DUMMYFUNCTION("""COMPUTED_VALUE"""),42297.64583333333)</f>
        <v>42297.64583</v>
      </c>
      <c r="B3290" s="2">
        <f>IFERROR(__xludf.DUMMYFUNCTION("""COMPUTED_VALUE"""),477.95)</f>
        <v>477.95</v>
      </c>
      <c r="C3290" s="2">
        <f>IFERROR(__xludf.DUMMYFUNCTION("""COMPUTED_VALUE"""),478.79)</f>
        <v>478.79</v>
      </c>
      <c r="D3290" s="2">
        <f>IFERROR(__xludf.DUMMYFUNCTION("""COMPUTED_VALUE"""),472.01)</f>
        <v>472.01</v>
      </c>
      <c r="E3290" s="2">
        <f>IFERROR(__xludf.DUMMYFUNCTION("""COMPUTED_VALUE"""),473.84)</f>
        <v>473.84</v>
      </c>
      <c r="F3290" s="2">
        <f>IFERROR(__xludf.DUMMYFUNCTION("""COMPUTED_VALUE"""),4135503.0)</f>
        <v>4135503</v>
      </c>
    </row>
    <row r="3291">
      <c r="A3291" s="3">
        <f>IFERROR(__xludf.DUMMYFUNCTION("""COMPUTED_VALUE"""),42298.64583333333)</f>
        <v>42298.64583</v>
      </c>
      <c r="B3291" s="2">
        <f>IFERROR(__xludf.DUMMYFUNCTION("""COMPUTED_VALUE"""),473.25)</f>
        <v>473.25</v>
      </c>
      <c r="C3291" s="2">
        <f>IFERROR(__xludf.DUMMYFUNCTION("""COMPUTED_VALUE"""),482.81)</f>
        <v>482.81</v>
      </c>
      <c r="D3291" s="2">
        <f>IFERROR(__xludf.DUMMYFUNCTION("""COMPUTED_VALUE"""),472.01)</f>
        <v>472.01</v>
      </c>
      <c r="E3291" s="2">
        <f>IFERROR(__xludf.DUMMYFUNCTION("""COMPUTED_VALUE"""),473.0)</f>
        <v>473</v>
      </c>
      <c r="F3291" s="2">
        <f>IFERROR(__xludf.DUMMYFUNCTION("""COMPUTED_VALUE"""),3292615.0)</f>
        <v>3292615</v>
      </c>
    </row>
    <row r="3292">
      <c r="A3292" s="3">
        <f>IFERROR(__xludf.DUMMYFUNCTION("""COMPUTED_VALUE"""),42300.64583333333)</f>
        <v>42300.64583</v>
      </c>
      <c r="B3292" s="2">
        <f>IFERROR(__xludf.DUMMYFUNCTION("""COMPUTED_VALUE"""),477.43)</f>
        <v>477.43</v>
      </c>
      <c r="C3292" s="2">
        <f>IFERROR(__xludf.DUMMYFUNCTION("""COMPUTED_VALUE"""),481.94)</f>
        <v>481.94</v>
      </c>
      <c r="D3292" s="2">
        <f>IFERROR(__xludf.DUMMYFUNCTION("""COMPUTED_VALUE"""),466.14)</f>
        <v>466.14</v>
      </c>
      <c r="E3292" s="2">
        <f>IFERROR(__xludf.DUMMYFUNCTION("""COMPUTED_VALUE"""),473.32)</f>
        <v>473.32</v>
      </c>
      <c r="F3292" s="2">
        <f>IFERROR(__xludf.DUMMYFUNCTION("""COMPUTED_VALUE"""),2778068.0)</f>
        <v>2778068</v>
      </c>
    </row>
    <row r="3293">
      <c r="A3293" s="3">
        <f>IFERROR(__xludf.DUMMYFUNCTION("""COMPUTED_VALUE"""),42303.64583333333)</f>
        <v>42303.64583</v>
      </c>
      <c r="B3293" s="2">
        <f>IFERROR(__xludf.DUMMYFUNCTION("""COMPUTED_VALUE"""),476.42)</f>
        <v>476.42</v>
      </c>
      <c r="C3293" s="2">
        <f>IFERROR(__xludf.DUMMYFUNCTION("""COMPUTED_VALUE"""),476.96)</f>
        <v>476.96</v>
      </c>
      <c r="D3293" s="2">
        <f>IFERROR(__xludf.DUMMYFUNCTION("""COMPUTED_VALUE"""),466.21)</f>
        <v>466.21</v>
      </c>
      <c r="E3293" s="2">
        <f>IFERROR(__xludf.DUMMYFUNCTION("""COMPUTED_VALUE"""),466.98)</f>
        <v>466.98</v>
      </c>
      <c r="F3293" s="2">
        <f>IFERROR(__xludf.DUMMYFUNCTION("""COMPUTED_VALUE"""),2500420.0)</f>
        <v>2500420</v>
      </c>
    </row>
    <row r="3294">
      <c r="A3294" s="3">
        <f>IFERROR(__xludf.DUMMYFUNCTION("""COMPUTED_VALUE"""),42304.64583333333)</f>
        <v>42304.64583</v>
      </c>
      <c r="B3294" s="2">
        <f>IFERROR(__xludf.DUMMYFUNCTION("""COMPUTED_VALUE"""),464.98)</f>
        <v>464.98</v>
      </c>
      <c r="C3294" s="2">
        <f>IFERROR(__xludf.DUMMYFUNCTION("""COMPUTED_VALUE"""),469.66)</f>
        <v>469.66</v>
      </c>
      <c r="D3294" s="2">
        <f>IFERROR(__xludf.DUMMYFUNCTION("""COMPUTED_VALUE"""),464.28)</f>
        <v>464.28</v>
      </c>
      <c r="E3294" s="2">
        <f>IFERROR(__xludf.DUMMYFUNCTION("""COMPUTED_VALUE"""),465.35)</f>
        <v>465.35</v>
      </c>
      <c r="F3294" s="2">
        <f>IFERROR(__xludf.DUMMYFUNCTION("""COMPUTED_VALUE"""),2651976.0)</f>
        <v>2651976</v>
      </c>
    </row>
    <row r="3295">
      <c r="A3295" s="3">
        <f>IFERROR(__xludf.DUMMYFUNCTION("""COMPUTED_VALUE"""),42305.64583333333)</f>
        <v>42305.64583</v>
      </c>
      <c r="B3295" s="2">
        <f>IFERROR(__xludf.DUMMYFUNCTION("""COMPUTED_VALUE"""),464.03)</f>
        <v>464.03</v>
      </c>
      <c r="C3295" s="2">
        <f>IFERROR(__xludf.DUMMYFUNCTION("""COMPUTED_VALUE"""),468.0)</f>
        <v>468</v>
      </c>
      <c r="D3295" s="2">
        <f>IFERROR(__xludf.DUMMYFUNCTION("""COMPUTED_VALUE"""),460.57)</f>
        <v>460.57</v>
      </c>
      <c r="E3295" s="2">
        <f>IFERROR(__xludf.DUMMYFUNCTION("""COMPUTED_VALUE"""),464.06)</f>
        <v>464.06</v>
      </c>
      <c r="F3295" s="2">
        <f>IFERROR(__xludf.DUMMYFUNCTION("""COMPUTED_VALUE"""),2733564.0)</f>
        <v>2733564</v>
      </c>
    </row>
    <row r="3296">
      <c r="A3296" s="3">
        <f>IFERROR(__xludf.DUMMYFUNCTION("""COMPUTED_VALUE"""),42306.64583333333)</f>
        <v>42306.64583</v>
      </c>
      <c r="B3296" s="2">
        <f>IFERROR(__xludf.DUMMYFUNCTION("""COMPUTED_VALUE"""),463.59)</f>
        <v>463.59</v>
      </c>
      <c r="C3296" s="2">
        <f>IFERROR(__xludf.DUMMYFUNCTION("""COMPUTED_VALUE"""),468.05)</f>
        <v>468.05</v>
      </c>
      <c r="D3296" s="2">
        <f>IFERROR(__xludf.DUMMYFUNCTION("""COMPUTED_VALUE"""),463.07)</f>
        <v>463.07</v>
      </c>
      <c r="E3296" s="2">
        <f>IFERROR(__xludf.DUMMYFUNCTION("""COMPUTED_VALUE"""),466.06)</f>
        <v>466.06</v>
      </c>
      <c r="F3296" s="2">
        <f>IFERROR(__xludf.DUMMYFUNCTION("""COMPUTED_VALUE"""),3035672.0)</f>
        <v>3035672</v>
      </c>
    </row>
    <row r="3297">
      <c r="A3297" s="3">
        <f>IFERROR(__xludf.DUMMYFUNCTION("""COMPUTED_VALUE"""),42307.64583333333)</f>
        <v>42307.64583</v>
      </c>
      <c r="B3297" s="2">
        <f>IFERROR(__xludf.DUMMYFUNCTION("""COMPUTED_VALUE"""),466.61)</f>
        <v>466.61</v>
      </c>
      <c r="C3297" s="2">
        <f>IFERROR(__xludf.DUMMYFUNCTION("""COMPUTED_VALUE"""),473.44)</f>
        <v>473.44</v>
      </c>
      <c r="D3297" s="2">
        <f>IFERROR(__xludf.DUMMYFUNCTION("""COMPUTED_VALUE"""),465.62)</f>
        <v>465.62</v>
      </c>
      <c r="E3297" s="2">
        <f>IFERROR(__xludf.DUMMYFUNCTION("""COMPUTED_VALUE"""),469.38)</f>
        <v>469.38</v>
      </c>
      <c r="F3297" s="2">
        <f>IFERROR(__xludf.DUMMYFUNCTION("""COMPUTED_VALUE"""),3055325.0)</f>
        <v>3055325</v>
      </c>
    </row>
    <row r="3298">
      <c r="A3298" s="3">
        <f>IFERROR(__xludf.DUMMYFUNCTION("""COMPUTED_VALUE"""),42310.64583333333)</f>
        <v>42310.64583</v>
      </c>
      <c r="B3298" s="2">
        <f>IFERROR(__xludf.DUMMYFUNCTION("""COMPUTED_VALUE"""),470.03)</f>
        <v>470.03</v>
      </c>
      <c r="C3298" s="2">
        <f>IFERROR(__xludf.DUMMYFUNCTION("""COMPUTED_VALUE"""),476.22)</f>
        <v>476.22</v>
      </c>
      <c r="D3298" s="2">
        <f>IFERROR(__xludf.DUMMYFUNCTION("""COMPUTED_VALUE"""),468.15)</f>
        <v>468.15</v>
      </c>
      <c r="E3298" s="2">
        <f>IFERROR(__xludf.DUMMYFUNCTION("""COMPUTED_VALUE"""),475.38)</f>
        <v>475.38</v>
      </c>
      <c r="F3298" s="2">
        <f>IFERROR(__xludf.DUMMYFUNCTION("""COMPUTED_VALUE"""),1650838.0)</f>
        <v>1650838</v>
      </c>
    </row>
    <row r="3299">
      <c r="A3299" s="3">
        <f>IFERROR(__xludf.DUMMYFUNCTION("""COMPUTED_VALUE"""),42311.64583333333)</f>
        <v>42311.64583</v>
      </c>
      <c r="B3299" s="2">
        <f>IFERROR(__xludf.DUMMYFUNCTION("""COMPUTED_VALUE"""),477.09)</f>
        <v>477.09</v>
      </c>
      <c r="C3299" s="2">
        <f>IFERROR(__xludf.DUMMYFUNCTION("""COMPUTED_VALUE"""),480.65)</f>
        <v>480.65</v>
      </c>
      <c r="D3299" s="2">
        <f>IFERROR(__xludf.DUMMYFUNCTION("""COMPUTED_VALUE"""),476.09)</f>
        <v>476.09</v>
      </c>
      <c r="E3299" s="2">
        <f>IFERROR(__xludf.DUMMYFUNCTION("""COMPUTED_VALUE"""),479.04)</f>
        <v>479.04</v>
      </c>
      <c r="F3299" s="2">
        <f>IFERROR(__xludf.DUMMYFUNCTION("""COMPUTED_VALUE"""),2599796.0)</f>
        <v>2599796</v>
      </c>
    </row>
    <row r="3300">
      <c r="A3300" s="3">
        <f>IFERROR(__xludf.DUMMYFUNCTION("""COMPUTED_VALUE"""),42312.64583333333)</f>
        <v>42312.64583</v>
      </c>
      <c r="B3300" s="2">
        <f>IFERROR(__xludf.DUMMYFUNCTION("""COMPUTED_VALUE"""),479.44)</f>
        <v>479.44</v>
      </c>
      <c r="C3300" s="2">
        <f>IFERROR(__xludf.DUMMYFUNCTION("""COMPUTED_VALUE"""),482.9)</f>
        <v>482.9</v>
      </c>
      <c r="D3300" s="2">
        <f>IFERROR(__xludf.DUMMYFUNCTION("""COMPUTED_VALUE"""),468.64)</f>
        <v>468.64</v>
      </c>
      <c r="E3300" s="2">
        <f>IFERROR(__xludf.DUMMYFUNCTION("""COMPUTED_VALUE"""),471.17)</f>
        <v>471.17</v>
      </c>
      <c r="F3300" s="2">
        <f>IFERROR(__xludf.DUMMYFUNCTION("""COMPUTED_VALUE"""),2293418.0)</f>
        <v>2293418</v>
      </c>
    </row>
    <row r="3301">
      <c r="A3301" s="3">
        <f>IFERROR(__xludf.DUMMYFUNCTION("""COMPUTED_VALUE"""),42313.64583333333)</f>
        <v>42313.64583</v>
      </c>
      <c r="B3301" s="2">
        <f>IFERROR(__xludf.DUMMYFUNCTION("""COMPUTED_VALUE"""),470.03)</f>
        <v>470.03</v>
      </c>
      <c r="C3301" s="2">
        <f>IFERROR(__xludf.DUMMYFUNCTION("""COMPUTED_VALUE"""),471.02)</f>
        <v>471.02</v>
      </c>
      <c r="D3301" s="2">
        <f>IFERROR(__xludf.DUMMYFUNCTION("""COMPUTED_VALUE"""),462.1)</f>
        <v>462.1</v>
      </c>
      <c r="E3301" s="2">
        <f>IFERROR(__xludf.DUMMYFUNCTION("""COMPUTED_VALUE"""),463.89)</f>
        <v>463.89</v>
      </c>
      <c r="F3301" s="2">
        <f>IFERROR(__xludf.DUMMYFUNCTION("""COMPUTED_VALUE"""),2461259.0)</f>
        <v>2461259</v>
      </c>
    </row>
    <row r="3302">
      <c r="A3302" s="3">
        <f>IFERROR(__xludf.DUMMYFUNCTION("""COMPUTED_VALUE"""),42314.64583333333)</f>
        <v>42314.64583</v>
      </c>
      <c r="B3302" s="2">
        <f>IFERROR(__xludf.DUMMYFUNCTION("""COMPUTED_VALUE"""),465.3)</f>
        <v>465.3</v>
      </c>
      <c r="C3302" s="2">
        <f>IFERROR(__xludf.DUMMYFUNCTION("""COMPUTED_VALUE"""),472.88)</f>
        <v>472.88</v>
      </c>
      <c r="D3302" s="2">
        <f>IFERROR(__xludf.DUMMYFUNCTION("""COMPUTED_VALUE"""),464.53)</f>
        <v>464.53</v>
      </c>
      <c r="E3302" s="2">
        <f>IFERROR(__xludf.DUMMYFUNCTION("""COMPUTED_VALUE"""),471.71)</f>
        <v>471.71</v>
      </c>
      <c r="F3302" s="2">
        <f>IFERROR(__xludf.DUMMYFUNCTION("""COMPUTED_VALUE"""),1912599.0)</f>
        <v>1912599</v>
      </c>
    </row>
    <row r="3303">
      <c r="A3303" s="3">
        <f>IFERROR(__xludf.DUMMYFUNCTION("""COMPUTED_VALUE"""),42317.64583333333)</f>
        <v>42317.64583</v>
      </c>
      <c r="B3303" s="2">
        <f>IFERROR(__xludf.DUMMYFUNCTION("""COMPUTED_VALUE"""),462.35)</f>
        <v>462.35</v>
      </c>
      <c r="C3303" s="2">
        <f>IFERROR(__xludf.DUMMYFUNCTION("""COMPUTED_VALUE"""),477.95)</f>
        <v>477.95</v>
      </c>
      <c r="D3303" s="2">
        <f>IFERROR(__xludf.DUMMYFUNCTION("""COMPUTED_VALUE"""),457.37)</f>
        <v>457.37</v>
      </c>
      <c r="E3303" s="2">
        <f>IFERROR(__xludf.DUMMYFUNCTION("""COMPUTED_VALUE"""),476.09)</f>
        <v>476.09</v>
      </c>
      <c r="F3303" s="2">
        <f>IFERROR(__xludf.DUMMYFUNCTION("""COMPUTED_VALUE"""),3893160.0)</f>
        <v>3893160</v>
      </c>
    </row>
    <row r="3304">
      <c r="A3304" s="3">
        <f>IFERROR(__xludf.DUMMYFUNCTION("""COMPUTED_VALUE"""),42318.64583333333)</f>
        <v>42318.64583</v>
      </c>
      <c r="B3304" s="2">
        <f>IFERROR(__xludf.DUMMYFUNCTION("""COMPUTED_VALUE"""),473.99)</f>
        <v>473.99</v>
      </c>
      <c r="C3304" s="2">
        <f>IFERROR(__xludf.DUMMYFUNCTION("""COMPUTED_VALUE"""),475.23)</f>
        <v>475.23</v>
      </c>
      <c r="D3304" s="2">
        <f>IFERROR(__xludf.DUMMYFUNCTION("""COMPUTED_VALUE"""),453.83)</f>
        <v>453.83</v>
      </c>
      <c r="E3304" s="2">
        <f>IFERROR(__xludf.DUMMYFUNCTION("""COMPUTED_VALUE"""),457.03)</f>
        <v>457.03</v>
      </c>
      <c r="F3304" s="2">
        <f>IFERROR(__xludf.DUMMYFUNCTION("""COMPUTED_VALUE"""),2625561.0)</f>
        <v>2625561</v>
      </c>
    </row>
    <row r="3305">
      <c r="A3305" s="3">
        <f>IFERROR(__xludf.DUMMYFUNCTION("""COMPUTED_VALUE"""),42321.64583333333)</f>
        <v>42321.64583</v>
      </c>
      <c r="B3305" s="2">
        <f>IFERROR(__xludf.DUMMYFUNCTION("""COMPUTED_VALUE"""),453.21)</f>
        <v>453.21</v>
      </c>
      <c r="C3305" s="2">
        <f>IFERROR(__xludf.DUMMYFUNCTION("""COMPUTED_VALUE"""),464.85)</f>
        <v>464.85</v>
      </c>
      <c r="D3305" s="2">
        <f>IFERROR(__xludf.DUMMYFUNCTION("""COMPUTED_VALUE"""),452.94)</f>
        <v>452.94</v>
      </c>
      <c r="E3305" s="2">
        <f>IFERROR(__xludf.DUMMYFUNCTION("""COMPUTED_VALUE"""),462.13)</f>
        <v>462.13</v>
      </c>
      <c r="F3305" s="2">
        <f>IFERROR(__xludf.DUMMYFUNCTION("""COMPUTED_VALUE"""),3127549.0)</f>
        <v>3127549</v>
      </c>
    </row>
    <row r="3306">
      <c r="A3306" s="3">
        <f>IFERROR(__xludf.DUMMYFUNCTION("""COMPUTED_VALUE"""),42324.64583333333)</f>
        <v>42324.64583</v>
      </c>
      <c r="B3306" s="2">
        <f>IFERROR(__xludf.DUMMYFUNCTION("""COMPUTED_VALUE"""),458.64)</f>
        <v>458.64</v>
      </c>
      <c r="C3306" s="2">
        <f>IFERROR(__xludf.DUMMYFUNCTION("""COMPUTED_VALUE"""),466.56)</f>
        <v>466.56</v>
      </c>
      <c r="D3306" s="2">
        <f>IFERROR(__xludf.DUMMYFUNCTION("""COMPUTED_VALUE"""),458.02)</f>
        <v>458.02</v>
      </c>
      <c r="E3306" s="2">
        <f>IFERROR(__xludf.DUMMYFUNCTION("""COMPUTED_VALUE"""),462.75)</f>
        <v>462.75</v>
      </c>
      <c r="F3306" s="2">
        <f>IFERROR(__xludf.DUMMYFUNCTION("""COMPUTED_VALUE"""),3507963.0)</f>
        <v>3507963</v>
      </c>
    </row>
    <row r="3307">
      <c r="A3307" s="3">
        <f>IFERROR(__xludf.DUMMYFUNCTION("""COMPUTED_VALUE"""),42325.64583333333)</f>
        <v>42325.64583</v>
      </c>
      <c r="B3307" s="2">
        <f>IFERROR(__xludf.DUMMYFUNCTION("""COMPUTED_VALUE"""),464.6)</f>
        <v>464.6</v>
      </c>
      <c r="C3307" s="2">
        <f>IFERROR(__xludf.DUMMYFUNCTION("""COMPUTED_VALUE"""),465.02)</f>
        <v>465.02</v>
      </c>
      <c r="D3307" s="2">
        <f>IFERROR(__xludf.DUMMYFUNCTION("""COMPUTED_VALUE"""),458.73)</f>
        <v>458.73</v>
      </c>
      <c r="E3307" s="2">
        <f>IFERROR(__xludf.DUMMYFUNCTION("""COMPUTED_VALUE"""),459.5)</f>
        <v>459.5</v>
      </c>
      <c r="F3307" s="2">
        <f>IFERROR(__xludf.DUMMYFUNCTION("""COMPUTED_VALUE"""),1963105.0)</f>
        <v>1963105</v>
      </c>
    </row>
    <row r="3308">
      <c r="A3308" s="3">
        <f>IFERROR(__xludf.DUMMYFUNCTION("""COMPUTED_VALUE"""),42326.64583333333)</f>
        <v>42326.64583</v>
      </c>
      <c r="B3308" s="2">
        <f>IFERROR(__xludf.DUMMYFUNCTION("""COMPUTED_VALUE"""),459.43)</f>
        <v>459.43</v>
      </c>
      <c r="C3308" s="2">
        <f>IFERROR(__xludf.DUMMYFUNCTION("""COMPUTED_VALUE"""),461.26)</f>
        <v>461.26</v>
      </c>
      <c r="D3308" s="2">
        <f>IFERROR(__xludf.DUMMYFUNCTION("""COMPUTED_VALUE"""),450.69)</f>
        <v>450.69</v>
      </c>
      <c r="E3308" s="2">
        <f>IFERROR(__xludf.DUMMYFUNCTION("""COMPUTED_VALUE"""),451.7)</f>
        <v>451.7</v>
      </c>
      <c r="F3308" s="2">
        <f>IFERROR(__xludf.DUMMYFUNCTION("""COMPUTED_VALUE"""),2571383.0)</f>
        <v>2571383</v>
      </c>
    </row>
    <row r="3309">
      <c r="A3309" s="3">
        <f>IFERROR(__xludf.DUMMYFUNCTION("""COMPUTED_VALUE"""),42327.64583333333)</f>
        <v>42327.64583</v>
      </c>
      <c r="B3309" s="2">
        <f>IFERROR(__xludf.DUMMYFUNCTION("""COMPUTED_VALUE"""),455.12)</f>
        <v>455.12</v>
      </c>
      <c r="C3309" s="2">
        <f>IFERROR(__xludf.DUMMYFUNCTION("""COMPUTED_VALUE"""),464.93)</f>
        <v>464.93</v>
      </c>
      <c r="D3309" s="2">
        <f>IFERROR(__xludf.DUMMYFUNCTION("""COMPUTED_VALUE"""),454.3)</f>
        <v>454.3</v>
      </c>
      <c r="E3309" s="2">
        <f>IFERROR(__xludf.DUMMYFUNCTION("""COMPUTED_VALUE"""),462.97)</f>
        <v>462.97</v>
      </c>
      <c r="F3309" s="2">
        <f>IFERROR(__xludf.DUMMYFUNCTION("""COMPUTED_VALUE"""),2784876.0)</f>
        <v>2784876</v>
      </c>
    </row>
    <row r="3310">
      <c r="A3310" s="3">
        <f>IFERROR(__xludf.DUMMYFUNCTION("""COMPUTED_VALUE"""),42328.64583333333)</f>
        <v>42328.64583</v>
      </c>
      <c r="B3310" s="2">
        <f>IFERROR(__xludf.DUMMYFUNCTION("""COMPUTED_VALUE"""),462.6)</f>
        <v>462.6</v>
      </c>
      <c r="C3310" s="2">
        <f>IFERROR(__xludf.DUMMYFUNCTION("""COMPUTED_VALUE"""),471.91)</f>
        <v>471.91</v>
      </c>
      <c r="D3310" s="2">
        <f>IFERROR(__xludf.DUMMYFUNCTION("""COMPUTED_VALUE"""),458.41)</f>
        <v>458.41</v>
      </c>
      <c r="E3310" s="2">
        <f>IFERROR(__xludf.DUMMYFUNCTION("""COMPUTED_VALUE"""),468.96)</f>
        <v>468.96</v>
      </c>
      <c r="F3310" s="2">
        <f>IFERROR(__xludf.DUMMYFUNCTION("""COMPUTED_VALUE"""),2583965.0)</f>
        <v>2583965</v>
      </c>
    </row>
    <row r="3311">
      <c r="A3311" s="3">
        <f>IFERROR(__xludf.DUMMYFUNCTION("""COMPUTED_VALUE"""),42331.64583333333)</f>
        <v>42331.64583</v>
      </c>
      <c r="B3311" s="2">
        <f>IFERROR(__xludf.DUMMYFUNCTION("""COMPUTED_VALUE"""),470.52)</f>
        <v>470.52</v>
      </c>
      <c r="C3311" s="2">
        <f>IFERROR(__xludf.DUMMYFUNCTION("""COMPUTED_VALUE"""),474.44)</f>
        <v>474.44</v>
      </c>
      <c r="D3311" s="2">
        <f>IFERROR(__xludf.DUMMYFUNCTION("""COMPUTED_VALUE"""),468.64)</f>
        <v>468.64</v>
      </c>
      <c r="E3311" s="2">
        <f>IFERROR(__xludf.DUMMYFUNCTION("""COMPUTED_VALUE"""),472.38)</f>
        <v>472.38</v>
      </c>
      <c r="F3311" s="2">
        <f>IFERROR(__xludf.DUMMYFUNCTION("""COMPUTED_VALUE"""),2400013.0)</f>
        <v>2400013</v>
      </c>
    </row>
    <row r="3312">
      <c r="A3312" s="3">
        <f>IFERROR(__xludf.DUMMYFUNCTION("""COMPUTED_VALUE"""),42332.64583333333)</f>
        <v>42332.64583</v>
      </c>
      <c r="B3312" s="2">
        <f>IFERROR(__xludf.DUMMYFUNCTION("""COMPUTED_VALUE"""),472.01)</f>
        <v>472.01</v>
      </c>
      <c r="C3312" s="2">
        <f>IFERROR(__xludf.DUMMYFUNCTION("""COMPUTED_VALUE"""),481.22)</f>
        <v>481.22</v>
      </c>
      <c r="D3312" s="2">
        <f>IFERROR(__xludf.DUMMYFUNCTION("""COMPUTED_VALUE"""),471.04)</f>
        <v>471.04</v>
      </c>
      <c r="E3312" s="2">
        <f>IFERROR(__xludf.DUMMYFUNCTION("""COMPUTED_VALUE"""),479.29)</f>
        <v>479.29</v>
      </c>
      <c r="F3312" s="2">
        <f>IFERROR(__xludf.DUMMYFUNCTION("""COMPUTED_VALUE"""),3384443.0)</f>
        <v>3384443</v>
      </c>
    </row>
    <row r="3313">
      <c r="A3313" s="3">
        <f>IFERROR(__xludf.DUMMYFUNCTION("""COMPUTED_VALUE"""),42334.64583333333)</f>
        <v>42334.64583</v>
      </c>
      <c r="B3313" s="2">
        <f>IFERROR(__xludf.DUMMYFUNCTION("""COMPUTED_VALUE"""),480.92)</f>
        <v>480.92</v>
      </c>
      <c r="C3313" s="2">
        <f>IFERROR(__xludf.DUMMYFUNCTION("""COMPUTED_VALUE"""),491.3)</f>
        <v>491.3</v>
      </c>
      <c r="D3313" s="2">
        <f>IFERROR(__xludf.DUMMYFUNCTION("""COMPUTED_VALUE"""),479.56)</f>
        <v>479.56</v>
      </c>
      <c r="E3313" s="2">
        <f>IFERROR(__xludf.DUMMYFUNCTION("""COMPUTED_VALUE"""),489.67)</f>
        <v>489.67</v>
      </c>
      <c r="F3313" s="2">
        <f>IFERROR(__xludf.DUMMYFUNCTION("""COMPUTED_VALUE"""),5441612.0)</f>
        <v>5441612</v>
      </c>
    </row>
    <row r="3314">
      <c r="A3314" s="3">
        <f>IFERROR(__xludf.DUMMYFUNCTION("""COMPUTED_VALUE"""),42335.64583333333)</f>
        <v>42335.64583</v>
      </c>
      <c r="B3314" s="2">
        <f>IFERROR(__xludf.DUMMYFUNCTION("""COMPUTED_VALUE"""),489.84)</f>
        <v>489.84</v>
      </c>
      <c r="C3314" s="2">
        <f>IFERROR(__xludf.DUMMYFUNCTION("""COMPUTED_VALUE"""),491.57)</f>
        <v>491.57</v>
      </c>
      <c r="D3314" s="2">
        <f>IFERROR(__xludf.DUMMYFUNCTION("""COMPUTED_VALUE"""),482.46)</f>
        <v>482.46</v>
      </c>
      <c r="E3314" s="2">
        <f>IFERROR(__xludf.DUMMYFUNCTION("""COMPUTED_VALUE"""),484.91)</f>
        <v>484.91</v>
      </c>
      <c r="F3314" s="2">
        <f>IFERROR(__xludf.DUMMYFUNCTION("""COMPUTED_VALUE"""),2489697.0)</f>
        <v>2489697</v>
      </c>
    </row>
    <row r="3315">
      <c r="A3315" s="3">
        <f>IFERROR(__xludf.DUMMYFUNCTION("""COMPUTED_VALUE"""),42338.64583333333)</f>
        <v>42338.64583</v>
      </c>
      <c r="B3315" s="2">
        <f>IFERROR(__xludf.DUMMYFUNCTION("""COMPUTED_VALUE"""),484.64)</f>
        <v>484.64</v>
      </c>
      <c r="C3315" s="2">
        <f>IFERROR(__xludf.DUMMYFUNCTION("""COMPUTED_VALUE"""),487.56)</f>
        <v>487.56</v>
      </c>
      <c r="D3315" s="2">
        <f>IFERROR(__xludf.DUMMYFUNCTION("""COMPUTED_VALUE"""),476.61)</f>
        <v>476.61</v>
      </c>
      <c r="E3315" s="2">
        <f>IFERROR(__xludf.DUMMYFUNCTION("""COMPUTED_VALUE"""),478.99)</f>
        <v>478.99</v>
      </c>
      <c r="F3315" s="2">
        <f>IFERROR(__xludf.DUMMYFUNCTION("""COMPUTED_VALUE"""),6839027.0)</f>
        <v>6839027</v>
      </c>
    </row>
    <row r="3316">
      <c r="A3316" s="3">
        <f>IFERROR(__xludf.DUMMYFUNCTION("""COMPUTED_VALUE"""),42339.64583333333)</f>
        <v>42339.64583</v>
      </c>
      <c r="B3316" s="2">
        <f>IFERROR(__xludf.DUMMYFUNCTION("""COMPUTED_VALUE"""),477.46)</f>
        <v>477.46</v>
      </c>
      <c r="C3316" s="2">
        <f>IFERROR(__xludf.DUMMYFUNCTION("""COMPUTED_VALUE"""),484.79)</f>
        <v>484.79</v>
      </c>
      <c r="D3316" s="2">
        <f>IFERROR(__xludf.DUMMYFUNCTION("""COMPUTED_VALUE"""),476.09)</f>
        <v>476.09</v>
      </c>
      <c r="E3316" s="2">
        <f>IFERROR(__xludf.DUMMYFUNCTION("""COMPUTED_VALUE"""),478.4)</f>
        <v>478.4</v>
      </c>
      <c r="F3316" s="2">
        <f>IFERROR(__xludf.DUMMYFUNCTION("""COMPUTED_VALUE"""),2967325.0)</f>
        <v>2967325</v>
      </c>
    </row>
    <row r="3317">
      <c r="A3317" s="3">
        <f>IFERROR(__xludf.DUMMYFUNCTION("""COMPUTED_VALUE"""),42340.64583333333)</f>
        <v>42340.64583</v>
      </c>
      <c r="B3317" s="2">
        <f>IFERROR(__xludf.DUMMYFUNCTION("""COMPUTED_VALUE"""),478.57)</f>
        <v>478.57</v>
      </c>
      <c r="C3317" s="2">
        <f>IFERROR(__xludf.DUMMYFUNCTION("""COMPUTED_VALUE"""),485.23)</f>
        <v>485.23</v>
      </c>
      <c r="D3317" s="2">
        <f>IFERROR(__xludf.DUMMYFUNCTION("""COMPUTED_VALUE"""),477.7)</f>
        <v>477.7</v>
      </c>
      <c r="E3317" s="2">
        <f>IFERROR(__xludf.DUMMYFUNCTION("""COMPUTED_VALUE"""),484.37)</f>
        <v>484.37</v>
      </c>
      <c r="F3317" s="2">
        <f>IFERROR(__xludf.DUMMYFUNCTION("""COMPUTED_VALUE"""),1731204.0)</f>
        <v>1731204</v>
      </c>
    </row>
    <row r="3318">
      <c r="A3318" s="3">
        <f>IFERROR(__xludf.DUMMYFUNCTION("""COMPUTED_VALUE"""),42341.64583333333)</f>
        <v>42341.64583</v>
      </c>
      <c r="B3318" s="2">
        <f>IFERROR(__xludf.DUMMYFUNCTION("""COMPUTED_VALUE"""),482.86)</f>
        <v>482.86</v>
      </c>
      <c r="C3318" s="2">
        <f>IFERROR(__xludf.DUMMYFUNCTION("""COMPUTED_VALUE"""),489.81)</f>
        <v>489.81</v>
      </c>
      <c r="D3318" s="2">
        <f>IFERROR(__xludf.DUMMYFUNCTION("""COMPUTED_VALUE"""),482.46)</f>
        <v>482.46</v>
      </c>
      <c r="E3318" s="2">
        <f>IFERROR(__xludf.DUMMYFUNCTION("""COMPUTED_VALUE"""),483.99)</f>
        <v>483.99</v>
      </c>
      <c r="F3318" s="2">
        <f>IFERROR(__xludf.DUMMYFUNCTION("""COMPUTED_VALUE"""),2597024.0)</f>
        <v>2597024</v>
      </c>
    </row>
    <row r="3319">
      <c r="A3319" s="3">
        <f>IFERROR(__xludf.DUMMYFUNCTION("""COMPUTED_VALUE"""),42342.64583333333)</f>
        <v>42342.64583</v>
      </c>
      <c r="B3319" s="2">
        <f>IFERROR(__xludf.DUMMYFUNCTION("""COMPUTED_VALUE"""),481.57)</f>
        <v>481.57</v>
      </c>
      <c r="C3319" s="2">
        <f>IFERROR(__xludf.DUMMYFUNCTION("""COMPUTED_VALUE"""),483.5)</f>
        <v>483.5</v>
      </c>
      <c r="D3319" s="2">
        <f>IFERROR(__xludf.DUMMYFUNCTION("""COMPUTED_VALUE"""),476.17)</f>
        <v>476.17</v>
      </c>
      <c r="E3319" s="2">
        <f>IFERROR(__xludf.DUMMYFUNCTION("""COMPUTED_VALUE"""),478.17)</f>
        <v>478.17</v>
      </c>
      <c r="F3319" s="2">
        <f>IFERROR(__xludf.DUMMYFUNCTION("""COMPUTED_VALUE"""),3073001.0)</f>
        <v>3073001</v>
      </c>
    </row>
    <row r="3320">
      <c r="A3320" s="3">
        <f>IFERROR(__xludf.DUMMYFUNCTION("""COMPUTED_VALUE"""),42345.64583333333)</f>
        <v>42345.64583</v>
      </c>
      <c r="B3320" s="2">
        <f>IFERROR(__xludf.DUMMYFUNCTION("""COMPUTED_VALUE"""),478.17)</f>
        <v>478.17</v>
      </c>
      <c r="C3320" s="2">
        <f>IFERROR(__xludf.DUMMYFUNCTION("""COMPUTED_VALUE"""),481.91)</f>
        <v>481.91</v>
      </c>
      <c r="D3320" s="2">
        <f>IFERROR(__xludf.DUMMYFUNCTION("""COMPUTED_VALUE"""),470.4)</f>
        <v>470.4</v>
      </c>
      <c r="E3320" s="2">
        <f>IFERROR(__xludf.DUMMYFUNCTION("""COMPUTED_VALUE"""),471.54)</f>
        <v>471.54</v>
      </c>
      <c r="F3320" s="2">
        <f>IFERROR(__xludf.DUMMYFUNCTION("""COMPUTED_VALUE"""),3310778.0)</f>
        <v>3310778</v>
      </c>
    </row>
    <row r="3321">
      <c r="A3321" s="3">
        <f>IFERROR(__xludf.DUMMYFUNCTION("""COMPUTED_VALUE"""),42346.64583333333)</f>
        <v>42346.64583</v>
      </c>
      <c r="B3321" s="2">
        <f>IFERROR(__xludf.DUMMYFUNCTION("""COMPUTED_VALUE"""),469.98)</f>
        <v>469.98</v>
      </c>
      <c r="C3321" s="2">
        <f>IFERROR(__xludf.DUMMYFUNCTION("""COMPUTED_VALUE"""),472.31)</f>
        <v>472.31</v>
      </c>
      <c r="D3321" s="2">
        <f>IFERROR(__xludf.DUMMYFUNCTION("""COMPUTED_VALUE"""),463.64)</f>
        <v>463.64</v>
      </c>
      <c r="E3321" s="2">
        <f>IFERROR(__xludf.DUMMYFUNCTION("""COMPUTED_VALUE"""),466.02)</f>
        <v>466.02</v>
      </c>
      <c r="F3321" s="2">
        <f>IFERROR(__xludf.DUMMYFUNCTION("""COMPUTED_VALUE"""),1721726.0)</f>
        <v>1721726</v>
      </c>
    </row>
    <row r="3322">
      <c r="A3322" s="3">
        <f>IFERROR(__xludf.DUMMYFUNCTION("""COMPUTED_VALUE"""),42347.64583333333)</f>
        <v>42347.64583</v>
      </c>
      <c r="B3322" s="2">
        <f>IFERROR(__xludf.DUMMYFUNCTION("""COMPUTED_VALUE"""),463.69)</f>
        <v>463.69</v>
      </c>
      <c r="C3322" s="2">
        <f>IFERROR(__xludf.DUMMYFUNCTION("""COMPUTED_VALUE"""),467.28)</f>
        <v>467.28</v>
      </c>
      <c r="D3322" s="2">
        <f>IFERROR(__xludf.DUMMYFUNCTION("""COMPUTED_VALUE"""),452.12)</f>
        <v>452.12</v>
      </c>
      <c r="E3322" s="2">
        <f>IFERROR(__xludf.DUMMYFUNCTION("""COMPUTED_VALUE"""),453.63)</f>
        <v>453.63</v>
      </c>
      <c r="F3322" s="2">
        <f>IFERROR(__xludf.DUMMYFUNCTION("""COMPUTED_VALUE"""),2097118.0)</f>
        <v>2097118</v>
      </c>
    </row>
    <row r="3323">
      <c r="A3323" s="3">
        <f>IFERROR(__xludf.DUMMYFUNCTION("""COMPUTED_VALUE"""),42348.64583333333)</f>
        <v>42348.64583</v>
      </c>
      <c r="B3323" s="2">
        <f>IFERROR(__xludf.DUMMYFUNCTION("""COMPUTED_VALUE"""),456.9)</f>
        <v>456.9</v>
      </c>
      <c r="C3323" s="2">
        <f>IFERROR(__xludf.DUMMYFUNCTION("""COMPUTED_VALUE"""),472.4)</f>
        <v>472.4</v>
      </c>
      <c r="D3323" s="2">
        <f>IFERROR(__xludf.DUMMYFUNCTION("""COMPUTED_VALUE"""),455.66)</f>
        <v>455.66</v>
      </c>
      <c r="E3323" s="2">
        <f>IFERROR(__xludf.DUMMYFUNCTION("""COMPUTED_VALUE"""),470.7)</f>
        <v>470.7</v>
      </c>
      <c r="F3323" s="2">
        <f>IFERROR(__xludf.DUMMYFUNCTION("""COMPUTED_VALUE"""),4249865.0)</f>
        <v>4249865</v>
      </c>
    </row>
    <row r="3324">
      <c r="A3324" s="3">
        <f>IFERROR(__xludf.DUMMYFUNCTION("""COMPUTED_VALUE"""),42349.64583333333)</f>
        <v>42349.64583</v>
      </c>
      <c r="B3324" s="2">
        <f>IFERROR(__xludf.DUMMYFUNCTION("""COMPUTED_VALUE"""),471.39)</f>
        <v>471.39</v>
      </c>
      <c r="C3324" s="2">
        <f>IFERROR(__xludf.DUMMYFUNCTION("""COMPUTED_VALUE"""),474.98)</f>
        <v>474.98</v>
      </c>
      <c r="D3324" s="2">
        <f>IFERROR(__xludf.DUMMYFUNCTION("""COMPUTED_VALUE"""),467.01)</f>
        <v>467.01</v>
      </c>
      <c r="E3324" s="2">
        <f>IFERROR(__xludf.DUMMYFUNCTION("""COMPUTED_VALUE"""),471.98)</f>
        <v>471.98</v>
      </c>
      <c r="F3324" s="2">
        <f>IFERROR(__xludf.DUMMYFUNCTION("""COMPUTED_VALUE"""),4150045.0)</f>
        <v>4150045</v>
      </c>
    </row>
    <row r="3325">
      <c r="A3325" s="3">
        <f>IFERROR(__xludf.DUMMYFUNCTION("""COMPUTED_VALUE"""),42352.64583333333)</f>
        <v>42352.64583</v>
      </c>
      <c r="B3325" s="2">
        <f>IFERROR(__xludf.DUMMYFUNCTION("""COMPUTED_VALUE"""),469.33)</f>
        <v>469.33</v>
      </c>
      <c r="C3325" s="2">
        <f>IFERROR(__xludf.DUMMYFUNCTION("""COMPUTED_VALUE"""),477.21)</f>
        <v>477.21</v>
      </c>
      <c r="D3325" s="2">
        <f>IFERROR(__xludf.DUMMYFUNCTION("""COMPUTED_VALUE"""),468.54)</f>
        <v>468.54</v>
      </c>
      <c r="E3325" s="2">
        <f>IFERROR(__xludf.DUMMYFUNCTION("""COMPUTED_VALUE"""),473.05)</f>
        <v>473.05</v>
      </c>
      <c r="F3325" s="2">
        <f>IFERROR(__xludf.DUMMYFUNCTION("""COMPUTED_VALUE"""),2414730.0)</f>
        <v>2414730</v>
      </c>
    </row>
    <row r="3326">
      <c r="A3326" s="3">
        <f>IFERROR(__xludf.DUMMYFUNCTION("""COMPUTED_VALUE"""),42353.64583333333)</f>
        <v>42353.64583</v>
      </c>
      <c r="B3326" s="2">
        <f>IFERROR(__xludf.DUMMYFUNCTION("""COMPUTED_VALUE"""),473.99)</f>
        <v>473.99</v>
      </c>
      <c r="C3326" s="2">
        <f>IFERROR(__xludf.DUMMYFUNCTION("""COMPUTED_VALUE"""),484.37)</f>
        <v>484.37</v>
      </c>
      <c r="D3326" s="2">
        <f>IFERROR(__xludf.DUMMYFUNCTION("""COMPUTED_VALUE"""),472.33)</f>
        <v>472.33</v>
      </c>
      <c r="E3326" s="2">
        <f>IFERROR(__xludf.DUMMYFUNCTION("""COMPUTED_VALUE"""),483.35)</f>
        <v>483.35</v>
      </c>
      <c r="F3326" s="2">
        <f>IFERROR(__xludf.DUMMYFUNCTION("""COMPUTED_VALUE"""),3593061.0)</f>
        <v>3593061</v>
      </c>
    </row>
    <row r="3327">
      <c r="A3327" s="3">
        <f>IFERROR(__xludf.DUMMYFUNCTION("""COMPUTED_VALUE"""),42354.64583333333)</f>
        <v>42354.64583</v>
      </c>
      <c r="B3327" s="2">
        <f>IFERROR(__xludf.DUMMYFUNCTION("""COMPUTED_VALUE"""),483.35)</f>
        <v>483.35</v>
      </c>
      <c r="C3327" s="2">
        <f>IFERROR(__xludf.DUMMYFUNCTION("""COMPUTED_VALUE"""),489.12)</f>
        <v>489.12</v>
      </c>
      <c r="D3327" s="2">
        <f>IFERROR(__xludf.DUMMYFUNCTION("""COMPUTED_VALUE"""),482.16)</f>
        <v>482.16</v>
      </c>
      <c r="E3327" s="2">
        <f>IFERROR(__xludf.DUMMYFUNCTION("""COMPUTED_VALUE"""),484.71)</f>
        <v>484.71</v>
      </c>
      <c r="F3327" s="2">
        <f>IFERROR(__xludf.DUMMYFUNCTION("""COMPUTED_VALUE"""),2765248.0)</f>
        <v>2765248</v>
      </c>
    </row>
    <row r="3328">
      <c r="A3328" s="3">
        <f>IFERROR(__xludf.DUMMYFUNCTION("""COMPUTED_VALUE"""),42355.64583333333)</f>
        <v>42355.64583</v>
      </c>
      <c r="B3328" s="2">
        <f>IFERROR(__xludf.DUMMYFUNCTION("""COMPUTED_VALUE"""),485.41)</f>
        <v>485.41</v>
      </c>
      <c r="C3328" s="2">
        <f>IFERROR(__xludf.DUMMYFUNCTION("""COMPUTED_VALUE"""),502.72)</f>
        <v>502.72</v>
      </c>
      <c r="D3328" s="2">
        <f>IFERROR(__xludf.DUMMYFUNCTION("""COMPUTED_VALUE"""),484.39)</f>
        <v>484.39</v>
      </c>
      <c r="E3328" s="2">
        <f>IFERROR(__xludf.DUMMYFUNCTION("""COMPUTED_VALUE"""),500.09)</f>
        <v>500.09</v>
      </c>
      <c r="F3328" s="2">
        <f>IFERROR(__xludf.DUMMYFUNCTION("""COMPUTED_VALUE"""),4427435.0)</f>
        <v>4427435</v>
      </c>
    </row>
    <row r="3329">
      <c r="A3329" s="3">
        <f>IFERROR(__xludf.DUMMYFUNCTION("""COMPUTED_VALUE"""),42356.64583333333)</f>
        <v>42356.64583</v>
      </c>
      <c r="B3329" s="2">
        <f>IFERROR(__xludf.DUMMYFUNCTION("""COMPUTED_VALUE"""),497.17)</f>
        <v>497.17</v>
      </c>
      <c r="C3329" s="2">
        <f>IFERROR(__xludf.DUMMYFUNCTION("""COMPUTED_VALUE"""),499.74)</f>
        <v>499.74</v>
      </c>
      <c r="D3329" s="2">
        <f>IFERROR(__xludf.DUMMYFUNCTION("""COMPUTED_VALUE"""),490.33)</f>
        <v>490.33</v>
      </c>
      <c r="E3329" s="2">
        <f>IFERROR(__xludf.DUMMYFUNCTION("""COMPUTED_VALUE"""),491.28)</f>
        <v>491.28</v>
      </c>
      <c r="F3329" s="2">
        <f>IFERROR(__xludf.DUMMYFUNCTION("""COMPUTED_VALUE"""),3661020.0)</f>
        <v>3661020</v>
      </c>
    </row>
    <row r="3330">
      <c r="A3330" s="3">
        <f>IFERROR(__xludf.DUMMYFUNCTION("""COMPUTED_VALUE"""),42359.64583333333)</f>
        <v>42359.64583</v>
      </c>
      <c r="B3330" s="2">
        <f>IFERROR(__xludf.DUMMYFUNCTION("""COMPUTED_VALUE"""),489.29)</f>
        <v>489.29</v>
      </c>
      <c r="C3330" s="2">
        <f>IFERROR(__xludf.DUMMYFUNCTION("""COMPUTED_VALUE"""),494.79)</f>
        <v>494.79</v>
      </c>
      <c r="D3330" s="2">
        <f>IFERROR(__xludf.DUMMYFUNCTION("""COMPUTED_VALUE"""),487.54)</f>
        <v>487.54</v>
      </c>
      <c r="E3330" s="2">
        <f>IFERROR(__xludf.DUMMYFUNCTION("""COMPUTED_VALUE"""),491.37)</f>
        <v>491.37</v>
      </c>
      <c r="F3330" s="2">
        <f>IFERROR(__xludf.DUMMYFUNCTION("""COMPUTED_VALUE"""),2818835.0)</f>
        <v>2818835</v>
      </c>
    </row>
    <row r="3331">
      <c r="A3331" s="3">
        <f>IFERROR(__xludf.DUMMYFUNCTION("""COMPUTED_VALUE"""),42360.64583333333)</f>
        <v>42360.64583</v>
      </c>
      <c r="B3331" s="2">
        <f>IFERROR(__xludf.DUMMYFUNCTION("""COMPUTED_VALUE"""),491.72)</f>
        <v>491.72</v>
      </c>
      <c r="C3331" s="2">
        <f>IFERROR(__xludf.DUMMYFUNCTION("""COMPUTED_VALUE"""),496.57)</f>
        <v>496.57</v>
      </c>
      <c r="D3331" s="2">
        <f>IFERROR(__xludf.DUMMYFUNCTION("""COMPUTED_VALUE"""),487.36)</f>
        <v>487.36</v>
      </c>
      <c r="E3331" s="2">
        <f>IFERROR(__xludf.DUMMYFUNCTION("""COMPUTED_VALUE"""),489.0)</f>
        <v>489</v>
      </c>
      <c r="F3331" s="2">
        <f>IFERROR(__xludf.DUMMYFUNCTION("""COMPUTED_VALUE"""),2646828.0)</f>
        <v>2646828</v>
      </c>
    </row>
    <row r="3332">
      <c r="A3332" s="3">
        <f>IFERROR(__xludf.DUMMYFUNCTION("""COMPUTED_VALUE"""),42361.64583333333)</f>
        <v>42361.64583</v>
      </c>
      <c r="B3332" s="2">
        <f>IFERROR(__xludf.DUMMYFUNCTION("""COMPUTED_VALUE"""),491.23)</f>
        <v>491.23</v>
      </c>
      <c r="C3332" s="2">
        <f>IFERROR(__xludf.DUMMYFUNCTION("""COMPUTED_VALUE"""),498.7)</f>
        <v>498.7</v>
      </c>
      <c r="D3332" s="2">
        <f>IFERROR(__xludf.DUMMYFUNCTION("""COMPUTED_VALUE"""),490.33)</f>
        <v>490.33</v>
      </c>
      <c r="E3332" s="2">
        <f>IFERROR(__xludf.DUMMYFUNCTION("""COMPUTED_VALUE"""),497.17)</f>
        <v>497.17</v>
      </c>
      <c r="F3332" s="2">
        <f>IFERROR(__xludf.DUMMYFUNCTION("""COMPUTED_VALUE"""),2953173.0)</f>
        <v>2953173</v>
      </c>
    </row>
    <row r="3333">
      <c r="A3333" s="3">
        <f>IFERROR(__xludf.DUMMYFUNCTION("""COMPUTED_VALUE"""),42362.64583333333)</f>
        <v>42362.64583</v>
      </c>
      <c r="B3333" s="2">
        <f>IFERROR(__xludf.DUMMYFUNCTION("""COMPUTED_VALUE"""),497.22)</f>
        <v>497.22</v>
      </c>
      <c r="C3333" s="2">
        <f>IFERROR(__xludf.DUMMYFUNCTION("""COMPUTED_VALUE"""),498.85)</f>
        <v>498.85</v>
      </c>
      <c r="D3333" s="2">
        <f>IFERROR(__xludf.DUMMYFUNCTION("""COMPUTED_VALUE"""),493.45)</f>
        <v>493.45</v>
      </c>
      <c r="E3333" s="2">
        <f>IFERROR(__xludf.DUMMYFUNCTION("""COMPUTED_VALUE"""),495.56)</f>
        <v>495.56</v>
      </c>
      <c r="F3333" s="2">
        <f>IFERROR(__xludf.DUMMYFUNCTION("""COMPUTED_VALUE"""),2720569.0)</f>
        <v>2720569</v>
      </c>
    </row>
    <row r="3334">
      <c r="A3334" s="3">
        <f>IFERROR(__xludf.DUMMYFUNCTION("""COMPUTED_VALUE"""),42366.64583333333)</f>
        <v>42366.64583</v>
      </c>
      <c r="B3334" s="2">
        <f>IFERROR(__xludf.DUMMYFUNCTION("""COMPUTED_VALUE"""),495.58)</f>
        <v>495.58</v>
      </c>
      <c r="C3334" s="2">
        <f>IFERROR(__xludf.DUMMYFUNCTION("""COMPUTED_VALUE"""),502.1)</f>
        <v>502.1</v>
      </c>
      <c r="D3334" s="2">
        <f>IFERROR(__xludf.DUMMYFUNCTION("""COMPUTED_VALUE"""),495.29)</f>
        <v>495.29</v>
      </c>
      <c r="E3334" s="2">
        <f>IFERROR(__xludf.DUMMYFUNCTION("""COMPUTED_VALUE"""),500.44)</f>
        <v>500.44</v>
      </c>
      <c r="F3334" s="2">
        <f>IFERROR(__xludf.DUMMYFUNCTION("""COMPUTED_VALUE"""),2945508.0)</f>
        <v>2945508</v>
      </c>
    </row>
    <row r="3335">
      <c r="A3335" s="3">
        <f>IFERROR(__xludf.DUMMYFUNCTION("""COMPUTED_VALUE"""),42367.64583333333)</f>
        <v>42367.64583</v>
      </c>
      <c r="B3335" s="2">
        <f>IFERROR(__xludf.DUMMYFUNCTION("""COMPUTED_VALUE"""),500.44)</f>
        <v>500.44</v>
      </c>
      <c r="C3335" s="2">
        <f>IFERROR(__xludf.DUMMYFUNCTION("""COMPUTED_VALUE"""),504.55)</f>
        <v>504.55</v>
      </c>
      <c r="D3335" s="2">
        <f>IFERROR(__xludf.DUMMYFUNCTION("""COMPUTED_VALUE"""),498.83)</f>
        <v>498.83</v>
      </c>
      <c r="E3335" s="2">
        <f>IFERROR(__xludf.DUMMYFUNCTION("""COMPUTED_VALUE"""),502.91)</f>
        <v>502.91</v>
      </c>
      <c r="F3335" s="2">
        <f>IFERROR(__xludf.DUMMYFUNCTION("""COMPUTED_VALUE"""),3409060.0)</f>
        <v>3409060</v>
      </c>
    </row>
    <row r="3336">
      <c r="A3336" s="3">
        <f>IFERROR(__xludf.DUMMYFUNCTION("""COMPUTED_VALUE"""),42368.64583333333)</f>
        <v>42368.64583</v>
      </c>
      <c r="B3336" s="2">
        <f>IFERROR(__xludf.DUMMYFUNCTION("""COMPUTED_VALUE"""),502.72)</f>
        <v>502.72</v>
      </c>
      <c r="C3336" s="2">
        <f>IFERROR(__xludf.DUMMYFUNCTION("""COMPUTED_VALUE"""),503.21)</f>
        <v>503.21</v>
      </c>
      <c r="D3336" s="2">
        <f>IFERROR(__xludf.DUMMYFUNCTION("""COMPUTED_VALUE"""),496.28)</f>
        <v>496.28</v>
      </c>
      <c r="E3336" s="2">
        <f>IFERROR(__xludf.DUMMYFUNCTION("""COMPUTED_VALUE"""),497.52)</f>
        <v>497.52</v>
      </c>
      <c r="F3336" s="2">
        <f>IFERROR(__xludf.DUMMYFUNCTION("""COMPUTED_VALUE"""),1863321.0)</f>
        <v>1863321</v>
      </c>
    </row>
    <row r="3337">
      <c r="A3337" s="3">
        <f>IFERROR(__xludf.DUMMYFUNCTION("""COMPUTED_VALUE"""),42369.64583333333)</f>
        <v>42369.64583</v>
      </c>
      <c r="B3337" s="2">
        <f>IFERROR(__xludf.DUMMYFUNCTION("""COMPUTED_VALUE"""),496.97)</f>
        <v>496.97</v>
      </c>
      <c r="C3337" s="2">
        <f>IFERROR(__xludf.DUMMYFUNCTION("""COMPUTED_VALUE"""),505.04)</f>
        <v>505.04</v>
      </c>
      <c r="D3337" s="2">
        <f>IFERROR(__xludf.DUMMYFUNCTION("""COMPUTED_VALUE"""),494.84)</f>
        <v>494.84</v>
      </c>
      <c r="E3337" s="2">
        <f>IFERROR(__xludf.DUMMYFUNCTION("""COMPUTED_VALUE"""),502.52)</f>
        <v>502.52</v>
      </c>
      <c r="F3337" s="2">
        <f>IFERROR(__xludf.DUMMYFUNCTION("""COMPUTED_VALUE"""),4225066.0)</f>
        <v>4225066</v>
      </c>
    </row>
    <row r="3338">
      <c r="A3338" s="3">
        <f>IFERROR(__xludf.DUMMYFUNCTION("""COMPUTED_VALUE"""),42370.64583333333)</f>
        <v>42370.64583</v>
      </c>
      <c r="B3338" s="2">
        <f>IFERROR(__xludf.DUMMYFUNCTION("""COMPUTED_VALUE"""),500.14)</f>
        <v>500.14</v>
      </c>
      <c r="C3338" s="2">
        <f>IFERROR(__xludf.DUMMYFUNCTION("""COMPUTED_VALUE"""),504.65)</f>
        <v>504.65</v>
      </c>
      <c r="D3338" s="2">
        <f>IFERROR(__xludf.DUMMYFUNCTION("""COMPUTED_VALUE"""),499.35)</f>
        <v>499.35</v>
      </c>
      <c r="E3338" s="2">
        <f>IFERROR(__xludf.DUMMYFUNCTION("""COMPUTED_VALUE"""),502.89)</f>
        <v>502.89</v>
      </c>
      <c r="F3338" s="2">
        <f>IFERROR(__xludf.DUMMYFUNCTION("""COMPUTED_VALUE"""),1238135.0)</f>
        <v>1238135</v>
      </c>
    </row>
    <row r="3339">
      <c r="A3339" s="3">
        <f>IFERROR(__xludf.DUMMYFUNCTION("""COMPUTED_VALUE"""),42373.64583333333)</f>
        <v>42373.64583</v>
      </c>
      <c r="B3339" s="2">
        <f>IFERROR(__xludf.DUMMYFUNCTION("""COMPUTED_VALUE"""),497.76)</f>
        <v>497.76</v>
      </c>
      <c r="C3339" s="2">
        <f>IFERROR(__xludf.DUMMYFUNCTION("""COMPUTED_VALUE"""),502.12)</f>
        <v>502.12</v>
      </c>
      <c r="D3339" s="2">
        <f>IFERROR(__xludf.DUMMYFUNCTION("""COMPUTED_VALUE"""),488.7)</f>
        <v>488.7</v>
      </c>
      <c r="E3339" s="2">
        <f>IFERROR(__xludf.DUMMYFUNCTION("""COMPUTED_VALUE"""),492.96)</f>
        <v>492.96</v>
      </c>
      <c r="F3339" s="2">
        <f>IFERROR(__xludf.DUMMYFUNCTION("""COMPUTED_VALUE"""),6896571.0)</f>
        <v>6896571</v>
      </c>
    </row>
    <row r="3340">
      <c r="A3340" s="3">
        <f>IFERROR(__xludf.DUMMYFUNCTION("""COMPUTED_VALUE"""),42374.64583333333)</f>
        <v>42374.64583</v>
      </c>
      <c r="B3340" s="2">
        <f>IFERROR(__xludf.DUMMYFUNCTION("""COMPUTED_VALUE"""),495.44)</f>
        <v>495.44</v>
      </c>
      <c r="C3340" s="2">
        <f>IFERROR(__xludf.DUMMYFUNCTION("""COMPUTED_VALUE"""),500.24)</f>
        <v>500.24</v>
      </c>
      <c r="D3340" s="2">
        <f>IFERROR(__xludf.DUMMYFUNCTION("""COMPUTED_VALUE"""),493.8)</f>
        <v>493.8</v>
      </c>
      <c r="E3340" s="2">
        <f>IFERROR(__xludf.DUMMYFUNCTION("""COMPUTED_VALUE"""),497.84)</f>
        <v>497.84</v>
      </c>
      <c r="F3340" s="2">
        <f>IFERROR(__xludf.DUMMYFUNCTION("""COMPUTED_VALUE"""),3416459.0)</f>
        <v>3416459</v>
      </c>
    </row>
    <row r="3341">
      <c r="A3341" s="3">
        <f>IFERROR(__xludf.DUMMYFUNCTION("""COMPUTED_VALUE"""),42375.64583333333)</f>
        <v>42375.64583</v>
      </c>
      <c r="B3341" s="2">
        <f>IFERROR(__xludf.DUMMYFUNCTION("""COMPUTED_VALUE"""),499.05)</f>
        <v>499.05</v>
      </c>
      <c r="C3341" s="2">
        <f>IFERROR(__xludf.DUMMYFUNCTION("""COMPUTED_VALUE"""),514.31)</f>
        <v>514.31</v>
      </c>
      <c r="D3341" s="2">
        <f>IFERROR(__xludf.DUMMYFUNCTION("""COMPUTED_VALUE"""),495.49)</f>
        <v>495.49</v>
      </c>
      <c r="E3341" s="2">
        <f>IFERROR(__xludf.DUMMYFUNCTION("""COMPUTED_VALUE"""),511.24)</f>
        <v>511.24</v>
      </c>
      <c r="F3341" s="2">
        <f>IFERROR(__xludf.DUMMYFUNCTION("""COMPUTED_VALUE"""),6116855.0)</f>
        <v>6116855</v>
      </c>
    </row>
    <row r="3342">
      <c r="A3342" s="3">
        <f>IFERROR(__xludf.DUMMYFUNCTION("""COMPUTED_VALUE"""),42376.64583333333)</f>
        <v>42376.64583</v>
      </c>
      <c r="B3342" s="2">
        <f>IFERROR(__xludf.DUMMYFUNCTION("""COMPUTED_VALUE"""),505.71)</f>
        <v>505.71</v>
      </c>
      <c r="C3342" s="2">
        <f>IFERROR(__xludf.DUMMYFUNCTION("""COMPUTED_VALUE"""),509.15)</f>
        <v>509.15</v>
      </c>
      <c r="D3342" s="2">
        <f>IFERROR(__xludf.DUMMYFUNCTION("""COMPUTED_VALUE"""),499.27)</f>
        <v>499.27</v>
      </c>
      <c r="E3342" s="2">
        <f>IFERROR(__xludf.DUMMYFUNCTION("""COMPUTED_VALUE"""),501.85)</f>
        <v>501.85</v>
      </c>
      <c r="F3342" s="2">
        <f>IFERROR(__xludf.DUMMYFUNCTION("""COMPUTED_VALUE"""),4512219.0)</f>
        <v>4512219</v>
      </c>
    </row>
    <row r="3343">
      <c r="A3343" s="3">
        <f>IFERROR(__xludf.DUMMYFUNCTION("""COMPUTED_VALUE"""),42377.64583333333)</f>
        <v>42377.64583</v>
      </c>
      <c r="B3343" s="2">
        <f>IFERROR(__xludf.DUMMYFUNCTION("""COMPUTED_VALUE"""),505.19)</f>
        <v>505.19</v>
      </c>
      <c r="C3343" s="2">
        <f>IFERROR(__xludf.DUMMYFUNCTION("""COMPUTED_VALUE"""),511.58)</f>
        <v>511.58</v>
      </c>
      <c r="D3343" s="2">
        <f>IFERROR(__xludf.DUMMYFUNCTION("""COMPUTED_VALUE"""),503.56)</f>
        <v>503.56</v>
      </c>
      <c r="E3343" s="2">
        <f>IFERROR(__xludf.DUMMYFUNCTION("""COMPUTED_VALUE"""),508.04)</f>
        <v>508.04</v>
      </c>
      <c r="F3343" s="2">
        <f>IFERROR(__xludf.DUMMYFUNCTION("""COMPUTED_VALUE"""),4871839.0)</f>
        <v>4871839</v>
      </c>
    </row>
    <row r="3344">
      <c r="A3344" s="3">
        <f>IFERROR(__xludf.DUMMYFUNCTION("""COMPUTED_VALUE"""),42380.64583333333)</f>
        <v>42380.64583</v>
      </c>
      <c r="B3344" s="2">
        <f>IFERROR(__xludf.DUMMYFUNCTION("""COMPUTED_VALUE"""),503.19)</f>
        <v>503.19</v>
      </c>
      <c r="C3344" s="2">
        <f>IFERROR(__xludf.DUMMYFUNCTION("""COMPUTED_VALUE"""),525.4)</f>
        <v>525.4</v>
      </c>
      <c r="D3344" s="2">
        <f>IFERROR(__xludf.DUMMYFUNCTION("""COMPUTED_VALUE"""),500.74)</f>
        <v>500.74</v>
      </c>
      <c r="E3344" s="2">
        <f>IFERROR(__xludf.DUMMYFUNCTION("""COMPUTED_VALUE"""),520.84)</f>
        <v>520.84</v>
      </c>
      <c r="F3344" s="2">
        <f>IFERROR(__xludf.DUMMYFUNCTION("""COMPUTED_VALUE"""),6632671.0)</f>
        <v>6632671</v>
      </c>
    </row>
    <row r="3345">
      <c r="A3345" s="3">
        <f>IFERROR(__xludf.DUMMYFUNCTION("""COMPUTED_VALUE"""),42381.64583333333)</f>
        <v>42381.64583</v>
      </c>
      <c r="B3345" s="2">
        <f>IFERROR(__xludf.DUMMYFUNCTION("""COMPUTED_VALUE"""),522.53)</f>
        <v>522.53</v>
      </c>
      <c r="C3345" s="2">
        <f>IFERROR(__xludf.DUMMYFUNCTION("""COMPUTED_VALUE"""),527.68)</f>
        <v>527.68</v>
      </c>
      <c r="D3345" s="2">
        <f>IFERROR(__xludf.DUMMYFUNCTION("""COMPUTED_VALUE"""),515.64)</f>
        <v>515.64</v>
      </c>
      <c r="E3345" s="2">
        <f>IFERROR(__xludf.DUMMYFUNCTION("""COMPUTED_VALUE"""),517.28)</f>
        <v>517.28</v>
      </c>
      <c r="F3345" s="2">
        <f>IFERROR(__xludf.DUMMYFUNCTION("""COMPUTED_VALUE"""),5342761.0)</f>
        <v>5342761</v>
      </c>
    </row>
    <row r="3346">
      <c r="A3346" s="3">
        <f>IFERROR(__xludf.DUMMYFUNCTION("""COMPUTED_VALUE"""),42382.64583333333)</f>
        <v>42382.64583</v>
      </c>
      <c r="B3346" s="2">
        <f>IFERROR(__xludf.DUMMYFUNCTION("""COMPUTED_VALUE"""),521.59)</f>
        <v>521.59</v>
      </c>
      <c r="C3346" s="2">
        <f>IFERROR(__xludf.DUMMYFUNCTION("""COMPUTED_VALUE"""),539.74)</f>
        <v>539.74</v>
      </c>
      <c r="D3346" s="2">
        <f>IFERROR(__xludf.DUMMYFUNCTION("""COMPUTED_VALUE"""),518.66)</f>
        <v>518.66</v>
      </c>
      <c r="E3346" s="2">
        <f>IFERROR(__xludf.DUMMYFUNCTION("""COMPUTED_VALUE"""),533.35)</f>
        <v>533.35</v>
      </c>
      <c r="F3346" s="2">
        <f>IFERROR(__xludf.DUMMYFUNCTION("""COMPUTED_VALUE"""),1.6412811E7)</f>
        <v>16412811</v>
      </c>
    </row>
    <row r="3347">
      <c r="A3347" s="3">
        <f>IFERROR(__xludf.DUMMYFUNCTION("""COMPUTED_VALUE"""),42383.64583333333)</f>
        <v>42383.64583</v>
      </c>
      <c r="B3347" s="2">
        <f>IFERROR(__xludf.DUMMYFUNCTION("""COMPUTED_VALUE"""),526.91)</f>
        <v>526.91</v>
      </c>
      <c r="C3347" s="2">
        <f>IFERROR(__xludf.DUMMYFUNCTION("""COMPUTED_VALUE"""),535.41)</f>
        <v>535.41</v>
      </c>
      <c r="D3347" s="2">
        <f>IFERROR(__xludf.DUMMYFUNCTION("""COMPUTED_VALUE"""),521.56)</f>
        <v>521.56</v>
      </c>
      <c r="E3347" s="2">
        <f>IFERROR(__xludf.DUMMYFUNCTION("""COMPUTED_VALUE"""),525.82)</f>
        <v>525.82</v>
      </c>
      <c r="F3347" s="2">
        <f>IFERROR(__xludf.DUMMYFUNCTION("""COMPUTED_VALUE"""),6359913.0)</f>
        <v>6359913</v>
      </c>
    </row>
    <row r="3348">
      <c r="A3348" s="3">
        <f>IFERROR(__xludf.DUMMYFUNCTION("""COMPUTED_VALUE"""),42384.64583333333)</f>
        <v>42384.64583</v>
      </c>
      <c r="B3348" s="2">
        <f>IFERROR(__xludf.DUMMYFUNCTION("""COMPUTED_VALUE"""),529.83)</f>
        <v>529.83</v>
      </c>
      <c r="C3348" s="2">
        <f>IFERROR(__xludf.DUMMYFUNCTION("""COMPUTED_VALUE"""),539.62)</f>
        <v>539.62</v>
      </c>
      <c r="D3348" s="2">
        <f>IFERROR(__xludf.DUMMYFUNCTION("""COMPUTED_VALUE"""),527.78)</f>
        <v>527.78</v>
      </c>
      <c r="E3348" s="2">
        <f>IFERROR(__xludf.DUMMYFUNCTION("""COMPUTED_VALUE"""),531.59)</f>
        <v>531.59</v>
      </c>
      <c r="F3348" s="2">
        <f>IFERROR(__xludf.DUMMYFUNCTION("""COMPUTED_VALUE"""),6575725.0)</f>
        <v>6575725</v>
      </c>
    </row>
    <row r="3349">
      <c r="A3349" s="3">
        <f>IFERROR(__xludf.DUMMYFUNCTION("""COMPUTED_VALUE"""),42387.64583333333)</f>
        <v>42387.64583</v>
      </c>
      <c r="B3349" s="2">
        <f>IFERROR(__xludf.DUMMYFUNCTION("""COMPUTED_VALUE"""),532.43)</f>
        <v>532.43</v>
      </c>
      <c r="C3349" s="2">
        <f>IFERROR(__xludf.DUMMYFUNCTION("""COMPUTED_VALUE"""),536.87)</f>
        <v>536.87</v>
      </c>
      <c r="D3349" s="2">
        <f>IFERROR(__xludf.DUMMYFUNCTION("""COMPUTED_VALUE"""),499.3)</f>
        <v>499.3</v>
      </c>
      <c r="E3349" s="2">
        <f>IFERROR(__xludf.DUMMYFUNCTION("""COMPUTED_VALUE"""),503.63)</f>
        <v>503.63</v>
      </c>
      <c r="F3349" s="2">
        <f>IFERROR(__xludf.DUMMYFUNCTION("""COMPUTED_VALUE"""),6229959.0)</f>
        <v>6229959</v>
      </c>
    </row>
    <row r="3350">
      <c r="A3350" s="3">
        <f>IFERROR(__xludf.DUMMYFUNCTION("""COMPUTED_VALUE"""),42388.64583333333)</f>
        <v>42388.64583</v>
      </c>
      <c r="B3350" s="2">
        <f>IFERROR(__xludf.DUMMYFUNCTION("""COMPUTED_VALUE"""),509.65)</f>
        <v>509.65</v>
      </c>
      <c r="C3350" s="2">
        <f>IFERROR(__xludf.DUMMYFUNCTION("""COMPUTED_VALUE"""),519.95)</f>
        <v>519.95</v>
      </c>
      <c r="D3350" s="2">
        <f>IFERROR(__xludf.DUMMYFUNCTION("""COMPUTED_VALUE"""),502.27)</f>
        <v>502.27</v>
      </c>
      <c r="E3350" s="2">
        <f>IFERROR(__xludf.DUMMYFUNCTION("""COMPUTED_VALUE"""),516.88)</f>
        <v>516.88</v>
      </c>
      <c r="F3350" s="2">
        <f>IFERROR(__xludf.DUMMYFUNCTION("""COMPUTED_VALUE"""),4912096.0)</f>
        <v>4912096</v>
      </c>
    </row>
    <row r="3351">
      <c r="A3351" s="3">
        <f>IFERROR(__xludf.DUMMYFUNCTION("""COMPUTED_VALUE"""),42389.64583333333)</f>
        <v>42389.64583</v>
      </c>
      <c r="B3351" s="2">
        <f>IFERROR(__xludf.DUMMYFUNCTION("""COMPUTED_VALUE"""),512.57)</f>
        <v>512.57</v>
      </c>
      <c r="C3351" s="2">
        <f>IFERROR(__xludf.DUMMYFUNCTION("""COMPUTED_VALUE"""),512.57)</f>
        <v>512.57</v>
      </c>
      <c r="D3351" s="2">
        <f>IFERROR(__xludf.DUMMYFUNCTION("""COMPUTED_VALUE"""),490.33)</f>
        <v>490.33</v>
      </c>
      <c r="E3351" s="2">
        <f>IFERROR(__xludf.DUMMYFUNCTION("""COMPUTED_VALUE"""),497.54)</f>
        <v>497.54</v>
      </c>
      <c r="F3351" s="2">
        <f>IFERROR(__xludf.DUMMYFUNCTION("""COMPUTED_VALUE"""),1.0312353E7)</f>
        <v>10312353</v>
      </c>
    </row>
    <row r="3352">
      <c r="A3352" s="3">
        <f>IFERROR(__xludf.DUMMYFUNCTION("""COMPUTED_VALUE"""),42390.64583333333)</f>
        <v>42390.64583</v>
      </c>
      <c r="B3352" s="2">
        <f>IFERROR(__xludf.DUMMYFUNCTION("""COMPUTED_VALUE"""),503.98)</f>
        <v>503.98</v>
      </c>
      <c r="C3352" s="2">
        <f>IFERROR(__xludf.DUMMYFUNCTION("""COMPUTED_VALUE"""),508.04)</f>
        <v>508.04</v>
      </c>
      <c r="D3352" s="2">
        <f>IFERROR(__xludf.DUMMYFUNCTION("""COMPUTED_VALUE"""),483.75)</f>
        <v>483.75</v>
      </c>
      <c r="E3352" s="2">
        <f>IFERROR(__xludf.DUMMYFUNCTION("""COMPUTED_VALUE"""),487.46)</f>
        <v>487.46</v>
      </c>
      <c r="F3352" s="2">
        <f>IFERROR(__xludf.DUMMYFUNCTION("""COMPUTED_VALUE"""),7261772.0)</f>
        <v>7261772</v>
      </c>
    </row>
    <row r="3353">
      <c r="A3353" s="3">
        <f>IFERROR(__xludf.DUMMYFUNCTION("""COMPUTED_VALUE"""),42391.64583333333)</f>
        <v>42391.64583</v>
      </c>
      <c r="B3353" s="2">
        <f>IFERROR(__xludf.DUMMYFUNCTION("""COMPUTED_VALUE"""),492.34)</f>
        <v>492.34</v>
      </c>
      <c r="C3353" s="2">
        <f>IFERROR(__xludf.DUMMYFUNCTION("""COMPUTED_VALUE"""),500.74)</f>
        <v>500.74</v>
      </c>
      <c r="D3353" s="2">
        <f>IFERROR(__xludf.DUMMYFUNCTION("""COMPUTED_VALUE"""),492.34)</f>
        <v>492.34</v>
      </c>
      <c r="E3353" s="2">
        <f>IFERROR(__xludf.DUMMYFUNCTION("""COMPUTED_VALUE"""),497.34)</f>
        <v>497.34</v>
      </c>
      <c r="F3353" s="2">
        <f>IFERROR(__xludf.DUMMYFUNCTION("""COMPUTED_VALUE"""),5413455.0)</f>
        <v>5413455</v>
      </c>
    </row>
    <row r="3354">
      <c r="A3354" s="3">
        <f>IFERROR(__xludf.DUMMYFUNCTION("""COMPUTED_VALUE"""),42394.64583333333)</f>
        <v>42394.64583</v>
      </c>
      <c r="B3354" s="2">
        <f>IFERROR(__xludf.DUMMYFUNCTION("""COMPUTED_VALUE"""),500.24)</f>
        <v>500.24</v>
      </c>
      <c r="C3354" s="2">
        <f>IFERROR(__xludf.DUMMYFUNCTION("""COMPUTED_VALUE"""),504.57)</f>
        <v>504.57</v>
      </c>
      <c r="D3354" s="2">
        <f>IFERROR(__xludf.DUMMYFUNCTION("""COMPUTED_VALUE"""),495.29)</f>
        <v>495.29</v>
      </c>
      <c r="E3354" s="2">
        <f>IFERROR(__xludf.DUMMYFUNCTION("""COMPUTED_VALUE"""),497.24)</f>
        <v>497.24</v>
      </c>
      <c r="F3354" s="2">
        <f>IFERROR(__xludf.DUMMYFUNCTION("""COMPUTED_VALUE"""),2994340.0)</f>
        <v>2994340</v>
      </c>
    </row>
    <row r="3355">
      <c r="A3355" s="3">
        <f>IFERROR(__xludf.DUMMYFUNCTION("""COMPUTED_VALUE"""),42396.64583333333)</f>
        <v>42396.64583</v>
      </c>
      <c r="B3355" s="2">
        <f>IFERROR(__xludf.DUMMYFUNCTION("""COMPUTED_VALUE"""),499.3)</f>
        <v>499.3</v>
      </c>
      <c r="C3355" s="2">
        <f>IFERROR(__xludf.DUMMYFUNCTION("""COMPUTED_VALUE"""),500.24)</f>
        <v>500.24</v>
      </c>
      <c r="D3355" s="2">
        <f>IFERROR(__xludf.DUMMYFUNCTION("""COMPUTED_VALUE"""),493.78)</f>
        <v>493.78</v>
      </c>
      <c r="E3355" s="2">
        <f>IFERROR(__xludf.DUMMYFUNCTION("""COMPUTED_VALUE"""),494.96)</f>
        <v>494.96</v>
      </c>
      <c r="F3355" s="2">
        <f>IFERROR(__xludf.DUMMYFUNCTION("""COMPUTED_VALUE"""),3943295.0)</f>
        <v>3943295</v>
      </c>
    </row>
    <row r="3356">
      <c r="A3356" s="3">
        <f>IFERROR(__xludf.DUMMYFUNCTION("""COMPUTED_VALUE"""),42397.64583333333)</f>
        <v>42397.64583</v>
      </c>
      <c r="B3356" s="2">
        <f>IFERROR(__xludf.DUMMYFUNCTION("""COMPUTED_VALUE"""),495.78)</f>
        <v>495.78</v>
      </c>
      <c r="C3356" s="2">
        <f>IFERROR(__xludf.DUMMYFUNCTION("""COMPUTED_VALUE"""),506.08)</f>
        <v>506.08</v>
      </c>
      <c r="D3356" s="2">
        <f>IFERROR(__xludf.DUMMYFUNCTION("""COMPUTED_VALUE"""),493.85)</f>
        <v>493.85</v>
      </c>
      <c r="E3356" s="2">
        <f>IFERROR(__xludf.DUMMYFUNCTION("""COMPUTED_VALUE"""),503.66)</f>
        <v>503.66</v>
      </c>
      <c r="F3356" s="2">
        <f>IFERROR(__xludf.DUMMYFUNCTION("""COMPUTED_VALUE"""),5274473.0)</f>
        <v>5274473</v>
      </c>
    </row>
    <row r="3357">
      <c r="A3357" s="3">
        <f>IFERROR(__xludf.DUMMYFUNCTION("""COMPUTED_VALUE"""),42398.64583333333)</f>
        <v>42398.64583</v>
      </c>
      <c r="B3357" s="2">
        <f>IFERROR(__xludf.DUMMYFUNCTION("""COMPUTED_VALUE"""),504.67)</f>
        <v>504.67</v>
      </c>
      <c r="C3357" s="2">
        <f>IFERROR(__xludf.DUMMYFUNCTION("""COMPUTED_VALUE"""),515.1)</f>
        <v>515.1</v>
      </c>
      <c r="D3357" s="2">
        <f>IFERROR(__xludf.DUMMYFUNCTION("""COMPUTED_VALUE"""),504.2)</f>
        <v>504.2</v>
      </c>
      <c r="E3357" s="2">
        <f>IFERROR(__xludf.DUMMYFUNCTION("""COMPUTED_VALUE"""),512.82)</f>
        <v>512.82</v>
      </c>
      <c r="F3357" s="2">
        <f>IFERROR(__xludf.DUMMYFUNCTION("""COMPUTED_VALUE"""),4383577.0)</f>
        <v>4383577</v>
      </c>
    </row>
    <row r="3358">
      <c r="A3358" s="3">
        <f>IFERROR(__xludf.DUMMYFUNCTION("""COMPUTED_VALUE"""),42401.64583333333)</f>
        <v>42401.64583</v>
      </c>
      <c r="B3358" s="2">
        <f>IFERROR(__xludf.DUMMYFUNCTION("""COMPUTED_VALUE"""),515.07)</f>
        <v>515.07</v>
      </c>
      <c r="C3358" s="2">
        <f>IFERROR(__xludf.DUMMYFUNCTION("""COMPUTED_VALUE"""),515.99)</f>
        <v>515.99</v>
      </c>
      <c r="D3358" s="2">
        <f>IFERROR(__xludf.DUMMYFUNCTION("""COMPUTED_VALUE"""),507.94)</f>
        <v>507.94</v>
      </c>
      <c r="E3358" s="2">
        <f>IFERROR(__xludf.DUMMYFUNCTION("""COMPUTED_VALUE"""),510.29)</f>
        <v>510.29</v>
      </c>
      <c r="F3358" s="2">
        <f>IFERROR(__xludf.DUMMYFUNCTION("""COMPUTED_VALUE"""),2267273.0)</f>
        <v>2267273</v>
      </c>
    </row>
    <row r="3359">
      <c r="A3359" s="3">
        <f>IFERROR(__xludf.DUMMYFUNCTION("""COMPUTED_VALUE"""),42402.64583333333)</f>
        <v>42402.64583</v>
      </c>
      <c r="B3359" s="2">
        <f>IFERROR(__xludf.DUMMYFUNCTION("""COMPUTED_VALUE"""),510.29)</f>
        <v>510.29</v>
      </c>
      <c r="C3359" s="2">
        <f>IFERROR(__xludf.DUMMYFUNCTION("""COMPUTED_VALUE"""),511.53)</f>
        <v>511.53</v>
      </c>
      <c r="D3359" s="2">
        <f>IFERROR(__xludf.DUMMYFUNCTION("""COMPUTED_VALUE"""),490.58)</f>
        <v>490.58</v>
      </c>
      <c r="E3359" s="2">
        <f>IFERROR(__xludf.DUMMYFUNCTION("""COMPUTED_VALUE"""),495.86)</f>
        <v>495.86</v>
      </c>
      <c r="F3359" s="2">
        <f>IFERROR(__xludf.DUMMYFUNCTION("""COMPUTED_VALUE"""),3376466.0)</f>
        <v>3376466</v>
      </c>
    </row>
    <row r="3360">
      <c r="A3360" s="3">
        <f>IFERROR(__xludf.DUMMYFUNCTION("""COMPUTED_VALUE"""),42403.64583333333)</f>
        <v>42403.64583</v>
      </c>
      <c r="B3360" s="2">
        <f>IFERROR(__xludf.DUMMYFUNCTION("""COMPUTED_VALUE"""),489.34)</f>
        <v>489.34</v>
      </c>
      <c r="C3360" s="2">
        <f>IFERROR(__xludf.DUMMYFUNCTION("""COMPUTED_VALUE"""),492.32)</f>
        <v>492.32</v>
      </c>
      <c r="D3360" s="2">
        <f>IFERROR(__xludf.DUMMYFUNCTION("""COMPUTED_VALUE"""),482.9)</f>
        <v>482.9</v>
      </c>
      <c r="E3360" s="2">
        <f>IFERROR(__xludf.DUMMYFUNCTION("""COMPUTED_VALUE"""),486.07)</f>
        <v>486.07</v>
      </c>
      <c r="F3360" s="2">
        <f>IFERROR(__xludf.DUMMYFUNCTION("""COMPUTED_VALUE"""),3586808.0)</f>
        <v>3586808</v>
      </c>
    </row>
    <row r="3361">
      <c r="A3361" s="3">
        <f>IFERROR(__xludf.DUMMYFUNCTION("""COMPUTED_VALUE"""),42404.64583333333)</f>
        <v>42404.64583</v>
      </c>
      <c r="B3361" s="2">
        <f>IFERROR(__xludf.DUMMYFUNCTION("""COMPUTED_VALUE"""),489.34)</f>
        <v>489.34</v>
      </c>
      <c r="C3361" s="2">
        <f>IFERROR(__xludf.DUMMYFUNCTION("""COMPUTED_VALUE"""),495.78)</f>
        <v>495.78</v>
      </c>
      <c r="D3361" s="2">
        <f>IFERROR(__xludf.DUMMYFUNCTION("""COMPUTED_VALUE"""),478.3)</f>
        <v>478.3</v>
      </c>
      <c r="E3361" s="2">
        <f>IFERROR(__xludf.DUMMYFUNCTION("""COMPUTED_VALUE"""),481.94)</f>
        <v>481.94</v>
      </c>
      <c r="F3361" s="2">
        <f>IFERROR(__xludf.DUMMYFUNCTION("""COMPUTED_VALUE"""),4161079.0)</f>
        <v>4161079</v>
      </c>
    </row>
    <row r="3362">
      <c r="A3362" s="3">
        <f>IFERROR(__xludf.DUMMYFUNCTION("""COMPUTED_VALUE"""),42405.64583333333)</f>
        <v>42405.64583</v>
      </c>
      <c r="B3362" s="2">
        <f>IFERROR(__xludf.DUMMYFUNCTION("""COMPUTED_VALUE"""),484.94)</f>
        <v>484.94</v>
      </c>
      <c r="C3362" s="2">
        <f>IFERROR(__xludf.DUMMYFUNCTION("""COMPUTED_VALUE"""),486.37)</f>
        <v>486.37</v>
      </c>
      <c r="D3362" s="2">
        <f>IFERROR(__xludf.DUMMYFUNCTION("""COMPUTED_VALUE"""),476.17)</f>
        <v>476.17</v>
      </c>
      <c r="E3362" s="2">
        <f>IFERROR(__xludf.DUMMYFUNCTION("""COMPUTED_VALUE"""),480.87)</f>
        <v>480.87</v>
      </c>
      <c r="F3362" s="2">
        <f>IFERROR(__xludf.DUMMYFUNCTION("""COMPUTED_VALUE"""),4799882.0)</f>
        <v>4799882</v>
      </c>
    </row>
    <row r="3363">
      <c r="A3363" s="3">
        <f>IFERROR(__xludf.DUMMYFUNCTION("""COMPUTED_VALUE"""),42408.64583333333)</f>
        <v>42408.64583</v>
      </c>
      <c r="B3363" s="2">
        <f>IFERROR(__xludf.DUMMYFUNCTION("""COMPUTED_VALUE"""),480.97)</f>
        <v>480.97</v>
      </c>
      <c r="C3363" s="2">
        <f>IFERROR(__xludf.DUMMYFUNCTION("""COMPUTED_VALUE"""),487.76)</f>
        <v>487.76</v>
      </c>
      <c r="D3363" s="2">
        <f>IFERROR(__xludf.DUMMYFUNCTION("""COMPUTED_VALUE"""),474.46)</f>
        <v>474.46</v>
      </c>
      <c r="E3363" s="2">
        <f>IFERROR(__xludf.DUMMYFUNCTION("""COMPUTED_VALUE"""),475.3)</f>
        <v>475.3</v>
      </c>
      <c r="F3363" s="2">
        <f>IFERROR(__xludf.DUMMYFUNCTION("""COMPUTED_VALUE"""),2760853.0)</f>
        <v>2760853</v>
      </c>
    </row>
    <row r="3364">
      <c r="A3364" s="3">
        <f>IFERROR(__xludf.DUMMYFUNCTION("""COMPUTED_VALUE"""),42409.64583333333)</f>
        <v>42409.64583</v>
      </c>
      <c r="B3364" s="2">
        <f>IFERROR(__xludf.DUMMYFUNCTION("""COMPUTED_VALUE"""),471.96)</f>
        <v>471.96</v>
      </c>
      <c r="C3364" s="2">
        <f>IFERROR(__xludf.DUMMYFUNCTION("""COMPUTED_VALUE"""),479.83)</f>
        <v>479.83</v>
      </c>
      <c r="D3364" s="2">
        <f>IFERROR(__xludf.DUMMYFUNCTION("""COMPUTED_VALUE"""),470.52)</f>
        <v>470.52</v>
      </c>
      <c r="E3364" s="2">
        <f>IFERROR(__xludf.DUMMYFUNCTION("""COMPUTED_VALUE"""),474.24)</f>
        <v>474.24</v>
      </c>
      <c r="F3364" s="2">
        <f>IFERROR(__xludf.DUMMYFUNCTION("""COMPUTED_VALUE"""),4481029.0)</f>
        <v>4481029</v>
      </c>
    </row>
    <row r="3365">
      <c r="A3365" s="3">
        <f>IFERROR(__xludf.DUMMYFUNCTION("""COMPUTED_VALUE"""),42410.64583333333)</f>
        <v>42410.64583</v>
      </c>
      <c r="B3365" s="2">
        <f>IFERROR(__xludf.DUMMYFUNCTION("""COMPUTED_VALUE"""),471.36)</f>
        <v>471.36</v>
      </c>
      <c r="C3365" s="2">
        <f>IFERROR(__xludf.DUMMYFUNCTION("""COMPUTED_VALUE"""),481.91)</f>
        <v>481.91</v>
      </c>
      <c r="D3365" s="2">
        <f>IFERROR(__xludf.DUMMYFUNCTION("""COMPUTED_VALUE"""),469.85)</f>
        <v>469.85</v>
      </c>
      <c r="E3365" s="2">
        <f>IFERROR(__xludf.DUMMYFUNCTION("""COMPUTED_VALUE"""),476.79)</f>
        <v>476.79</v>
      </c>
      <c r="F3365" s="2">
        <f>IFERROR(__xludf.DUMMYFUNCTION("""COMPUTED_VALUE"""),3859250.0)</f>
        <v>3859250</v>
      </c>
    </row>
    <row r="3366">
      <c r="A3366" s="3">
        <f>IFERROR(__xludf.DUMMYFUNCTION("""COMPUTED_VALUE"""),42411.64583333333)</f>
        <v>42411.64583</v>
      </c>
      <c r="B3366" s="2">
        <f>IFERROR(__xludf.DUMMYFUNCTION("""COMPUTED_VALUE"""),476.89)</f>
        <v>476.89</v>
      </c>
      <c r="C3366" s="2">
        <f>IFERROR(__xludf.DUMMYFUNCTION("""COMPUTED_VALUE"""),478.42)</f>
        <v>478.42</v>
      </c>
      <c r="D3366" s="2">
        <f>IFERROR(__xludf.DUMMYFUNCTION("""COMPUTED_VALUE"""),453.44)</f>
        <v>453.44</v>
      </c>
      <c r="E3366" s="2">
        <f>IFERROR(__xludf.DUMMYFUNCTION("""COMPUTED_VALUE"""),457.92)</f>
        <v>457.92</v>
      </c>
      <c r="F3366" s="2">
        <f>IFERROR(__xludf.DUMMYFUNCTION("""COMPUTED_VALUE"""),3912163.0)</f>
        <v>3912163</v>
      </c>
    </row>
    <row r="3367">
      <c r="A3367" s="3">
        <f>IFERROR(__xludf.DUMMYFUNCTION("""COMPUTED_VALUE"""),42412.64583333333)</f>
        <v>42412.64583</v>
      </c>
      <c r="B3367" s="2">
        <f>IFERROR(__xludf.DUMMYFUNCTION("""COMPUTED_VALUE"""),462.55)</f>
        <v>462.55</v>
      </c>
      <c r="C3367" s="2">
        <f>IFERROR(__xludf.DUMMYFUNCTION("""COMPUTED_VALUE"""),462.55)</f>
        <v>462.55</v>
      </c>
      <c r="D3367" s="2">
        <f>IFERROR(__xludf.DUMMYFUNCTION("""COMPUTED_VALUE"""),439.86)</f>
        <v>439.86</v>
      </c>
      <c r="E3367" s="2">
        <f>IFERROR(__xludf.DUMMYFUNCTION("""COMPUTED_VALUE"""),448.16)</f>
        <v>448.16</v>
      </c>
      <c r="F3367" s="2">
        <f>IFERROR(__xludf.DUMMYFUNCTION("""COMPUTED_VALUE"""),6701935.0)</f>
        <v>6701935</v>
      </c>
    </row>
    <row r="3368">
      <c r="A3368" s="3">
        <f>IFERROR(__xludf.DUMMYFUNCTION("""COMPUTED_VALUE"""),42415.64583333333)</f>
        <v>42415.64583</v>
      </c>
      <c r="B3368" s="2">
        <f>IFERROR(__xludf.DUMMYFUNCTION("""COMPUTED_VALUE"""),454.67)</f>
        <v>454.67</v>
      </c>
      <c r="C3368" s="2">
        <f>IFERROR(__xludf.DUMMYFUNCTION("""COMPUTED_VALUE"""),471.19)</f>
        <v>471.19</v>
      </c>
      <c r="D3368" s="2">
        <f>IFERROR(__xludf.DUMMYFUNCTION("""COMPUTED_VALUE"""),454.67)</f>
        <v>454.67</v>
      </c>
      <c r="E3368" s="2">
        <f>IFERROR(__xludf.DUMMYFUNCTION("""COMPUTED_VALUE"""),468.91)</f>
        <v>468.91</v>
      </c>
      <c r="F3368" s="2">
        <f>IFERROR(__xludf.DUMMYFUNCTION("""COMPUTED_VALUE"""),4407889.0)</f>
        <v>4407889</v>
      </c>
    </row>
    <row r="3369">
      <c r="A3369" s="3">
        <f>IFERROR(__xludf.DUMMYFUNCTION("""COMPUTED_VALUE"""),42416.64583333333)</f>
        <v>42416.64583</v>
      </c>
      <c r="B3369" s="2">
        <f>IFERROR(__xludf.DUMMYFUNCTION("""COMPUTED_VALUE"""),471.07)</f>
        <v>471.07</v>
      </c>
      <c r="C3369" s="2">
        <f>IFERROR(__xludf.DUMMYFUNCTION("""COMPUTED_VALUE"""),474.48)</f>
        <v>474.48</v>
      </c>
      <c r="D3369" s="2">
        <f>IFERROR(__xludf.DUMMYFUNCTION("""COMPUTED_VALUE"""),459.13)</f>
        <v>459.13</v>
      </c>
      <c r="E3369" s="2">
        <f>IFERROR(__xludf.DUMMYFUNCTION("""COMPUTED_VALUE"""),460.89)</f>
        <v>460.89</v>
      </c>
      <c r="F3369" s="2">
        <f>IFERROR(__xludf.DUMMYFUNCTION("""COMPUTED_VALUE"""),2977263.0)</f>
        <v>2977263</v>
      </c>
    </row>
    <row r="3370">
      <c r="A3370" s="3">
        <f>IFERROR(__xludf.DUMMYFUNCTION("""COMPUTED_VALUE"""),42417.64583333333)</f>
        <v>42417.64583</v>
      </c>
      <c r="B3370" s="2">
        <f>IFERROR(__xludf.DUMMYFUNCTION("""COMPUTED_VALUE"""),463.14)</f>
        <v>463.14</v>
      </c>
      <c r="C3370" s="2">
        <f>IFERROR(__xludf.DUMMYFUNCTION("""COMPUTED_VALUE"""),474.21)</f>
        <v>474.21</v>
      </c>
      <c r="D3370" s="2">
        <f>IFERROR(__xludf.DUMMYFUNCTION("""COMPUTED_VALUE"""),453.88)</f>
        <v>453.88</v>
      </c>
      <c r="E3370" s="2">
        <f>IFERROR(__xludf.DUMMYFUNCTION("""COMPUTED_VALUE"""),471.81)</f>
        <v>471.81</v>
      </c>
      <c r="F3370" s="2">
        <f>IFERROR(__xludf.DUMMYFUNCTION("""COMPUTED_VALUE"""),3529832.0)</f>
        <v>3529832</v>
      </c>
    </row>
    <row r="3371">
      <c r="A3371" s="3">
        <f>IFERROR(__xludf.DUMMYFUNCTION("""COMPUTED_VALUE"""),42418.64583333333)</f>
        <v>42418.64583</v>
      </c>
      <c r="B3371" s="2">
        <f>IFERROR(__xludf.DUMMYFUNCTION("""COMPUTED_VALUE"""),476.94)</f>
        <v>476.94</v>
      </c>
      <c r="C3371" s="2">
        <f>IFERROR(__xludf.DUMMYFUNCTION("""COMPUTED_VALUE"""),479.78)</f>
        <v>479.78</v>
      </c>
      <c r="D3371" s="2">
        <f>IFERROR(__xludf.DUMMYFUNCTION("""COMPUTED_VALUE"""),463.59)</f>
        <v>463.59</v>
      </c>
      <c r="E3371" s="2">
        <f>IFERROR(__xludf.DUMMYFUNCTION("""COMPUTED_VALUE"""),465.62)</f>
        <v>465.62</v>
      </c>
      <c r="F3371" s="2">
        <f>IFERROR(__xludf.DUMMYFUNCTION("""COMPUTED_VALUE"""),3299161.0)</f>
        <v>3299161</v>
      </c>
    </row>
    <row r="3372">
      <c r="A3372" s="3">
        <f>IFERROR(__xludf.DUMMYFUNCTION("""COMPUTED_VALUE"""),42419.64583333333)</f>
        <v>42419.64583</v>
      </c>
      <c r="B3372" s="2">
        <f>IFERROR(__xludf.DUMMYFUNCTION("""COMPUTED_VALUE"""),465.57)</f>
        <v>465.57</v>
      </c>
      <c r="C3372" s="2">
        <f>IFERROR(__xludf.DUMMYFUNCTION("""COMPUTED_VALUE"""),471.88)</f>
        <v>471.88</v>
      </c>
      <c r="D3372" s="2">
        <f>IFERROR(__xludf.DUMMYFUNCTION("""COMPUTED_VALUE"""),464.26)</f>
        <v>464.26</v>
      </c>
      <c r="E3372" s="2">
        <f>IFERROR(__xludf.DUMMYFUNCTION("""COMPUTED_VALUE"""),467.72)</f>
        <v>467.72</v>
      </c>
      <c r="F3372" s="2">
        <f>IFERROR(__xludf.DUMMYFUNCTION("""COMPUTED_VALUE"""),2339664.0)</f>
        <v>2339664</v>
      </c>
    </row>
    <row r="3373">
      <c r="A3373" s="3">
        <f>IFERROR(__xludf.DUMMYFUNCTION("""COMPUTED_VALUE"""),42422.64583333333)</f>
        <v>42422.64583</v>
      </c>
      <c r="B3373" s="2">
        <f>IFERROR(__xludf.DUMMYFUNCTION("""COMPUTED_VALUE"""),467.6)</f>
        <v>467.6</v>
      </c>
      <c r="C3373" s="2">
        <f>IFERROR(__xludf.DUMMYFUNCTION("""COMPUTED_VALUE"""),479.59)</f>
        <v>479.59</v>
      </c>
      <c r="D3373" s="2">
        <f>IFERROR(__xludf.DUMMYFUNCTION("""COMPUTED_VALUE"""),467.6)</f>
        <v>467.6</v>
      </c>
      <c r="E3373" s="2">
        <f>IFERROR(__xludf.DUMMYFUNCTION("""COMPUTED_VALUE"""),476.61)</f>
        <v>476.61</v>
      </c>
      <c r="F3373" s="2">
        <f>IFERROR(__xludf.DUMMYFUNCTION("""COMPUTED_VALUE"""),2919198.0)</f>
        <v>2919198</v>
      </c>
    </row>
    <row r="3374">
      <c r="A3374" s="3">
        <f>IFERROR(__xludf.DUMMYFUNCTION("""COMPUTED_VALUE"""),42423.64583333333)</f>
        <v>42423.64583</v>
      </c>
      <c r="B3374" s="2">
        <f>IFERROR(__xludf.DUMMYFUNCTION("""COMPUTED_VALUE"""),477.01)</f>
        <v>477.01</v>
      </c>
      <c r="C3374" s="2">
        <f>IFERROR(__xludf.DUMMYFUNCTION("""COMPUTED_VALUE"""),479.04)</f>
        <v>479.04</v>
      </c>
      <c r="D3374" s="2">
        <f>IFERROR(__xludf.DUMMYFUNCTION("""COMPUTED_VALUE"""),466.93)</f>
        <v>466.93</v>
      </c>
      <c r="E3374" s="2">
        <f>IFERROR(__xludf.DUMMYFUNCTION("""COMPUTED_VALUE"""),470.35)</f>
        <v>470.35</v>
      </c>
      <c r="F3374" s="2">
        <f>IFERROR(__xludf.DUMMYFUNCTION("""COMPUTED_VALUE"""),4340746.0)</f>
        <v>4340746</v>
      </c>
    </row>
    <row r="3375">
      <c r="A3375" s="3">
        <f>IFERROR(__xludf.DUMMYFUNCTION("""COMPUTED_VALUE"""),42424.64583333333)</f>
        <v>42424.64583</v>
      </c>
      <c r="B3375" s="2">
        <f>IFERROR(__xludf.DUMMYFUNCTION("""COMPUTED_VALUE"""),468.0)</f>
        <v>468</v>
      </c>
      <c r="C3375" s="2">
        <f>IFERROR(__xludf.DUMMYFUNCTION("""COMPUTED_VALUE"""),474.76)</f>
        <v>474.76</v>
      </c>
      <c r="D3375" s="2">
        <f>IFERROR(__xludf.DUMMYFUNCTION("""COMPUTED_VALUE"""),466.56)</f>
        <v>466.56</v>
      </c>
      <c r="E3375" s="2">
        <f>IFERROR(__xludf.DUMMYFUNCTION("""COMPUTED_VALUE"""),471.84)</f>
        <v>471.84</v>
      </c>
      <c r="F3375" s="2">
        <f>IFERROR(__xludf.DUMMYFUNCTION("""COMPUTED_VALUE"""),3471311.0)</f>
        <v>3471311</v>
      </c>
    </row>
    <row r="3376">
      <c r="A3376" s="3">
        <f>IFERROR(__xludf.DUMMYFUNCTION("""COMPUTED_VALUE"""),42425.64583333333)</f>
        <v>42425.64583</v>
      </c>
      <c r="B3376" s="2">
        <f>IFERROR(__xludf.DUMMYFUNCTION("""COMPUTED_VALUE"""),472.6)</f>
        <v>472.6</v>
      </c>
      <c r="C3376" s="2">
        <f>IFERROR(__xludf.DUMMYFUNCTION("""COMPUTED_VALUE"""),473.77)</f>
        <v>473.77</v>
      </c>
      <c r="D3376" s="2">
        <f>IFERROR(__xludf.DUMMYFUNCTION("""COMPUTED_VALUE"""),465.99)</f>
        <v>465.99</v>
      </c>
      <c r="E3376" s="2">
        <f>IFERROR(__xludf.DUMMYFUNCTION("""COMPUTED_VALUE"""),467.6)</f>
        <v>467.6</v>
      </c>
      <c r="F3376" s="2">
        <f>IFERROR(__xludf.DUMMYFUNCTION("""COMPUTED_VALUE"""),5675025.0)</f>
        <v>5675025</v>
      </c>
    </row>
    <row r="3377">
      <c r="A3377" s="3">
        <f>IFERROR(__xludf.DUMMYFUNCTION("""COMPUTED_VALUE"""),42426.64583333333)</f>
        <v>42426.64583</v>
      </c>
      <c r="B3377" s="2">
        <f>IFERROR(__xludf.DUMMYFUNCTION("""COMPUTED_VALUE"""),472.01)</f>
        <v>472.01</v>
      </c>
      <c r="C3377" s="2">
        <f>IFERROR(__xludf.DUMMYFUNCTION("""COMPUTED_VALUE"""),474.86)</f>
        <v>474.86</v>
      </c>
      <c r="D3377" s="2">
        <f>IFERROR(__xludf.DUMMYFUNCTION("""COMPUTED_VALUE"""),467.7)</f>
        <v>467.7</v>
      </c>
      <c r="E3377" s="2">
        <f>IFERROR(__xludf.DUMMYFUNCTION("""COMPUTED_VALUE"""),470.7)</f>
        <v>470.7</v>
      </c>
      <c r="F3377" s="2">
        <f>IFERROR(__xludf.DUMMYFUNCTION("""COMPUTED_VALUE"""),1908533.0)</f>
        <v>1908533</v>
      </c>
    </row>
    <row r="3378">
      <c r="A3378" s="3">
        <f>IFERROR(__xludf.DUMMYFUNCTION("""COMPUTED_VALUE"""),42429.64583333333)</f>
        <v>42429.64583</v>
      </c>
      <c r="B3378" s="2">
        <f>IFERROR(__xludf.DUMMYFUNCTION("""COMPUTED_VALUE"""),471.17)</f>
        <v>471.17</v>
      </c>
      <c r="C3378" s="2">
        <f>IFERROR(__xludf.DUMMYFUNCTION("""COMPUTED_VALUE"""),492.61)</f>
        <v>492.61</v>
      </c>
      <c r="D3378" s="2">
        <f>IFERROR(__xludf.DUMMYFUNCTION("""COMPUTED_VALUE"""),463.09)</f>
        <v>463.09</v>
      </c>
      <c r="E3378" s="2">
        <f>IFERROR(__xludf.DUMMYFUNCTION("""COMPUTED_VALUE"""),478.77)</f>
        <v>478.77</v>
      </c>
      <c r="F3378" s="2">
        <f>IFERROR(__xludf.DUMMYFUNCTION("""COMPUTED_VALUE"""),7093474.0)</f>
        <v>7093474</v>
      </c>
    </row>
    <row r="3379">
      <c r="A3379" s="3">
        <f>IFERROR(__xludf.DUMMYFUNCTION("""COMPUTED_VALUE"""),42430.64583333333)</f>
        <v>42430.64583</v>
      </c>
      <c r="B3379" s="2">
        <f>IFERROR(__xludf.DUMMYFUNCTION("""COMPUTED_VALUE"""),477.8)</f>
        <v>477.8</v>
      </c>
      <c r="C3379" s="2">
        <f>IFERROR(__xludf.DUMMYFUNCTION("""COMPUTED_VALUE"""),487.88)</f>
        <v>487.88</v>
      </c>
      <c r="D3379" s="2">
        <f>IFERROR(__xludf.DUMMYFUNCTION("""COMPUTED_VALUE"""),477.78)</f>
        <v>477.78</v>
      </c>
      <c r="E3379" s="2">
        <f>IFERROR(__xludf.DUMMYFUNCTION("""COMPUTED_VALUE"""),486.03)</f>
        <v>486.03</v>
      </c>
      <c r="F3379" s="2">
        <f>IFERROR(__xludf.DUMMYFUNCTION("""COMPUTED_VALUE"""),3760923.0)</f>
        <v>3760923</v>
      </c>
    </row>
    <row r="3380">
      <c r="A3380" s="3">
        <f>IFERROR(__xludf.DUMMYFUNCTION("""COMPUTED_VALUE"""),42431.64583333333)</f>
        <v>42431.64583</v>
      </c>
      <c r="B3380" s="2">
        <f>IFERROR(__xludf.DUMMYFUNCTION("""COMPUTED_VALUE"""),491.77)</f>
        <v>491.77</v>
      </c>
      <c r="C3380" s="2">
        <f>IFERROR(__xludf.DUMMYFUNCTION("""COMPUTED_VALUE"""),498.13)</f>
        <v>498.13</v>
      </c>
      <c r="D3380" s="2">
        <f>IFERROR(__xludf.DUMMYFUNCTION("""COMPUTED_VALUE"""),488.97)</f>
        <v>488.97</v>
      </c>
      <c r="E3380" s="2">
        <f>IFERROR(__xludf.DUMMYFUNCTION("""COMPUTED_VALUE"""),496.03)</f>
        <v>496.03</v>
      </c>
      <c r="F3380" s="2">
        <f>IFERROR(__xludf.DUMMYFUNCTION("""COMPUTED_VALUE"""),4595886.0)</f>
        <v>4595886</v>
      </c>
    </row>
    <row r="3381">
      <c r="A3381" s="3">
        <f>IFERROR(__xludf.DUMMYFUNCTION("""COMPUTED_VALUE"""),42432.64583333333)</f>
        <v>42432.64583</v>
      </c>
      <c r="B3381" s="2">
        <f>IFERROR(__xludf.DUMMYFUNCTION("""COMPUTED_VALUE"""),500.24)</f>
        <v>500.24</v>
      </c>
      <c r="C3381" s="2">
        <f>IFERROR(__xludf.DUMMYFUNCTION("""COMPUTED_VALUE"""),504.2)</f>
        <v>504.2</v>
      </c>
      <c r="D3381" s="2">
        <f>IFERROR(__xludf.DUMMYFUNCTION("""COMPUTED_VALUE"""),494.05)</f>
        <v>494.05</v>
      </c>
      <c r="E3381" s="2">
        <f>IFERROR(__xludf.DUMMYFUNCTION("""COMPUTED_VALUE"""),501.65)</f>
        <v>501.65</v>
      </c>
      <c r="F3381" s="2">
        <f>IFERROR(__xludf.DUMMYFUNCTION("""COMPUTED_VALUE"""),3630006.0)</f>
        <v>3630006</v>
      </c>
    </row>
    <row r="3382">
      <c r="A3382" s="3">
        <f>IFERROR(__xludf.DUMMYFUNCTION("""COMPUTED_VALUE"""),42433.64583333333)</f>
        <v>42433.64583</v>
      </c>
      <c r="B3382" s="2">
        <f>IFERROR(__xludf.DUMMYFUNCTION("""COMPUTED_VALUE"""),502.22)</f>
        <v>502.22</v>
      </c>
      <c r="C3382" s="2">
        <f>IFERROR(__xludf.DUMMYFUNCTION("""COMPUTED_VALUE"""),502.72)</f>
        <v>502.72</v>
      </c>
      <c r="D3382" s="2">
        <f>IFERROR(__xludf.DUMMYFUNCTION("""COMPUTED_VALUE"""),497.02)</f>
        <v>497.02</v>
      </c>
      <c r="E3382" s="2">
        <f>IFERROR(__xludf.DUMMYFUNCTION("""COMPUTED_VALUE"""),498.46)</f>
        <v>498.46</v>
      </c>
      <c r="F3382" s="2">
        <f>IFERROR(__xludf.DUMMYFUNCTION("""COMPUTED_VALUE"""),2054428.0)</f>
        <v>2054428</v>
      </c>
    </row>
    <row r="3383">
      <c r="A3383" s="3">
        <f>IFERROR(__xludf.DUMMYFUNCTION("""COMPUTED_VALUE"""),42437.64583333333)</f>
        <v>42437.64583</v>
      </c>
      <c r="B3383" s="2">
        <f>IFERROR(__xludf.DUMMYFUNCTION("""COMPUTED_VALUE"""),499.0)</f>
        <v>499</v>
      </c>
      <c r="C3383" s="2">
        <f>IFERROR(__xludf.DUMMYFUNCTION("""COMPUTED_VALUE"""),510.59)</f>
        <v>510.59</v>
      </c>
      <c r="D3383" s="2">
        <f>IFERROR(__xludf.DUMMYFUNCTION("""COMPUTED_VALUE"""),499.0)</f>
        <v>499</v>
      </c>
      <c r="E3383" s="2">
        <f>IFERROR(__xludf.DUMMYFUNCTION("""COMPUTED_VALUE"""),508.66)</f>
        <v>508.66</v>
      </c>
      <c r="F3383" s="2">
        <f>IFERROR(__xludf.DUMMYFUNCTION("""COMPUTED_VALUE"""),3022554.0)</f>
        <v>3022554</v>
      </c>
    </row>
    <row r="3384">
      <c r="A3384" s="3">
        <f>IFERROR(__xludf.DUMMYFUNCTION("""COMPUTED_VALUE"""),42438.64583333333)</f>
        <v>42438.64583</v>
      </c>
      <c r="B3384" s="2">
        <f>IFERROR(__xludf.DUMMYFUNCTION("""COMPUTED_VALUE"""),505.19)</f>
        <v>505.19</v>
      </c>
      <c r="C3384" s="2">
        <f>IFERROR(__xludf.DUMMYFUNCTION("""COMPUTED_VALUE"""),517.03)</f>
        <v>517.03</v>
      </c>
      <c r="D3384" s="2">
        <f>IFERROR(__xludf.DUMMYFUNCTION("""COMPUTED_VALUE"""),504.5)</f>
        <v>504.5</v>
      </c>
      <c r="E3384" s="2">
        <f>IFERROR(__xludf.DUMMYFUNCTION("""COMPUTED_VALUE"""),515.94)</f>
        <v>515.94</v>
      </c>
      <c r="F3384" s="2">
        <f>IFERROR(__xludf.DUMMYFUNCTION("""COMPUTED_VALUE"""),2709831.0)</f>
        <v>2709831</v>
      </c>
    </row>
    <row r="3385">
      <c r="A3385" s="3">
        <f>IFERROR(__xludf.DUMMYFUNCTION("""COMPUTED_VALUE"""),42439.64583333333)</f>
        <v>42439.64583</v>
      </c>
      <c r="B3385" s="2">
        <f>IFERROR(__xludf.DUMMYFUNCTION("""COMPUTED_VALUE"""),516.11)</f>
        <v>516.11</v>
      </c>
      <c r="C3385" s="2">
        <f>IFERROR(__xludf.DUMMYFUNCTION("""COMPUTED_VALUE"""),518.02)</f>
        <v>518.02</v>
      </c>
      <c r="D3385" s="2">
        <f>IFERROR(__xludf.DUMMYFUNCTION("""COMPUTED_VALUE"""),499.74)</f>
        <v>499.74</v>
      </c>
      <c r="E3385" s="2">
        <f>IFERROR(__xludf.DUMMYFUNCTION("""COMPUTED_VALUE"""),501.11)</f>
        <v>501.11</v>
      </c>
      <c r="F3385" s="2">
        <f>IFERROR(__xludf.DUMMYFUNCTION("""COMPUTED_VALUE"""),4733124.0)</f>
        <v>4733124</v>
      </c>
    </row>
    <row r="3386">
      <c r="A3386" s="3">
        <f>IFERROR(__xludf.DUMMYFUNCTION("""COMPUTED_VALUE"""),42440.64583333333)</f>
        <v>42440.64583</v>
      </c>
      <c r="B3386" s="2">
        <f>IFERROR(__xludf.DUMMYFUNCTION("""COMPUTED_VALUE"""),502.67)</f>
        <v>502.67</v>
      </c>
      <c r="C3386" s="2">
        <f>IFERROR(__xludf.DUMMYFUNCTION("""COMPUTED_VALUE"""),509.92)</f>
        <v>509.92</v>
      </c>
      <c r="D3386" s="2">
        <f>IFERROR(__xludf.DUMMYFUNCTION("""COMPUTED_VALUE"""),500.54)</f>
        <v>500.54</v>
      </c>
      <c r="E3386" s="2">
        <f>IFERROR(__xludf.DUMMYFUNCTION("""COMPUTED_VALUE"""),502.47)</f>
        <v>502.47</v>
      </c>
      <c r="F3386" s="2">
        <f>IFERROR(__xludf.DUMMYFUNCTION("""COMPUTED_VALUE"""),3501676.0)</f>
        <v>3501676</v>
      </c>
    </row>
    <row r="3387">
      <c r="A3387" s="3">
        <f>IFERROR(__xludf.DUMMYFUNCTION("""COMPUTED_VALUE"""),42443.64583333333)</f>
        <v>42443.64583</v>
      </c>
      <c r="B3387" s="2">
        <f>IFERROR(__xludf.DUMMYFUNCTION("""COMPUTED_VALUE"""),504.75)</f>
        <v>504.75</v>
      </c>
      <c r="C3387" s="2">
        <f>IFERROR(__xludf.DUMMYFUNCTION("""COMPUTED_VALUE"""),508.36)</f>
        <v>508.36</v>
      </c>
      <c r="D3387" s="2">
        <f>IFERROR(__xludf.DUMMYFUNCTION("""COMPUTED_VALUE"""),501.7)</f>
        <v>501.7</v>
      </c>
      <c r="E3387" s="2">
        <f>IFERROR(__xludf.DUMMYFUNCTION("""COMPUTED_VALUE"""),505.07)</f>
        <v>505.07</v>
      </c>
      <c r="F3387" s="2">
        <f>IFERROR(__xludf.DUMMYFUNCTION("""COMPUTED_VALUE"""),2715590.0)</f>
        <v>2715590</v>
      </c>
    </row>
    <row r="3388">
      <c r="A3388" s="3">
        <f>IFERROR(__xludf.DUMMYFUNCTION("""COMPUTED_VALUE"""),42444.64583333333)</f>
        <v>42444.64583</v>
      </c>
      <c r="B3388" s="2">
        <f>IFERROR(__xludf.DUMMYFUNCTION("""COMPUTED_VALUE"""),507.17)</f>
        <v>507.17</v>
      </c>
      <c r="C3388" s="2">
        <f>IFERROR(__xludf.DUMMYFUNCTION("""COMPUTED_VALUE"""),509.08)</f>
        <v>509.08</v>
      </c>
      <c r="D3388" s="2">
        <f>IFERROR(__xludf.DUMMYFUNCTION("""COMPUTED_VALUE"""),502.77)</f>
        <v>502.77</v>
      </c>
      <c r="E3388" s="2">
        <f>IFERROR(__xludf.DUMMYFUNCTION("""COMPUTED_VALUE"""),505.44)</f>
        <v>505.44</v>
      </c>
      <c r="F3388" s="2">
        <f>IFERROR(__xludf.DUMMYFUNCTION("""COMPUTED_VALUE"""),2397332.0)</f>
        <v>2397332</v>
      </c>
    </row>
    <row r="3389">
      <c r="A3389" s="3">
        <f>IFERROR(__xludf.DUMMYFUNCTION("""COMPUTED_VALUE"""),42445.64583333333)</f>
        <v>42445.64583</v>
      </c>
      <c r="B3389" s="2">
        <f>IFERROR(__xludf.DUMMYFUNCTION("""COMPUTED_VALUE"""),505.69)</f>
        <v>505.69</v>
      </c>
      <c r="C3389" s="2">
        <f>IFERROR(__xludf.DUMMYFUNCTION("""COMPUTED_VALUE"""),508.07)</f>
        <v>508.07</v>
      </c>
      <c r="D3389" s="2">
        <f>IFERROR(__xludf.DUMMYFUNCTION("""COMPUTED_VALUE"""),497.99)</f>
        <v>497.99</v>
      </c>
      <c r="E3389" s="2">
        <f>IFERROR(__xludf.DUMMYFUNCTION("""COMPUTED_VALUE"""),506.06)</f>
        <v>506.06</v>
      </c>
      <c r="F3389" s="2">
        <f>IFERROR(__xludf.DUMMYFUNCTION("""COMPUTED_VALUE"""),2529074.0)</f>
        <v>2529074</v>
      </c>
    </row>
    <row r="3390">
      <c r="A3390" s="3">
        <f>IFERROR(__xludf.DUMMYFUNCTION("""COMPUTED_VALUE"""),42446.64583333333)</f>
        <v>42446.64583</v>
      </c>
      <c r="B3390" s="2">
        <f>IFERROR(__xludf.DUMMYFUNCTION("""COMPUTED_VALUE"""),508.66)</f>
        <v>508.66</v>
      </c>
      <c r="C3390" s="2">
        <f>IFERROR(__xludf.DUMMYFUNCTION("""COMPUTED_VALUE"""),513.56)</f>
        <v>513.56</v>
      </c>
      <c r="D3390" s="2">
        <f>IFERROR(__xludf.DUMMYFUNCTION("""COMPUTED_VALUE"""),501.23)</f>
        <v>501.23</v>
      </c>
      <c r="E3390" s="2">
        <f>IFERROR(__xludf.DUMMYFUNCTION("""COMPUTED_VALUE"""),503.21)</f>
        <v>503.21</v>
      </c>
      <c r="F3390" s="2">
        <f>IFERROR(__xludf.DUMMYFUNCTION("""COMPUTED_VALUE"""),3847740.0)</f>
        <v>3847740</v>
      </c>
    </row>
    <row r="3391">
      <c r="A3391" s="3">
        <f>IFERROR(__xludf.DUMMYFUNCTION("""COMPUTED_VALUE"""),42447.64583333333)</f>
        <v>42447.64583</v>
      </c>
      <c r="B3391" s="2">
        <f>IFERROR(__xludf.DUMMYFUNCTION("""COMPUTED_VALUE"""),504.33)</f>
        <v>504.33</v>
      </c>
      <c r="C3391" s="2">
        <f>IFERROR(__xludf.DUMMYFUNCTION("""COMPUTED_VALUE"""),510.22)</f>
        <v>510.22</v>
      </c>
      <c r="D3391" s="2">
        <f>IFERROR(__xludf.DUMMYFUNCTION("""COMPUTED_VALUE"""),503.06)</f>
        <v>503.06</v>
      </c>
      <c r="E3391" s="2">
        <f>IFERROR(__xludf.DUMMYFUNCTION("""COMPUTED_VALUE"""),508.76)</f>
        <v>508.76</v>
      </c>
      <c r="F3391" s="2">
        <f>IFERROR(__xludf.DUMMYFUNCTION("""COMPUTED_VALUE"""),3207246.0)</f>
        <v>3207246</v>
      </c>
    </row>
    <row r="3392">
      <c r="A3392" s="3">
        <f>IFERROR(__xludf.DUMMYFUNCTION("""COMPUTED_VALUE"""),42450.64583333333)</f>
        <v>42450.64583</v>
      </c>
      <c r="B3392" s="2">
        <f>IFERROR(__xludf.DUMMYFUNCTION("""COMPUTED_VALUE"""),509.13)</f>
        <v>509.13</v>
      </c>
      <c r="C3392" s="2">
        <f>IFERROR(__xludf.DUMMYFUNCTION("""COMPUTED_VALUE"""),515.84)</f>
        <v>515.84</v>
      </c>
      <c r="D3392" s="2">
        <f>IFERROR(__xludf.DUMMYFUNCTION("""COMPUTED_VALUE"""),506.55)</f>
        <v>506.55</v>
      </c>
      <c r="E3392" s="2">
        <f>IFERROR(__xludf.DUMMYFUNCTION("""COMPUTED_VALUE"""),513.76)</f>
        <v>513.76</v>
      </c>
      <c r="F3392" s="2">
        <f>IFERROR(__xludf.DUMMYFUNCTION("""COMPUTED_VALUE"""),2904852.0)</f>
        <v>2904852</v>
      </c>
    </row>
    <row r="3393">
      <c r="A3393" s="3">
        <f>IFERROR(__xludf.DUMMYFUNCTION("""COMPUTED_VALUE"""),42451.64583333333)</f>
        <v>42451.64583</v>
      </c>
      <c r="B3393" s="2">
        <f>IFERROR(__xludf.DUMMYFUNCTION("""COMPUTED_VALUE"""),513.61)</f>
        <v>513.61</v>
      </c>
      <c r="C3393" s="2">
        <f>IFERROR(__xludf.DUMMYFUNCTION("""COMPUTED_VALUE"""),521.17)</f>
        <v>521.17</v>
      </c>
      <c r="D3393" s="2">
        <f>IFERROR(__xludf.DUMMYFUNCTION("""COMPUTED_VALUE"""),512.94)</f>
        <v>512.94</v>
      </c>
      <c r="E3393" s="2">
        <f>IFERROR(__xludf.DUMMYFUNCTION("""COMPUTED_VALUE"""),518.99)</f>
        <v>518.99</v>
      </c>
      <c r="F3393" s="2">
        <f>IFERROR(__xludf.DUMMYFUNCTION("""COMPUTED_VALUE"""),3504967.0)</f>
        <v>3504967</v>
      </c>
    </row>
    <row r="3394">
      <c r="A3394" s="3">
        <f>IFERROR(__xludf.DUMMYFUNCTION("""COMPUTED_VALUE"""),42452.64583333333)</f>
        <v>42452.64583</v>
      </c>
      <c r="B3394" s="2">
        <f>IFERROR(__xludf.DUMMYFUNCTION("""COMPUTED_VALUE"""),518.52)</f>
        <v>518.52</v>
      </c>
      <c r="C3394" s="2">
        <f>IFERROR(__xludf.DUMMYFUNCTION("""COMPUTED_VALUE"""),518.52)</f>
        <v>518.52</v>
      </c>
      <c r="D3394" s="2">
        <f>IFERROR(__xludf.DUMMYFUNCTION("""COMPUTED_VALUE"""),506.38)</f>
        <v>506.38</v>
      </c>
      <c r="E3394" s="2">
        <f>IFERROR(__xludf.DUMMYFUNCTION("""COMPUTED_VALUE"""),509.75)</f>
        <v>509.75</v>
      </c>
      <c r="F3394" s="2">
        <f>IFERROR(__xludf.DUMMYFUNCTION("""COMPUTED_VALUE"""),3841654.0)</f>
        <v>3841654</v>
      </c>
    </row>
    <row r="3395">
      <c r="A3395" s="3">
        <f>IFERROR(__xludf.DUMMYFUNCTION("""COMPUTED_VALUE"""),42457.64583333333)</f>
        <v>42457.64583</v>
      </c>
      <c r="B3395" s="2">
        <f>IFERROR(__xludf.DUMMYFUNCTION("""COMPUTED_VALUE"""),510.15)</f>
        <v>510.15</v>
      </c>
      <c r="C3395" s="2">
        <f>IFERROR(__xludf.DUMMYFUNCTION("""COMPUTED_VALUE"""),510.99)</f>
        <v>510.99</v>
      </c>
      <c r="D3395" s="2">
        <f>IFERROR(__xludf.DUMMYFUNCTION("""COMPUTED_VALUE"""),503.04)</f>
        <v>503.04</v>
      </c>
      <c r="E3395" s="2">
        <f>IFERROR(__xludf.DUMMYFUNCTION("""COMPUTED_VALUE"""),505.39)</f>
        <v>505.39</v>
      </c>
      <c r="F3395" s="2">
        <f>IFERROR(__xludf.DUMMYFUNCTION("""COMPUTED_VALUE"""),4130553.0)</f>
        <v>4130553</v>
      </c>
    </row>
    <row r="3396">
      <c r="A3396" s="3">
        <f>IFERROR(__xludf.DUMMYFUNCTION("""COMPUTED_VALUE"""),42458.64583333333)</f>
        <v>42458.64583</v>
      </c>
      <c r="B3396" s="2">
        <f>IFERROR(__xludf.DUMMYFUNCTION("""COMPUTED_VALUE"""),507.07)</f>
        <v>507.07</v>
      </c>
      <c r="C3396" s="2">
        <f>IFERROR(__xludf.DUMMYFUNCTION("""COMPUTED_VALUE"""),516.09)</f>
        <v>516.09</v>
      </c>
      <c r="D3396" s="2">
        <f>IFERROR(__xludf.DUMMYFUNCTION("""COMPUTED_VALUE"""),505.29)</f>
        <v>505.29</v>
      </c>
      <c r="E3396" s="2">
        <f>IFERROR(__xludf.DUMMYFUNCTION("""COMPUTED_VALUE"""),513.24)</f>
        <v>513.24</v>
      </c>
      <c r="F3396" s="2">
        <f>IFERROR(__xludf.DUMMYFUNCTION("""COMPUTED_VALUE"""),3627901.0)</f>
        <v>3627901</v>
      </c>
    </row>
    <row r="3397">
      <c r="A3397" s="3">
        <f>IFERROR(__xludf.DUMMYFUNCTION("""COMPUTED_VALUE"""),42459.64583333333)</f>
        <v>42459.64583</v>
      </c>
      <c r="B3397" s="2">
        <f>IFERROR(__xludf.DUMMYFUNCTION("""COMPUTED_VALUE"""),516.44)</f>
        <v>516.44</v>
      </c>
      <c r="C3397" s="2">
        <f>IFERROR(__xludf.DUMMYFUNCTION("""COMPUTED_VALUE"""),520.92)</f>
        <v>520.92</v>
      </c>
      <c r="D3397" s="2">
        <f>IFERROR(__xludf.DUMMYFUNCTION("""COMPUTED_VALUE"""),516.44)</f>
        <v>516.44</v>
      </c>
      <c r="E3397" s="2">
        <f>IFERROR(__xludf.DUMMYFUNCTION("""COMPUTED_VALUE"""),518.59)</f>
        <v>518.59</v>
      </c>
      <c r="F3397" s="2">
        <f>IFERROR(__xludf.DUMMYFUNCTION("""COMPUTED_VALUE"""),3303780.0)</f>
        <v>3303780</v>
      </c>
    </row>
    <row r="3398">
      <c r="A3398" s="3">
        <f>IFERROR(__xludf.DUMMYFUNCTION("""COMPUTED_VALUE"""),42460.64583333333)</f>
        <v>42460.64583</v>
      </c>
      <c r="B3398" s="2">
        <f>IFERROR(__xludf.DUMMYFUNCTION("""COMPUTED_VALUE"""),515.59)</f>
        <v>515.59</v>
      </c>
      <c r="C3398" s="2">
        <f>IFERROR(__xludf.DUMMYFUNCTION("""COMPUTED_VALUE"""),523.02)</f>
        <v>523.02</v>
      </c>
      <c r="D3398" s="2">
        <f>IFERROR(__xludf.DUMMYFUNCTION("""COMPUTED_VALUE"""),511.48)</f>
        <v>511.48</v>
      </c>
      <c r="E3398" s="2">
        <f>IFERROR(__xludf.DUMMYFUNCTION("""COMPUTED_VALUE"""),517.67)</f>
        <v>517.67</v>
      </c>
      <c r="F3398" s="2">
        <f>IFERROR(__xludf.DUMMYFUNCTION("""COMPUTED_VALUE"""),7047985.0)</f>
        <v>7047985</v>
      </c>
    </row>
    <row r="3399">
      <c r="A3399" s="3">
        <f>IFERROR(__xludf.DUMMYFUNCTION("""COMPUTED_VALUE"""),42461.64583333333)</f>
        <v>42461.64583</v>
      </c>
      <c r="B3399" s="2">
        <f>IFERROR(__xludf.DUMMYFUNCTION("""COMPUTED_VALUE"""),514.65)</f>
        <v>514.65</v>
      </c>
      <c r="C3399" s="2">
        <f>IFERROR(__xludf.DUMMYFUNCTION("""COMPUTED_VALUE"""),518.22)</f>
        <v>518.22</v>
      </c>
      <c r="D3399" s="2">
        <f>IFERROR(__xludf.DUMMYFUNCTION("""COMPUTED_VALUE"""),507.67)</f>
        <v>507.67</v>
      </c>
      <c r="E3399" s="2">
        <f>IFERROR(__xludf.DUMMYFUNCTION("""COMPUTED_VALUE"""),512.35)</f>
        <v>512.35</v>
      </c>
      <c r="F3399" s="2">
        <f>IFERROR(__xludf.DUMMYFUNCTION("""COMPUTED_VALUE"""),2830115.0)</f>
        <v>2830115</v>
      </c>
    </row>
    <row r="3400">
      <c r="A3400" s="3">
        <f>IFERROR(__xludf.DUMMYFUNCTION("""COMPUTED_VALUE"""),42464.64583333333)</f>
        <v>42464.64583</v>
      </c>
      <c r="B3400" s="2">
        <f>IFERROR(__xludf.DUMMYFUNCTION("""COMPUTED_VALUE"""),515.1)</f>
        <v>515.1</v>
      </c>
      <c r="C3400" s="2">
        <f>IFERROR(__xludf.DUMMYFUNCTION("""COMPUTED_VALUE"""),516.19)</f>
        <v>516.19</v>
      </c>
      <c r="D3400" s="2">
        <f>IFERROR(__xludf.DUMMYFUNCTION("""COMPUTED_VALUE"""),507.82)</f>
        <v>507.82</v>
      </c>
      <c r="E3400" s="2">
        <f>IFERROR(__xludf.DUMMYFUNCTION("""COMPUTED_VALUE"""),512.65)</f>
        <v>512.65</v>
      </c>
      <c r="F3400" s="2">
        <f>IFERROR(__xludf.DUMMYFUNCTION("""COMPUTED_VALUE"""),1973260.0)</f>
        <v>1973260</v>
      </c>
    </row>
    <row r="3401">
      <c r="A3401" s="3">
        <f>IFERROR(__xludf.DUMMYFUNCTION("""COMPUTED_VALUE"""),42465.64583333333)</f>
        <v>42465.64583</v>
      </c>
      <c r="B3401" s="2">
        <f>IFERROR(__xludf.DUMMYFUNCTION("""COMPUTED_VALUE"""),510.81)</f>
        <v>510.81</v>
      </c>
      <c r="C3401" s="2">
        <f>IFERROR(__xludf.DUMMYFUNCTION("""COMPUTED_VALUE"""),516.29)</f>
        <v>516.29</v>
      </c>
      <c r="D3401" s="2">
        <f>IFERROR(__xludf.DUMMYFUNCTION("""COMPUTED_VALUE"""),506.28)</f>
        <v>506.28</v>
      </c>
      <c r="E3401" s="2">
        <f>IFERROR(__xludf.DUMMYFUNCTION("""COMPUTED_VALUE"""),508.63)</f>
        <v>508.63</v>
      </c>
      <c r="F3401" s="2">
        <f>IFERROR(__xludf.DUMMYFUNCTION("""COMPUTED_VALUE"""),2345148.0)</f>
        <v>2345148</v>
      </c>
    </row>
    <row r="3402">
      <c r="A3402" s="3">
        <f>IFERROR(__xludf.DUMMYFUNCTION("""COMPUTED_VALUE"""),42466.64583333333)</f>
        <v>42466.64583</v>
      </c>
      <c r="B3402" s="2">
        <f>IFERROR(__xludf.DUMMYFUNCTION("""COMPUTED_VALUE"""),511.19)</f>
        <v>511.19</v>
      </c>
      <c r="C3402" s="2">
        <f>IFERROR(__xludf.DUMMYFUNCTION("""COMPUTED_VALUE"""),513.46)</f>
        <v>513.46</v>
      </c>
      <c r="D3402" s="2">
        <f>IFERROR(__xludf.DUMMYFUNCTION("""COMPUTED_VALUE"""),506.48)</f>
        <v>506.48</v>
      </c>
      <c r="E3402" s="2">
        <f>IFERROR(__xludf.DUMMYFUNCTION("""COMPUTED_VALUE"""),512.0)</f>
        <v>512</v>
      </c>
      <c r="F3402" s="2">
        <f>IFERROR(__xludf.DUMMYFUNCTION("""COMPUTED_VALUE"""),1597975.0)</f>
        <v>1597975</v>
      </c>
    </row>
    <row r="3403">
      <c r="A3403" s="3">
        <f>IFERROR(__xludf.DUMMYFUNCTION("""COMPUTED_VALUE"""),42467.64583333333)</f>
        <v>42467.64583</v>
      </c>
      <c r="B3403" s="2">
        <f>IFERROR(__xludf.DUMMYFUNCTION("""COMPUTED_VALUE"""),512.57)</f>
        <v>512.57</v>
      </c>
      <c r="C3403" s="2">
        <f>IFERROR(__xludf.DUMMYFUNCTION("""COMPUTED_VALUE"""),519.06)</f>
        <v>519.06</v>
      </c>
      <c r="D3403" s="2">
        <f>IFERROR(__xludf.DUMMYFUNCTION("""COMPUTED_VALUE"""),506.23)</f>
        <v>506.23</v>
      </c>
      <c r="E3403" s="2">
        <f>IFERROR(__xludf.DUMMYFUNCTION("""COMPUTED_VALUE"""),513.74)</f>
        <v>513.74</v>
      </c>
      <c r="F3403" s="2">
        <f>IFERROR(__xludf.DUMMYFUNCTION("""COMPUTED_VALUE"""),2009055.0)</f>
        <v>2009055</v>
      </c>
    </row>
    <row r="3404">
      <c r="A3404" s="3">
        <f>IFERROR(__xludf.DUMMYFUNCTION("""COMPUTED_VALUE"""),42468.64583333333)</f>
        <v>42468.64583</v>
      </c>
      <c r="B3404" s="2">
        <f>IFERROR(__xludf.DUMMYFUNCTION("""COMPUTED_VALUE"""),513.07)</f>
        <v>513.07</v>
      </c>
      <c r="C3404" s="2">
        <f>IFERROR(__xludf.DUMMYFUNCTION("""COMPUTED_VALUE"""),522.26)</f>
        <v>522.26</v>
      </c>
      <c r="D3404" s="2">
        <f>IFERROR(__xludf.DUMMYFUNCTION("""COMPUTED_VALUE"""),510.74)</f>
        <v>510.74</v>
      </c>
      <c r="E3404" s="2">
        <f>IFERROR(__xludf.DUMMYFUNCTION("""COMPUTED_VALUE"""),513.29)</f>
        <v>513.29</v>
      </c>
      <c r="F3404" s="2">
        <f>IFERROR(__xludf.DUMMYFUNCTION("""COMPUTED_VALUE"""),3065701.0)</f>
        <v>3065701</v>
      </c>
    </row>
    <row r="3405">
      <c r="A3405" s="3">
        <f>IFERROR(__xludf.DUMMYFUNCTION("""COMPUTED_VALUE"""),42471.64583333333)</f>
        <v>42471.64583</v>
      </c>
      <c r="B3405" s="2">
        <f>IFERROR(__xludf.DUMMYFUNCTION("""COMPUTED_VALUE"""),513.61)</f>
        <v>513.61</v>
      </c>
      <c r="C3405" s="2">
        <f>IFERROR(__xludf.DUMMYFUNCTION("""COMPUTED_VALUE"""),517.82)</f>
        <v>517.82</v>
      </c>
      <c r="D3405" s="2">
        <f>IFERROR(__xludf.DUMMYFUNCTION("""COMPUTED_VALUE"""),511.63)</f>
        <v>511.63</v>
      </c>
      <c r="E3405" s="2">
        <f>IFERROR(__xludf.DUMMYFUNCTION("""COMPUTED_VALUE"""),515.25)</f>
        <v>515.25</v>
      </c>
      <c r="F3405" s="2">
        <f>IFERROR(__xludf.DUMMYFUNCTION("""COMPUTED_VALUE"""),2356318.0)</f>
        <v>2356318</v>
      </c>
    </row>
    <row r="3406">
      <c r="A3406" s="3">
        <f>IFERROR(__xludf.DUMMYFUNCTION("""COMPUTED_VALUE"""),42472.64583333333)</f>
        <v>42472.64583</v>
      </c>
      <c r="B3406" s="2">
        <f>IFERROR(__xludf.DUMMYFUNCTION("""COMPUTED_VALUE"""),515.25)</f>
        <v>515.25</v>
      </c>
      <c r="C3406" s="2">
        <f>IFERROR(__xludf.DUMMYFUNCTION("""COMPUTED_VALUE"""),523.74)</f>
        <v>523.74</v>
      </c>
      <c r="D3406" s="2">
        <f>IFERROR(__xludf.DUMMYFUNCTION("""COMPUTED_VALUE"""),514.13)</f>
        <v>514.13</v>
      </c>
      <c r="E3406" s="2">
        <f>IFERROR(__xludf.DUMMYFUNCTION("""COMPUTED_VALUE"""),518.76)</f>
        <v>518.76</v>
      </c>
      <c r="F3406" s="2">
        <f>IFERROR(__xludf.DUMMYFUNCTION("""COMPUTED_VALUE"""),2552099.0)</f>
        <v>2552099</v>
      </c>
    </row>
    <row r="3407">
      <c r="A3407" s="3">
        <f>IFERROR(__xludf.DUMMYFUNCTION("""COMPUTED_VALUE"""),42473.64583333333)</f>
        <v>42473.64583</v>
      </c>
      <c r="B3407" s="2">
        <f>IFERROR(__xludf.DUMMYFUNCTION("""COMPUTED_VALUE"""),521.31)</f>
        <v>521.31</v>
      </c>
      <c r="C3407" s="2">
        <f>IFERROR(__xludf.DUMMYFUNCTION("""COMPUTED_VALUE"""),529.91)</f>
        <v>529.91</v>
      </c>
      <c r="D3407" s="2">
        <f>IFERROR(__xludf.DUMMYFUNCTION("""COMPUTED_VALUE"""),521.31)</f>
        <v>521.31</v>
      </c>
      <c r="E3407" s="2">
        <f>IFERROR(__xludf.DUMMYFUNCTION("""COMPUTED_VALUE"""),528.0)</f>
        <v>528</v>
      </c>
      <c r="F3407" s="2">
        <f>IFERROR(__xludf.DUMMYFUNCTION("""COMPUTED_VALUE"""),3666141.0)</f>
        <v>3666141</v>
      </c>
    </row>
    <row r="3408">
      <c r="A3408" s="3">
        <f>IFERROR(__xludf.DUMMYFUNCTION("""COMPUTED_VALUE"""),42478.64583333333)</f>
        <v>42478.64583</v>
      </c>
      <c r="B3408" s="2">
        <f>IFERROR(__xludf.DUMMYFUNCTION("""COMPUTED_VALUE"""),527.88)</f>
        <v>527.88</v>
      </c>
      <c r="C3408" s="2">
        <f>IFERROR(__xludf.DUMMYFUNCTION("""COMPUTED_VALUE"""),528.37)</f>
        <v>528.37</v>
      </c>
      <c r="D3408" s="2">
        <f>IFERROR(__xludf.DUMMYFUNCTION("""COMPUTED_VALUE"""),522.73)</f>
        <v>522.73</v>
      </c>
      <c r="E3408" s="2">
        <f>IFERROR(__xludf.DUMMYFUNCTION("""COMPUTED_VALUE"""),527.36)</f>
        <v>527.36</v>
      </c>
      <c r="F3408" s="2">
        <f>IFERROR(__xludf.DUMMYFUNCTION("""COMPUTED_VALUE"""),4358102.0)</f>
        <v>4358102</v>
      </c>
    </row>
    <row r="3409">
      <c r="A3409" s="3">
        <f>IFERROR(__xludf.DUMMYFUNCTION("""COMPUTED_VALUE"""),42480.64583333333)</f>
        <v>42480.64583</v>
      </c>
      <c r="B3409" s="2">
        <f>IFERROR(__xludf.DUMMYFUNCTION("""COMPUTED_VALUE"""),529.56)</f>
        <v>529.56</v>
      </c>
      <c r="C3409" s="2">
        <f>IFERROR(__xludf.DUMMYFUNCTION("""COMPUTED_VALUE"""),529.56)</f>
        <v>529.56</v>
      </c>
      <c r="D3409" s="2">
        <f>IFERROR(__xludf.DUMMYFUNCTION("""COMPUTED_VALUE"""),513.02)</f>
        <v>513.02</v>
      </c>
      <c r="E3409" s="2">
        <f>IFERROR(__xludf.DUMMYFUNCTION("""COMPUTED_VALUE"""),513.76)</f>
        <v>513.76</v>
      </c>
      <c r="F3409" s="2">
        <f>IFERROR(__xludf.DUMMYFUNCTION("""COMPUTED_VALUE"""),4957497.0)</f>
        <v>4957497</v>
      </c>
    </row>
    <row r="3410">
      <c r="A3410" s="3">
        <f>IFERROR(__xludf.DUMMYFUNCTION("""COMPUTED_VALUE"""),42481.64583333333)</f>
        <v>42481.64583</v>
      </c>
      <c r="B3410" s="2">
        <f>IFERROR(__xludf.DUMMYFUNCTION("""COMPUTED_VALUE"""),515.79)</f>
        <v>515.79</v>
      </c>
      <c r="C3410" s="2">
        <f>IFERROR(__xludf.DUMMYFUNCTION("""COMPUTED_VALUE"""),521.04)</f>
        <v>521.04</v>
      </c>
      <c r="D3410" s="2">
        <f>IFERROR(__xludf.DUMMYFUNCTION("""COMPUTED_VALUE"""),512.62)</f>
        <v>512.62</v>
      </c>
      <c r="E3410" s="2">
        <f>IFERROR(__xludf.DUMMYFUNCTION("""COMPUTED_VALUE"""),515.67)</f>
        <v>515.67</v>
      </c>
      <c r="F3410" s="2">
        <f>IFERROR(__xludf.DUMMYFUNCTION("""COMPUTED_VALUE"""),2601436.0)</f>
        <v>2601436</v>
      </c>
    </row>
    <row r="3411">
      <c r="A3411" s="3">
        <f>IFERROR(__xludf.DUMMYFUNCTION("""COMPUTED_VALUE"""),42482.64583333333)</f>
        <v>42482.64583</v>
      </c>
      <c r="B3411" s="2">
        <f>IFERROR(__xludf.DUMMYFUNCTION("""COMPUTED_VALUE"""),514.6)</f>
        <v>514.6</v>
      </c>
      <c r="C3411" s="2">
        <f>IFERROR(__xludf.DUMMYFUNCTION("""COMPUTED_VALUE"""),518.81)</f>
        <v>518.81</v>
      </c>
      <c r="D3411" s="2">
        <f>IFERROR(__xludf.DUMMYFUNCTION("""COMPUTED_VALUE"""),509.8)</f>
        <v>509.8</v>
      </c>
      <c r="E3411" s="2">
        <f>IFERROR(__xludf.DUMMYFUNCTION("""COMPUTED_VALUE"""),514.58)</f>
        <v>514.58</v>
      </c>
      <c r="F3411" s="2">
        <f>IFERROR(__xludf.DUMMYFUNCTION("""COMPUTED_VALUE"""),2675586.0)</f>
        <v>2675586</v>
      </c>
    </row>
    <row r="3412">
      <c r="A3412" s="3">
        <f>IFERROR(__xludf.DUMMYFUNCTION("""COMPUTED_VALUE"""),42485.64583333333)</f>
        <v>42485.64583</v>
      </c>
      <c r="B3412" s="2">
        <f>IFERROR(__xludf.DUMMYFUNCTION("""COMPUTED_VALUE"""),517.3)</f>
        <v>517.3</v>
      </c>
      <c r="C3412" s="2">
        <f>IFERROR(__xludf.DUMMYFUNCTION("""COMPUTED_VALUE"""),517.3)</f>
        <v>517.3</v>
      </c>
      <c r="D3412" s="2">
        <f>IFERROR(__xludf.DUMMYFUNCTION("""COMPUTED_VALUE"""),501.38)</f>
        <v>501.38</v>
      </c>
      <c r="E3412" s="2">
        <f>IFERROR(__xludf.DUMMYFUNCTION("""COMPUTED_VALUE"""),503.66)</f>
        <v>503.66</v>
      </c>
      <c r="F3412" s="2">
        <f>IFERROR(__xludf.DUMMYFUNCTION("""COMPUTED_VALUE"""),1.3979586E7)</f>
        <v>13979586</v>
      </c>
    </row>
    <row r="3413">
      <c r="A3413" s="3">
        <f>IFERROR(__xludf.DUMMYFUNCTION("""COMPUTED_VALUE"""),42486.64583333333)</f>
        <v>42486.64583</v>
      </c>
      <c r="B3413" s="2">
        <f>IFERROR(__xludf.DUMMYFUNCTION("""COMPUTED_VALUE"""),502.91)</f>
        <v>502.91</v>
      </c>
      <c r="C3413" s="2">
        <f>IFERROR(__xludf.DUMMYFUNCTION("""COMPUTED_VALUE"""),507.12)</f>
        <v>507.12</v>
      </c>
      <c r="D3413" s="2">
        <f>IFERROR(__xludf.DUMMYFUNCTION("""COMPUTED_VALUE"""),499.0)</f>
        <v>499</v>
      </c>
      <c r="E3413" s="2">
        <f>IFERROR(__xludf.DUMMYFUNCTION("""COMPUTED_VALUE"""),503.68)</f>
        <v>503.68</v>
      </c>
      <c r="F3413" s="2">
        <f>IFERROR(__xludf.DUMMYFUNCTION("""COMPUTED_VALUE"""),6041279.0)</f>
        <v>6041279</v>
      </c>
    </row>
    <row r="3414">
      <c r="A3414" s="3">
        <f>IFERROR(__xludf.DUMMYFUNCTION("""COMPUTED_VALUE"""),42487.64583333333)</f>
        <v>42487.64583</v>
      </c>
      <c r="B3414" s="2">
        <f>IFERROR(__xludf.DUMMYFUNCTION("""COMPUTED_VALUE"""),504.15)</f>
        <v>504.15</v>
      </c>
      <c r="C3414" s="2">
        <f>IFERROR(__xludf.DUMMYFUNCTION("""COMPUTED_VALUE"""),508.14)</f>
        <v>508.14</v>
      </c>
      <c r="D3414" s="2">
        <f>IFERROR(__xludf.DUMMYFUNCTION("""COMPUTED_VALUE"""),503.21)</f>
        <v>503.21</v>
      </c>
      <c r="E3414" s="2">
        <f>IFERROR(__xludf.DUMMYFUNCTION("""COMPUTED_VALUE"""),504.9)</f>
        <v>504.9</v>
      </c>
      <c r="F3414" s="2">
        <f>IFERROR(__xludf.DUMMYFUNCTION("""COMPUTED_VALUE"""),3315060.0)</f>
        <v>3315060</v>
      </c>
    </row>
    <row r="3415">
      <c r="A3415" s="3">
        <f>IFERROR(__xludf.DUMMYFUNCTION("""COMPUTED_VALUE"""),42488.64583333333)</f>
        <v>42488.64583</v>
      </c>
      <c r="B3415" s="2">
        <f>IFERROR(__xludf.DUMMYFUNCTION("""COMPUTED_VALUE"""),502.22)</f>
        <v>502.22</v>
      </c>
      <c r="C3415" s="2">
        <f>IFERROR(__xludf.DUMMYFUNCTION("""COMPUTED_VALUE"""),504.8)</f>
        <v>504.8</v>
      </c>
      <c r="D3415" s="2">
        <f>IFERROR(__xludf.DUMMYFUNCTION("""COMPUTED_VALUE"""),490.8)</f>
        <v>490.8</v>
      </c>
      <c r="E3415" s="2">
        <f>IFERROR(__xludf.DUMMYFUNCTION("""COMPUTED_VALUE"""),493.65)</f>
        <v>493.65</v>
      </c>
      <c r="F3415" s="2">
        <f>IFERROR(__xludf.DUMMYFUNCTION("""COMPUTED_VALUE"""),1.4160507E7)</f>
        <v>14160507</v>
      </c>
    </row>
    <row r="3416">
      <c r="A3416" s="3">
        <f>IFERROR(__xludf.DUMMYFUNCTION("""COMPUTED_VALUE"""),42489.64583333333)</f>
        <v>42489.64583</v>
      </c>
      <c r="B3416" s="2">
        <f>IFERROR(__xludf.DUMMYFUNCTION("""COMPUTED_VALUE"""),492.04)</f>
        <v>492.04</v>
      </c>
      <c r="C3416" s="2">
        <f>IFERROR(__xludf.DUMMYFUNCTION("""COMPUTED_VALUE"""),494.57)</f>
        <v>494.57</v>
      </c>
      <c r="D3416" s="2">
        <f>IFERROR(__xludf.DUMMYFUNCTION("""COMPUTED_VALUE"""),484.81)</f>
        <v>484.81</v>
      </c>
      <c r="E3416" s="2">
        <f>IFERROR(__xludf.DUMMYFUNCTION("""COMPUTED_VALUE"""),486.72)</f>
        <v>486.72</v>
      </c>
      <c r="F3416" s="2">
        <f>IFERROR(__xludf.DUMMYFUNCTION("""COMPUTED_VALUE"""),5367060.0)</f>
        <v>5367060</v>
      </c>
    </row>
    <row r="3417">
      <c r="A3417" s="3">
        <f>IFERROR(__xludf.DUMMYFUNCTION("""COMPUTED_VALUE"""),42492.64583333333)</f>
        <v>42492.64583</v>
      </c>
      <c r="B3417" s="2">
        <f>IFERROR(__xludf.DUMMYFUNCTION("""COMPUTED_VALUE"""),484.89)</f>
        <v>484.89</v>
      </c>
      <c r="C3417" s="2">
        <f>IFERROR(__xludf.DUMMYFUNCTION("""COMPUTED_VALUE"""),491.52)</f>
        <v>491.52</v>
      </c>
      <c r="D3417" s="2">
        <f>IFERROR(__xludf.DUMMYFUNCTION("""COMPUTED_VALUE"""),484.39)</f>
        <v>484.39</v>
      </c>
      <c r="E3417" s="2">
        <f>IFERROR(__xludf.DUMMYFUNCTION("""COMPUTED_VALUE"""),488.82)</f>
        <v>488.82</v>
      </c>
      <c r="F3417" s="2">
        <f>IFERROR(__xludf.DUMMYFUNCTION("""COMPUTED_VALUE"""),2427753.0)</f>
        <v>2427753</v>
      </c>
    </row>
    <row r="3418">
      <c r="A3418" s="3">
        <f>IFERROR(__xludf.DUMMYFUNCTION("""COMPUTED_VALUE"""),42493.64583333333)</f>
        <v>42493.64583</v>
      </c>
      <c r="B3418" s="2">
        <f>IFERROR(__xludf.DUMMYFUNCTION("""COMPUTED_VALUE"""),489.34)</f>
        <v>489.34</v>
      </c>
      <c r="C3418" s="2">
        <f>IFERROR(__xludf.DUMMYFUNCTION("""COMPUTED_VALUE"""),492.79)</f>
        <v>492.79</v>
      </c>
      <c r="D3418" s="2">
        <f>IFERROR(__xludf.DUMMYFUNCTION("""COMPUTED_VALUE"""),481.79)</f>
        <v>481.79</v>
      </c>
      <c r="E3418" s="2">
        <f>IFERROR(__xludf.DUMMYFUNCTION("""COMPUTED_VALUE"""),483.3)</f>
        <v>483.3</v>
      </c>
      <c r="F3418" s="2">
        <f>IFERROR(__xludf.DUMMYFUNCTION("""COMPUTED_VALUE"""),4016624.0)</f>
        <v>4016624</v>
      </c>
    </row>
    <row r="3419">
      <c r="A3419" s="3">
        <f>IFERROR(__xludf.DUMMYFUNCTION("""COMPUTED_VALUE"""),42494.64583333333)</f>
        <v>42494.64583</v>
      </c>
      <c r="B3419" s="2">
        <f>IFERROR(__xludf.DUMMYFUNCTION("""COMPUTED_VALUE"""),482.43)</f>
        <v>482.43</v>
      </c>
      <c r="C3419" s="2">
        <f>IFERROR(__xludf.DUMMYFUNCTION("""COMPUTED_VALUE"""),487.21)</f>
        <v>487.21</v>
      </c>
      <c r="D3419" s="2">
        <f>IFERROR(__xludf.DUMMYFUNCTION("""COMPUTED_VALUE"""),481.91)</f>
        <v>481.91</v>
      </c>
      <c r="E3419" s="2">
        <f>IFERROR(__xludf.DUMMYFUNCTION("""COMPUTED_VALUE"""),484.44)</f>
        <v>484.44</v>
      </c>
      <c r="F3419" s="2">
        <f>IFERROR(__xludf.DUMMYFUNCTION("""COMPUTED_VALUE"""),3096453.0)</f>
        <v>3096453</v>
      </c>
    </row>
    <row r="3420">
      <c r="A3420" s="3">
        <f>IFERROR(__xludf.DUMMYFUNCTION("""COMPUTED_VALUE"""),42495.64583333333)</f>
        <v>42495.64583</v>
      </c>
      <c r="B3420" s="2">
        <f>IFERROR(__xludf.DUMMYFUNCTION("""COMPUTED_VALUE"""),485.38)</f>
        <v>485.38</v>
      </c>
      <c r="C3420" s="2">
        <f>IFERROR(__xludf.DUMMYFUNCTION("""COMPUTED_VALUE"""),487.09)</f>
        <v>487.09</v>
      </c>
      <c r="D3420" s="2">
        <f>IFERROR(__xludf.DUMMYFUNCTION("""COMPUTED_VALUE"""),480.87)</f>
        <v>480.87</v>
      </c>
      <c r="E3420" s="2">
        <f>IFERROR(__xludf.DUMMYFUNCTION("""COMPUTED_VALUE"""),483.03)</f>
        <v>483.03</v>
      </c>
      <c r="F3420" s="2">
        <f>IFERROR(__xludf.DUMMYFUNCTION("""COMPUTED_VALUE"""),4952411.0)</f>
        <v>4952411</v>
      </c>
    </row>
    <row r="3421">
      <c r="A3421" s="3">
        <f>IFERROR(__xludf.DUMMYFUNCTION("""COMPUTED_VALUE"""),42496.64583333333)</f>
        <v>42496.64583</v>
      </c>
      <c r="B3421" s="2">
        <f>IFERROR(__xludf.DUMMYFUNCTION("""COMPUTED_VALUE"""),481.91)</f>
        <v>481.91</v>
      </c>
      <c r="C3421" s="2">
        <f>IFERROR(__xludf.DUMMYFUNCTION("""COMPUTED_VALUE"""),483.8)</f>
        <v>483.8</v>
      </c>
      <c r="D3421" s="2">
        <f>IFERROR(__xludf.DUMMYFUNCTION("""COMPUTED_VALUE"""),478.94)</f>
        <v>478.94</v>
      </c>
      <c r="E3421" s="2">
        <f>IFERROR(__xludf.DUMMYFUNCTION("""COMPUTED_VALUE"""),479.91)</f>
        <v>479.91</v>
      </c>
      <c r="F3421" s="2">
        <f>IFERROR(__xludf.DUMMYFUNCTION("""COMPUTED_VALUE"""),3371220.0)</f>
        <v>3371220</v>
      </c>
    </row>
    <row r="3422">
      <c r="A3422" s="3">
        <f>IFERROR(__xludf.DUMMYFUNCTION("""COMPUTED_VALUE"""),42499.64583333333)</f>
        <v>42499.64583</v>
      </c>
      <c r="B3422" s="2">
        <f>IFERROR(__xludf.DUMMYFUNCTION("""COMPUTED_VALUE"""),482.9)</f>
        <v>482.9</v>
      </c>
      <c r="C3422" s="2">
        <f>IFERROR(__xludf.DUMMYFUNCTION("""COMPUTED_VALUE"""),488.35)</f>
        <v>488.35</v>
      </c>
      <c r="D3422" s="2">
        <f>IFERROR(__xludf.DUMMYFUNCTION("""COMPUTED_VALUE"""),481.82)</f>
        <v>481.82</v>
      </c>
      <c r="E3422" s="2">
        <f>IFERROR(__xludf.DUMMYFUNCTION("""COMPUTED_VALUE"""),486.92)</f>
        <v>486.92</v>
      </c>
      <c r="F3422" s="2">
        <f>IFERROR(__xludf.DUMMYFUNCTION("""COMPUTED_VALUE"""),3508088.0)</f>
        <v>3508088</v>
      </c>
    </row>
    <row r="3423">
      <c r="A3423" s="3">
        <f>IFERROR(__xludf.DUMMYFUNCTION("""COMPUTED_VALUE"""),42500.64583333333)</f>
        <v>42500.64583</v>
      </c>
      <c r="B3423" s="2">
        <f>IFERROR(__xludf.DUMMYFUNCTION("""COMPUTED_VALUE"""),486.92)</f>
        <v>486.92</v>
      </c>
      <c r="C3423" s="2">
        <f>IFERROR(__xludf.DUMMYFUNCTION("""COMPUTED_VALUE"""),487.71)</f>
        <v>487.71</v>
      </c>
      <c r="D3423" s="2">
        <f>IFERROR(__xludf.DUMMYFUNCTION("""COMPUTED_VALUE"""),484.39)</f>
        <v>484.39</v>
      </c>
      <c r="E3423" s="2">
        <f>IFERROR(__xludf.DUMMYFUNCTION("""COMPUTED_VALUE"""),486.64)</f>
        <v>486.64</v>
      </c>
      <c r="F3423" s="2">
        <f>IFERROR(__xludf.DUMMYFUNCTION("""COMPUTED_VALUE"""),1656840.0)</f>
        <v>1656840</v>
      </c>
    </row>
    <row r="3424">
      <c r="A3424" s="3">
        <f>IFERROR(__xludf.DUMMYFUNCTION("""COMPUTED_VALUE"""),42501.64583333333)</f>
        <v>42501.64583</v>
      </c>
      <c r="B3424" s="2">
        <f>IFERROR(__xludf.DUMMYFUNCTION("""COMPUTED_VALUE"""),481.32)</f>
        <v>481.32</v>
      </c>
      <c r="C3424" s="2">
        <f>IFERROR(__xludf.DUMMYFUNCTION("""COMPUTED_VALUE"""),485.75)</f>
        <v>485.75</v>
      </c>
      <c r="D3424" s="2">
        <f>IFERROR(__xludf.DUMMYFUNCTION("""COMPUTED_VALUE"""),480.43)</f>
        <v>480.43</v>
      </c>
      <c r="E3424" s="2">
        <f>IFERROR(__xludf.DUMMYFUNCTION("""COMPUTED_VALUE"""),483.1)</f>
        <v>483.1</v>
      </c>
      <c r="F3424" s="2">
        <f>IFERROR(__xludf.DUMMYFUNCTION("""COMPUTED_VALUE"""),2820699.0)</f>
        <v>2820699</v>
      </c>
    </row>
    <row r="3425">
      <c r="A3425" s="3">
        <f>IFERROR(__xludf.DUMMYFUNCTION("""COMPUTED_VALUE"""),42502.64583333333)</f>
        <v>42502.64583</v>
      </c>
      <c r="B3425" s="2">
        <f>IFERROR(__xludf.DUMMYFUNCTION("""COMPUTED_VALUE"""),483.4)</f>
        <v>483.4</v>
      </c>
      <c r="C3425" s="2">
        <f>IFERROR(__xludf.DUMMYFUNCTION("""COMPUTED_VALUE"""),492.41)</f>
        <v>492.41</v>
      </c>
      <c r="D3425" s="2">
        <f>IFERROR(__xludf.DUMMYFUNCTION("""COMPUTED_VALUE"""),482.93)</f>
        <v>482.93</v>
      </c>
      <c r="E3425" s="2">
        <f>IFERROR(__xludf.DUMMYFUNCTION("""COMPUTED_VALUE"""),491.72)</f>
        <v>491.72</v>
      </c>
      <c r="F3425" s="2">
        <f>IFERROR(__xludf.DUMMYFUNCTION("""COMPUTED_VALUE"""),2922714.0)</f>
        <v>2922714</v>
      </c>
    </row>
    <row r="3426">
      <c r="A3426" s="3">
        <f>IFERROR(__xludf.DUMMYFUNCTION("""COMPUTED_VALUE"""),42503.64583333333)</f>
        <v>42503.64583</v>
      </c>
      <c r="B3426" s="2">
        <f>IFERROR(__xludf.DUMMYFUNCTION("""COMPUTED_VALUE"""),489.81)</f>
        <v>489.81</v>
      </c>
      <c r="C3426" s="2">
        <f>IFERROR(__xludf.DUMMYFUNCTION("""COMPUTED_VALUE"""),490.61)</f>
        <v>490.61</v>
      </c>
      <c r="D3426" s="2">
        <f>IFERROR(__xludf.DUMMYFUNCTION("""COMPUTED_VALUE"""),482.9)</f>
        <v>482.9</v>
      </c>
      <c r="E3426" s="2">
        <f>IFERROR(__xludf.DUMMYFUNCTION("""COMPUTED_VALUE"""),484.46)</f>
        <v>484.46</v>
      </c>
      <c r="F3426" s="2">
        <f>IFERROR(__xludf.DUMMYFUNCTION("""COMPUTED_VALUE"""),3348353.0)</f>
        <v>3348353</v>
      </c>
    </row>
    <row r="3427">
      <c r="A3427" s="3">
        <f>IFERROR(__xludf.DUMMYFUNCTION("""COMPUTED_VALUE"""),42506.64583333333)</f>
        <v>42506.64583</v>
      </c>
      <c r="B3427" s="2">
        <f>IFERROR(__xludf.DUMMYFUNCTION("""COMPUTED_VALUE"""),483.9)</f>
        <v>483.9</v>
      </c>
      <c r="C3427" s="2">
        <f>IFERROR(__xludf.DUMMYFUNCTION("""COMPUTED_VALUE"""),486.62)</f>
        <v>486.62</v>
      </c>
      <c r="D3427" s="2">
        <f>IFERROR(__xludf.DUMMYFUNCTION("""COMPUTED_VALUE"""),480.97)</f>
        <v>480.97</v>
      </c>
      <c r="E3427" s="2">
        <f>IFERROR(__xludf.DUMMYFUNCTION("""COMPUTED_VALUE"""),483.38)</f>
        <v>483.38</v>
      </c>
      <c r="F3427" s="2">
        <f>IFERROR(__xludf.DUMMYFUNCTION("""COMPUTED_VALUE"""),2132072.0)</f>
        <v>2132072</v>
      </c>
    </row>
    <row r="3428">
      <c r="A3428" s="3">
        <f>IFERROR(__xludf.DUMMYFUNCTION("""COMPUTED_VALUE"""),42507.64583333333)</f>
        <v>42507.64583</v>
      </c>
      <c r="B3428" s="2">
        <f>IFERROR(__xludf.DUMMYFUNCTION("""COMPUTED_VALUE"""),485.5)</f>
        <v>485.5</v>
      </c>
      <c r="C3428" s="2">
        <f>IFERROR(__xludf.DUMMYFUNCTION("""COMPUTED_VALUE"""),486.92)</f>
        <v>486.92</v>
      </c>
      <c r="D3428" s="2">
        <f>IFERROR(__xludf.DUMMYFUNCTION("""COMPUTED_VALUE"""),478.62)</f>
        <v>478.62</v>
      </c>
      <c r="E3428" s="2">
        <f>IFERROR(__xludf.DUMMYFUNCTION("""COMPUTED_VALUE"""),480.01)</f>
        <v>480.01</v>
      </c>
      <c r="F3428" s="2">
        <f>IFERROR(__xludf.DUMMYFUNCTION("""COMPUTED_VALUE"""),2779023.0)</f>
        <v>2779023</v>
      </c>
    </row>
    <row r="3429">
      <c r="A3429" s="3">
        <f>IFERROR(__xludf.DUMMYFUNCTION("""COMPUTED_VALUE"""),42508.64583333333)</f>
        <v>42508.64583</v>
      </c>
      <c r="B3429" s="2">
        <f>IFERROR(__xludf.DUMMYFUNCTION("""COMPUTED_VALUE"""),478.4)</f>
        <v>478.4</v>
      </c>
      <c r="C3429" s="2">
        <f>IFERROR(__xludf.DUMMYFUNCTION("""COMPUTED_VALUE"""),481.67)</f>
        <v>481.67</v>
      </c>
      <c r="D3429" s="2">
        <f>IFERROR(__xludf.DUMMYFUNCTION("""COMPUTED_VALUE"""),477.51)</f>
        <v>477.51</v>
      </c>
      <c r="E3429" s="2">
        <f>IFERROR(__xludf.DUMMYFUNCTION("""COMPUTED_VALUE"""),480.7)</f>
        <v>480.7</v>
      </c>
      <c r="F3429" s="2">
        <f>IFERROR(__xludf.DUMMYFUNCTION("""COMPUTED_VALUE"""),1880974.0)</f>
        <v>1880974</v>
      </c>
    </row>
    <row r="3430">
      <c r="A3430" s="3">
        <f>IFERROR(__xludf.DUMMYFUNCTION("""COMPUTED_VALUE"""),42509.64583333333)</f>
        <v>42509.64583</v>
      </c>
      <c r="B3430" s="2">
        <f>IFERROR(__xludf.DUMMYFUNCTION("""COMPUTED_VALUE"""),481.27)</f>
        <v>481.27</v>
      </c>
      <c r="C3430" s="2">
        <f>IFERROR(__xludf.DUMMYFUNCTION("""COMPUTED_VALUE"""),481.37)</f>
        <v>481.37</v>
      </c>
      <c r="D3430" s="2">
        <f>IFERROR(__xludf.DUMMYFUNCTION("""COMPUTED_VALUE"""),468.34)</f>
        <v>468.34</v>
      </c>
      <c r="E3430" s="2">
        <f>IFERROR(__xludf.DUMMYFUNCTION("""COMPUTED_VALUE"""),471.12)</f>
        <v>471.12</v>
      </c>
      <c r="F3430" s="2">
        <f>IFERROR(__xludf.DUMMYFUNCTION("""COMPUTED_VALUE"""),2088058.0)</f>
        <v>2088058</v>
      </c>
    </row>
    <row r="3431">
      <c r="A3431" s="3">
        <f>IFERROR(__xludf.DUMMYFUNCTION("""COMPUTED_VALUE"""),42510.64583333333)</f>
        <v>42510.64583</v>
      </c>
      <c r="B3431" s="2">
        <f>IFERROR(__xludf.DUMMYFUNCTION("""COMPUTED_VALUE"""),471.51)</f>
        <v>471.51</v>
      </c>
      <c r="C3431" s="2">
        <f>IFERROR(__xludf.DUMMYFUNCTION("""COMPUTED_VALUE"""),472.75)</f>
        <v>472.75</v>
      </c>
      <c r="D3431" s="2">
        <f>IFERROR(__xludf.DUMMYFUNCTION("""COMPUTED_VALUE"""),461.29)</f>
        <v>461.29</v>
      </c>
      <c r="E3431" s="2">
        <f>IFERROR(__xludf.DUMMYFUNCTION("""COMPUTED_VALUE"""),462.7)</f>
        <v>462.7</v>
      </c>
      <c r="F3431" s="2">
        <f>IFERROR(__xludf.DUMMYFUNCTION("""COMPUTED_VALUE"""),4238988.0)</f>
        <v>4238988</v>
      </c>
    </row>
    <row r="3432">
      <c r="A3432" s="3">
        <f>IFERROR(__xludf.DUMMYFUNCTION("""COMPUTED_VALUE"""),42513.64583333333)</f>
        <v>42513.64583</v>
      </c>
      <c r="B3432" s="2">
        <f>IFERROR(__xludf.DUMMYFUNCTION("""COMPUTED_VALUE"""),464.26)</f>
        <v>464.26</v>
      </c>
      <c r="C3432" s="2">
        <f>IFERROR(__xludf.DUMMYFUNCTION("""COMPUTED_VALUE"""),465.92)</f>
        <v>465.92</v>
      </c>
      <c r="D3432" s="2">
        <f>IFERROR(__xludf.DUMMYFUNCTION("""COMPUTED_VALUE"""),458.46)</f>
        <v>458.46</v>
      </c>
      <c r="E3432" s="2">
        <f>IFERROR(__xludf.DUMMYFUNCTION("""COMPUTED_VALUE"""),460.62)</f>
        <v>460.62</v>
      </c>
      <c r="F3432" s="2">
        <f>IFERROR(__xludf.DUMMYFUNCTION("""COMPUTED_VALUE"""),4198098.0)</f>
        <v>4198098</v>
      </c>
    </row>
    <row r="3433">
      <c r="A3433" s="3">
        <f>IFERROR(__xludf.DUMMYFUNCTION("""COMPUTED_VALUE"""),42514.64583333333)</f>
        <v>42514.64583</v>
      </c>
      <c r="B3433" s="2">
        <f>IFERROR(__xludf.DUMMYFUNCTION("""COMPUTED_VALUE"""),459.65)</f>
        <v>459.65</v>
      </c>
      <c r="C3433" s="2">
        <f>IFERROR(__xludf.DUMMYFUNCTION("""COMPUTED_VALUE"""),467.55)</f>
        <v>467.55</v>
      </c>
      <c r="D3433" s="2">
        <f>IFERROR(__xludf.DUMMYFUNCTION("""COMPUTED_VALUE"""),459.65)</f>
        <v>459.65</v>
      </c>
      <c r="E3433" s="2">
        <f>IFERROR(__xludf.DUMMYFUNCTION("""COMPUTED_VALUE"""),465.79)</f>
        <v>465.79</v>
      </c>
      <c r="F3433" s="2">
        <f>IFERROR(__xludf.DUMMYFUNCTION("""COMPUTED_VALUE"""),2807737.0)</f>
        <v>2807737</v>
      </c>
    </row>
    <row r="3434">
      <c r="A3434" s="3">
        <f>IFERROR(__xludf.DUMMYFUNCTION("""COMPUTED_VALUE"""),42515.64583333333)</f>
        <v>42515.64583</v>
      </c>
      <c r="B3434" s="2">
        <f>IFERROR(__xludf.DUMMYFUNCTION("""COMPUTED_VALUE"""),470.45)</f>
        <v>470.45</v>
      </c>
      <c r="C3434" s="2">
        <f>IFERROR(__xludf.DUMMYFUNCTION("""COMPUTED_VALUE"""),471.91)</f>
        <v>471.91</v>
      </c>
      <c r="D3434" s="2">
        <f>IFERROR(__xludf.DUMMYFUNCTION("""COMPUTED_VALUE"""),466.14)</f>
        <v>466.14</v>
      </c>
      <c r="E3434" s="2">
        <f>IFERROR(__xludf.DUMMYFUNCTION("""COMPUTED_VALUE"""),471.12)</f>
        <v>471.12</v>
      </c>
      <c r="F3434" s="2">
        <f>IFERROR(__xludf.DUMMYFUNCTION("""COMPUTED_VALUE"""),2112135.0)</f>
        <v>2112135</v>
      </c>
    </row>
    <row r="3435">
      <c r="A3435" s="3">
        <f>IFERROR(__xludf.DUMMYFUNCTION("""COMPUTED_VALUE"""),42516.64583333333)</f>
        <v>42516.64583</v>
      </c>
      <c r="B3435" s="2">
        <f>IFERROR(__xludf.DUMMYFUNCTION("""COMPUTED_VALUE"""),470.52)</f>
        <v>470.52</v>
      </c>
      <c r="C3435" s="2">
        <f>IFERROR(__xludf.DUMMYFUNCTION("""COMPUTED_VALUE"""),471.71)</f>
        <v>471.71</v>
      </c>
      <c r="D3435" s="2">
        <f>IFERROR(__xludf.DUMMYFUNCTION("""COMPUTED_VALUE"""),467.6)</f>
        <v>467.6</v>
      </c>
      <c r="E3435" s="2">
        <f>IFERROR(__xludf.DUMMYFUNCTION("""COMPUTED_VALUE"""),468.96)</f>
        <v>468.96</v>
      </c>
      <c r="F3435" s="2">
        <f>IFERROR(__xludf.DUMMYFUNCTION("""COMPUTED_VALUE"""),3243601.0)</f>
        <v>3243601</v>
      </c>
    </row>
    <row r="3436">
      <c r="A3436" s="3">
        <f>IFERROR(__xludf.DUMMYFUNCTION("""COMPUTED_VALUE"""),42517.64583333333)</f>
        <v>42517.64583</v>
      </c>
      <c r="B3436" s="2">
        <f>IFERROR(__xludf.DUMMYFUNCTION("""COMPUTED_VALUE"""),470.05)</f>
        <v>470.05</v>
      </c>
      <c r="C3436" s="2">
        <f>IFERROR(__xludf.DUMMYFUNCTION("""COMPUTED_VALUE"""),483.85)</f>
        <v>483.85</v>
      </c>
      <c r="D3436" s="2">
        <f>IFERROR(__xludf.DUMMYFUNCTION("""COMPUTED_VALUE"""),469.9)</f>
        <v>469.9</v>
      </c>
      <c r="E3436" s="2">
        <f>IFERROR(__xludf.DUMMYFUNCTION("""COMPUTED_VALUE"""),482.76)</f>
        <v>482.76</v>
      </c>
      <c r="F3436" s="2">
        <f>IFERROR(__xludf.DUMMYFUNCTION("""COMPUTED_VALUE"""),3063379.0)</f>
        <v>3063379</v>
      </c>
    </row>
    <row r="3437">
      <c r="A3437" s="3">
        <f>IFERROR(__xludf.DUMMYFUNCTION("""COMPUTED_VALUE"""),42520.64583333333)</f>
        <v>42520.64583</v>
      </c>
      <c r="B3437" s="2">
        <f>IFERROR(__xludf.DUMMYFUNCTION("""COMPUTED_VALUE"""),483.6)</f>
        <v>483.6</v>
      </c>
      <c r="C3437" s="2">
        <f>IFERROR(__xludf.DUMMYFUNCTION("""COMPUTED_VALUE"""),486.12)</f>
        <v>486.12</v>
      </c>
      <c r="D3437" s="2">
        <f>IFERROR(__xludf.DUMMYFUNCTION("""COMPUTED_VALUE"""),477.95)</f>
        <v>477.95</v>
      </c>
      <c r="E3437" s="2">
        <f>IFERROR(__xludf.DUMMYFUNCTION("""COMPUTED_VALUE"""),479.78)</f>
        <v>479.78</v>
      </c>
      <c r="F3437" s="2">
        <f>IFERROR(__xludf.DUMMYFUNCTION("""COMPUTED_VALUE"""),2202091.0)</f>
        <v>2202091</v>
      </c>
    </row>
    <row r="3438">
      <c r="A3438" s="3">
        <f>IFERROR(__xludf.DUMMYFUNCTION("""COMPUTED_VALUE"""),42521.64583333333)</f>
        <v>42521.64583</v>
      </c>
      <c r="B3438" s="2">
        <f>IFERROR(__xludf.DUMMYFUNCTION("""COMPUTED_VALUE"""),479.93)</f>
        <v>479.93</v>
      </c>
      <c r="C3438" s="2">
        <f>IFERROR(__xludf.DUMMYFUNCTION("""COMPUTED_VALUE"""),481.91)</f>
        <v>481.91</v>
      </c>
      <c r="D3438" s="2">
        <f>IFERROR(__xludf.DUMMYFUNCTION("""COMPUTED_VALUE"""),473.74)</f>
        <v>473.74</v>
      </c>
      <c r="E3438" s="2">
        <f>IFERROR(__xludf.DUMMYFUNCTION("""COMPUTED_VALUE"""),474.41)</f>
        <v>474.41</v>
      </c>
      <c r="F3438" s="2">
        <f>IFERROR(__xludf.DUMMYFUNCTION("""COMPUTED_VALUE"""),5333469.0)</f>
        <v>5333469</v>
      </c>
    </row>
    <row r="3439">
      <c r="A3439" s="3">
        <f>IFERROR(__xludf.DUMMYFUNCTION("""COMPUTED_VALUE"""),42522.64583333333)</f>
        <v>42522.64583</v>
      </c>
      <c r="B3439" s="2">
        <f>IFERROR(__xludf.DUMMYFUNCTION("""COMPUTED_VALUE"""),474.46)</f>
        <v>474.46</v>
      </c>
      <c r="C3439" s="2">
        <f>IFERROR(__xludf.DUMMYFUNCTION("""COMPUTED_VALUE"""),478.5)</f>
        <v>478.5</v>
      </c>
      <c r="D3439" s="2">
        <f>IFERROR(__xludf.DUMMYFUNCTION("""COMPUTED_VALUE"""),471.41)</f>
        <v>471.41</v>
      </c>
      <c r="E3439" s="2">
        <f>IFERROR(__xludf.DUMMYFUNCTION("""COMPUTED_VALUE"""),472.31)</f>
        <v>472.31</v>
      </c>
      <c r="F3439" s="2">
        <f>IFERROR(__xludf.DUMMYFUNCTION("""COMPUTED_VALUE"""),2067034.0)</f>
        <v>2067034</v>
      </c>
    </row>
    <row r="3440">
      <c r="A3440" s="3">
        <f>IFERROR(__xludf.DUMMYFUNCTION("""COMPUTED_VALUE"""),42523.64583333333)</f>
        <v>42523.64583</v>
      </c>
      <c r="B3440" s="2">
        <f>IFERROR(__xludf.DUMMYFUNCTION("""COMPUTED_VALUE"""),472.75)</f>
        <v>472.75</v>
      </c>
      <c r="C3440" s="2">
        <f>IFERROR(__xludf.DUMMYFUNCTION("""COMPUTED_VALUE"""),474.06)</f>
        <v>474.06</v>
      </c>
      <c r="D3440" s="2">
        <f>IFERROR(__xludf.DUMMYFUNCTION("""COMPUTED_VALUE"""),468.1)</f>
        <v>468.1</v>
      </c>
      <c r="E3440" s="2">
        <f>IFERROR(__xludf.DUMMYFUNCTION("""COMPUTED_VALUE"""),473.62)</f>
        <v>473.62</v>
      </c>
      <c r="F3440" s="2">
        <f>IFERROR(__xludf.DUMMYFUNCTION("""COMPUTED_VALUE"""),2343852.0)</f>
        <v>2343852</v>
      </c>
    </row>
    <row r="3441">
      <c r="A3441" s="3">
        <f>IFERROR(__xludf.DUMMYFUNCTION("""COMPUTED_VALUE"""),42524.64583333333)</f>
        <v>42524.64583</v>
      </c>
      <c r="B3441" s="2">
        <f>IFERROR(__xludf.DUMMYFUNCTION("""COMPUTED_VALUE"""),475.48)</f>
        <v>475.48</v>
      </c>
      <c r="C3441" s="2">
        <f>IFERROR(__xludf.DUMMYFUNCTION("""COMPUTED_VALUE"""),476.91)</f>
        <v>476.91</v>
      </c>
      <c r="D3441" s="2">
        <f>IFERROR(__xludf.DUMMYFUNCTION("""COMPUTED_VALUE"""),473.42)</f>
        <v>473.42</v>
      </c>
      <c r="E3441" s="2">
        <f>IFERROR(__xludf.DUMMYFUNCTION("""COMPUTED_VALUE"""),475.3)</f>
        <v>475.3</v>
      </c>
      <c r="F3441" s="2">
        <f>IFERROR(__xludf.DUMMYFUNCTION("""COMPUTED_VALUE"""),1975712.0)</f>
        <v>1975712</v>
      </c>
    </row>
    <row r="3442">
      <c r="A3442" s="3">
        <f>IFERROR(__xludf.DUMMYFUNCTION("""COMPUTED_VALUE"""),42527.64583333333)</f>
        <v>42527.64583</v>
      </c>
      <c r="B3442" s="2">
        <f>IFERROR(__xludf.DUMMYFUNCTION("""COMPUTED_VALUE"""),475.97)</f>
        <v>475.97</v>
      </c>
      <c r="C3442" s="2">
        <f>IFERROR(__xludf.DUMMYFUNCTION("""COMPUTED_VALUE"""),476.96)</f>
        <v>476.96</v>
      </c>
      <c r="D3442" s="2">
        <f>IFERROR(__xludf.DUMMYFUNCTION("""COMPUTED_VALUE"""),471.79)</f>
        <v>471.79</v>
      </c>
      <c r="E3442" s="2">
        <f>IFERROR(__xludf.DUMMYFUNCTION("""COMPUTED_VALUE"""),472.9)</f>
        <v>472.9</v>
      </c>
      <c r="F3442" s="2">
        <f>IFERROR(__xludf.DUMMYFUNCTION("""COMPUTED_VALUE"""),1982466.0)</f>
        <v>1982466</v>
      </c>
    </row>
    <row r="3443">
      <c r="A3443" s="3">
        <f>IFERROR(__xludf.DUMMYFUNCTION("""COMPUTED_VALUE"""),42528.64583333333)</f>
        <v>42528.64583</v>
      </c>
      <c r="B3443" s="2">
        <f>IFERROR(__xludf.DUMMYFUNCTION("""COMPUTED_VALUE"""),474.11)</f>
        <v>474.11</v>
      </c>
      <c r="C3443" s="2">
        <f>IFERROR(__xludf.DUMMYFUNCTION("""COMPUTED_VALUE"""),475.95)</f>
        <v>475.95</v>
      </c>
      <c r="D3443" s="2">
        <f>IFERROR(__xludf.DUMMYFUNCTION("""COMPUTED_VALUE"""),471.32)</f>
        <v>471.32</v>
      </c>
      <c r="E3443" s="2">
        <f>IFERROR(__xludf.DUMMYFUNCTION("""COMPUTED_VALUE"""),473.02)</f>
        <v>473.02</v>
      </c>
      <c r="F3443" s="2">
        <f>IFERROR(__xludf.DUMMYFUNCTION("""COMPUTED_VALUE"""),4332627.0)</f>
        <v>4332627</v>
      </c>
    </row>
    <row r="3444">
      <c r="A3444" s="3">
        <f>IFERROR(__xludf.DUMMYFUNCTION("""COMPUTED_VALUE"""),42529.64583333333)</f>
        <v>42529.64583</v>
      </c>
      <c r="B3444" s="2">
        <f>IFERROR(__xludf.DUMMYFUNCTION("""COMPUTED_VALUE"""),474.48)</f>
        <v>474.48</v>
      </c>
      <c r="C3444" s="2">
        <f>IFERROR(__xludf.DUMMYFUNCTION("""COMPUTED_VALUE"""),474.48)</f>
        <v>474.48</v>
      </c>
      <c r="D3444" s="2">
        <f>IFERROR(__xludf.DUMMYFUNCTION("""COMPUTED_VALUE"""),470.1)</f>
        <v>470.1</v>
      </c>
      <c r="E3444" s="2">
        <f>IFERROR(__xludf.DUMMYFUNCTION("""COMPUTED_VALUE"""),472.55)</f>
        <v>472.55</v>
      </c>
      <c r="F3444" s="2">
        <f>IFERROR(__xludf.DUMMYFUNCTION("""COMPUTED_VALUE"""),2773975.0)</f>
        <v>2773975</v>
      </c>
    </row>
    <row r="3445">
      <c r="A3445" s="3">
        <f>IFERROR(__xludf.DUMMYFUNCTION("""COMPUTED_VALUE"""),42530.64583333333)</f>
        <v>42530.64583</v>
      </c>
      <c r="B3445" s="2">
        <f>IFERROR(__xludf.DUMMYFUNCTION("""COMPUTED_VALUE"""),475.48)</f>
        <v>475.48</v>
      </c>
      <c r="C3445" s="2">
        <f>IFERROR(__xludf.DUMMYFUNCTION("""COMPUTED_VALUE"""),483.62)</f>
        <v>483.62</v>
      </c>
      <c r="D3445" s="2">
        <f>IFERROR(__xludf.DUMMYFUNCTION("""COMPUTED_VALUE"""),473.59)</f>
        <v>473.59</v>
      </c>
      <c r="E3445" s="2">
        <f>IFERROR(__xludf.DUMMYFUNCTION("""COMPUTED_VALUE"""),481.0)</f>
        <v>481</v>
      </c>
      <c r="F3445" s="2">
        <f>IFERROR(__xludf.DUMMYFUNCTION("""COMPUTED_VALUE"""),3575840.0)</f>
        <v>3575840</v>
      </c>
    </row>
    <row r="3446">
      <c r="A3446" s="3">
        <f>IFERROR(__xludf.DUMMYFUNCTION("""COMPUTED_VALUE"""),42531.64583333333)</f>
        <v>42531.64583</v>
      </c>
      <c r="B3446" s="2">
        <f>IFERROR(__xludf.DUMMYFUNCTION("""COMPUTED_VALUE"""),482.41)</f>
        <v>482.41</v>
      </c>
      <c r="C3446" s="2">
        <f>IFERROR(__xludf.DUMMYFUNCTION("""COMPUTED_VALUE"""),487.56)</f>
        <v>487.56</v>
      </c>
      <c r="D3446" s="2">
        <f>IFERROR(__xludf.DUMMYFUNCTION("""COMPUTED_VALUE"""),479.59)</f>
        <v>479.59</v>
      </c>
      <c r="E3446" s="2">
        <f>IFERROR(__xludf.DUMMYFUNCTION("""COMPUTED_VALUE"""),483.75)</f>
        <v>483.75</v>
      </c>
      <c r="F3446" s="2">
        <f>IFERROR(__xludf.DUMMYFUNCTION("""COMPUTED_VALUE"""),3729737.0)</f>
        <v>3729737</v>
      </c>
    </row>
    <row r="3447">
      <c r="A3447" s="3">
        <f>IFERROR(__xludf.DUMMYFUNCTION("""COMPUTED_VALUE"""),42534.64583333333)</f>
        <v>42534.64583</v>
      </c>
      <c r="B3447" s="2">
        <f>IFERROR(__xludf.DUMMYFUNCTION("""COMPUTED_VALUE"""),480.38)</f>
        <v>480.38</v>
      </c>
      <c r="C3447" s="2">
        <f>IFERROR(__xludf.DUMMYFUNCTION("""COMPUTED_VALUE"""),487.09)</f>
        <v>487.09</v>
      </c>
      <c r="D3447" s="2">
        <f>IFERROR(__xludf.DUMMYFUNCTION("""COMPUTED_VALUE"""),476.99)</f>
        <v>476.99</v>
      </c>
      <c r="E3447" s="2">
        <f>IFERROR(__xludf.DUMMYFUNCTION("""COMPUTED_VALUE"""),485.93)</f>
        <v>485.93</v>
      </c>
      <c r="F3447" s="2">
        <f>IFERROR(__xludf.DUMMYFUNCTION("""COMPUTED_VALUE"""),2334856.0)</f>
        <v>2334856</v>
      </c>
    </row>
    <row r="3448">
      <c r="A3448" s="3">
        <f>IFERROR(__xludf.DUMMYFUNCTION("""COMPUTED_VALUE"""),42535.64583333333)</f>
        <v>42535.64583</v>
      </c>
      <c r="B3448" s="2">
        <f>IFERROR(__xludf.DUMMYFUNCTION("""COMPUTED_VALUE"""),485.85)</f>
        <v>485.85</v>
      </c>
      <c r="C3448" s="2">
        <f>IFERROR(__xludf.DUMMYFUNCTION("""COMPUTED_VALUE"""),488.06)</f>
        <v>488.06</v>
      </c>
      <c r="D3448" s="2">
        <f>IFERROR(__xludf.DUMMYFUNCTION("""COMPUTED_VALUE"""),480.08)</f>
        <v>480.08</v>
      </c>
      <c r="E3448" s="2">
        <f>IFERROR(__xludf.DUMMYFUNCTION("""COMPUTED_VALUE"""),483.52)</f>
        <v>483.52</v>
      </c>
      <c r="F3448" s="2">
        <f>IFERROR(__xludf.DUMMYFUNCTION("""COMPUTED_VALUE"""),2497008.0)</f>
        <v>2497008</v>
      </c>
    </row>
    <row r="3449">
      <c r="A3449" s="3">
        <f>IFERROR(__xludf.DUMMYFUNCTION("""COMPUTED_VALUE"""),42536.64583333333)</f>
        <v>42536.64583</v>
      </c>
      <c r="B3449" s="2">
        <f>IFERROR(__xludf.DUMMYFUNCTION("""COMPUTED_VALUE"""),485.38)</f>
        <v>485.38</v>
      </c>
      <c r="C3449" s="2">
        <f>IFERROR(__xludf.DUMMYFUNCTION("""COMPUTED_VALUE"""),488.6)</f>
        <v>488.6</v>
      </c>
      <c r="D3449" s="2">
        <f>IFERROR(__xludf.DUMMYFUNCTION("""COMPUTED_VALUE"""),482.29)</f>
        <v>482.29</v>
      </c>
      <c r="E3449" s="2">
        <f>IFERROR(__xludf.DUMMYFUNCTION("""COMPUTED_VALUE"""),487.66)</f>
        <v>487.66</v>
      </c>
      <c r="F3449" s="2">
        <f>IFERROR(__xludf.DUMMYFUNCTION("""COMPUTED_VALUE"""),2543921.0)</f>
        <v>2543921</v>
      </c>
    </row>
    <row r="3450">
      <c r="A3450" s="3">
        <f>IFERROR(__xludf.DUMMYFUNCTION("""COMPUTED_VALUE"""),42537.64583333333)</f>
        <v>42537.64583</v>
      </c>
      <c r="B3450" s="2">
        <f>IFERROR(__xludf.DUMMYFUNCTION("""COMPUTED_VALUE"""),485.88)</f>
        <v>485.88</v>
      </c>
      <c r="C3450" s="2">
        <f>IFERROR(__xludf.DUMMYFUNCTION("""COMPUTED_VALUE"""),487.19)</f>
        <v>487.19</v>
      </c>
      <c r="D3450" s="2">
        <f>IFERROR(__xludf.DUMMYFUNCTION("""COMPUTED_VALUE"""),478.97)</f>
        <v>478.97</v>
      </c>
      <c r="E3450" s="2">
        <f>IFERROR(__xludf.DUMMYFUNCTION("""COMPUTED_VALUE"""),483.55)</f>
        <v>483.55</v>
      </c>
      <c r="F3450" s="2">
        <f>IFERROR(__xludf.DUMMYFUNCTION("""COMPUTED_VALUE"""),2142329.0)</f>
        <v>2142329</v>
      </c>
    </row>
    <row r="3451">
      <c r="A3451" s="3">
        <f>IFERROR(__xludf.DUMMYFUNCTION("""COMPUTED_VALUE"""),42538.64583333333)</f>
        <v>42538.64583</v>
      </c>
      <c r="B3451" s="2">
        <f>IFERROR(__xludf.DUMMYFUNCTION("""COMPUTED_VALUE"""),483.9)</f>
        <v>483.9</v>
      </c>
      <c r="C3451" s="2">
        <f>IFERROR(__xludf.DUMMYFUNCTION("""COMPUTED_VALUE"""),484.71)</f>
        <v>484.71</v>
      </c>
      <c r="D3451" s="2">
        <f>IFERROR(__xludf.DUMMYFUNCTION("""COMPUTED_VALUE"""),480.48)</f>
        <v>480.48</v>
      </c>
      <c r="E3451" s="2">
        <f>IFERROR(__xludf.DUMMYFUNCTION("""COMPUTED_VALUE"""),482.86)</f>
        <v>482.86</v>
      </c>
      <c r="F3451" s="2">
        <f>IFERROR(__xludf.DUMMYFUNCTION("""COMPUTED_VALUE"""),2408096.0)</f>
        <v>2408096</v>
      </c>
    </row>
    <row r="3452">
      <c r="A3452" s="3">
        <f>IFERROR(__xludf.DUMMYFUNCTION("""COMPUTED_VALUE"""),42541.64583333333)</f>
        <v>42541.64583</v>
      </c>
      <c r="B3452" s="2">
        <f>IFERROR(__xludf.DUMMYFUNCTION("""COMPUTED_VALUE"""),481.49)</f>
        <v>481.49</v>
      </c>
      <c r="C3452" s="2">
        <f>IFERROR(__xludf.DUMMYFUNCTION("""COMPUTED_VALUE"""),491.62)</f>
        <v>491.62</v>
      </c>
      <c r="D3452" s="2">
        <f>IFERROR(__xludf.DUMMYFUNCTION("""COMPUTED_VALUE"""),479.44)</f>
        <v>479.44</v>
      </c>
      <c r="E3452" s="2">
        <f>IFERROR(__xludf.DUMMYFUNCTION("""COMPUTED_VALUE"""),490.43)</f>
        <v>490.43</v>
      </c>
      <c r="F3452" s="2">
        <f>IFERROR(__xludf.DUMMYFUNCTION("""COMPUTED_VALUE"""),2459237.0)</f>
        <v>2459237</v>
      </c>
    </row>
    <row r="3453">
      <c r="A3453" s="3">
        <f>IFERROR(__xludf.DUMMYFUNCTION("""COMPUTED_VALUE"""),42542.64583333333)</f>
        <v>42542.64583</v>
      </c>
      <c r="B3453" s="2">
        <f>IFERROR(__xludf.DUMMYFUNCTION("""COMPUTED_VALUE"""),492.36)</f>
        <v>492.36</v>
      </c>
      <c r="C3453" s="2">
        <f>IFERROR(__xludf.DUMMYFUNCTION("""COMPUTED_VALUE"""),492.39)</f>
        <v>492.39</v>
      </c>
      <c r="D3453" s="2">
        <f>IFERROR(__xludf.DUMMYFUNCTION("""COMPUTED_VALUE"""),485.23)</f>
        <v>485.23</v>
      </c>
      <c r="E3453" s="2">
        <f>IFERROR(__xludf.DUMMYFUNCTION("""COMPUTED_VALUE"""),488.9)</f>
        <v>488.9</v>
      </c>
      <c r="F3453" s="2">
        <f>IFERROR(__xludf.DUMMYFUNCTION("""COMPUTED_VALUE"""),3184865.0)</f>
        <v>3184865</v>
      </c>
    </row>
    <row r="3454">
      <c r="A3454" s="3">
        <f>IFERROR(__xludf.DUMMYFUNCTION("""COMPUTED_VALUE"""),42543.64583333333)</f>
        <v>42543.64583</v>
      </c>
      <c r="B3454" s="2">
        <f>IFERROR(__xludf.DUMMYFUNCTION("""COMPUTED_VALUE"""),487.86)</f>
        <v>487.86</v>
      </c>
      <c r="C3454" s="2">
        <f>IFERROR(__xludf.DUMMYFUNCTION("""COMPUTED_VALUE"""),488.3)</f>
        <v>488.3</v>
      </c>
      <c r="D3454" s="2">
        <f>IFERROR(__xludf.DUMMYFUNCTION("""COMPUTED_VALUE"""),483.94)</f>
        <v>483.94</v>
      </c>
      <c r="E3454" s="2">
        <f>IFERROR(__xludf.DUMMYFUNCTION("""COMPUTED_VALUE"""),485.63)</f>
        <v>485.63</v>
      </c>
      <c r="F3454" s="2">
        <f>IFERROR(__xludf.DUMMYFUNCTION("""COMPUTED_VALUE"""),2923284.0)</f>
        <v>2923284</v>
      </c>
    </row>
    <row r="3455">
      <c r="A3455" s="3">
        <f>IFERROR(__xludf.DUMMYFUNCTION("""COMPUTED_VALUE"""),42544.64583333333)</f>
        <v>42544.64583</v>
      </c>
      <c r="B3455" s="2">
        <f>IFERROR(__xludf.DUMMYFUNCTION("""COMPUTED_VALUE"""),485.36)</f>
        <v>485.36</v>
      </c>
      <c r="C3455" s="2">
        <f>IFERROR(__xludf.DUMMYFUNCTION("""COMPUTED_VALUE"""),486.37)</f>
        <v>486.37</v>
      </c>
      <c r="D3455" s="2">
        <f>IFERROR(__xludf.DUMMYFUNCTION("""COMPUTED_VALUE"""),480.43)</f>
        <v>480.43</v>
      </c>
      <c r="E3455" s="2">
        <f>IFERROR(__xludf.DUMMYFUNCTION("""COMPUTED_VALUE"""),485.6)</f>
        <v>485.6</v>
      </c>
      <c r="F3455" s="2">
        <f>IFERROR(__xludf.DUMMYFUNCTION("""COMPUTED_VALUE"""),2248693.0)</f>
        <v>2248693</v>
      </c>
    </row>
    <row r="3456">
      <c r="A3456" s="3">
        <f>IFERROR(__xludf.DUMMYFUNCTION("""COMPUTED_VALUE"""),42545.64583333333)</f>
        <v>42545.64583</v>
      </c>
      <c r="B3456" s="2">
        <f>IFERROR(__xludf.DUMMYFUNCTION("""COMPUTED_VALUE"""),477.9)</f>
        <v>477.9</v>
      </c>
      <c r="C3456" s="2">
        <f>IFERROR(__xludf.DUMMYFUNCTION("""COMPUTED_VALUE"""),477.9)</f>
        <v>477.9</v>
      </c>
      <c r="D3456" s="2">
        <f>IFERROR(__xludf.DUMMYFUNCTION("""COMPUTED_VALUE"""),462.3)</f>
        <v>462.3</v>
      </c>
      <c r="E3456" s="2">
        <f>IFERROR(__xludf.DUMMYFUNCTION("""COMPUTED_VALUE"""),471.24)</f>
        <v>471.24</v>
      </c>
      <c r="F3456" s="2">
        <f>IFERROR(__xludf.DUMMYFUNCTION("""COMPUTED_VALUE"""),5711173.0)</f>
        <v>5711173</v>
      </c>
    </row>
    <row r="3457">
      <c r="A3457" s="3">
        <f>IFERROR(__xludf.DUMMYFUNCTION("""COMPUTED_VALUE"""),42548.64583333333)</f>
        <v>42548.64583</v>
      </c>
      <c r="B3457" s="2">
        <f>IFERROR(__xludf.DUMMYFUNCTION("""COMPUTED_VALUE"""),465.82)</f>
        <v>465.82</v>
      </c>
      <c r="C3457" s="2">
        <f>IFERROR(__xludf.DUMMYFUNCTION("""COMPUTED_VALUE"""),474.68)</f>
        <v>474.68</v>
      </c>
      <c r="D3457" s="2">
        <f>IFERROR(__xludf.DUMMYFUNCTION("""COMPUTED_VALUE"""),465.82)</f>
        <v>465.82</v>
      </c>
      <c r="E3457" s="2">
        <f>IFERROR(__xludf.DUMMYFUNCTION("""COMPUTED_VALUE"""),473.32)</f>
        <v>473.32</v>
      </c>
      <c r="F3457" s="2">
        <f>IFERROR(__xludf.DUMMYFUNCTION("""COMPUTED_VALUE"""),2094599.0)</f>
        <v>2094599</v>
      </c>
    </row>
    <row r="3458">
      <c r="A3458" s="3">
        <f>IFERROR(__xludf.DUMMYFUNCTION("""COMPUTED_VALUE"""),42549.64583333333)</f>
        <v>42549.64583</v>
      </c>
      <c r="B3458" s="2">
        <f>IFERROR(__xludf.DUMMYFUNCTION("""COMPUTED_VALUE"""),473.69)</f>
        <v>473.69</v>
      </c>
      <c r="C3458" s="2">
        <f>IFERROR(__xludf.DUMMYFUNCTION("""COMPUTED_VALUE"""),476.24)</f>
        <v>476.24</v>
      </c>
      <c r="D3458" s="2">
        <f>IFERROR(__xludf.DUMMYFUNCTION("""COMPUTED_VALUE"""),473.0)</f>
        <v>473</v>
      </c>
      <c r="E3458" s="2">
        <f>IFERROR(__xludf.DUMMYFUNCTION("""COMPUTED_VALUE"""),474.39)</f>
        <v>474.39</v>
      </c>
      <c r="F3458" s="2">
        <f>IFERROR(__xludf.DUMMYFUNCTION("""COMPUTED_VALUE"""),1738370.0)</f>
        <v>1738370</v>
      </c>
    </row>
    <row r="3459">
      <c r="A3459" s="3">
        <f>IFERROR(__xludf.DUMMYFUNCTION("""COMPUTED_VALUE"""),42550.64583333333)</f>
        <v>42550.64583</v>
      </c>
      <c r="B3459" s="2">
        <f>IFERROR(__xludf.DUMMYFUNCTION("""COMPUTED_VALUE"""),476.47)</f>
        <v>476.47</v>
      </c>
      <c r="C3459" s="2">
        <f>IFERROR(__xludf.DUMMYFUNCTION("""COMPUTED_VALUE"""),479.91)</f>
        <v>479.91</v>
      </c>
      <c r="D3459" s="2">
        <f>IFERROR(__xludf.DUMMYFUNCTION("""COMPUTED_VALUE"""),475.48)</f>
        <v>475.48</v>
      </c>
      <c r="E3459" s="2">
        <f>IFERROR(__xludf.DUMMYFUNCTION("""COMPUTED_VALUE"""),478.89)</f>
        <v>478.89</v>
      </c>
      <c r="F3459" s="2">
        <f>IFERROR(__xludf.DUMMYFUNCTION("""COMPUTED_VALUE"""),1719857.0)</f>
        <v>1719857</v>
      </c>
    </row>
    <row r="3460">
      <c r="A3460" s="3">
        <f>IFERROR(__xludf.DUMMYFUNCTION("""COMPUTED_VALUE"""),42551.64583333333)</f>
        <v>42551.64583</v>
      </c>
      <c r="B3460" s="2">
        <f>IFERROR(__xludf.DUMMYFUNCTION("""COMPUTED_VALUE"""),481.42)</f>
        <v>481.42</v>
      </c>
      <c r="C3460" s="2">
        <f>IFERROR(__xludf.DUMMYFUNCTION("""COMPUTED_VALUE"""),484.14)</f>
        <v>484.14</v>
      </c>
      <c r="D3460" s="2">
        <f>IFERROR(__xludf.DUMMYFUNCTION("""COMPUTED_VALUE"""),478.97)</f>
        <v>478.97</v>
      </c>
      <c r="E3460" s="2">
        <f>IFERROR(__xludf.DUMMYFUNCTION("""COMPUTED_VALUE"""),480.01)</f>
        <v>480.01</v>
      </c>
      <c r="F3460" s="2">
        <f>IFERROR(__xludf.DUMMYFUNCTION("""COMPUTED_VALUE"""),2916329.0)</f>
        <v>2916329</v>
      </c>
    </row>
    <row r="3461">
      <c r="A3461" s="3">
        <f>IFERROR(__xludf.DUMMYFUNCTION("""COMPUTED_VALUE"""),42552.64583333333)</f>
        <v>42552.64583</v>
      </c>
      <c r="B3461" s="2">
        <f>IFERROR(__xludf.DUMMYFUNCTION("""COMPUTED_VALUE"""),481.79)</f>
        <v>481.79</v>
      </c>
      <c r="C3461" s="2">
        <f>IFERROR(__xludf.DUMMYFUNCTION("""COMPUTED_VALUE"""),483.8)</f>
        <v>483.8</v>
      </c>
      <c r="D3461" s="2">
        <f>IFERROR(__xludf.DUMMYFUNCTION("""COMPUTED_VALUE"""),480.43)</f>
        <v>480.43</v>
      </c>
      <c r="E3461" s="2">
        <f>IFERROR(__xludf.DUMMYFUNCTION("""COMPUTED_VALUE"""),482.14)</f>
        <v>482.14</v>
      </c>
      <c r="F3461" s="2">
        <f>IFERROR(__xludf.DUMMYFUNCTION("""COMPUTED_VALUE"""),1510979.0)</f>
        <v>1510979</v>
      </c>
    </row>
    <row r="3462">
      <c r="A3462" s="3">
        <f>IFERROR(__xludf.DUMMYFUNCTION("""COMPUTED_VALUE"""),42555.64583333333)</f>
        <v>42555.64583</v>
      </c>
      <c r="B3462" s="2">
        <f>IFERROR(__xludf.DUMMYFUNCTION("""COMPUTED_VALUE"""),483.15)</f>
        <v>483.15</v>
      </c>
      <c r="C3462" s="2">
        <f>IFERROR(__xludf.DUMMYFUNCTION("""COMPUTED_VALUE"""),492.12)</f>
        <v>492.12</v>
      </c>
      <c r="D3462" s="2">
        <f>IFERROR(__xludf.DUMMYFUNCTION("""COMPUTED_VALUE"""),483.15)</f>
        <v>483.15</v>
      </c>
      <c r="E3462" s="2">
        <f>IFERROR(__xludf.DUMMYFUNCTION("""COMPUTED_VALUE"""),488.7)</f>
        <v>488.7</v>
      </c>
      <c r="F3462" s="2">
        <f>IFERROR(__xludf.DUMMYFUNCTION("""COMPUTED_VALUE"""),1783750.0)</f>
        <v>1783750</v>
      </c>
    </row>
    <row r="3463">
      <c r="A3463" s="3">
        <f>IFERROR(__xludf.DUMMYFUNCTION("""COMPUTED_VALUE"""),42556.64583333333)</f>
        <v>42556.64583</v>
      </c>
      <c r="B3463" s="2">
        <f>IFERROR(__xludf.DUMMYFUNCTION("""COMPUTED_VALUE"""),488.4)</f>
        <v>488.4</v>
      </c>
      <c r="C3463" s="2">
        <f>IFERROR(__xludf.DUMMYFUNCTION("""COMPUTED_VALUE"""),496.72)</f>
        <v>496.72</v>
      </c>
      <c r="D3463" s="2">
        <f>IFERROR(__xludf.DUMMYFUNCTION("""COMPUTED_VALUE"""),485.53)</f>
        <v>485.53</v>
      </c>
      <c r="E3463" s="2">
        <f>IFERROR(__xludf.DUMMYFUNCTION("""COMPUTED_VALUE"""),491.87)</f>
        <v>491.87</v>
      </c>
      <c r="F3463" s="2">
        <f>IFERROR(__xludf.DUMMYFUNCTION("""COMPUTED_VALUE"""),2596678.0)</f>
        <v>2596678</v>
      </c>
    </row>
    <row r="3464">
      <c r="A3464" s="3">
        <f>IFERROR(__xludf.DUMMYFUNCTION("""COMPUTED_VALUE"""),42558.64583333333)</f>
        <v>42558.64583</v>
      </c>
      <c r="B3464" s="2">
        <f>IFERROR(__xludf.DUMMYFUNCTION("""COMPUTED_VALUE"""),491.57)</f>
        <v>491.57</v>
      </c>
      <c r="C3464" s="2">
        <f>IFERROR(__xludf.DUMMYFUNCTION("""COMPUTED_VALUE"""),495.53)</f>
        <v>495.53</v>
      </c>
      <c r="D3464" s="2">
        <f>IFERROR(__xludf.DUMMYFUNCTION("""COMPUTED_VALUE"""),488.43)</f>
        <v>488.43</v>
      </c>
      <c r="E3464" s="2">
        <f>IFERROR(__xludf.DUMMYFUNCTION("""COMPUTED_VALUE"""),489.29)</f>
        <v>489.29</v>
      </c>
      <c r="F3464" s="2">
        <f>IFERROR(__xludf.DUMMYFUNCTION("""COMPUTED_VALUE"""),2749648.0)</f>
        <v>2749648</v>
      </c>
    </row>
    <row r="3465">
      <c r="A3465" s="3">
        <f>IFERROR(__xludf.DUMMYFUNCTION("""COMPUTED_VALUE"""),42559.64583333333)</f>
        <v>42559.64583</v>
      </c>
      <c r="B3465" s="2">
        <f>IFERROR(__xludf.DUMMYFUNCTION("""COMPUTED_VALUE"""),488.85)</f>
        <v>488.85</v>
      </c>
      <c r="C3465" s="2">
        <f>IFERROR(__xludf.DUMMYFUNCTION("""COMPUTED_VALUE"""),489.84)</f>
        <v>489.84</v>
      </c>
      <c r="D3465" s="2">
        <f>IFERROR(__xludf.DUMMYFUNCTION("""COMPUTED_VALUE"""),483.57)</f>
        <v>483.57</v>
      </c>
      <c r="E3465" s="2">
        <f>IFERROR(__xludf.DUMMYFUNCTION("""COMPUTED_VALUE"""),484.59)</f>
        <v>484.59</v>
      </c>
      <c r="F3465" s="2">
        <f>IFERROR(__xludf.DUMMYFUNCTION("""COMPUTED_VALUE"""),1632225.0)</f>
        <v>1632225</v>
      </c>
    </row>
    <row r="3466">
      <c r="A3466" s="3">
        <f>IFERROR(__xludf.DUMMYFUNCTION("""COMPUTED_VALUE"""),42562.64583333333)</f>
        <v>42562.64583</v>
      </c>
      <c r="B3466" s="2">
        <f>IFERROR(__xludf.DUMMYFUNCTION("""COMPUTED_VALUE"""),490.83)</f>
        <v>490.83</v>
      </c>
      <c r="C3466" s="2">
        <f>IFERROR(__xludf.DUMMYFUNCTION("""COMPUTED_VALUE"""),492.79)</f>
        <v>492.79</v>
      </c>
      <c r="D3466" s="2">
        <f>IFERROR(__xludf.DUMMYFUNCTION("""COMPUTED_VALUE"""),488.11)</f>
        <v>488.11</v>
      </c>
      <c r="E3466" s="2">
        <f>IFERROR(__xludf.DUMMYFUNCTION("""COMPUTED_VALUE"""),491.57)</f>
        <v>491.57</v>
      </c>
      <c r="F3466" s="2">
        <f>IFERROR(__xludf.DUMMYFUNCTION("""COMPUTED_VALUE"""),1889606.0)</f>
        <v>1889606</v>
      </c>
    </row>
    <row r="3467">
      <c r="A3467" s="3">
        <f>IFERROR(__xludf.DUMMYFUNCTION("""COMPUTED_VALUE"""),42563.64583333333)</f>
        <v>42563.64583</v>
      </c>
      <c r="B3467" s="2">
        <f>IFERROR(__xludf.DUMMYFUNCTION("""COMPUTED_VALUE"""),492.93)</f>
        <v>492.93</v>
      </c>
      <c r="C3467" s="2">
        <f>IFERROR(__xludf.DUMMYFUNCTION("""COMPUTED_VALUE"""),497.76)</f>
        <v>497.76</v>
      </c>
      <c r="D3467" s="2">
        <f>IFERROR(__xludf.DUMMYFUNCTION("""COMPUTED_VALUE"""),490.83)</f>
        <v>490.83</v>
      </c>
      <c r="E3467" s="2">
        <f>IFERROR(__xludf.DUMMYFUNCTION("""COMPUTED_VALUE"""),496.97)</f>
        <v>496.97</v>
      </c>
      <c r="F3467" s="2">
        <f>IFERROR(__xludf.DUMMYFUNCTION("""COMPUTED_VALUE"""),2232685.0)</f>
        <v>2232685</v>
      </c>
    </row>
    <row r="3468">
      <c r="A3468" s="3">
        <f>IFERROR(__xludf.DUMMYFUNCTION("""COMPUTED_VALUE"""),42564.64583333333)</f>
        <v>42564.64583</v>
      </c>
      <c r="B3468" s="2">
        <f>IFERROR(__xludf.DUMMYFUNCTION("""COMPUTED_VALUE"""),497.86)</f>
        <v>497.86</v>
      </c>
      <c r="C3468" s="2">
        <f>IFERROR(__xludf.DUMMYFUNCTION("""COMPUTED_VALUE"""),503.56)</f>
        <v>503.56</v>
      </c>
      <c r="D3468" s="2">
        <f>IFERROR(__xludf.DUMMYFUNCTION("""COMPUTED_VALUE"""),497.34)</f>
        <v>497.34</v>
      </c>
      <c r="E3468" s="2">
        <f>IFERROR(__xludf.DUMMYFUNCTION("""COMPUTED_VALUE"""),499.62)</f>
        <v>499.62</v>
      </c>
      <c r="F3468" s="2">
        <f>IFERROR(__xludf.DUMMYFUNCTION("""COMPUTED_VALUE"""),3409386.0)</f>
        <v>3409386</v>
      </c>
    </row>
    <row r="3469">
      <c r="A3469" s="3">
        <f>IFERROR(__xludf.DUMMYFUNCTION("""COMPUTED_VALUE"""),42565.64583333333)</f>
        <v>42565.64583</v>
      </c>
      <c r="B3469" s="2">
        <f>IFERROR(__xludf.DUMMYFUNCTION("""COMPUTED_VALUE"""),499.3)</f>
        <v>499.3</v>
      </c>
      <c r="C3469" s="2">
        <f>IFERROR(__xludf.DUMMYFUNCTION("""COMPUTED_VALUE"""),502.27)</f>
        <v>502.27</v>
      </c>
      <c r="D3469" s="2">
        <f>IFERROR(__xludf.DUMMYFUNCTION("""COMPUTED_VALUE"""),494.42)</f>
        <v>494.42</v>
      </c>
      <c r="E3469" s="2">
        <f>IFERROR(__xludf.DUMMYFUNCTION("""COMPUTED_VALUE"""),497.71)</f>
        <v>497.71</v>
      </c>
      <c r="F3469" s="2">
        <f>IFERROR(__xludf.DUMMYFUNCTION("""COMPUTED_VALUE"""),2459183.0)</f>
        <v>2459183</v>
      </c>
    </row>
    <row r="3470">
      <c r="A3470" s="3">
        <f>IFERROR(__xludf.DUMMYFUNCTION("""COMPUTED_VALUE"""),42566.64583333333)</f>
        <v>42566.64583</v>
      </c>
      <c r="B3470" s="2">
        <f>IFERROR(__xludf.DUMMYFUNCTION("""COMPUTED_VALUE"""),499.74)</f>
        <v>499.74</v>
      </c>
      <c r="C3470" s="2">
        <f>IFERROR(__xludf.DUMMYFUNCTION("""COMPUTED_VALUE"""),505.69)</f>
        <v>505.69</v>
      </c>
      <c r="D3470" s="2">
        <f>IFERROR(__xludf.DUMMYFUNCTION("""COMPUTED_VALUE"""),497.02)</f>
        <v>497.02</v>
      </c>
      <c r="E3470" s="2">
        <f>IFERROR(__xludf.DUMMYFUNCTION("""COMPUTED_VALUE"""),501.33)</f>
        <v>501.33</v>
      </c>
      <c r="F3470" s="2">
        <f>IFERROR(__xludf.DUMMYFUNCTION("""COMPUTED_VALUE"""),3198562.0)</f>
        <v>3198562</v>
      </c>
    </row>
    <row r="3471">
      <c r="A3471" s="3">
        <f>IFERROR(__xludf.DUMMYFUNCTION("""COMPUTED_VALUE"""),42569.64583333333)</f>
        <v>42569.64583</v>
      </c>
      <c r="B3471" s="2">
        <f>IFERROR(__xludf.DUMMYFUNCTION("""COMPUTED_VALUE"""),509.15)</f>
        <v>509.15</v>
      </c>
      <c r="C3471" s="2">
        <f>IFERROR(__xludf.DUMMYFUNCTION("""COMPUTED_VALUE"""),514.48)</f>
        <v>514.48</v>
      </c>
      <c r="D3471" s="2">
        <f>IFERROR(__xludf.DUMMYFUNCTION("""COMPUTED_VALUE"""),496.15)</f>
        <v>496.15</v>
      </c>
      <c r="E3471" s="2">
        <f>IFERROR(__xludf.DUMMYFUNCTION("""COMPUTED_VALUE"""),498.38)</f>
        <v>498.38</v>
      </c>
      <c r="F3471" s="2">
        <f>IFERROR(__xludf.DUMMYFUNCTION("""COMPUTED_VALUE"""),7339086.0)</f>
        <v>7339086</v>
      </c>
    </row>
    <row r="3472">
      <c r="A3472" s="3">
        <f>IFERROR(__xludf.DUMMYFUNCTION("""COMPUTED_VALUE"""),42570.64583333333)</f>
        <v>42570.64583</v>
      </c>
      <c r="B3472" s="2">
        <f>IFERROR(__xludf.DUMMYFUNCTION("""COMPUTED_VALUE"""),498.26)</f>
        <v>498.26</v>
      </c>
      <c r="C3472" s="2">
        <f>IFERROR(__xludf.DUMMYFUNCTION("""COMPUTED_VALUE"""),506.65)</f>
        <v>506.65</v>
      </c>
      <c r="D3472" s="2">
        <f>IFERROR(__xludf.DUMMYFUNCTION("""COMPUTED_VALUE"""),492.96)</f>
        <v>492.96</v>
      </c>
      <c r="E3472" s="2">
        <f>IFERROR(__xludf.DUMMYFUNCTION("""COMPUTED_VALUE"""),504.1)</f>
        <v>504.1</v>
      </c>
      <c r="F3472" s="2">
        <f>IFERROR(__xludf.DUMMYFUNCTION("""COMPUTED_VALUE"""),3805750.0)</f>
        <v>3805750</v>
      </c>
    </row>
    <row r="3473">
      <c r="A3473" s="3">
        <f>IFERROR(__xludf.DUMMYFUNCTION("""COMPUTED_VALUE"""),42571.64583333333)</f>
        <v>42571.64583</v>
      </c>
      <c r="B3473" s="2">
        <f>IFERROR(__xludf.DUMMYFUNCTION("""COMPUTED_VALUE"""),505.17)</f>
        <v>505.17</v>
      </c>
      <c r="C3473" s="2">
        <f>IFERROR(__xludf.DUMMYFUNCTION("""COMPUTED_VALUE"""),509.3)</f>
        <v>509.3</v>
      </c>
      <c r="D3473" s="2">
        <f>IFERROR(__xludf.DUMMYFUNCTION("""COMPUTED_VALUE"""),503.48)</f>
        <v>503.48</v>
      </c>
      <c r="E3473" s="2">
        <f>IFERROR(__xludf.DUMMYFUNCTION("""COMPUTED_VALUE"""),506.68)</f>
        <v>506.68</v>
      </c>
      <c r="F3473" s="2">
        <f>IFERROR(__xludf.DUMMYFUNCTION("""COMPUTED_VALUE"""),2803645.0)</f>
        <v>2803645</v>
      </c>
    </row>
    <row r="3474">
      <c r="A3474" s="3">
        <f>IFERROR(__xludf.DUMMYFUNCTION("""COMPUTED_VALUE"""),42572.64583333333)</f>
        <v>42572.64583</v>
      </c>
      <c r="B3474" s="2">
        <f>IFERROR(__xludf.DUMMYFUNCTION("""COMPUTED_VALUE"""),507.17)</f>
        <v>507.17</v>
      </c>
      <c r="C3474" s="2">
        <f>IFERROR(__xludf.DUMMYFUNCTION("""COMPUTED_VALUE"""),507.67)</f>
        <v>507.67</v>
      </c>
      <c r="D3474" s="2">
        <f>IFERROR(__xludf.DUMMYFUNCTION("""COMPUTED_VALUE"""),497.76)</f>
        <v>497.76</v>
      </c>
      <c r="E3474" s="2">
        <f>IFERROR(__xludf.DUMMYFUNCTION("""COMPUTED_VALUE"""),498.43)</f>
        <v>498.43</v>
      </c>
      <c r="F3474" s="2">
        <f>IFERROR(__xludf.DUMMYFUNCTION("""COMPUTED_VALUE"""),1534044.0)</f>
        <v>1534044</v>
      </c>
    </row>
    <row r="3475">
      <c r="A3475" s="3">
        <f>IFERROR(__xludf.DUMMYFUNCTION("""COMPUTED_VALUE"""),42573.64583333333)</f>
        <v>42573.64583</v>
      </c>
      <c r="B3475" s="2">
        <f>IFERROR(__xludf.DUMMYFUNCTION("""COMPUTED_VALUE"""),498.26)</f>
        <v>498.26</v>
      </c>
      <c r="C3475" s="2">
        <f>IFERROR(__xludf.DUMMYFUNCTION("""COMPUTED_VALUE"""),504.1)</f>
        <v>504.1</v>
      </c>
      <c r="D3475" s="2">
        <f>IFERROR(__xludf.DUMMYFUNCTION("""COMPUTED_VALUE"""),497.81)</f>
        <v>497.81</v>
      </c>
      <c r="E3475" s="2">
        <f>IFERROR(__xludf.DUMMYFUNCTION("""COMPUTED_VALUE"""),502.64)</f>
        <v>502.64</v>
      </c>
      <c r="F3475" s="2">
        <f>IFERROR(__xludf.DUMMYFUNCTION("""COMPUTED_VALUE"""),1577114.0)</f>
        <v>1577114</v>
      </c>
    </row>
    <row r="3476">
      <c r="A3476" s="3">
        <f>IFERROR(__xludf.DUMMYFUNCTION("""COMPUTED_VALUE"""),42576.64583333333)</f>
        <v>42576.64583</v>
      </c>
      <c r="B3476" s="2">
        <f>IFERROR(__xludf.DUMMYFUNCTION("""COMPUTED_VALUE"""),502.22)</f>
        <v>502.22</v>
      </c>
      <c r="C3476" s="2">
        <f>IFERROR(__xludf.DUMMYFUNCTION("""COMPUTED_VALUE"""),507.05)</f>
        <v>507.05</v>
      </c>
      <c r="D3476" s="2">
        <f>IFERROR(__xludf.DUMMYFUNCTION("""COMPUTED_VALUE"""),498.93)</f>
        <v>498.93</v>
      </c>
      <c r="E3476" s="2">
        <f>IFERROR(__xludf.DUMMYFUNCTION("""COMPUTED_VALUE"""),506.55)</f>
        <v>506.55</v>
      </c>
      <c r="F3476" s="2">
        <f>IFERROR(__xludf.DUMMYFUNCTION("""COMPUTED_VALUE"""),1883884.0)</f>
        <v>1883884</v>
      </c>
    </row>
    <row r="3477">
      <c r="A3477" s="3">
        <f>IFERROR(__xludf.DUMMYFUNCTION("""COMPUTED_VALUE"""),42577.64583333333)</f>
        <v>42577.64583</v>
      </c>
      <c r="B3477" s="2">
        <f>IFERROR(__xludf.DUMMYFUNCTION("""COMPUTED_VALUE"""),506.68)</f>
        <v>506.68</v>
      </c>
      <c r="C3477" s="2">
        <f>IFERROR(__xludf.DUMMYFUNCTION("""COMPUTED_VALUE"""),512.52)</f>
        <v>512.52</v>
      </c>
      <c r="D3477" s="2">
        <f>IFERROR(__xludf.DUMMYFUNCTION("""COMPUTED_VALUE"""),502.82)</f>
        <v>502.82</v>
      </c>
      <c r="E3477" s="2">
        <f>IFERROR(__xludf.DUMMYFUNCTION("""COMPUTED_VALUE"""),507.2)</f>
        <v>507.2</v>
      </c>
      <c r="F3477" s="2">
        <f>IFERROR(__xludf.DUMMYFUNCTION("""COMPUTED_VALUE"""),2403872.0)</f>
        <v>2403872</v>
      </c>
    </row>
    <row r="3478">
      <c r="A3478" s="3">
        <f>IFERROR(__xludf.DUMMYFUNCTION("""COMPUTED_VALUE"""),42578.64583333333)</f>
        <v>42578.64583</v>
      </c>
      <c r="B3478" s="2">
        <f>IFERROR(__xludf.DUMMYFUNCTION("""COMPUTED_VALUE"""),506.7)</f>
        <v>506.7</v>
      </c>
      <c r="C3478" s="2">
        <f>IFERROR(__xludf.DUMMYFUNCTION("""COMPUTED_VALUE"""),508.16)</f>
        <v>508.16</v>
      </c>
      <c r="D3478" s="2">
        <f>IFERROR(__xludf.DUMMYFUNCTION("""COMPUTED_VALUE"""),499.72)</f>
        <v>499.72</v>
      </c>
      <c r="E3478" s="2">
        <f>IFERROR(__xludf.DUMMYFUNCTION("""COMPUTED_VALUE"""),501.78)</f>
        <v>501.78</v>
      </c>
      <c r="F3478" s="2">
        <f>IFERROR(__xludf.DUMMYFUNCTION("""COMPUTED_VALUE"""),2521448.0)</f>
        <v>2521448</v>
      </c>
    </row>
    <row r="3479">
      <c r="A3479" s="3">
        <f>IFERROR(__xludf.DUMMYFUNCTION("""COMPUTED_VALUE"""),42579.64583333333)</f>
        <v>42579.64583</v>
      </c>
      <c r="B3479" s="2">
        <f>IFERROR(__xludf.DUMMYFUNCTION("""COMPUTED_VALUE"""),502.69)</f>
        <v>502.69</v>
      </c>
      <c r="C3479" s="2">
        <f>IFERROR(__xludf.DUMMYFUNCTION("""COMPUTED_VALUE"""),510.39)</f>
        <v>510.39</v>
      </c>
      <c r="D3479" s="2">
        <f>IFERROR(__xludf.DUMMYFUNCTION("""COMPUTED_VALUE"""),501.75)</f>
        <v>501.75</v>
      </c>
      <c r="E3479" s="2">
        <f>IFERROR(__xludf.DUMMYFUNCTION("""COMPUTED_VALUE"""),508.34)</f>
        <v>508.34</v>
      </c>
      <c r="F3479" s="2">
        <f>IFERROR(__xludf.DUMMYFUNCTION("""COMPUTED_VALUE"""),3568375.0)</f>
        <v>3568375</v>
      </c>
    </row>
    <row r="3480">
      <c r="A3480" s="3">
        <f>IFERROR(__xludf.DUMMYFUNCTION("""COMPUTED_VALUE"""),42580.64583333333)</f>
        <v>42580.64583</v>
      </c>
      <c r="B3480" s="2">
        <f>IFERROR(__xludf.DUMMYFUNCTION("""COMPUTED_VALUE"""),507.17)</f>
        <v>507.17</v>
      </c>
      <c r="C3480" s="2">
        <f>IFERROR(__xludf.DUMMYFUNCTION("""COMPUTED_VALUE"""),507.62)</f>
        <v>507.62</v>
      </c>
      <c r="D3480" s="2">
        <f>IFERROR(__xludf.DUMMYFUNCTION("""COMPUTED_VALUE"""),501.23)</f>
        <v>501.23</v>
      </c>
      <c r="E3480" s="2">
        <f>IFERROR(__xludf.DUMMYFUNCTION("""COMPUTED_VALUE"""),502.67)</f>
        <v>502.67</v>
      </c>
      <c r="F3480" s="2">
        <f>IFERROR(__xludf.DUMMYFUNCTION("""COMPUTED_VALUE"""),2201164.0)</f>
        <v>2201164</v>
      </c>
    </row>
    <row r="3481">
      <c r="A3481" s="3">
        <f>IFERROR(__xludf.DUMMYFUNCTION("""COMPUTED_VALUE"""),42583.64583333333)</f>
        <v>42583.64583</v>
      </c>
      <c r="B3481" s="2">
        <f>IFERROR(__xludf.DUMMYFUNCTION("""COMPUTED_VALUE"""),504.2)</f>
        <v>504.2</v>
      </c>
      <c r="C3481" s="2">
        <f>IFERROR(__xludf.DUMMYFUNCTION("""COMPUTED_VALUE"""),505.34)</f>
        <v>505.34</v>
      </c>
      <c r="D3481" s="2">
        <f>IFERROR(__xludf.DUMMYFUNCTION("""COMPUTED_VALUE"""),497.79)</f>
        <v>497.79</v>
      </c>
      <c r="E3481" s="2">
        <f>IFERROR(__xludf.DUMMYFUNCTION("""COMPUTED_VALUE"""),499.99)</f>
        <v>499.99</v>
      </c>
      <c r="F3481" s="2">
        <f>IFERROR(__xludf.DUMMYFUNCTION("""COMPUTED_VALUE"""),1823694.0)</f>
        <v>1823694</v>
      </c>
    </row>
    <row r="3482">
      <c r="A3482" s="3">
        <f>IFERROR(__xludf.DUMMYFUNCTION("""COMPUTED_VALUE"""),42584.64583333333)</f>
        <v>42584.64583</v>
      </c>
      <c r="B3482" s="2">
        <f>IFERROR(__xludf.DUMMYFUNCTION("""COMPUTED_VALUE"""),499.25)</f>
        <v>499.25</v>
      </c>
      <c r="C3482" s="2">
        <f>IFERROR(__xludf.DUMMYFUNCTION("""COMPUTED_VALUE"""),505.19)</f>
        <v>505.19</v>
      </c>
      <c r="D3482" s="2">
        <f>IFERROR(__xludf.DUMMYFUNCTION("""COMPUTED_VALUE"""),498.41)</f>
        <v>498.41</v>
      </c>
      <c r="E3482" s="2">
        <f>IFERROR(__xludf.DUMMYFUNCTION("""COMPUTED_VALUE"""),501.63)</f>
        <v>501.63</v>
      </c>
      <c r="F3482" s="2">
        <f>IFERROR(__xludf.DUMMYFUNCTION("""COMPUTED_VALUE"""),1762408.0)</f>
        <v>1762408</v>
      </c>
    </row>
    <row r="3483">
      <c r="A3483" s="3">
        <f>IFERROR(__xludf.DUMMYFUNCTION("""COMPUTED_VALUE"""),42585.64583333333)</f>
        <v>42585.64583</v>
      </c>
      <c r="B3483" s="2">
        <f>IFERROR(__xludf.DUMMYFUNCTION("""COMPUTED_VALUE"""),502.42)</f>
        <v>502.42</v>
      </c>
      <c r="C3483" s="2">
        <f>IFERROR(__xludf.DUMMYFUNCTION("""COMPUTED_VALUE"""),502.42)</f>
        <v>502.42</v>
      </c>
      <c r="D3483" s="2">
        <f>IFERROR(__xludf.DUMMYFUNCTION("""COMPUTED_VALUE"""),491.08)</f>
        <v>491.08</v>
      </c>
      <c r="E3483" s="2">
        <f>IFERROR(__xludf.DUMMYFUNCTION("""COMPUTED_VALUE"""),492.29)</f>
        <v>492.29</v>
      </c>
      <c r="F3483" s="2">
        <f>IFERROR(__xludf.DUMMYFUNCTION("""COMPUTED_VALUE"""),2713804.0)</f>
        <v>2713804</v>
      </c>
    </row>
    <row r="3484">
      <c r="A3484" s="3">
        <f>IFERROR(__xludf.DUMMYFUNCTION("""COMPUTED_VALUE"""),42586.64583333333)</f>
        <v>42586.64583</v>
      </c>
      <c r="B3484" s="2">
        <f>IFERROR(__xludf.DUMMYFUNCTION("""COMPUTED_VALUE"""),494.79)</f>
        <v>494.79</v>
      </c>
      <c r="C3484" s="2">
        <f>IFERROR(__xludf.DUMMYFUNCTION("""COMPUTED_VALUE"""),495.29)</f>
        <v>495.29</v>
      </c>
      <c r="D3484" s="2">
        <f>IFERROR(__xludf.DUMMYFUNCTION("""COMPUTED_VALUE"""),487.07)</f>
        <v>487.07</v>
      </c>
      <c r="E3484" s="2">
        <f>IFERROR(__xludf.DUMMYFUNCTION("""COMPUTED_VALUE"""),491.82)</f>
        <v>491.82</v>
      </c>
      <c r="F3484" s="2">
        <f>IFERROR(__xludf.DUMMYFUNCTION("""COMPUTED_VALUE"""),2328716.0)</f>
        <v>2328716</v>
      </c>
    </row>
    <row r="3485">
      <c r="A3485" s="3">
        <f>IFERROR(__xludf.DUMMYFUNCTION("""COMPUTED_VALUE"""),42587.64583333333)</f>
        <v>42587.64583</v>
      </c>
      <c r="B3485" s="2">
        <f>IFERROR(__xludf.DUMMYFUNCTION("""COMPUTED_VALUE"""),494.3)</f>
        <v>494.3</v>
      </c>
      <c r="C3485" s="2">
        <f>IFERROR(__xludf.DUMMYFUNCTION("""COMPUTED_VALUE"""),504.7)</f>
        <v>504.7</v>
      </c>
      <c r="D3485" s="2">
        <f>IFERROR(__xludf.DUMMYFUNCTION("""COMPUTED_VALUE"""),493.83)</f>
        <v>493.83</v>
      </c>
      <c r="E3485" s="2">
        <f>IFERROR(__xludf.DUMMYFUNCTION("""COMPUTED_VALUE"""),503.34)</f>
        <v>503.34</v>
      </c>
      <c r="F3485" s="2">
        <f>IFERROR(__xludf.DUMMYFUNCTION("""COMPUTED_VALUE"""),2767914.0)</f>
        <v>2767914</v>
      </c>
    </row>
    <row r="3486">
      <c r="A3486" s="3">
        <f>IFERROR(__xludf.DUMMYFUNCTION("""COMPUTED_VALUE"""),42590.64583333333)</f>
        <v>42590.64583</v>
      </c>
      <c r="B3486" s="2">
        <f>IFERROR(__xludf.DUMMYFUNCTION("""COMPUTED_VALUE"""),505.14)</f>
        <v>505.14</v>
      </c>
      <c r="C3486" s="2">
        <f>IFERROR(__xludf.DUMMYFUNCTION("""COMPUTED_VALUE"""),512.13)</f>
        <v>512.13</v>
      </c>
      <c r="D3486" s="2">
        <f>IFERROR(__xludf.DUMMYFUNCTION("""COMPUTED_VALUE"""),504.52)</f>
        <v>504.52</v>
      </c>
      <c r="E3486" s="2">
        <f>IFERROR(__xludf.DUMMYFUNCTION("""COMPUTED_VALUE"""),509.77)</f>
        <v>509.77</v>
      </c>
      <c r="F3486" s="2">
        <f>IFERROR(__xludf.DUMMYFUNCTION("""COMPUTED_VALUE"""),3098753.0)</f>
        <v>3098753</v>
      </c>
    </row>
    <row r="3487">
      <c r="A3487" s="3">
        <f>IFERROR(__xludf.DUMMYFUNCTION("""COMPUTED_VALUE"""),42591.64583333333)</f>
        <v>42591.64583</v>
      </c>
      <c r="B3487" s="2">
        <f>IFERROR(__xludf.DUMMYFUNCTION("""COMPUTED_VALUE"""),508.66)</f>
        <v>508.66</v>
      </c>
      <c r="C3487" s="2">
        <f>IFERROR(__xludf.DUMMYFUNCTION("""COMPUTED_VALUE"""),512.37)</f>
        <v>512.37</v>
      </c>
      <c r="D3487" s="2">
        <f>IFERROR(__xludf.DUMMYFUNCTION("""COMPUTED_VALUE"""),505.69)</f>
        <v>505.69</v>
      </c>
      <c r="E3487" s="2">
        <f>IFERROR(__xludf.DUMMYFUNCTION("""COMPUTED_VALUE"""),510.49)</f>
        <v>510.49</v>
      </c>
      <c r="F3487" s="2">
        <f>IFERROR(__xludf.DUMMYFUNCTION("""COMPUTED_VALUE"""),3038046.0)</f>
        <v>3038046</v>
      </c>
    </row>
    <row r="3488">
      <c r="A3488" s="3">
        <f>IFERROR(__xludf.DUMMYFUNCTION("""COMPUTED_VALUE"""),42592.64583333333)</f>
        <v>42592.64583</v>
      </c>
      <c r="B3488" s="2">
        <f>IFERROR(__xludf.DUMMYFUNCTION("""COMPUTED_VALUE"""),510.76)</f>
        <v>510.76</v>
      </c>
      <c r="C3488" s="2">
        <f>IFERROR(__xludf.DUMMYFUNCTION("""COMPUTED_VALUE"""),512.4)</f>
        <v>512.4</v>
      </c>
      <c r="D3488" s="2">
        <f>IFERROR(__xludf.DUMMYFUNCTION("""COMPUTED_VALUE"""),496.28)</f>
        <v>496.28</v>
      </c>
      <c r="E3488" s="2">
        <f>IFERROR(__xludf.DUMMYFUNCTION("""COMPUTED_VALUE"""),497.09)</f>
        <v>497.09</v>
      </c>
      <c r="F3488" s="2">
        <f>IFERROR(__xludf.DUMMYFUNCTION("""COMPUTED_VALUE"""),3079463.0)</f>
        <v>3079463</v>
      </c>
    </row>
    <row r="3489">
      <c r="A3489" s="3">
        <f>IFERROR(__xludf.DUMMYFUNCTION("""COMPUTED_VALUE"""),42593.64583333333)</f>
        <v>42593.64583</v>
      </c>
      <c r="B3489" s="2">
        <f>IFERROR(__xludf.DUMMYFUNCTION("""COMPUTED_VALUE"""),496.25)</f>
        <v>496.25</v>
      </c>
      <c r="C3489" s="2">
        <f>IFERROR(__xludf.DUMMYFUNCTION("""COMPUTED_VALUE"""),506.6)</f>
        <v>506.6</v>
      </c>
      <c r="D3489" s="2">
        <f>IFERROR(__xludf.DUMMYFUNCTION("""COMPUTED_VALUE"""),495.09)</f>
        <v>495.09</v>
      </c>
      <c r="E3489" s="2">
        <f>IFERROR(__xludf.DUMMYFUNCTION("""COMPUTED_VALUE"""),502.27)</f>
        <v>502.27</v>
      </c>
      <c r="F3489" s="2">
        <f>IFERROR(__xludf.DUMMYFUNCTION("""COMPUTED_VALUE"""),3238899.0)</f>
        <v>3238899</v>
      </c>
    </row>
    <row r="3490">
      <c r="A3490" s="3">
        <f>IFERROR(__xludf.DUMMYFUNCTION("""COMPUTED_VALUE"""),42594.64583333333)</f>
        <v>42594.64583</v>
      </c>
      <c r="B3490" s="2">
        <f>IFERROR(__xludf.DUMMYFUNCTION("""COMPUTED_VALUE"""),503.71)</f>
        <v>503.71</v>
      </c>
      <c r="C3490" s="2">
        <f>IFERROR(__xludf.DUMMYFUNCTION("""COMPUTED_VALUE"""),516.53)</f>
        <v>516.53</v>
      </c>
      <c r="D3490" s="2">
        <f>IFERROR(__xludf.DUMMYFUNCTION("""COMPUTED_VALUE"""),503.71)</f>
        <v>503.71</v>
      </c>
      <c r="E3490" s="2">
        <f>IFERROR(__xludf.DUMMYFUNCTION("""COMPUTED_VALUE"""),513.02)</f>
        <v>513.02</v>
      </c>
      <c r="F3490" s="2">
        <f>IFERROR(__xludf.DUMMYFUNCTION("""COMPUTED_VALUE"""),3740861.0)</f>
        <v>3740861</v>
      </c>
    </row>
    <row r="3491">
      <c r="A3491" s="3">
        <f>IFERROR(__xludf.DUMMYFUNCTION("""COMPUTED_VALUE"""),42598.64583333333)</f>
        <v>42598.64583</v>
      </c>
      <c r="B3491" s="2">
        <f>IFERROR(__xludf.DUMMYFUNCTION("""COMPUTED_VALUE"""),513.24)</f>
        <v>513.24</v>
      </c>
      <c r="C3491" s="2">
        <f>IFERROR(__xludf.DUMMYFUNCTION("""COMPUTED_VALUE"""),517.48)</f>
        <v>517.48</v>
      </c>
      <c r="D3491" s="2">
        <f>IFERROR(__xludf.DUMMYFUNCTION("""COMPUTED_VALUE"""),502.96)</f>
        <v>502.96</v>
      </c>
      <c r="E3491" s="2">
        <f>IFERROR(__xludf.DUMMYFUNCTION("""COMPUTED_VALUE"""),507.62)</f>
        <v>507.62</v>
      </c>
      <c r="F3491" s="2">
        <f>IFERROR(__xludf.DUMMYFUNCTION("""COMPUTED_VALUE"""),3055603.0)</f>
        <v>3055603</v>
      </c>
    </row>
    <row r="3492">
      <c r="A3492" s="3">
        <f>IFERROR(__xludf.DUMMYFUNCTION("""COMPUTED_VALUE"""),42599.64583333333)</f>
        <v>42599.64583</v>
      </c>
      <c r="B3492" s="2">
        <f>IFERROR(__xludf.DUMMYFUNCTION("""COMPUTED_VALUE"""),507.22)</f>
        <v>507.22</v>
      </c>
      <c r="C3492" s="2">
        <f>IFERROR(__xludf.DUMMYFUNCTION("""COMPUTED_VALUE"""),509.55)</f>
        <v>509.55</v>
      </c>
      <c r="D3492" s="2">
        <f>IFERROR(__xludf.DUMMYFUNCTION("""COMPUTED_VALUE"""),498.85)</f>
        <v>498.85</v>
      </c>
      <c r="E3492" s="2">
        <f>IFERROR(__xludf.DUMMYFUNCTION("""COMPUTED_VALUE"""),501.87)</f>
        <v>501.87</v>
      </c>
      <c r="F3492" s="2">
        <f>IFERROR(__xludf.DUMMYFUNCTION("""COMPUTED_VALUE"""),3539970.0)</f>
        <v>3539970</v>
      </c>
    </row>
    <row r="3493">
      <c r="A3493" s="3">
        <f>IFERROR(__xludf.DUMMYFUNCTION("""COMPUTED_VALUE"""),42600.64583333333)</f>
        <v>42600.64583</v>
      </c>
      <c r="B3493" s="2">
        <f>IFERROR(__xludf.DUMMYFUNCTION("""COMPUTED_VALUE"""),503.21)</f>
        <v>503.21</v>
      </c>
      <c r="C3493" s="2">
        <f>IFERROR(__xludf.DUMMYFUNCTION("""COMPUTED_VALUE"""),507.0)</f>
        <v>507</v>
      </c>
      <c r="D3493" s="2">
        <f>IFERROR(__xludf.DUMMYFUNCTION("""COMPUTED_VALUE"""),503.21)</f>
        <v>503.21</v>
      </c>
      <c r="E3493" s="2">
        <f>IFERROR(__xludf.DUMMYFUNCTION("""COMPUTED_VALUE"""),504.23)</f>
        <v>504.23</v>
      </c>
      <c r="F3493" s="2">
        <f>IFERROR(__xludf.DUMMYFUNCTION("""COMPUTED_VALUE"""),1771449.0)</f>
        <v>1771449</v>
      </c>
    </row>
    <row r="3494">
      <c r="A3494" s="3">
        <f>IFERROR(__xludf.DUMMYFUNCTION("""COMPUTED_VALUE"""),42601.64583333333)</f>
        <v>42601.64583</v>
      </c>
      <c r="B3494" s="2">
        <f>IFERROR(__xludf.DUMMYFUNCTION("""COMPUTED_VALUE"""),504.2)</f>
        <v>504.2</v>
      </c>
      <c r="C3494" s="2">
        <f>IFERROR(__xludf.DUMMYFUNCTION("""COMPUTED_VALUE"""),506.18)</f>
        <v>506.18</v>
      </c>
      <c r="D3494" s="2">
        <f>IFERROR(__xludf.DUMMYFUNCTION("""COMPUTED_VALUE"""),498.8)</f>
        <v>498.8</v>
      </c>
      <c r="E3494" s="2">
        <f>IFERROR(__xludf.DUMMYFUNCTION("""COMPUTED_VALUE"""),502.67)</f>
        <v>502.67</v>
      </c>
      <c r="F3494" s="2">
        <f>IFERROR(__xludf.DUMMYFUNCTION("""COMPUTED_VALUE"""),1869308.0)</f>
        <v>1869308</v>
      </c>
    </row>
    <row r="3495">
      <c r="A3495" s="3">
        <f>IFERROR(__xludf.DUMMYFUNCTION("""COMPUTED_VALUE"""),42604.64583333333)</f>
        <v>42604.64583</v>
      </c>
      <c r="B3495" s="2">
        <f>IFERROR(__xludf.DUMMYFUNCTION("""COMPUTED_VALUE"""),501.23)</f>
        <v>501.23</v>
      </c>
      <c r="C3495" s="2">
        <f>IFERROR(__xludf.DUMMYFUNCTION("""COMPUTED_VALUE"""),505.04)</f>
        <v>505.04</v>
      </c>
      <c r="D3495" s="2">
        <f>IFERROR(__xludf.DUMMYFUNCTION("""COMPUTED_VALUE"""),498.85)</f>
        <v>498.85</v>
      </c>
      <c r="E3495" s="2">
        <f>IFERROR(__xludf.DUMMYFUNCTION("""COMPUTED_VALUE"""),501.16)</f>
        <v>501.16</v>
      </c>
      <c r="F3495" s="2">
        <f>IFERROR(__xludf.DUMMYFUNCTION("""COMPUTED_VALUE"""),1527904.0)</f>
        <v>1527904</v>
      </c>
    </row>
    <row r="3496">
      <c r="A3496" s="3">
        <f>IFERROR(__xludf.DUMMYFUNCTION("""COMPUTED_VALUE"""),42605.64583333333)</f>
        <v>42605.64583</v>
      </c>
      <c r="B3496" s="2">
        <f>IFERROR(__xludf.DUMMYFUNCTION("""COMPUTED_VALUE"""),501.23)</f>
        <v>501.23</v>
      </c>
      <c r="C3496" s="2">
        <f>IFERROR(__xludf.DUMMYFUNCTION("""COMPUTED_VALUE"""),502.72)</f>
        <v>502.72</v>
      </c>
      <c r="D3496" s="2">
        <f>IFERROR(__xludf.DUMMYFUNCTION("""COMPUTED_VALUE"""),497.76)</f>
        <v>497.76</v>
      </c>
      <c r="E3496" s="2">
        <f>IFERROR(__xludf.DUMMYFUNCTION("""COMPUTED_VALUE"""),500.46)</f>
        <v>500.46</v>
      </c>
      <c r="F3496" s="2">
        <f>IFERROR(__xludf.DUMMYFUNCTION("""COMPUTED_VALUE"""),1673328.0)</f>
        <v>1673328</v>
      </c>
    </row>
    <row r="3497">
      <c r="A3497" s="3">
        <f>IFERROR(__xludf.DUMMYFUNCTION("""COMPUTED_VALUE"""),42606.64583333333)</f>
        <v>42606.64583</v>
      </c>
      <c r="B3497" s="2">
        <f>IFERROR(__xludf.DUMMYFUNCTION("""COMPUTED_VALUE"""),501.08)</f>
        <v>501.08</v>
      </c>
      <c r="C3497" s="2">
        <f>IFERROR(__xludf.DUMMYFUNCTION("""COMPUTED_VALUE"""),506.16)</f>
        <v>506.16</v>
      </c>
      <c r="D3497" s="2">
        <f>IFERROR(__xludf.DUMMYFUNCTION("""COMPUTED_VALUE"""),500.74)</f>
        <v>500.74</v>
      </c>
      <c r="E3497" s="2">
        <f>IFERROR(__xludf.DUMMYFUNCTION("""COMPUTED_VALUE"""),505.44)</f>
        <v>505.44</v>
      </c>
      <c r="F3497" s="2">
        <f>IFERROR(__xludf.DUMMYFUNCTION("""COMPUTED_VALUE"""),1993153.0)</f>
        <v>1993153</v>
      </c>
    </row>
    <row r="3498">
      <c r="A3498" s="3">
        <f>IFERROR(__xludf.DUMMYFUNCTION("""COMPUTED_VALUE"""),42607.64583333333)</f>
        <v>42607.64583</v>
      </c>
      <c r="B3498" s="2">
        <f>IFERROR(__xludf.DUMMYFUNCTION("""COMPUTED_VALUE"""),505.79)</f>
        <v>505.79</v>
      </c>
      <c r="C3498" s="2">
        <f>IFERROR(__xludf.DUMMYFUNCTION("""COMPUTED_VALUE"""),509.65)</f>
        <v>509.65</v>
      </c>
      <c r="D3498" s="2">
        <f>IFERROR(__xludf.DUMMYFUNCTION("""COMPUTED_VALUE"""),499.74)</f>
        <v>499.74</v>
      </c>
      <c r="E3498" s="2">
        <f>IFERROR(__xludf.DUMMYFUNCTION("""COMPUTED_VALUE"""),501.58)</f>
        <v>501.58</v>
      </c>
      <c r="F3498" s="2">
        <f>IFERROR(__xludf.DUMMYFUNCTION("""COMPUTED_VALUE"""),3419775.0)</f>
        <v>3419775</v>
      </c>
    </row>
    <row r="3499">
      <c r="A3499" s="3">
        <f>IFERROR(__xludf.DUMMYFUNCTION("""COMPUTED_VALUE"""),42608.64583333333)</f>
        <v>42608.64583</v>
      </c>
      <c r="B3499" s="2">
        <f>IFERROR(__xludf.DUMMYFUNCTION("""COMPUTED_VALUE"""),504.15)</f>
        <v>504.15</v>
      </c>
      <c r="C3499" s="2">
        <f>IFERROR(__xludf.DUMMYFUNCTION("""COMPUTED_VALUE"""),510.54)</f>
        <v>510.54</v>
      </c>
      <c r="D3499" s="2">
        <f>IFERROR(__xludf.DUMMYFUNCTION("""COMPUTED_VALUE"""),502.52)</f>
        <v>502.52</v>
      </c>
      <c r="E3499" s="2">
        <f>IFERROR(__xludf.DUMMYFUNCTION("""COMPUTED_VALUE"""),509.11)</f>
        <v>509.11</v>
      </c>
      <c r="F3499" s="2">
        <f>IFERROR(__xludf.DUMMYFUNCTION("""COMPUTED_VALUE"""),2203465.0)</f>
        <v>2203465</v>
      </c>
    </row>
    <row r="3500">
      <c r="A3500" s="3">
        <f>IFERROR(__xludf.DUMMYFUNCTION("""COMPUTED_VALUE"""),42611.64583333333)</f>
        <v>42611.64583</v>
      </c>
      <c r="B3500" s="2">
        <f>IFERROR(__xludf.DUMMYFUNCTION("""COMPUTED_VALUE"""),508.78)</f>
        <v>508.78</v>
      </c>
      <c r="C3500" s="2">
        <f>IFERROR(__xludf.DUMMYFUNCTION("""COMPUTED_VALUE"""),524.88)</f>
        <v>524.88</v>
      </c>
      <c r="D3500" s="2">
        <f>IFERROR(__xludf.DUMMYFUNCTION("""COMPUTED_VALUE"""),508.21)</f>
        <v>508.21</v>
      </c>
      <c r="E3500" s="2">
        <f>IFERROR(__xludf.DUMMYFUNCTION("""COMPUTED_VALUE"""),523.74)</f>
        <v>523.74</v>
      </c>
      <c r="F3500" s="2">
        <f>IFERROR(__xludf.DUMMYFUNCTION("""COMPUTED_VALUE"""),3701495.0)</f>
        <v>3701495</v>
      </c>
    </row>
    <row r="3501">
      <c r="A3501" s="3">
        <f>IFERROR(__xludf.DUMMYFUNCTION("""COMPUTED_VALUE"""),42612.64583333333)</f>
        <v>42612.64583</v>
      </c>
      <c r="B3501" s="2">
        <f>IFERROR(__xludf.DUMMYFUNCTION("""COMPUTED_VALUE"""),525.99)</f>
        <v>525.99</v>
      </c>
      <c r="C3501" s="2">
        <f>IFERROR(__xludf.DUMMYFUNCTION("""COMPUTED_VALUE"""),529.21)</f>
        <v>529.21</v>
      </c>
      <c r="D3501" s="2">
        <f>IFERROR(__xludf.DUMMYFUNCTION("""COMPUTED_VALUE"""),521.54)</f>
        <v>521.54</v>
      </c>
      <c r="E3501" s="2">
        <f>IFERROR(__xludf.DUMMYFUNCTION("""COMPUTED_VALUE"""),528.17)</f>
        <v>528.17</v>
      </c>
      <c r="F3501" s="2">
        <f>IFERROR(__xludf.DUMMYFUNCTION("""COMPUTED_VALUE"""),4153522.0)</f>
        <v>4153522</v>
      </c>
    </row>
    <row r="3502">
      <c r="A3502" s="3">
        <f>IFERROR(__xludf.DUMMYFUNCTION("""COMPUTED_VALUE"""),42613.64583333333)</f>
        <v>42613.64583</v>
      </c>
      <c r="B3502" s="2">
        <f>IFERROR(__xludf.DUMMYFUNCTION("""COMPUTED_VALUE"""),527.43)</f>
        <v>527.43</v>
      </c>
      <c r="C3502" s="2">
        <f>IFERROR(__xludf.DUMMYFUNCTION("""COMPUTED_VALUE"""),531.94)</f>
        <v>531.94</v>
      </c>
      <c r="D3502" s="2">
        <f>IFERROR(__xludf.DUMMYFUNCTION("""COMPUTED_VALUE"""),518.57)</f>
        <v>518.57</v>
      </c>
      <c r="E3502" s="2">
        <f>IFERROR(__xludf.DUMMYFUNCTION("""COMPUTED_VALUE"""),525.0)</f>
        <v>525</v>
      </c>
      <c r="F3502" s="2">
        <f>IFERROR(__xludf.DUMMYFUNCTION("""COMPUTED_VALUE"""),5324960.0)</f>
        <v>5324960</v>
      </c>
    </row>
    <row r="3503">
      <c r="A3503" s="3">
        <f>IFERROR(__xludf.DUMMYFUNCTION("""COMPUTED_VALUE"""),42614.64583333333)</f>
        <v>42614.64583</v>
      </c>
      <c r="B3503" s="2">
        <f>IFERROR(__xludf.DUMMYFUNCTION("""COMPUTED_VALUE"""),521.54)</f>
        <v>521.54</v>
      </c>
      <c r="C3503" s="2">
        <f>IFERROR(__xludf.DUMMYFUNCTION("""COMPUTED_VALUE"""),531.32)</f>
        <v>531.32</v>
      </c>
      <c r="D3503" s="2">
        <f>IFERROR(__xludf.DUMMYFUNCTION("""COMPUTED_VALUE"""),508.02)</f>
        <v>508.02</v>
      </c>
      <c r="E3503" s="2">
        <f>IFERROR(__xludf.DUMMYFUNCTION("""COMPUTED_VALUE"""),509.75)</f>
        <v>509.75</v>
      </c>
      <c r="F3503" s="2">
        <f>IFERROR(__xludf.DUMMYFUNCTION("""COMPUTED_VALUE"""),9742454.0)</f>
        <v>9742454</v>
      </c>
    </row>
    <row r="3504">
      <c r="A3504" s="3">
        <f>IFERROR(__xludf.DUMMYFUNCTION("""COMPUTED_VALUE"""),42615.64583333333)</f>
        <v>42615.64583</v>
      </c>
      <c r="B3504" s="2">
        <f>IFERROR(__xludf.DUMMYFUNCTION("""COMPUTED_VALUE"""),510.69)</f>
        <v>510.69</v>
      </c>
      <c r="C3504" s="2">
        <f>IFERROR(__xludf.DUMMYFUNCTION("""COMPUTED_VALUE"""),511.41)</f>
        <v>511.41</v>
      </c>
      <c r="D3504" s="2">
        <f>IFERROR(__xludf.DUMMYFUNCTION("""COMPUTED_VALUE"""),496.43)</f>
        <v>496.43</v>
      </c>
      <c r="E3504" s="2">
        <f>IFERROR(__xludf.DUMMYFUNCTION("""COMPUTED_VALUE"""),501.9)</f>
        <v>501.9</v>
      </c>
      <c r="F3504" s="2">
        <f>IFERROR(__xludf.DUMMYFUNCTION("""COMPUTED_VALUE"""),6428814.0)</f>
        <v>6428814</v>
      </c>
    </row>
    <row r="3505">
      <c r="A3505" s="3">
        <f>IFERROR(__xludf.DUMMYFUNCTION("""COMPUTED_VALUE"""),42619.64583333333)</f>
        <v>42619.64583</v>
      </c>
      <c r="B3505" s="2">
        <f>IFERROR(__xludf.DUMMYFUNCTION("""COMPUTED_VALUE"""),505.14)</f>
        <v>505.14</v>
      </c>
      <c r="C3505" s="2">
        <f>IFERROR(__xludf.DUMMYFUNCTION("""COMPUTED_VALUE"""),507.67)</f>
        <v>507.67</v>
      </c>
      <c r="D3505" s="2">
        <f>IFERROR(__xludf.DUMMYFUNCTION("""COMPUTED_VALUE"""),502.72)</f>
        <v>502.72</v>
      </c>
      <c r="E3505" s="2">
        <f>IFERROR(__xludf.DUMMYFUNCTION("""COMPUTED_VALUE"""),505.14)</f>
        <v>505.14</v>
      </c>
      <c r="F3505" s="2">
        <f>IFERROR(__xludf.DUMMYFUNCTION("""COMPUTED_VALUE"""),2631091.0)</f>
        <v>2631091</v>
      </c>
    </row>
    <row r="3506">
      <c r="A3506" s="3">
        <f>IFERROR(__xludf.DUMMYFUNCTION("""COMPUTED_VALUE"""),42620.64583333333)</f>
        <v>42620.64583</v>
      </c>
      <c r="B3506" s="2">
        <f>IFERROR(__xludf.DUMMYFUNCTION("""COMPUTED_VALUE"""),506.18)</f>
        <v>506.18</v>
      </c>
      <c r="C3506" s="2">
        <f>IFERROR(__xludf.DUMMYFUNCTION("""COMPUTED_VALUE"""),508.68)</f>
        <v>508.68</v>
      </c>
      <c r="D3506" s="2">
        <f>IFERROR(__xludf.DUMMYFUNCTION("""COMPUTED_VALUE"""),501.75)</f>
        <v>501.75</v>
      </c>
      <c r="E3506" s="2">
        <f>IFERROR(__xludf.DUMMYFUNCTION("""COMPUTED_VALUE"""),504.03)</f>
        <v>504.03</v>
      </c>
      <c r="F3506" s="2">
        <f>IFERROR(__xludf.DUMMYFUNCTION("""COMPUTED_VALUE"""),2954995.0)</f>
        <v>2954995</v>
      </c>
    </row>
    <row r="3507">
      <c r="A3507" s="3">
        <f>IFERROR(__xludf.DUMMYFUNCTION("""COMPUTED_VALUE"""),42621.64583333333)</f>
        <v>42621.64583</v>
      </c>
      <c r="B3507" s="2">
        <f>IFERROR(__xludf.DUMMYFUNCTION("""COMPUTED_VALUE"""),506.7)</f>
        <v>506.7</v>
      </c>
      <c r="C3507" s="2">
        <f>IFERROR(__xludf.DUMMYFUNCTION("""COMPUTED_VALUE"""),513.09)</f>
        <v>513.09</v>
      </c>
      <c r="D3507" s="2">
        <f>IFERROR(__xludf.DUMMYFUNCTION("""COMPUTED_VALUE"""),505.29)</f>
        <v>505.29</v>
      </c>
      <c r="E3507" s="2">
        <f>IFERROR(__xludf.DUMMYFUNCTION("""COMPUTED_VALUE"""),511.83)</f>
        <v>511.83</v>
      </c>
      <c r="F3507" s="2">
        <f>IFERROR(__xludf.DUMMYFUNCTION("""COMPUTED_VALUE"""),2790196.0)</f>
        <v>2790196</v>
      </c>
    </row>
    <row r="3508">
      <c r="A3508" s="3">
        <f>IFERROR(__xludf.DUMMYFUNCTION("""COMPUTED_VALUE"""),42622.64583333333)</f>
        <v>42622.64583</v>
      </c>
      <c r="B3508" s="2">
        <f>IFERROR(__xludf.DUMMYFUNCTION("""COMPUTED_VALUE"""),512.62)</f>
        <v>512.62</v>
      </c>
      <c r="C3508" s="2">
        <f>IFERROR(__xludf.DUMMYFUNCTION("""COMPUTED_VALUE"""),520.0)</f>
        <v>520</v>
      </c>
      <c r="D3508" s="2">
        <f>IFERROR(__xludf.DUMMYFUNCTION("""COMPUTED_VALUE"""),510.15)</f>
        <v>510.15</v>
      </c>
      <c r="E3508" s="2">
        <f>IFERROR(__xludf.DUMMYFUNCTION("""COMPUTED_VALUE"""),517.35)</f>
        <v>517.35</v>
      </c>
      <c r="F3508" s="2">
        <f>IFERROR(__xludf.DUMMYFUNCTION("""COMPUTED_VALUE"""),3490441.0)</f>
        <v>3490441</v>
      </c>
    </row>
    <row r="3509">
      <c r="A3509" s="3">
        <f>IFERROR(__xludf.DUMMYFUNCTION("""COMPUTED_VALUE"""),42625.64583333333)</f>
        <v>42625.64583</v>
      </c>
      <c r="B3509" s="2">
        <f>IFERROR(__xludf.DUMMYFUNCTION("""COMPUTED_VALUE"""),510.34)</f>
        <v>510.34</v>
      </c>
      <c r="C3509" s="2">
        <f>IFERROR(__xludf.DUMMYFUNCTION("""COMPUTED_VALUE"""),523.02)</f>
        <v>523.02</v>
      </c>
      <c r="D3509" s="2">
        <f>IFERROR(__xludf.DUMMYFUNCTION("""COMPUTED_VALUE"""),509.72)</f>
        <v>509.72</v>
      </c>
      <c r="E3509" s="2">
        <f>IFERROR(__xludf.DUMMYFUNCTION("""COMPUTED_VALUE"""),518.32)</f>
        <v>518.32</v>
      </c>
      <c r="F3509" s="2">
        <f>IFERROR(__xludf.DUMMYFUNCTION("""COMPUTED_VALUE"""),7699800.0)</f>
        <v>7699800</v>
      </c>
    </row>
    <row r="3510">
      <c r="A3510" s="3">
        <f>IFERROR(__xludf.DUMMYFUNCTION("""COMPUTED_VALUE"""),42627.64583333333)</f>
        <v>42627.64583</v>
      </c>
      <c r="B3510" s="2">
        <f>IFERROR(__xludf.DUMMYFUNCTION("""COMPUTED_VALUE"""),519.06)</f>
        <v>519.06</v>
      </c>
      <c r="C3510" s="2">
        <f>IFERROR(__xludf.DUMMYFUNCTION("""COMPUTED_VALUE"""),524.51)</f>
        <v>524.51</v>
      </c>
      <c r="D3510" s="2">
        <f>IFERROR(__xludf.DUMMYFUNCTION("""COMPUTED_VALUE"""),515.54)</f>
        <v>515.54</v>
      </c>
      <c r="E3510" s="2">
        <f>IFERROR(__xludf.DUMMYFUNCTION("""COMPUTED_VALUE"""),517.45)</f>
        <v>517.45</v>
      </c>
      <c r="F3510" s="2">
        <f>IFERROR(__xludf.DUMMYFUNCTION("""COMPUTED_VALUE"""),4252754.0)</f>
        <v>4252754</v>
      </c>
    </row>
    <row r="3511">
      <c r="A3511" s="3">
        <f>IFERROR(__xludf.DUMMYFUNCTION("""COMPUTED_VALUE"""),42628.64583333333)</f>
        <v>42628.64583</v>
      </c>
      <c r="B3511" s="2">
        <f>IFERROR(__xludf.DUMMYFUNCTION("""COMPUTED_VALUE"""),518.57)</f>
        <v>518.57</v>
      </c>
      <c r="C3511" s="2">
        <f>IFERROR(__xludf.DUMMYFUNCTION("""COMPUTED_VALUE"""),530.06)</f>
        <v>530.06</v>
      </c>
      <c r="D3511" s="2">
        <f>IFERROR(__xludf.DUMMYFUNCTION("""COMPUTED_VALUE"""),518.57)</f>
        <v>518.57</v>
      </c>
      <c r="E3511" s="2">
        <f>IFERROR(__xludf.DUMMYFUNCTION("""COMPUTED_VALUE"""),527.48)</f>
        <v>527.48</v>
      </c>
      <c r="F3511" s="2">
        <f>IFERROR(__xludf.DUMMYFUNCTION("""COMPUTED_VALUE"""),7170885.0)</f>
        <v>7170885</v>
      </c>
    </row>
    <row r="3512">
      <c r="A3512" s="3">
        <f>IFERROR(__xludf.DUMMYFUNCTION("""COMPUTED_VALUE"""),42629.64583333333)</f>
        <v>42629.64583</v>
      </c>
      <c r="B3512" s="2">
        <f>IFERROR(__xludf.DUMMYFUNCTION("""COMPUTED_VALUE"""),528.47)</f>
        <v>528.47</v>
      </c>
      <c r="C3512" s="2">
        <f>IFERROR(__xludf.DUMMYFUNCTION("""COMPUTED_VALUE"""),541.77)</f>
        <v>541.77</v>
      </c>
      <c r="D3512" s="2">
        <f>IFERROR(__xludf.DUMMYFUNCTION("""COMPUTED_VALUE"""),524.56)</f>
        <v>524.56</v>
      </c>
      <c r="E3512" s="2">
        <f>IFERROR(__xludf.DUMMYFUNCTION("""COMPUTED_VALUE"""),532.71)</f>
        <v>532.71</v>
      </c>
      <c r="F3512" s="2">
        <f>IFERROR(__xludf.DUMMYFUNCTION("""COMPUTED_VALUE"""),8988926.0)</f>
        <v>8988926</v>
      </c>
    </row>
    <row r="3513">
      <c r="A3513" s="3">
        <f>IFERROR(__xludf.DUMMYFUNCTION("""COMPUTED_VALUE"""),42632.64583333333)</f>
        <v>42632.64583</v>
      </c>
      <c r="B3513" s="2">
        <f>IFERROR(__xludf.DUMMYFUNCTION("""COMPUTED_VALUE"""),531.22)</f>
        <v>531.22</v>
      </c>
      <c r="C3513" s="2">
        <f>IFERROR(__xludf.DUMMYFUNCTION("""COMPUTED_VALUE"""),538.87)</f>
        <v>538.87</v>
      </c>
      <c r="D3513" s="2">
        <f>IFERROR(__xludf.DUMMYFUNCTION("""COMPUTED_VALUE"""),530.45)</f>
        <v>530.45</v>
      </c>
      <c r="E3513" s="2">
        <f>IFERROR(__xludf.DUMMYFUNCTION("""COMPUTED_VALUE"""),536.1)</f>
        <v>536.1</v>
      </c>
      <c r="F3513" s="2">
        <f>IFERROR(__xludf.DUMMYFUNCTION("""COMPUTED_VALUE"""),3812324.0)</f>
        <v>3812324</v>
      </c>
    </row>
    <row r="3514">
      <c r="A3514" s="3">
        <f>IFERROR(__xludf.DUMMYFUNCTION("""COMPUTED_VALUE"""),42633.64583333333)</f>
        <v>42633.64583</v>
      </c>
      <c r="B3514" s="2">
        <f>IFERROR(__xludf.DUMMYFUNCTION("""COMPUTED_VALUE"""),536.89)</f>
        <v>536.89</v>
      </c>
      <c r="C3514" s="2">
        <f>IFERROR(__xludf.DUMMYFUNCTION("""COMPUTED_VALUE"""),537.26)</f>
        <v>537.26</v>
      </c>
      <c r="D3514" s="2">
        <f>IFERROR(__xludf.DUMMYFUNCTION("""COMPUTED_VALUE"""),529.49)</f>
        <v>529.49</v>
      </c>
      <c r="E3514" s="2">
        <f>IFERROR(__xludf.DUMMYFUNCTION("""COMPUTED_VALUE"""),532.04)</f>
        <v>532.04</v>
      </c>
      <c r="F3514" s="2">
        <f>IFERROR(__xludf.DUMMYFUNCTION("""COMPUTED_VALUE"""),2635854.0)</f>
        <v>2635854</v>
      </c>
    </row>
    <row r="3515">
      <c r="A3515" s="3">
        <f>IFERROR(__xludf.DUMMYFUNCTION("""COMPUTED_VALUE"""),42634.64583333333)</f>
        <v>42634.64583</v>
      </c>
      <c r="B3515" s="2">
        <f>IFERROR(__xludf.DUMMYFUNCTION("""COMPUTED_VALUE"""),531.94)</f>
        <v>531.94</v>
      </c>
      <c r="C3515" s="2">
        <f>IFERROR(__xludf.DUMMYFUNCTION("""COMPUTED_VALUE"""),537.34)</f>
        <v>537.34</v>
      </c>
      <c r="D3515" s="2">
        <f>IFERROR(__xludf.DUMMYFUNCTION("""COMPUTED_VALUE"""),529.46)</f>
        <v>529.46</v>
      </c>
      <c r="E3515" s="2">
        <f>IFERROR(__xludf.DUMMYFUNCTION("""COMPUTED_VALUE"""),531.07)</f>
        <v>531.07</v>
      </c>
      <c r="F3515" s="2">
        <f>IFERROR(__xludf.DUMMYFUNCTION("""COMPUTED_VALUE"""),2501476.0)</f>
        <v>2501476</v>
      </c>
    </row>
    <row r="3516">
      <c r="A3516" s="3">
        <f>IFERROR(__xludf.DUMMYFUNCTION("""COMPUTED_VALUE"""),42635.64583333333)</f>
        <v>42635.64583</v>
      </c>
      <c r="B3516" s="2">
        <f>IFERROR(__xludf.DUMMYFUNCTION("""COMPUTED_VALUE"""),536.4)</f>
        <v>536.4</v>
      </c>
      <c r="C3516" s="2">
        <f>IFERROR(__xludf.DUMMYFUNCTION("""COMPUTED_VALUE"""),542.74)</f>
        <v>542.74</v>
      </c>
      <c r="D3516" s="2">
        <f>IFERROR(__xludf.DUMMYFUNCTION("""COMPUTED_VALUE"""),534.41)</f>
        <v>534.41</v>
      </c>
      <c r="E3516" s="2">
        <f>IFERROR(__xludf.DUMMYFUNCTION("""COMPUTED_VALUE"""),539.34)</f>
        <v>539.34</v>
      </c>
      <c r="F3516" s="2">
        <f>IFERROR(__xludf.DUMMYFUNCTION("""COMPUTED_VALUE"""),4288544.0)</f>
        <v>4288544</v>
      </c>
    </row>
    <row r="3517">
      <c r="A3517" s="3">
        <f>IFERROR(__xludf.DUMMYFUNCTION("""COMPUTED_VALUE"""),42636.64583333333)</f>
        <v>42636.64583</v>
      </c>
      <c r="B3517" s="2">
        <f>IFERROR(__xludf.DUMMYFUNCTION("""COMPUTED_VALUE"""),539.37)</f>
        <v>539.37</v>
      </c>
      <c r="C3517" s="2">
        <f>IFERROR(__xludf.DUMMYFUNCTION("""COMPUTED_VALUE"""),549.5)</f>
        <v>549.5</v>
      </c>
      <c r="D3517" s="2">
        <f>IFERROR(__xludf.DUMMYFUNCTION("""COMPUTED_VALUE"""),539.37)</f>
        <v>539.37</v>
      </c>
      <c r="E3517" s="2">
        <f>IFERROR(__xludf.DUMMYFUNCTION("""COMPUTED_VALUE"""),546.2)</f>
        <v>546.2</v>
      </c>
      <c r="F3517" s="2">
        <f>IFERROR(__xludf.DUMMYFUNCTION("""COMPUTED_VALUE"""),7105725.0)</f>
        <v>7105725</v>
      </c>
    </row>
    <row r="3518">
      <c r="A3518" s="3">
        <f>IFERROR(__xludf.DUMMYFUNCTION("""COMPUTED_VALUE"""),42639.64583333333)</f>
        <v>42639.64583</v>
      </c>
      <c r="B3518" s="2">
        <f>IFERROR(__xludf.DUMMYFUNCTION("""COMPUTED_VALUE"""),546.5)</f>
        <v>546.5</v>
      </c>
      <c r="C3518" s="2">
        <f>IFERROR(__xludf.DUMMYFUNCTION("""COMPUTED_VALUE"""),559.45)</f>
        <v>559.45</v>
      </c>
      <c r="D3518" s="2">
        <f>IFERROR(__xludf.DUMMYFUNCTION("""COMPUTED_VALUE"""),544.94)</f>
        <v>544.94</v>
      </c>
      <c r="E3518" s="2">
        <f>IFERROR(__xludf.DUMMYFUNCTION("""COMPUTED_VALUE"""),548.38)</f>
        <v>548.38</v>
      </c>
      <c r="F3518" s="2">
        <f>IFERROR(__xludf.DUMMYFUNCTION("""COMPUTED_VALUE"""),8734943.0)</f>
        <v>8734943</v>
      </c>
    </row>
    <row r="3519">
      <c r="A3519" s="3">
        <f>IFERROR(__xludf.DUMMYFUNCTION("""COMPUTED_VALUE"""),42640.64583333333)</f>
        <v>42640.64583</v>
      </c>
      <c r="B3519" s="2">
        <f>IFERROR(__xludf.DUMMYFUNCTION("""COMPUTED_VALUE"""),553.24)</f>
        <v>553.24</v>
      </c>
      <c r="C3519" s="2">
        <f>IFERROR(__xludf.DUMMYFUNCTION("""COMPUTED_VALUE"""),557.67)</f>
        <v>557.67</v>
      </c>
      <c r="D3519" s="2">
        <f>IFERROR(__xludf.DUMMYFUNCTION("""COMPUTED_VALUE"""),548.08)</f>
        <v>548.08</v>
      </c>
      <c r="E3519" s="2">
        <f>IFERROR(__xludf.DUMMYFUNCTION("""COMPUTED_VALUE"""),550.02)</f>
        <v>550.02</v>
      </c>
      <c r="F3519" s="2">
        <f>IFERROR(__xludf.DUMMYFUNCTION("""COMPUTED_VALUE"""),4428693.0)</f>
        <v>4428693</v>
      </c>
    </row>
    <row r="3520">
      <c r="A3520" s="3">
        <f>IFERROR(__xludf.DUMMYFUNCTION("""COMPUTED_VALUE"""),42641.64583333333)</f>
        <v>42641.64583</v>
      </c>
      <c r="B3520" s="2">
        <f>IFERROR(__xludf.DUMMYFUNCTION("""COMPUTED_VALUE"""),548.73)</f>
        <v>548.73</v>
      </c>
      <c r="C3520" s="2">
        <f>IFERROR(__xludf.DUMMYFUNCTION("""COMPUTED_VALUE"""),548.78)</f>
        <v>548.78</v>
      </c>
      <c r="D3520" s="2">
        <f>IFERROR(__xludf.DUMMYFUNCTION("""COMPUTED_VALUE"""),538.03)</f>
        <v>538.03</v>
      </c>
      <c r="E3520" s="2">
        <f>IFERROR(__xludf.DUMMYFUNCTION("""COMPUTED_VALUE"""),540.18)</f>
        <v>540.18</v>
      </c>
      <c r="F3520" s="2">
        <f>IFERROR(__xludf.DUMMYFUNCTION("""COMPUTED_VALUE"""),5673488.0)</f>
        <v>5673488</v>
      </c>
    </row>
    <row r="3521">
      <c r="A3521" s="3">
        <f>IFERROR(__xludf.DUMMYFUNCTION("""COMPUTED_VALUE"""),42642.64583333333)</f>
        <v>42642.64583</v>
      </c>
      <c r="B3521" s="2">
        <f>IFERROR(__xludf.DUMMYFUNCTION("""COMPUTED_VALUE"""),542.34)</f>
        <v>542.34</v>
      </c>
      <c r="C3521" s="2">
        <f>IFERROR(__xludf.DUMMYFUNCTION("""COMPUTED_VALUE"""),550.14)</f>
        <v>550.14</v>
      </c>
      <c r="D3521" s="2">
        <f>IFERROR(__xludf.DUMMYFUNCTION("""COMPUTED_VALUE"""),528.67)</f>
        <v>528.67</v>
      </c>
      <c r="E3521" s="2">
        <f>IFERROR(__xludf.DUMMYFUNCTION("""COMPUTED_VALUE"""),531.17)</f>
        <v>531.17</v>
      </c>
      <c r="F3521" s="2">
        <f>IFERROR(__xludf.DUMMYFUNCTION("""COMPUTED_VALUE"""),4859746.0)</f>
        <v>4859746</v>
      </c>
    </row>
    <row r="3522">
      <c r="A3522" s="3">
        <f>IFERROR(__xludf.DUMMYFUNCTION("""COMPUTED_VALUE"""),42643.64583333333)</f>
        <v>42643.64583</v>
      </c>
      <c r="B3522" s="2">
        <f>IFERROR(__xludf.DUMMYFUNCTION("""COMPUTED_VALUE"""),528.97)</f>
        <v>528.97</v>
      </c>
      <c r="C3522" s="2">
        <f>IFERROR(__xludf.DUMMYFUNCTION("""COMPUTED_VALUE"""),542.12)</f>
        <v>542.12</v>
      </c>
      <c r="D3522" s="2">
        <f>IFERROR(__xludf.DUMMYFUNCTION("""COMPUTED_VALUE"""),528.12)</f>
        <v>528.12</v>
      </c>
      <c r="E3522" s="2">
        <f>IFERROR(__xludf.DUMMYFUNCTION("""COMPUTED_VALUE"""),536.74)</f>
        <v>536.74</v>
      </c>
      <c r="F3522" s="2">
        <f>IFERROR(__xludf.DUMMYFUNCTION("""COMPUTED_VALUE"""),2560105.0)</f>
        <v>2560105</v>
      </c>
    </row>
    <row r="3523">
      <c r="A3523" s="3">
        <f>IFERROR(__xludf.DUMMYFUNCTION("""COMPUTED_VALUE"""),42646.64583333333)</f>
        <v>42646.64583</v>
      </c>
      <c r="B3523" s="2">
        <f>IFERROR(__xludf.DUMMYFUNCTION("""COMPUTED_VALUE"""),538.38)</f>
        <v>538.38</v>
      </c>
      <c r="C3523" s="2">
        <f>IFERROR(__xludf.DUMMYFUNCTION("""COMPUTED_VALUE"""),548.75)</f>
        <v>548.75</v>
      </c>
      <c r="D3523" s="2">
        <f>IFERROR(__xludf.DUMMYFUNCTION("""COMPUTED_VALUE"""),533.05)</f>
        <v>533.05</v>
      </c>
      <c r="E3523" s="2">
        <f>IFERROR(__xludf.DUMMYFUNCTION("""COMPUTED_VALUE"""),540.21)</f>
        <v>540.21</v>
      </c>
      <c r="F3523" s="2">
        <f>IFERROR(__xludf.DUMMYFUNCTION("""COMPUTED_VALUE"""),4143109.0)</f>
        <v>4143109</v>
      </c>
    </row>
    <row r="3524">
      <c r="A3524" s="3">
        <f>IFERROR(__xludf.DUMMYFUNCTION("""COMPUTED_VALUE"""),42647.64583333333)</f>
        <v>42647.64583</v>
      </c>
      <c r="B3524" s="2">
        <f>IFERROR(__xludf.DUMMYFUNCTION("""COMPUTED_VALUE"""),541.37)</f>
        <v>541.37</v>
      </c>
      <c r="C3524" s="2">
        <f>IFERROR(__xludf.DUMMYFUNCTION("""COMPUTED_VALUE"""),548.93)</f>
        <v>548.93</v>
      </c>
      <c r="D3524" s="2">
        <f>IFERROR(__xludf.DUMMYFUNCTION("""COMPUTED_VALUE"""),540.85)</f>
        <v>540.85</v>
      </c>
      <c r="E3524" s="2">
        <f>IFERROR(__xludf.DUMMYFUNCTION("""COMPUTED_VALUE"""),543.01)</f>
        <v>543.01</v>
      </c>
      <c r="F3524" s="2">
        <f>IFERROR(__xludf.DUMMYFUNCTION("""COMPUTED_VALUE"""),2997544.0)</f>
        <v>2997544</v>
      </c>
    </row>
    <row r="3525">
      <c r="A3525" s="3">
        <f>IFERROR(__xludf.DUMMYFUNCTION("""COMPUTED_VALUE"""),42648.64583333333)</f>
        <v>42648.64583</v>
      </c>
      <c r="B3525" s="2">
        <f>IFERROR(__xludf.DUMMYFUNCTION("""COMPUTED_VALUE"""),546.8)</f>
        <v>546.8</v>
      </c>
      <c r="C3525" s="2">
        <f>IFERROR(__xludf.DUMMYFUNCTION("""COMPUTED_VALUE"""),548.03)</f>
        <v>548.03</v>
      </c>
      <c r="D3525" s="2">
        <f>IFERROR(__xludf.DUMMYFUNCTION("""COMPUTED_VALUE"""),537.78)</f>
        <v>537.78</v>
      </c>
      <c r="E3525" s="2">
        <f>IFERROR(__xludf.DUMMYFUNCTION("""COMPUTED_VALUE"""),539.57)</f>
        <v>539.57</v>
      </c>
      <c r="F3525" s="2">
        <f>IFERROR(__xludf.DUMMYFUNCTION("""COMPUTED_VALUE"""),2466397.0)</f>
        <v>2466397</v>
      </c>
    </row>
    <row r="3526">
      <c r="A3526" s="3">
        <f>IFERROR(__xludf.DUMMYFUNCTION("""COMPUTED_VALUE"""),42649.64583333333)</f>
        <v>42649.64583</v>
      </c>
      <c r="B3526" s="2">
        <f>IFERROR(__xludf.DUMMYFUNCTION("""COMPUTED_VALUE"""),540.85)</f>
        <v>540.85</v>
      </c>
      <c r="C3526" s="2">
        <f>IFERROR(__xludf.DUMMYFUNCTION("""COMPUTED_VALUE"""),557.82)</f>
        <v>557.82</v>
      </c>
      <c r="D3526" s="2">
        <f>IFERROR(__xludf.DUMMYFUNCTION("""COMPUTED_VALUE"""),540.85)</f>
        <v>540.85</v>
      </c>
      <c r="E3526" s="2">
        <f>IFERROR(__xludf.DUMMYFUNCTION("""COMPUTED_VALUE"""),550.16)</f>
        <v>550.16</v>
      </c>
      <c r="F3526" s="2">
        <f>IFERROR(__xludf.DUMMYFUNCTION("""COMPUTED_VALUE"""),4825630.0)</f>
        <v>4825630</v>
      </c>
    </row>
    <row r="3527">
      <c r="A3527" s="3">
        <f>IFERROR(__xludf.DUMMYFUNCTION("""COMPUTED_VALUE"""),42650.64583333333)</f>
        <v>42650.64583</v>
      </c>
      <c r="B3527" s="2">
        <f>IFERROR(__xludf.DUMMYFUNCTION("""COMPUTED_VALUE"""),551.75)</f>
        <v>551.75</v>
      </c>
      <c r="C3527" s="2">
        <f>IFERROR(__xludf.DUMMYFUNCTION("""COMPUTED_VALUE"""),556.23)</f>
        <v>556.23</v>
      </c>
      <c r="D3527" s="2">
        <f>IFERROR(__xludf.DUMMYFUNCTION("""COMPUTED_VALUE"""),548.03)</f>
        <v>548.03</v>
      </c>
      <c r="E3527" s="2">
        <f>IFERROR(__xludf.DUMMYFUNCTION("""COMPUTED_VALUE"""),549.27)</f>
        <v>549.27</v>
      </c>
      <c r="F3527" s="2">
        <f>IFERROR(__xludf.DUMMYFUNCTION("""COMPUTED_VALUE"""),3492838.0)</f>
        <v>3492838</v>
      </c>
    </row>
    <row r="3528">
      <c r="A3528" s="3">
        <f>IFERROR(__xludf.DUMMYFUNCTION("""COMPUTED_VALUE"""),42653.64583333333)</f>
        <v>42653.64583</v>
      </c>
      <c r="B3528" s="2">
        <f>IFERROR(__xludf.DUMMYFUNCTION("""COMPUTED_VALUE"""),551.75)</f>
        <v>551.75</v>
      </c>
      <c r="C3528" s="2">
        <f>IFERROR(__xludf.DUMMYFUNCTION("""COMPUTED_VALUE"""),555.71)</f>
        <v>555.71</v>
      </c>
      <c r="D3528" s="2">
        <f>IFERROR(__xludf.DUMMYFUNCTION("""COMPUTED_VALUE"""),541.84)</f>
        <v>541.84</v>
      </c>
      <c r="E3528" s="2">
        <f>IFERROR(__xludf.DUMMYFUNCTION("""COMPUTED_VALUE"""),543.01)</f>
        <v>543.01</v>
      </c>
      <c r="F3528" s="2">
        <f>IFERROR(__xludf.DUMMYFUNCTION("""COMPUTED_VALUE"""),2640973.0)</f>
        <v>2640973</v>
      </c>
    </row>
    <row r="3529">
      <c r="A3529" s="3">
        <f>IFERROR(__xludf.DUMMYFUNCTION("""COMPUTED_VALUE"""),42656.64583333333)</f>
        <v>42656.64583</v>
      </c>
      <c r="B3529" s="2">
        <f>IFERROR(__xludf.DUMMYFUNCTION("""COMPUTED_VALUE"""),539.37)</f>
        <v>539.37</v>
      </c>
      <c r="C3529" s="2">
        <f>IFERROR(__xludf.DUMMYFUNCTION("""COMPUTED_VALUE"""),539.39)</f>
        <v>539.39</v>
      </c>
      <c r="D3529" s="2">
        <f>IFERROR(__xludf.DUMMYFUNCTION("""COMPUTED_VALUE"""),521.04)</f>
        <v>521.04</v>
      </c>
      <c r="E3529" s="2">
        <f>IFERROR(__xludf.DUMMYFUNCTION("""COMPUTED_VALUE"""),523.59)</f>
        <v>523.59</v>
      </c>
      <c r="F3529" s="2">
        <f>IFERROR(__xludf.DUMMYFUNCTION("""COMPUTED_VALUE"""),5014667.0)</f>
        <v>5014667</v>
      </c>
    </row>
    <row r="3530">
      <c r="A3530" s="3">
        <f>IFERROR(__xludf.DUMMYFUNCTION("""COMPUTED_VALUE"""),42657.64583333333)</f>
        <v>42657.64583</v>
      </c>
      <c r="B3530" s="2">
        <f>IFERROR(__xludf.DUMMYFUNCTION("""COMPUTED_VALUE"""),526.49)</f>
        <v>526.49</v>
      </c>
      <c r="C3530" s="2">
        <f>IFERROR(__xludf.DUMMYFUNCTION("""COMPUTED_VALUE"""),535.9)</f>
        <v>535.9</v>
      </c>
      <c r="D3530" s="2">
        <f>IFERROR(__xludf.DUMMYFUNCTION("""COMPUTED_VALUE"""),525.82)</f>
        <v>525.82</v>
      </c>
      <c r="E3530" s="2">
        <f>IFERROR(__xludf.DUMMYFUNCTION("""COMPUTED_VALUE"""),533.75)</f>
        <v>533.75</v>
      </c>
      <c r="F3530" s="2">
        <f>IFERROR(__xludf.DUMMYFUNCTION("""COMPUTED_VALUE"""),3489473.0)</f>
        <v>3489473</v>
      </c>
    </row>
    <row r="3531">
      <c r="A3531" s="3">
        <f>IFERROR(__xludf.DUMMYFUNCTION("""COMPUTED_VALUE"""),42660.64583333333)</f>
        <v>42660.64583</v>
      </c>
      <c r="B3531" s="2">
        <f>IFERROR(__xludf.DUMMYFUNCTION("""COMPUTED_VALUE"""),534.91)</f>
        <v>534.91</v>
      </c>
      <c r="C3531" s="2">
        <f>IFERROR(__xludf.DUMMYFUNCTION("""COMPUTED_VALUE"""),535.31)</f>
        <v>535.31</v>
      </c>
      <c r="D3531" s="2">
        <f>IFERROR(__xludf.DUMMYFUNCTION("""COMPUTED_VALUE"""),524.39)</f>
        <v>524.39</v>
      </c>
      <c r="E3531" s="2">
        <f>IFERROR(__xludf.DUMMYFUNCTION("""COMPUTED_VALUE"""),525.33)</f>
        <v>525.33</v>
      </c>
      <c r="F3531" s="2">
        <f>IFERROR(__xludf.DUMMYFUNCTION("""COMPUTED_VALUE"""),2246237.0)</f>
        <v>2246237</v>
      </c>
    </row>
    <row r="3532">
      <c r="A3532" s="3">
        <f>IFERROR(__xludf.DUMMYFUNCTION("""COMPUTED_VALUE"""),42661.64583333333)</f>
        <v>42661.64583</v>
      </c>
      <c r="B3532" s="2">
        <f>IFERROR(__xludf.DUMMYFUNCTION("""COMPUTED_VALUE"""),527.98)</f>
        <v>527.98</v>
      </c>
      <c r="C3532" s="2">
        <f>IFERROR(__xludf.DUMMYFUNCTION("""COMPUTED_VALUE"""),536.27)</f>
        <v>536.27</v>
      </c>
      <c r="D3532" s="2">
        <f>IFERROR(__xludf.DUMMYFUNCTION("""COMPUTED_VALUE"""),526.02)</f>
        <v>526.02</v>
      </c>
      <c r="E3532" s="2">
        <f>IFERROR(__xludf.DUMMYFUNCTION("""COMPUTED_VALUE"""),535.45)</f>
        <v>535.45</v>
      </c>
      <c r="F3532" s="2">
        <f>IFERROR(__xludf.DUMMYFUNCTION("""COMPUTED_VALUE"""),2531133.0)</f>
        <v>2531133</v>
      </c>
    </row>
    <row r="3533">
      <c r="A3533" s="3">
        <f>IFERROR(__xludf.DUMMYFUNCTION("""COMPUTED_VALUE"""),42662.64583333333)</f>
        <v>42662.64583</v>
      </c>
      <c r="B3533" s="2">
        <f>IFERROR(__xludf.DUMMYFUNCTION("""COMPUTED_VALUE"""),537.11)</f>
        <v>537.11</v>
      </c>
      <c r="C3533" s="2">
        <f>IFERROR(__xludf.DUMMYFUNCTION("""COMPUTED_VALUE"""),542.19)</f>
        <v>542.19</v>
      </c>
      <c r="D3533" s="2">
        <f>IFERROR(__xludf.DUMMYFUNCTION("""COMPUTED_VALUE"""),535.6)</f>
        <v>535.6</v>
      </c>
      <c r="E3533" s="2">
        <f>IFERROR(__xludf.DUMMYFUNCTION("""COMPUTED_VALUE"""),538.55)</f>
        <v>538.55</v>
      </c>
      <c r="F3533" s="2">
        <f>IFERROR(__xludf.DUMMYFUNCTION("""COMPUTED_VALUE"""),3902656.0)</f>
        <v>3902656</v>
      </c>
    </row>
    <row r="3534">
      <c r="A3534" s="3">
        <f>IFERROR(__xludf.DUMMYFUNCTION("""COMPUTED_VALUE"""),42663.64583333333)</f>
        <v>42663.64583</v>
      </c>
      <c r="B3534" s="2">
        <f>IFERROR(__xludf.DUMMYFUNCTION("""COMPUTED_VALUE"""),541.82)</f>
        <v>541.82</v>
      </c>
      <c r="C3534" s="2">
        <f>IFERROR(__xludf.DUMMYFUNCTION("""COMPUTED_VALUE"""),543.83)</f>
        <v>543.83</v>
      </c>
      <c r="D3534" s="2">
        <f>IFERROR(__xludf.DUMMYFUNCTION("""COMPUTED_VALUE"""),536.92)</f>
        <v>536.92</v>
      </c>
      <c r="E3534" s="2">
        <f>IFERROR(__xludf.DUMMYFUNCTION("""COMPUTED_VALUE"""),538.65)</f>
        <v>538.65</v>
      </c>
      <c r="F3534" s="2">
        <f>IFERROR(__xludf.DUMMYFUNCTION("""COMPUTED_VALUE"""),2314521.0)</f>
        <v>2314521</v>
      </c>
    </row>
    <row r="3535">
      <c r="A3535" s="3">
        <f>IFERROR(__xludf.DUMMYFUNCTION("""COMPUTED_VALUE"""),42664.64583333333)</f>
        <v>42664.64583</v>
      </c>
      <c r="B3535" s="2">
        <f>IFERROR(__xludf.DUMMYFUNCTION("""COMPUTED_VALUE"""),543.33)</f>
        <v>543.33</v>
      </c>
      <c r="C3535" s="2">
        <f>IFERROR(__xludf.DUMMYFUNCTION("""COMPUTED_VALUE"""),543.33)</f>
        <v>543.33</v>
      </c>
      <c r="D3535" s="2">
        <f>IFERROR(__xludf.DUMMYFUNCTION("""COMPUTED_VALUE"""),524.21)</f>
        <v>524.21</v>
      </c>
      <c r="E3535" s="2">
        <f>IFERROR(__xludf.DUMMYFUNCTION("""COMPUTED_VALUE"""),527.08)</f>
        <v>527.08</v>
      </c>
      <c r="F3535" s="2">
        <f>IFERROR(__xludf.DUMMYFUNCTION("""COMPUTED_VALUE"""),9968242.0)</f>
        <v>9968242</v>
      </c>
    </row>
    <row r="3536">
      <c r="A3536" s="3">
        <f>IFERROR(__xludf.DUMMYFUNCTION("""COMPUTED_VALUE"""),42667.64583333333)</f>
        <v>42667.64583</v>
      </c>
      <c r="B3536" s="2">
        <f>IFERROR(__xludf.DUMMYFUNCTION("""COMPUTED_VALUE"""),529.96)</f>
        <v>529.96</v>
      </c>
      <c r="C3536" s="2">
        <f>IFERROR(__xludf.DUMMYFUNCTION("""COMPUTED_VALUE"""),531.94)</f>
        <v>531.94</v>
      </c>
      <c r="D3536" s="2">
        <f>IFERROR(__xludf.DUMMYFUNCTION("""COMPUTED_VALUE"""),525.33)</f>
        <v>525.33</v>
      </c>
      <c r="E3536" s="2">
        <f>IFERROR(__xludf.DUMMYFUNCTION("""COMPUTED_VALUE"""),526.64)</f>
        <v>526.64</v>
      </c>
      <c r="F3536" s="2">
        <f>IFERROR(__xludf.DUMMYFUNCTION("""COMPUTED_VALUE"""),2403099.0)</f>
        <v>2403099</v>
      </c>
    </row>
    <row r="3537">
      <c r="A3537" s="3">
        <f>IFERROR(__xludf.DUMMYFUNCTION("""COMPUTED_VALUE"""),42668.64583333333)</f>
        <v>42668.64583</v>
      </c>
      <c r="B3537" s="2">
        <f>IFERROR(__xludf.DUMMYFUNCTION("""COMPUTED_VALUE"""),527.48)</f>
        <v>527.48</v>
      </c>
      <c r="C3537" s="2">
        <f>IFERROR(__xludf.DUMMYFUNCTION("""COMPUTED_VALUE"""),527.6)</f>
        <v>527.6</v>
      </c>
      <c r="D3537" s="2">
        <f>IFERROR(__xludf.DUMMYFUNCTION("""COMPUTED_VALUE"""),522.13)</f>
        <v>522.13</v>
      </c>
      <c r="E3537" s="2">
        <f>IFERROR(__xludf.DUMMYFUNCTION("""COMPUTED_VALUE"""),525.43)</f>
        <v>525.43</v>
      </c>
      <c r="F3537" s="2">
        <f>IFERROR(__xludf.DUMMYFUNCTION("""COMPUTED_VALUE"""),1750711.0)</f>
        <v>1750711</v>
      </c>
    </row>
    <row r="3538">
      <c r="A3538" s="3">
        <f>IFERROR(__xludf.DUMMYFUNCTION("""COMPUTED_VALUE"""),42669.64583333333)</f>
        <v>42669.64583</v>
      </c>
      <c r="B3538" s="2">
        <f>IFERROR(__xludf.DUMMYFUNCTION("""COMPUTED_VALUE"""),523.05)</f>
        <v>523.05</v>
      </c>
      <c r="C3538" s="2">
        <f>IFERROR(__xludf.DUMMYFUNCTION("""COMPUTED_VALUE"""),524.73)</f>
        <v>524.73</v>
      </c>
      <c r="D3538" s="2">
        <f>IFERROR(__xludf.DUMMYFUNCTION("""COMPUTED_VALUE"""),521.09)</f>
        <v>521.09</v>
      </c>
      <c r="E3538" s="2">
        <f>IFERROR(__xludf.DUMMYFUNCTION("""COMPUTED_VALUE"""),522.06)</f>
        <v>522.06</v>
      </c>
      <c r="F3538" s="2">
        <f>IFERROR(__xludf.DUMMYFUNCTION("""COMPUTED_VALUE"""),2502055.0)</f>
        <v>2502055</v>
      </c>
    </row>
    <row r="3539">
      <c r="A3539" s="3">
        <f>IFERROR(__xludf.DUMMYFUNCTION("""COMPUTED_VALUE"""),42670.64583333333)</f>
        <v>42670.64583</v>
      </c>
      <c r="B3539" s="2">
        <f>IFERROR(__xludf.DUMMYFUNCTION("""COMPUTED_VALUE"""),520.6)</f>
        <v>520.6</v>
      </c>
      <c r="C3539" s="2">
        <f>IFERROR(__xludf.DUMMYFUNCTION("""COMPUTED_VALUE"""),521.98)</f>
        <v>521.98</v>
      </c>
      <c r="D3539" s="2">
        <f>IFERROR(__xludf.DUMMYFUNCTION("""COMPUTED_VALUE"""),516.78)</f>
        <v>516.78</v>
      </c>
      <c r="E3539" s="2">
        <f>IFERROR(__xludf.DUMMYFUNCTION("""COMPUTED_VALUE"""),519.41)</f>
        <v>519.41</v>
      </c>
      <c r="F3539" s="2">
        <f>IFERROR(__xludf.DUMMYFUNCTION("""COMPUTED_VALUE"""),2935574.0)</f>
        <v>2935574</v>
      </c>
    </row>
    <row r="3540">
      <c r="A3540" s="3">
        <f>IFERROR(__xludf.DUMMYFUNCTION("""COMPUTED_VALUE"""),42671.64583333333)</f>
        <v>42671.64583</v>
      </c>
      <c r="B3540" s="2">
        <f>IFERROR(__xludf.DUMMYFUNCTION("""COMPUTED_VALUE"""),520.05)</f>
        <v>520.05</v>
      </c>
      <c r="C3540" s="2">
        <f>IFERROR(__xludf.DUMMYFUNCTION("""COMPUTED_VALUE"""),524.01)</f>
        <v>524.01</v>
      </c>
      <c r="D3540" s="2">
        <f>IFERROR(__xludf.DUMMYFUNCTION("""COMPUTED_VALUE"""),516.98)</f>
        <v>516.98</v>
      </c>
      <c r="E3540" s="2">
        <f>IFERROR(__xludf.DUMMYFUNCTION("""COMPUTED_VALUE"""),522.5)</f>
        <v>522.5</v>
      </c>
      <c r="F3540" s="2">
        <f>IFERROR(__xludf.DUMMYFUNCTION("""COMPUTED_VALUE"""),1857917.0)</f>
        <v>1857917</v>
      </c>
    </row>
    <row r="3541">
      <c r="A3541" s="3">
        <f>IFERROR(__xludf.DUMMYFUNCTION("""COMPUTED_VALUE"""),42675.64583333333)</f>
        <v>42675.64583</v>
      </c>
      <c r="B3541" s="2">
        <f>IFERROR(__xludf.DUMMYFUNCTION("""COMPUTED_VALUE"""),520.7)</f>
        <v>520.7</v>
      </c>
      <c r="C3541" s="2">
        <f>IFERROR(__xludf.DUMMYFUNCTION("""COMPUTED_VALUE"""),523.0)</f>
        <v>523</v>
      </c>
      <c r="D3541" s="2">
        <f>IFERROR(__xludf.DUMMYFUNCTION("""COMPUTED_VALUE"""),518.76)</f>
        <v>518.76</v>
      </c>
      <c r="E3541" s="2">
        <f>IFERROR(__xludf.DUMMYFUNCTION("""COMPUTED_VALUE"""),520.55)</f>
        <v>520.55</v>
      </c>
      <c r="F3541" s="2">
        <f>IFERROR(__xludf.DUMMYFUNCTION("""COMPUTED_VALUE"""),2337011.0)</f>
        <v>2337011</v>
      </c>
    </row>
    <row r="3542">
      <c r="A3542" s="3">
        <f>IFERROR(__xludf.DUMMYFUNCTION("""COMPUTED_VALUE"""),42676.64583333333)</f>
        <v>42676.64583</v>
      </c>
      <c r="B3542" s="2">
        <f>IFERROR(__xludf.DUMMYFUNCTION("""COMPUTED_VALUE"""),515.59)</f>
        <v>515.59</v>
      </c>
      <c r="C3542" s="2">
        <f>IFERROR(__xludf.DUMMYFUNCTION("""COMPUTED_VALUE"""),516.51)</f>
        <v>516.51</v>
      </c>
      <c r="D3542" s="2">
        <f>IFERROR(__xludf.DUMMYFUNCTION("""COMPUTED_VALUE"""),505.69)</f>
        <v>505.69</v>
      </c>
      <c r="E3542" s="2">
        <f>IFERROR(__xludf.DUMMYFUNCTION("""COMPUTED_VALUE"""),507.05)</f>
        <v>507.05</v>
      </c>
      <c r="F3542" s="2">
        <f>IFERROR(__xludf.DUMMYFUNCTION("""COMPUTED_VALUE"""),1609225.0)</f>
        <v>1609225</v>
      </c>
    </row>
    <row r="3543">
      <c r="A3543" s="3">
        <f>IFERROR(__xludf.DUMMYFUNCTION("""COMPUTED_VALUE"""),42677.64583333333)</f>
        <v>42677.64583</v>
      </c>
      <c r="B3543" s="2">
        <f>IFERROR(__xludf.DUMMYFUNCTION("""COMPUTED_VALUE"""),507.1)</f>
        <v>507.1</v>
      </c>
      <c r="C3543" s="2">
        <f>IFERROR(__xludf.DUMMYFUNCTION("""COMPUTED_VALUE"""),512.5)</f>
        <v>512.5</v>
      </c>
      <c r="D3543" s="2">
        <f>IFERROR(__xludf.DUMMYFUNCTION("""COMPUTED_VALUE"""),505.49)</f>
        <v>505.49</v>
      </c>
      <c r="E3543" s="2">
        <f>IFERROR(__xludf.DUMMYFUNCTION("""COMPUTED_VALUE"""),507.15)</f>
        <v>507.15</v>
      </c>
      <c r="F3543" s="2">
        <f>IFERROR(__xludf.DUMMYFUNCTION("""COMPUTED_VALUE"""),1671371.0)</f>
        <v>1671371</v>
      </c>
    </row>
    <row r="3544">
      <c r="A3544" s="3">
        <f>IFERROR(__xludf.DUMMYFUNCTION("""COMPUTED_VALUE"""),42678.64583333333)</f>
        <v>42678.64583</v>
      </c>
      <c r="B3544" s="2">
        <f>IFERROR(__xludf.DUMMYFUNCTION("""COMPUTED_VALUE"""),505.32)</f>
        <v>505.32</v>
      </c>
      <c r="C3544" s="2">
        <f>IFERROR(__xludf.DUMMYFUNCTION("""COMPUTED_VALUE"""),508.61)</f>
        <v>508.61</v>
      </c>
      <c r="D3544" s="2">
        <f>IFERROR(__xludf.DUMMYFUNCTION("""COMPUTED_VALUE"""),495.29)</f>
        <v>495.29</v>
      </c>
      <c r="E3544" s="2">
        <f>IFERROR(__xludf.DUMMYFUNCTION("""COMPUTED_VALUE"""),498.04)</f>
        <v>498.04</v>
      </c>
      <c r="F3544" s="2">
        <f>IFERROR(__xludf.DUMMYFUNCTION("""COMPUTED_VALUE"""),2636911.0)</f>
        <v>2636911</v>
      </c>
    </row>
    <row r="3545">
      <c r="A3545" s="3">
        <f>IFERROR(__xludf.DUMMYFUNCTION("""COMPUTED_VALUE"""),42681.64583333333)</f>
        <v>42681.64583</v>
      </c>
      <c r="B3545" s="2">
        <f>IFERROR(__xludf.DUMMYFUNCTION("""COMPUTED_VALUE"""),502.22)</f>
        <v>502.22</v>
      </c>
      <c r="C3545" s="2">
        <f>IFERROR(__xludf.DUMMYFUNCTION("""COMPUTED_VALUE"""),503.48)</f>
        <v>503.48</v>
      </c>
      <c r="D3545" s="2">
        <f>IFERROR(__xludf.DUMMYFUNCTION("""COMPUTED_VALUE"""),494.82)</f>
        <v>494.82</v>
      </c>
      <c r="E3545" s="2">
        <f>IFERROR(__xludf.DUMMYFUNCTION("""COMPUTED_VALUE"""),495.86)</f>
        <v>495.86</v>
      </c>
      <c r="F3545" s="2">
        <f>IFERROR(__xludf.DUMMYFUNCTION("""COMPUTED_VALUE"""),2172921.0)</f>
        <v>2172921</v>
      </c>
    </row>
    <row r="3546">
      <c r="A3546" s="3">
        <f>IFERROR(__xludf.DUMMYFUNCTION("""COMPUTED_VALUE"""),42682.64583333333)</f>
        <v>42682.64583</v>
      </c>
      <c r="B3546" s="2">
        <f>IFERROR(__xludf.DUMMYFUNCTION("""COMPUTED_VALUE"""),498.11)</f>
        <v>498.11</v>
      </c>
      <c r="C3546" s="2">
        <f>IFERROR(__xludf.DUMMYFUNCTION("""COMPUTED_VALUE"""),498.11)</f>
        <v>498.11</v>
      </c>
      <c r="D3546" s="2">
        <f>IFERROR(__xludf.DUMMYFUNCTION("""COMPUTED_VALUE"""),494.44)</f>
        <v>494.44</v>
      </c>
      <c r="E3546" s="2">
        <f>IFERROR(__xludf.DUMMYFUNCTION("""COMPUTED_VALUE"""),497.02)</f>
        <v>497.02</v>
      </c>
      <c r="F3546" s="2">
        <f>IFERROR(__xludf.DUMMYFUNCTION("""COMPUTED_VALUE"""),3070346.0)</f>
        <v>3070346</v>
      </c>
    </row>
    <row r="3547">
      <c r="A3547" s="3">
        <f>IFERROR(__xludf.DUMMYFUNCTION("""COMPUTED_VALUE"""),42683.64583333333)</f>
        <v>42683.64583</v>
      </c>
      <c r="B3547" s="2">
        <f>IFERROR(__xludf.DUMMYFUNCTION("""COMPUTED_VALUE"""),470.52)</f>
        <v>470.52</v>
      </c>
      <c r="C3547" s="2">
        <f>IFERROR(__xludf.DUMMYFUNCTION("""COMPUTED_VALUE"""),499.74)</f>
        <v>499.74</v>
      </c>
      <c r="D3547" s="2">
        <f>IFERROR(__xludf.DUMMYFUNCTION("""COMPUTED_VALUE"""),460.62)</f>
        <v>460.62</v>
      </c>
      <c r="E3547" s="2">
        <f>IFERROR(__xludf.DUMMYFUNCTION("""COMPUTED_VALUE"""),497.57)</f>
        <v>497.57</v>
      </c>
      <c r="F3547" s="2">
        <f>IFERROR(__xludf.DUMMYFUNCTION("""COMPUTED_VALUE"""),4946573.0)</f>
        <v>4946573</v>
      </c>
    </row>
    <row r="3548">
      <c r="A3548" s="3">
        <f>IFERROR(__xludf.DUMMYFUNCTION("""COMPUTED_VALUE"""),42684.64583333333)</f>
        <v>42684.64583</v>
      </c>
      <c r="B3548" s="2">
        <f>IFERROR(__xludf.DUMMYFUNCTION("""COMPUTED_VALUE"""),504.5)</f>
        <v>504.5</v>
      </c>
      <c r="C3548" s="2">
        <f>IFERROR(__xludf.DUMMYFUNCTION("""COMPUTED_VALUE"""),509.63)</f>
        <v>509.63</v>
      </c>
      <c r="D3548" s="2">
        <f>IFERROR(__xludf.DUMMYFUNCTION("""COMPUTED_VALUE"""),498.75)</f>
        <v>498.75</v>
      </c>
      <c r="E3548" s="2">
        <f>IFERROR(__xludf.DUMMYFUNCTION("""COMPUTED_VALUE"""),500.44)</f>
        <v>500.44</v>
      </c>
      <c r="F3548" s="2">
        <f>IFERROR(__xludf.DUMMYFUNCTION("""COMPUTED_VALUE"""),2231907.0)</f>
        <v>2231907</v>
      </c>
    </row>
    <row r="3549">
      <c r="A3549" s="3">
        <f>IFERROR(__xludf.DUMMYFUNCTION("""COMPUTED_VALUE"""),42685.64583333333)</f>
        <v>42685.64583</v>
      </c>
      <c r="B3549" s="2">
        <f>IFERROR(__xludf.DUMMYFUNCTION("""COMPUTED_VALUE"""),494.22)</f>
        <v>494.22</v>
      </c>
      <c r="C3549" s="2">
        <f>IFERROR(__xludf.DUMMYFUNCTION("""COMPUTED_VALUE"""),503.95)</f>
        <v>503.95</v>
      </c>
      <c r="D3549" s="2">
        <f>IFERROR(__xludf.DUMMYFUNCTION("""COMPUTED_VALUE"""),492.86)</f>
        <v>492.86</v>
      </c>
      <c r="E3549" s="2">
        <f>IFERROR(__xludf.DUMMYFUNCTION("""COMPUTED_VALUE"""),496.15)</f>
        <v>496.15</v>
      </c>
      <c r="F3549" s="2">
        <f>IFERROR(__xludf.DUMMYFUNCTION("""COMPUTED_VALUE"""),3377392.0)</f>
        <v>3377392</v>
      </c>
    </row>
    <row r="3550">
      <c r="A3550" s="3">
        <f>IFERROR(__xludf.DUMMYFUNCTION("""COMPUTED_VALUE"""),42689.64583333333)</f>
        <v>42689.64583</v>
      </c>
      <c r="B3550" s="2">
        <f>IFERROR(__xludf.DUMMYFUNCTION("""COMPUTED_VALUE"""),493.55)</f>
        <v>493.55</v>
      </c>
      <c r="C3550" s="2">
        <f>IFERROR(__xludf.DUMMYFUNCTION("""COMPUTED_VALUE"""),495.29)</f>
        <v>495.29</v>
      </c>
      <c r="D3550" s="2">
        <f>IFERROR(__xludf.DUMMYFUNCTION("""COMPUTED_VALUE"""),485.16)</f>
        <v>485.16</v>
      </c>
      <c r="E3550" s="2">
        <f>IFERROR(__xludf.DUMMYFUNCTION("""COMPUTED_VALUE"""),488.06)</f>
        <v>488.06</v>
      </c>
      <c r="F3550" s="2">
        <f>IFERROR(__xludf.DUMMYFUNCTION("""COMPUTED_VALUE"""),3311592.0)</f>
        <v>3311592</v>
      </c>
    </row>
    <row r="3551">
      <c r="A3551" s="3">
        <f>IFERROR(__xludf.DUMMYFUNCTION("""COMPUTED_VALUE"""),42690.64583333333)</f>
        <v>42690.64583</v>
      </c>
      <c r="B3551" s="2">
        <f>IFERROR(__xludf.DUMMYFUNCTION("""COMPUTED_VALUE"""),492.81)</f>
        <v>492.81</v>
      </c>
      <c r="C3551" s="2">
        <f>IFERROR(__xludf.DUMMYFUNCTION("""COMPUTED_VALUE"""),493.7)</f>
        <v>493.7</v>
      </c>
      <c r="D3551" s="2">
        <f>IFERROR(__xludf.DUMMYFUNCTION("""COMPUTED_VALUE"""),485.73)</f>
        <v>485.73</v>
      </c>
      <c r="E3551" s="2">
        <f>IFERROR(__xludf.DUMMYFUNCTION("""COMPUTED_VALUE"""),488.63)</f>
        <v>488.63</v>
      </c>
      <c r="F3551" s="2">
        <f>IFERROR(__xludf.DUMMYFUNCTION("""COMPUTED_VALUE"""),3783226.0)</f>
        <v>3783226</v>
      </c>
    </row>
    <row r="3552">
      <c r="A3552" s="3">
        <f>IFERROR(__xludf.DUMMYFUNCTION("""COMPUTED_VALUE"""),42691.64583333333)</f>
        <v>42691.64583</v>
      </c>
      <c r="B3552" s="2">
        <f>IFERROR(__xludf.DUMMYFUNCTION("""COMPUTED_VALUE"""),488.35)</f>
        <v>488.35</v>
      </c>
      <c r="C3552" s="2">
        <f>IFERROR(__xludf.DUMMYFUNCTION("""COMPUTED_VALUE"""),494.37)</f>
        <v>494.37</v>
      </c>
      <c r="D3552" s="2">
        <f>IFERROR(__xludf.DUMMYFUNCTION("""COMPUTED_VALUE"""),482.61)</f>
        <v>482.61</v>
      </c>
      <c r="E3552" s="2">
        <f>IFERROR(__xludf.DUMMYFUNCTION("""COMPUTED_VALUE"""),484.27)</f>
        <v>484.27</v>
      </c>
      <c r="F3552" s="2">
        <f>IFERROR(__xludf.DUMMYFUNCTION("""COMPUTED_VALUE"""),2886635.0)</f>
        <v>2886635</v>
      </c>
    </row>
    <row r="3553">
      <c r="A3553" s="3">
        <f>IFERROR(__xludf.DUMMYFUNCTION("""COMPUTED_VALUE"""),42692.64583333333)</f>
        <v>42692.64583</v>
      </c>
      <c r="B3553" s="2">
        <f>IFERROR(__xludf.DUMMYFUNCTION("""COMPUTED_VALUE"""),487.86)</f>
        <v>487.86</v>
      </c>
      <c r="C3553" s="2">
        <f>IFERROR(__xludf.DUMMYFUNCTION("""COMPUTED_VALUE"""),491.67)</f>
        <v>491.67</v>
      </c>
      <c r="D3553" s="2">
        <f>IFERROR(__xludf.DUMMYFUNCTION("""COMPUTED_VALUE"""),486.37)</f>
        <v>486.37</v>
      </c>
      <c r="E3553" s="2">
        <f>IFERROR(__xludf.DUMMYFUNCTION("""COMPUTED_VALUE"""),489.1)</f>
        <v>489.1</v>
      </c>
      <c r="F3553" s="2">
        <f>IFERROR(__xludf.DUMMYFUNCTION("""COMPUTED_VALUE"""),4151928.0)</f>
        <v>4151928</v>
      </c>
    </row>
    <row r="3554">
      <c r="A3554" s="3">
        <f>IFERROR(__xludf.DUMMYFUNCTION("""COMPUTED_VALUE"""),42695.64583333333)</f>
        <v>42695.64583</v>
      </c>
      <c r="B3554" s="2">
        <f>IFERROR(__xludf.DUMMYFUNCTION("""COMPUTED_VALUE"""),489.12)</f>
        <v>489.12</v>
      </c>
      <c r="C3554" s="2">
        <f>IFERROR(__xludf.DUMMYFUNCTION("""COMPUTED_VALUE"""),492.09)</f>
        <v>492.09</v>
      </c>
      <c r="D3554" s="2">
        <f>IFERROR(__xludf.DUMMYFUNCTION("""COMPUTED_VALUE"""),486.97)</f>
        <v>486.97</v>
      </c>
      <c r="E3554" s="2">
        <f>IFERROR(__xludf.DUMMYFUNCTION("""COMPUTED_VALUE"""),491.08)</f>
        <v>491.08</v>
      </c>
      <c r="F3554" s="2">
        <f>IFERROR(__xludf.DUMMYFUNCTION("""COMPUTED_VALUE"""),3024712.0)</f>
        <v>3024712</v>
      </c>
    </row>
    <row r="3555">
      <c r="A3555" s="3">
        <f>IFERROR(__xludf.DUMMYFUNCTION("""COMPUTED_VALUE"""),42696.64583333333)</f>
        <v>42696.64583</v>
      </c>
      <c r="B3555" s="2">
        <f>IFERROR(__xludf.DUMMYFUNCTION("""COMPUTED_VALUE"""),494.15)</f>
        <v>494.15</v>
      </c>
      <c r="C3555" s="2">
        <f>IFERROR(__xludf.DUMMYFUNCTION("""COMPUTED_VALUE"""),499.15)</f>
        <v>499.15</v>
      </c>
      <c r="D3555" s="2">
        <f>IFERROR(__xludf.DUMMYFUNCTION("""COMPUTED_VALUE"""),491.97)</f>
        <v>491.97</v>
      </c>
      <c r="E3555" s="2">
        <f>IFERROR(__xludf.DUMMYFUNCTION("""COMPUTED_VALUE"""),496.01)</f>
        <v>496.01</v>
      </c>
      <c r="F3555" s="2">
        <f>IFERROR(__xludf.DUMMYFUNCTION("""COMPUTED_VALUE"""),4033660.0)</f>
        <v>4033660</v>
      </c>
    </row>
    <row r="3556">
      <c r="A3556" s="3">
        <f>IFERROR(__xludf.DUMMYFUNCTION("""COMPUTED_VALUE"""),42697.64583333333)</f>
        <v>42697.64583</v>
      </c>
      <c r="B3556" s="2">
        <f>IFERROR(__xludf.DUMMYFUNCTION("""COMPUTED_VALUE"""),497.76)</f>
        <v>497.76</v>
      </c>
      <c r="C3556" s="2">
        <f>IFERROR(__xludf.DUMMYFUNCTION("""COMPUTED_VALUE"""),500.49)</f>
        <v>500.49</v>
      </c>
      <c r="D3556" s="2">
        <f>IFERROR(__xludf.DUMMYFUNCTION("""COMPUTED_VALUE"""),495.06)</f>
        <v>495.06</v>
      </c>
      <c r="E3556" s="2">
        <f>IFERROR(__xludf.DUMMYFUNCTION("""COMPUTED_VALUE"""),499.74)</f>
        <v>499.74</v>
      </c>
      <c r="F3556" s="2">
        <f>IFERROR(__xludf.DUMMYFUNCTION("""COMPUTED_VALUE"""),2996248.0)</f>
        <v>2996248</v>
      </c>
    </row>
    <row r="3557">
      <c r="A3557" s="3">
        <f>IFERROR(__xludf.DUMMYFUNCTION("""COMPUTED_VALUE"""),42698.64583333333)</f>
        <v>42698.64583</v>
      </c>
      <c r="B3557" s="2">
        <f>IFERROR(__xludf.DUMMYFUNCTION("""COMPUTED_VALUE"""),498.04)</f>
        <v>498.04</v>
      </c>
      <c r="C3557" s="2">
        <f>IFERROR(__xludf.DUMMYFUNCTION("""COMPUTED_VALUE"""),498.04)</f>
        <v>498.04</v>
      </c>
      <c r="D3557" s="2">
        <f>IFERROR(__xludf.DUMMYFUNCTION("""COMPUTED_VALUE"""),486.47)</f>
        <v>486.47</v>
      </c>
      <c r="E3557" s="2">
        <f>IFERROR(__xludf.DUMMYFUNCTION("""COMPUTED_VALUE"""),489.02)</f>
        <v>489.02</v>
      </c>
      <c r="F3557" s="2">
        <f>IFERROR(__xludf.DUMMYFUNCTION("""COMPUTED_VALUE"""),4323375.0)</f>
        <v>4323375</v>
      </c>
    </row>
    <row r="3558">
      <c r="A3558" s="3">
        <f>IFERROR(__xludf.DUMMYFUNCTION("""COMPUTED_VALUE"""),42699.64583333333)</f>
        <v>42699.64583</v>
      </c>
      <c r="B3558" s="2">
        <f>IFERROR(__xludf.DUMMYFUNCTION("""COMPUTED_VALUE"""),490.33)</f>
        <v>490.33</v>
      </c>
      <c r="C3558" s="2">
        <f>IFERROR(__xludf.DUMMYFUNCTION("""COMPUTED_VALUE"""),493.26)</f>
        <v>493.26</v>
      </c>
      <c r="D3558" s="2">
        <f>IFERROR(__xludf.DUMMYFUNCTION("""COMPUTED_VALUE"""),487.54)</f>
        <v>487.54</v>
      </c>
      <c r="E3558" s="2">
        <f>IFERROR(__xludf.DUMMYFUNCTION("""COMPUTED_VALUE"""),492.17)</f>
        <v>492.17</v>
      </c>
      <c r="F3558" s="2">
        <f>IFERROR(__xludf.DUMMYFUNCTION("""COMPUTED_VALUE"""),2389829.0)</f>
        <v>2389829</v>
      </c>
    </row>
    <row r="3559">
      <c r="A3559" s="3">
        <f>IFERROR(__xludf.DUMMYFUNCTION("""COMPUTED_VALUE"""),42702.64583333333)</f>
        <v>42702.64583</v>
      </c>
      <c r="B3559" s="2">
        <f>IFERROR(__xludf.DUMMYFUNCTION("""COMPUTED_VALUE"""),491.82)</f>
        <v>491.82</v>
      </c>
      <c r="C3559" s="2">
        <f>IFERROR(__xludf.DUMMYFUNCTION("""COMPUTED_VALUE"""),495.58)</f>
        <v>495.58</v>
      </c>
      <c r="D3559" s="2">
        <f>IFERROR(__xludf.DUMMYFUNCTION("""COMPUTED_VALUE"""),487.41)</f>
        <v>487.41</v>
      </c>
      <c r="E3559" s="2">
        <f>IFERROR(__xludf.DUMMYFUNCTION("""COMPUTED_VALUE"""),488.67)</f>
        <v>488.67</v>
      </c>
      <c r="F3559" s="2">
        <f>IFERROR(__xludf.DUMMYFUNCTION("""COMPUTED_VALUE"""),1900161.0)</f>
        <v>1900161</v>
      </c>
    </row>
    <row r="3560">
      <c r="A3560" s="3">
        <f>IFERROR(__xludf.DUMMYFUNCTION("""COMPUTED_VALUE"""),42703.64583333333)</f>
        <v>42703.64583</v>
      </c>
      <c r="B3560" s="2">
        <f>IFERROR(__xludf.DUMMYFUNCTION("""COMPUTED_VALUE"""),489.84)</f>
        <v>489.84</v>
      </c>
      <c r="C3560" s="2">
        <f>IFERROR(__xludf.DUMMYFUNCTION("""COMPUTED_VALUE"""),497.42)</f>
        <v>497.42</v>
      </c>
      <c r="D3560" s="2">
        <f>IFERROR(__xludf.DUMMYFUNCTION("""COMPUTED_VALUE"""),489.37)</f>
        <v>489.37</v>
      </c>
      <c r="E3560" s="2">
        <f>IFERROR(__xludf.DUMMYFUNCTION("""COMPUTED_VALUE"""),494.15)</f>
        <v>494.15</v>
      </c>
      <c r="F3560" s="2">
        <f>IFERROR(__xludf.DUMMYFUNCTION("""COMPUTED_VALUE"""),2259609.0)</f>
        <v>2259609</v>
      </c>
    </row>
    <row r="3561">
      <c r="A3561" s="3">
        <f>IFERROR(__xludf.DUMMYFUNCTION("""COMPUTED_VALUE"""),42704.64583333333)</f>
        <v>42704.64583</v>
      </c>
      <c r="B3561" s="2">
        <f>IFERROR(__xludf.DUMMYFUNCTION("""COMPUTED_VALUE"""),495.26)</f>
        <v>495.26</v>
      </c>
      <c r="C3561" s="2">
        <f>IFERROR(__xludf.DUMMYFUNCTION("""COMPUTED_VALUE"""),495.26)</f>
        <v>495.26</v>
      </c>
      <c r="D3561" s="2">
        <f>IFERROR(__xludf.DUMMYFUNCTION("""COMPUTED_VALUE"""),488.67)</f>
        <v>488.67</v>
      </c>
      <c r="E3561" s="2">
        <f>IFERROR(__xludf.DUMMYFUNCTION("""COMPUTED_VALUE"""),490.36)</f>
        <v>490.36</v>
      </c>
      <c r="F3561" s="2">
        <f>IFERROR(__xludf.DUMMYFUNCTION("""COMPUTED_VALUE"""),6308004.0)</f>
        <v>6308004</v>
      </c>
    </row>
    <row r="3562">
      <c r="A3562" s="3">
        <f>IFERROR(__xludf.DUMMYFUNCTION("""COMPUTED_VALUE"""),42705.64583333333)</f>
        <v>42705.64583</v>
      </c>
      <c r="B3562" s="2">
        <f>IFERROR(__xludf.DUMMYFUNCTION("""COMPUTED_VALUE"""),495.29)</f>
        <v>495.29</v>
      </c>
      <c r="C3562" s="2">
        <f>IFERROR(__xludf.DUMMYFUNCTION("""COMPUTED_VALUE"""),502.72)</f>
        <v>502.72</v>
      </c>
      <c r="D3562" s="2">
        <f>IFERROR(__xludf.DUMMYFUNCTION("""COMPUTED_VALUE"""),492.81)</f>
        <v>492.81</v>
      </c>
      <c r="E3562" s="2">
        <f>IFERROR(__xludf.DUMMYFUNCTION("""COMPUTED_VALUE"""),494.17)</f>
        <v>494.17</v>
      </c>
      <c r="F3562" s="2">
        <f>IFERROR(__xludf.DUMMYFUNCTION("""COMPUTED_VALUE"""),2886513.0)</f>
        <v>2886513</v>
      </c>
    </row>
    <row r="3563">
      <c r="A3563" s="3">
        <f>IFERROR(__xludf.DUMMYFUNCTION("""COMPUTED_VALUE"""),42706.64583333333)</f>
        <v>42706.64583</v>
      </c>
      <c r="B3563" s="2">
        <f>IFERROR(__xludf.DUMMYFUNCTION("""COMPUTED_VALUE"""),493.26)</f>
        <v>493.26</v>
      </c>
      <c r="C3563" s="2">
        <f>IFERROR(__xludf.DUMMYFUNCTION("""COMPUTED_VALUE"""),497.76)</f>
        <v>497.76</v>
      </c>
      <c r="D3563" s="2">
        <f>IFERROR(__xludf.DUMMYFUNCTION("""COMPUTED_VALUE"""),491.23)</f>
        <v>491.23</v>
      </c>
      <c r="E3563" s="2">
        <f>IFERROR(__xludf.DUMMYFUNCTION("""COMPUTED_VALUE"""),492.69)</f>
        <v>492.69</v>
      </c>
      <c r="F3563" s="2">
        <f>IFERROR(__xludf.DUMMYFUNCTION("""COMPUTED_VALUE"""),2853045.0)</f>
        <v>2853045</v>
      </c>
    </row>
    <row r="3564">
      <c r="A3564" s="3">
        <f>IFERROR(__xludf.DUMMYFUNCTION("""COMPUTED_VALUE"""),42709.64583333333)</f>
        <v>42709.64583</v>
      </c>
      <c r="B3564" s="2">
        <f>IFERROR(__xludf.DUMMYFUNCTION("""COMPUTED_VALUE"""),492.81)</f>
        <v>492.81</v>
      </c>
      <c r="C3564" s="2">
        <f>IFERROR(__xludf.DUMMYFUNCTION("""COMPUTED_VALUE"""),495.14)</f>
        <v>495.14</v>
      </c>
      <c r="D3564" s="2">
        <f>IFERROR(__xludf.DUMMYFUNCTION("""COMPUTED_VALUE"""),488.6)</f>
        <v>488.6</v>
      </c>
      <c r="E3564" s="2">
        <f>IFERROR(__xludf.DUMMYFUNCTION("""COMPUTED_VALUE"""),492.24)</f>
        <v>492.24</v>
      </c>
      <c r="F3564" s="2">
        <f>IFERROR(__xludf.DUMMYFUNCTION("""COMPUTED_VALUE"""),911410.0)</f>
        <v>911410</v>
      </c>
    </row>
    <row r="3565">
      <c r="A3565" s="3">
        <f>IFERROR(__xludf.DUMMYFUNCTION("""COMPUTED_VALUE"""),42710.64583333333)</f>
        <v>42710.64583</v>
      </c>
      <c r="B3565" s="2">
        <f>IFERROR(__xludf.DUMMYFUNCTION("""COMPUTED_VALUE"""),493.31)</f>
        <v>493.31</v>
      </c>
      <c r="C3565" s="2">
        <f>IFERROR(__xludf.DUMMYFUNCTION("""COMPUTED_VALUE"""),498.53)</f>
        <v>498.53</v>
      </c>
      <c r="D3565" s="2">
        <f>IFERROR(__xludf.DUMMYFUNCTION("""COMPUTED_VALUE"""),492.61)</f>
        <v>492.61</v>
      </c>
      <c r="E3565" s="2">
        <f>IFERROR(__xludf.DUMMYFUNCTION("""COMPUTED_VALUE"""),497.86)</f>
        <v>497.86</v>
      </c>
      <c r="F3565" s="2">
        <f>IFERROR(__xludf.DUMMYFUNCTION("""COMPUTED_VALUE"""),1537535.0)</f>
        <v>1537535</v>
      </c>
    </row>
    <row r="3566">
      <c r="A3566" s="3">
        <f>IFERROR(__xludf.DUMMYFUNCTION("""COMPUTED_VALUE"""),42711.64583333333)</f>
        <v>42711.64583</v>
      </c>
      <c r="B3566" s="2">
        <f>IFERROR(__xludf.DUMMYFUNCTION("""COMPUTED_VALUE"""),497.27)</f>
        <v>497.27</v>
      </c>
      <c r="C3566" s="2">
        <f>IFERROR(__xludf.DUMMYFUNCTION("""COMPUTED_VALUE"""),499.05)</f>
        <v>499.05</v>
      </c>
      <c r="D3566" s="2">
        <f>IFERROR(__xludf.DUMMYFUNCTION("""COMPUTED_VALUE"""),493.48)</f>
        <v>493.48</v>
      </c>
      <c r="E3566" s="2">
        <f>IFERROR(__xludf.DUMMYFUNCTION("""COMPUTED_VALUE"""),494.87)</f>
        <v>494.87</v>
      </c>
      <c r="F3566" s="2">
        <f>IFERROR(__xludf.DUMMYFUNCTION("""COMPUTED_VALUE"""),1127113.0)</f>
        <v>1127113</v>
      </c>
    </row>
    <row r="3567">
      <c r="A3567" s="3">
        <f>IFERROR(__xludf.DUMMYFUNCTION("""COMPUTED_VALUE"""),42712.64583333333)</f>
        <v>42712.64583</v>
      </c>
      <c r="B3567" s="2">
        <f>IFERROR(__xludf.DUMMYFUNCTION("""COMPUTED_VALUE"""),497.79)</f>
        <v>497.79</v>
      </c>
      <c r="C3567" s="2">
        <f>IFERROR(__xludf.DUMMYFUNCTION("""COMPUTED_VALUE"""),506.08)</f>
        <v>506.08</v>
      </c>
      <c r="D3567" s="2">
        <f>IFERROR(__xludf.DUMMYFUNCTION("""COMPUTED_VALUE"""),497.44)</f>
        <v>497.44</v>
      </c>
      <c r="E3567" s="2">
        <f>IFERROR(__xludf.DUMMYFUNCTION("""COMPUTED_VALUE"""),505.22)</f>
        <v>505.22</v>
      </c>
      <c r="F3567" s="2">
        <f>IFERROR(__xludf.DUMMYFUNCTION("""COMPUTED_VALUE"""),2000230.0)</f>
        <v>2000230</v>
      </c>
    </row>
    <row r="3568">
      <c r="A3568" s="3">
        <f>IFERROR(__xludf.DUMMYFUNCTION("""COMPUTED_VALUE"""),42713.64583333333)</f>
        <v>42713.64583</v>
      </c>
      <c r="B3568" s="2">
        <f>IFERROR(__xludf.DUMMYFUNCTION("""COMPUTED_VALUE"""),506.18)</f>
        <v>506.18</v>
      </c>
      <c r="C3568" s="2">
        <f>IFERROR(__xludf.DUMMYFUNCTION("""COMPUTED_VALUE"""),511.06)</f>
        <v>511.06</v>
      </c>
      <c r="D3568" s="2">
        <f>IFERROR(__xludf.DUMMYFUNCTION("""COMPUTED_VALUE"""),505.34)</f>
        <v>505.34</v>
      </c>
      <c r="E3568" s="2">
        <f>IFERROR(__xludf.DUMMYFUNCTION("""COMPUTED_VALUE"""),509.63)</f>
        <v>509.63</v>
      </c>
      <c r="F3568" s="2">
        <f>IFERROR(__xludf.DUMMYFUNCTION("""COMPUTED_VALUE"""),1883333.0)</f>
        <v>1883333</v>
      </c>
    </row>
    <row r="3569">
      <c r="A3569" s="3">
        <f>IFERROR(__xludf.DUMMYFUNCTION("""COMPUTED_VALUE"""),42716.64583333333)</f>
        <v>42716.64583</v>
      </c>
      <c r="B3569" s="2">
        <f>IFERROR(__xludf.DUMMYFUNCTION("""COMPUTED_VALUE"""),505.44)</f>
        <v>505.44</v>
      </c>
      <c r="C3569" s="2">
        <f>IFERROR(__xludf.DUMMYFUNCTION("""COMPUTED_VALUE"""),515.94)</f>
        <v>515.94</v>
      </c>
      <c r="D3569" s="2">
        <f>IFERROR(__xludf.DUMMYFUNCTION("""COMPUTED_VALUE"""),505.44)</f>
        <v>505.44</v>
      </c>
      <c r="E3569" s="2">
        <f>IFERROR(__xludf.DUMMYFUNCTION("""COMPUTED_VALUE"""),508.76)</f>
        <v>508.76</v>
      </c>
      <c r="F3569" s="2">
        <f>IFERROR(__xludf.DUMMYFUNCTION("""COMPUTED_VALUE"""),2062700.0)</f>
        <v>2062700</v>
      </c>
    </row>
    <row r="3570">
      <c r="A3570" s="3">
        <f>IFERROR(__xludf.DUMMYFUNCTION("""COMPUTED_VALUE"""),42717.64583333333)</f>
        <v>42717.64583</v>
      </c>
      <c r="B3570" s="2">
        <f>IFERROR(__xludf.DUMMYFUNCTION("""COMPUTED_VALUE"""),509.15)</f>
        <v>509.15</v>
      </c>
      <c r="C3570" s="2">
        <f>IFERROR(__xludf.DUMMYFUNCTION("""COMPUTED_VALUE"""),515.59)</f>
        <v>515.59</v>
      </c>
      <c r="D3570" s="2">
        <f>IFERROR(__xludf.DUMMYFUNCTION("""COMPUTED_VALUE"""),508.93)</f>
        <v>508.93</v>
      </c>
      <c r="E3570" s="2">
        <f>IFERROR(__xludf.DUMMYFUNCTION("""COMPUTED_VALUE"""),515.0)</f>
        <v>515</v>
      </c>
      <c r="F3570" s="2">
        <f>IFERROR(__xludf.DUMMYFUNCTION("""COMPUTED_VALUE"""),2369453.0)</f>
        <v>2369453</v>
      </c>
    </row>
    <row r="3571">
      <c r="A3571" s="3">
        <f>IFERROR(__xludf.DUMMYFUNCTION("""COMPUTED_VALUE"""),42718.64583333333)</f>
        <v>42718.64583</v>
      </c>
      <c r="B3571" s="2">
        <f>IFERROR(__xludf.DUMMYFUNCTION("""COMPUTED_VALUE"""),515.0)</f>
        <v>515</v>
      </c>
      <c r="C3571" s="2">
        <f>IFERROR(__xludf.DUMMYFUNCTION("""COMPUTED_VALUE"""),527.21)</f>
        <v>527.21</v>
      </c>
      <c r="D3571" s="2">
        <f>IFERROR(__xludf.DUMMYFUNCTION("""COMPUTED_VALUE"""),514.21)</f>
        <v>514.21</v>
      </c>
      <c r="E3571" s="2">
        <f>IFERROR(__xludf.DUMMYFUNCTION("""COMPUTED_VALUE"""),524.76)</f>
        <v>524.76</v>
      </c>
      <c r="F3571" s="2">
        <f>IFERROR(__xludf.DUMMYFUNCTION("""COMPUTED_VALUE"""),5517829.0)</f>
        <v>5517829</v>
      </c>
    </row>
    <row r="3572">
      <c r="A3572" s="3">
        <f>IFERROR(__xludf.DUMMYFUNCTION("""COMPUTED_VALUE"""),42719.64583333333)</f>
        <v>42719.64583</v>
      </c>
      <c r="B3572" s="2">
        <f>IFERROR(__xludf.DUMMYFUNCTION("""COMPUTED_VALUE"""),521.24)</f>
        <v>521.24</v>
      </c>
      <c r="C3572" s="2">
        <f>IFERROR(__xludf.DUMMYFUNCTION("""COMPUTED_VALUE"""),528.77)</f>
        <v>528.77</v>
      </c>
      <c r="D3572" s="2">
        <f>IFERROR(__xludf.DUMMYFUNCTION("""COMPUTED_VALUE"""),519.38)</f>
        <v>519.38</v>
      </c>
      <c r="E3572" s="2">
        <f>IFERROR(__xludf.DUMMYFUNCTION("""COMPUTED_VALUE"""),521.51)</f>
        <v>521.51</v>
      </c>
      <c r="F3572" s="2">
        <f>IFERROR(__xludf.DUMMYFUNCTION("""COMPUTED_VALUE"""),4418967.0)</f>
        <v>4418967</v>
      </c>
    </row>
    <row r="3573">
      <c r="A3573" s="3">
        <f>IFERROR(__xludf.DUMMYFUNCTION("""COMPUTED_VALUE"""),42720.64583333333)</f>
        <v>42720.64583</v>
      </c>
      <c r="B3573" s="2">
        <f>IFERROR(__xludf.DUMMYFUNCTION("""COMPUTED_VALUE"""),521.04)</f>
        <v>521.04</v>
      </c>
      <c r="C3573" s="2">
        <f>IFERROR(__xludf.DUMMYFUNCTION("""COMPUTED_VALUE"""),525.99)</f>
        <v>525.99</v>
      </c>
      <c r="D3573" s="2">
        <f>IFERROR(__xludf.DUMMYFUNCTION("""COMPUTED_VALUE"""),521.04)</f>
        <v>521.04</v>
      </c>
      <c r="E3573" s="2">
        <f>IFERROR(__xludf.DUMMYFUNCTION("""COMPUTED_VALUE"""),523.59)</f>
        <v>523.59</v>
      </c>
      <c r="F3573" s="2">
        <f>IFERROR(__xludf.DUMMYFUNCTION("""COMPUTED_VALUE"""),3415537.0)</f>
        <v>3415537</v>
      </c>
    </row>
    <row r="3574">
      <c r="A3574" s="3">
        <f>IFERROR(__xludf.DUMMYFUNCTION("""COMPUTED_VALUE"""),42723.64583333333)</f>
        <v>42723.64583</v>
      </c>
      <c r="B3574" s="2">
        <f>IFERROR(__xludf.DUMMYFUNCTION("""COMPUTED_VALUE"""),522.53)</f>
        <v>522.53</v>
      </c>
      <c r="C3574" s="2">
        <f>IFERROR(__xludf.DUMMYFUNCTION("""COMPUTED_VALUE"""),528.45)</f>
        <v>528.45</v>
      </c>
      <c r="D3574" s="2">
        <f>IFERROR(__xludf.DUMMYFUNCTION("""COMPUTED_VALUE"""),522.21)</f>
        <v>522.21</v>
      </c>
      <c r="E3574" s="2">
        <f>IFERROR(__xludf.DUMMYFUNCTION("""COMPUTED_VALUE"""),526.27)</f>
        <v>526.27</v>
      </c>
      <c r="F3574" s="2">
        <f>IFERROR(__xludf.DUMMYFUNCTION("""COMPUTED_VALUE"""),3430950.0)</f>
        <v>3430950</v>
      </c>
    </row>
    <row r="3575">
      <c r="A3575" s="3">
        <f>IFERROR(__xludf.DUMMYFUNCTION("""COMPUTED_VALUE"""),42724.64583333333)</f>
        <v>42724.64583</v>
      </c>
      <c r="B3575" s="2">
        <f>IFERROR(__xludf.DUMMYFUNCTION("""COMPUTED_VALUE"""),522.38)</f>
        <v>522.38</v>
      </c>
      <c r="C3575" s="2">
        <f>IFERROR(__xludf.DUMMYFUNCTION("""COMPUTED_VALUE"""),525.5)</f>
        <v>525.5</v>
      </c>
      <c r="D3575" s="2">
        <f>IFERROR(__xludf.DUMMYFUNCTION("""COMPUTED_VALUE"""),521.61)</f>
        <v>521.61</v>
      </c>
      <c r="E3575" s="2">
        <f>IFERROR(__xludf.DUMMYFUNCTION("""COMPUTED_VALUE"""),523.96)</f>
        <v>523.96</v>
      </c>
      <c r="F3575" s="2">
        <f>IFERROR(__xludf.DUMMYFUNCTION("""COMPUTED_VALUE"""),2671719.0)</f>
        <v>2671719</v>
      </c>
    </row>
    <row r="3576">
      <c r="A3576" s="3">
        <f>IFERROR(__xludf.DUMMYFUNCTION("""COMPUTED_VALUE"""),42725.64583333333)</f>
        <v>42725.64583</v>
      </c>
      <c r="B3576" s="2">
        <f>IFERROR(__xludf.DUMMYFUNCTION("""COMPUTED_VALUE"""),525.05)</f>
        <v>525.05</v>
      </c>
      <c r="C3576" s="2">
        <f>IFERROR(__xludf.DUMMYFUNCTION("""COMPUTED_VALUE"""),528.62)</f>
        <v>528.62</v>
      </c>
      <c r="D3576" s="2">
        <f>IFERROR(__xludf.DUMMYFUNCTION("""COMPUTED_VALUE"""),523.62)</f>
        <v>523.62</v>
      </c>
      <c r="E3576" s="2">
        <f>IFERROR(__xludf.DUMMYFUNCTION("""COMPUTED_VALUE"""),526.61)</f>
        <v>526.61</v>
      </c>
      <c r="F3576" s="2">
        <f>IFERROR(__xludf.DUMMYFUNCTION("""COMPUTED_VALUE"""),4655758.0)</f>
        <v>4655758</v>
      </c>
    </row>
    <row r="3577">
      <c r="A3577" s="3">
        <f>IFERROR(__xludf.DUMMYFUNCTION("""COMPUTED_VALUE"""),42726.64583333333)</f>
        <v>42726.64583</v>
      </c>
      <c r="B3577" s="2">
        <f>IFERROR(__xludf.DUMMYFUNCTION("""COMPUTED_VALUE"""),524.01)</f>
        <v>524.01</v>
      </c>
      <c r="C3577" s="2">
        <f>IFERROR(__xludf.DUMMYFUNCTION("""COMPUTED_VALUE"""),526.32)</f>
        <v>526.32</v>
      </c>
      <c r="D3577" s="2">
        <f>IFERROR(__xludf.DUMMYFUNCTION("""COMPUTED_VALUE"""),520.52)</f>
        <v>520.52</v>
      </c>
      <c r="E3577" s="2">
        <f>IFERROR(__xludf.DUMMYFUNCTION("""COMPUTED_VALUE"""),521.71)</f>
        <v>521.71</v>
      </c>
      <c r="F3577" s="2">
        <f>IFERROR(__xludf.DUMMYFUNCTION("""COMPUTED_VALUE"""),6604416.0)</f>
        <v>6604416</v>
      </c>
    </row>
    <row r="3578">
      <c r="A3578" s="3">
        <f>IFERROR(__xludf.DUMMYFUNCTION("""COMPUTED_VALUE"""),42727.64583333333)</f>
        <v>42727.64583</v>
      </c>
      <c r="B3578" s="2">
        <f>IFERROR(__xludf.DUMMYFUNCTION("""COMPUTED_VALUE"""),521.04)</f>
        <v>521.04</v>
      </c>
      <c r="C3578" s="2">
        <f>IFERROR(__xludf.DUMMYFUNCTION("""COMPUTED_VALUE"""),529.44)</f>
        <v>529.44</v>
      </c>
      <c r="D3578" s="2">
        <f>IFERROR(__xludf.DUMMYFUNCTION("""COMPUTED_VALUE"""),521.04)</f>
        <v>521.04</v>
      </c>
      <c r="E3578" s="2">
        <f>IFERROR(__xludf.DUMMYFUNCTION("""COMPUTED_VALUE"""),523.67)</f>
        <v>523.67</v>
      </c>
      <c r="F3578" s="2">
        <f>IFERROR(__xludf.DUMMYFUNCTION("""COMPUTED_VALUE"""),2346414.0)</f>
        <v>2346414</v>
      </c>
    </row>
    <row r="3579">
      <c r="A3579" s="3">
        <f>IFERROR(__xludf.DUMMYFUNCTION("""COMPUTED_VALUE"""),42730.64583333333)</f>
        <v>42730.64583</v>
      </c>
      <c r="B3579" s="2">
        <f>IFERROR(__xludf.DUMMYFUNCTION("""COMPUTED_VALUE"""),522.21)</f>
        <v>522.21</v>
      </c>
      <c r="C3579" s="2">
        <f>IFERROR(__xludf.DUMMYFUNCTION("""COMPUTED_VALUE"""),527.98)</f>
        <v>527.98</v>
      </c>
      <c r="D3579" s="2">
        <f>IFERROR(__xludf.DUMMYFUNCTION("""COMPUTED_VALUE"""),517.4)</f>
        <v>517.4</v>
      </c>
      <c r="E3579" s="2">
        <f>IFERROR(__xludf.DUMMYFUNCTION("""COMPUTED_VALUE"""),518.79)</f>
        <v>518.79</v>
      </c>
      <c r="F3579" s="2">
        <f>IFERROR(__xludf.DUMMYFUNCTION("""COMPUTED_VALUE"""),3502299.0)</f>
        <v>3502299</v>
      </c>
    </row>
    <row r="3580">
      <c r="A3580" s="3">
        <f>IFERROR(__xludf.DUMMYFUNCTION("""COMPUTED_VALUE"""),42731.64583333333)</f>
        <v>42731.64583</v>
      </c>
      <c r="B3580" s="2">
        <f>IFERROR(__xludf.DUMMYFUNCTION("""COMPUTED_VALUE"""),518.99)</f>
        <v>518.99</v>
      </c>
      <c r="C3580" s="2">
        <f>IFERROR(__xludf.DUMMYFUNCTION("""COMPUTED_VALUE"""),528.52)</f>
        <v>528.52</v>
      </c>
      <c r="D3580" s="2">
        <f>IFERROR(__xludf.DUMMYFUNCTION("""COMPUTED_VALUE"""),518.57)</f>
        <v>518.57</v>
      </c>
      <c r="E3580" s="2">
        <f>IFERROR(__xludf.DUMMYFUNCTION("""COMPUTED_VALUE"""),527.33)</f>
        <v>527.33</v>
      </c>
      <c r="F3580" s="2">
        <f>IFERROR(__xludf.DUMMYFUNCTION("""COMPUTED_VALUE"""),3987142.0)</f>
        <v>3987142</v>
      </c>
    </row>
    <row r="3581">
      <c r="A3581" s="3">
        <f>IFERROR(__xludf.DUMMYFUNCTION("""COMPUTED_VALUE"""),42732.64583333333)</f>
        <v>42732.64583</v>
      </c>
      <c r="B3581" s="2">
        <f>IFERROR(__xludf.DUMMYFUNCTION("""COMPUTED_VALUE"""),528.92)</f>
        <v>528.92</v>
      </c>
      <c r="C3581" s="2">
        <f>IFERROR(__xludf.DUMMYFUNCTION("""COMPUTED_VALUE"""),529.73)</f>
        <v>529.73</v>
      </c>
      <c r="D3581" s="2">
        <f>IFERROR(__xludf.DUMMYFUNCTION("""COMPUTED_VALUE"""),518.61)</f>
        <v>518.61</v>
      </c>
      <c r="E3581" s="2">
        <f>IFERROR(__xludf.DUMMYFUNCTION("""COMPUTED_VALUE"""),519.9)</f>
        <v>519.9</v>
      </c>
      <c r="F3581" s="2">
        <f>IFERROR(__xludf.DUMMYFUNCTION("""COMPUTED_VALUE"""),2202927.0)</f>
        <v>2202927</v>
      </c>
    </row>
    <row r="3582">
      <c r="A3582" s="3">
        <f>IFERROR(__xludf.DUMMYFUNCTION("""COMPUTED_VALUE"""),42733.64583333333)</f>
        <v>42733.64583</v>
      </c>
      <c r="B3582" s="2">
        <f>IFERROR(__xludf.DUMMYFUNCTION("""COMPUTED_VALUE"""),520.05)</f>
        <v>520.05</v>
      </c>
      <c r="C3582" s="2">
        <f>IFERROR(__xludf.DUMMYFUNCTION("""COMPUTED_VALUE"""),529.36)</f>
        <v>529.36</v>
      </c>
      <c r="D3582" s="2">
        <f>IFERROR(__xludf.DUMMYFUNCTION("""COMPUTED_VALUE"""),519.8)</f>
        <v>519.8</v>
      </c>
      <c r="E3582" s="2">
        <f>IFERROR(__xludf.DUMMYFUNCTION("""COMPUTED_VALUE"""),527.7)</f>
        <v>527.7</v>
      </c>
      <c r="F3582" s="2">
        <f>IFERROR(__xludf.DUMMYFUNCTION("""COMPUTED_VALUE"""),2005206.0)</f>
        <v>2005206</v>
      </c>
    </row>
    <row r="3583">
      <c r="A3583" s="3">
        <f>IFERROR(__xludf.DUMMYFUNCTION("""COMPUTED_VALUE"""),42734.64583333333)</f>
        <v>42734.64583</v>
      </c>
      <c r="B3583" s="2">
        <f>IFERROR(__xludf.DUMMYFUNCTION("""COMPUTED_VALUE"""),527.38)</f>
        <v>527.38</v>
      </c>
      <c r="C3583" s="2">
        <f>IFERROR(__xludf.DUMMYFUNCTION("""COMPUTED_VALUE"""),537.39)</f>
        <v>537.39</v>
      </c>
      <c r="D3583" s="2">
        <f>IFERROR(__xludf.DUMMYFUNCTION("""COMPUTED_VALUE"""),526.54)</f>
        <v>526.54</v>
      </c>
      <c r="E3583" s="2">
        <f>IFERROR(__xludf.DUMMYFUNCTION("""COMPUTED_VALUE"""),536.1)</f>
        <v>536.1</v>
      </c>
      <c r="F3583" s="2">
        <f>IFERROR(__xludf.DUMMYFUNCTION("""COMPUTED_VALUE"""),3591493.0)</f>
        <v>3591493</v>
      </c>
    </row>
    <row r="3584">
      <c r="A3584" s="3">
        <f>IFERROR(__xludf.DUMMYFUNCTION("""COMPUTED_VALUE"""),42737.64583333333)</f>
        <v>42737.64583</v>
      </c>
      <c r="B3584" s="2">
        <f>IFERROR(__xludf.DUMMYFUNCTION("""COMPUTED_VALUE"""),536.89)</f>
        <v>536.89</v>
      </c>
      <c r="C3584" s="2">
        <f>IFERROR(__xludf.DUMMYFUNCTION("""COMPUTED_VALUE"""),539.86)</f>
        <v>539.86</v>
      </c>
      <c r="D3584" s="2">
        <f>IFERROR(__xludf.DUMMYFUNCTION("""COMPUTED_VALUE"""),531.12)</f>
        <v>531.12</v>
      </c>
      <c r="E3584" s="2">
        <f>IFERROR(__xludf.DUMMYFUNCTION("""COMPUTED_VALUE"""),537.44)</f>
        <v>537.44</v>
      </c>
      <c r="F3584" s="2">
        <f>IFERROR(__xludf.DUMMYFUNCTION("""COMPUTED_VALUE"""),1622458.0)</f>
        <v>1622458</v>
      </c>
    </row>
    <row r="3585">
      <c r="A3585" s="3">
        <f>IFERROR(__xludf.DUMMYFUNCTION("""COMPUTED_VALUE"""),42738.64583333333)</f>
        <v>42738.64583</v>
      </c>
      <c r="B3585" s="2">
        <f>IFERROR(__xludf.DUMMYFUNCTION("""COMPUTED_VALUE"""),539.79)</f>
        <v>539.79</v>
      </c>
      <c r="C3585" s="2">
        <f>IFERROR(__xludf.DUMMYFUNCTION("""COMPUTED_VALUE"""),543.33)</f>
        <v>543.33</v>
      </c>
      <c r="D3585" s="2">
        <f>IFERROR(__xludf.DUMMYFUNCTION("""COMPUTED_VALUE"""),535.45)</f>
        <v>535.45</v>
      </c>
      <c r="E3585" s="2">
        <f>IFERROR(__xludf.DUMMYFUNCTION("""COMPUTED_VALUE"""),539.57)</f>
        <v>539.57</v>
      </c>
      <c r="F3585" s="2">
        <f>IFERROR(__xludf.DUMMYFUNCTION("""COMPUTED_VALUE"""),1470751.0)</f>
        <v>1470751</v>
      </c>
    </row>
    <row r="3586">
      <c r="A3586" s="3">
        <f>IFERROR(__xludf.DUMMYFUNCTION("""COMPUTED_VALUE"""),42739.64583333333)</f>
        <v>42739.64583</v>
      </c>
      <c r="B3586" s="2">
        <f>IFERROR(__xludf.DUMMYFUNCTION("""COMPUTED_VALUE"""),541.3)</f>
        <v>541.3</v>
      </c>
      <c r="C3586" s="2">
        <f>IFERROR(__xludf.DUMMYFUNCTION("""COMPUTED_VALUE"""),541.35)</f>
        <v>541.35</v>
      </c>
      <c r="D3586" s="2">
        <f>IFERROR(__xludf.DUMMYFUNCTION("""COMPUTED_VALUE"""),527.13)</f>
        <v>527.13</v>
      </c>
      <c r="E3586" s="2">
        <f>IFERROR(__xludf.DUMMYFUNCTION("""COMPUTED_VALUE"""),528.55)</f>
        <v>528.55</v>
      </c>
      <c r="F3586" s="2">
        <f>IFERROR(__xludf.DUMMYFUNCTION("""COMPUTED_VALUE"""),2375547.0)</f>
        <v>2375547</v>
      </c>
    </row>
    <row r="3587">
      <c r="A3587" s="3">
        <f>IFERROR(__xludf.DUMMYFUNCTION("""COMPUTED_VALUE"""),42740.64583333333)</f>
        <v>42740.64583</v>
      </c>
      <c r="B3587" s="2">
        <f>IFERROR(__xludf.DUMMYFUNCTION("""COMPUTED_VALUE"""),530.45)</f>
        <v>530.45</v>
      </c>
      <c r="C3587" s="2">
        <f>IFERROR(__xludf.DUMMYFUNCTION("""COMPUTED_VALUE"""),534.86)</f>
        <v>534.86</v>
      </c>
      <c r="D3587" s="2">
        <f>IFERROR(__xludf.DUMMYFUNCTION("""COMPUTED_VALUE"""),529.34)</f>
        <v>529.34</v>
      </c>
      <c r="E3587" s="2">
        <f>IFERROR(__xludf.DUMMYFUNCTION("""COMPUTED_VALUE"""),533.62)</f>
        <v>533.62</v>
      </c>
      <c r="F3587" s="2">
        <f>IFERROR(__xludf.DUMMYFUNCTION("""COMPUTED_VALUE"""),1996483.0)</f>
        <v>1996483</v>
      </c>
    </row>
    <row r="3588">
      <c r="A3588" s="3">
        <f>IFERROR(__xludf.DUMMYFUNCTION("""COMPUTED_VALUE"""),42741.64583333333)</f>
        <v>42741.64583</v>
      </c>
      <c r="B3588" s="2">
        <f>IFERROR(__xludf.DUMMYFUNCTION("""COMPUTED_VALUE"""),532.04)</f>
        <v>532.04</v>
      </c>
      <c r="C3588" s="2">
        <f>IFERROR(__xludf.DUMMYFUNCTION("""COMPUTED_VALUE"""),537.39)</f>
        <v>537.39</v>
      </c>
      <c r="D3588" s="2">
        <f>IFERROR(__xludf.DUMMYFUNCTION("""COMPUTED_VALUE"""),531.49)</f>
        <v>531.49</v>
      </c>
      <c r="E3588" s="2">
        <f>IFERROR(__xludf.DUMMYFUNCTION("""COMPUTED_VALUE"""),532.41)</f>
        <v>532.41</v>
      </c>
      <c r="F3588" s="2">
        <f>IFERROR(__xludf.DUMMYFUNCTION("""COMPUTED_VALUE"""),1793427.0)</f>
        <v>1793427</v>
      </c>
    </row>
    <row r="3589">
      <c r="A3589" s="3">
        <f>IFERROR(__xludf.DUMMYFUNCTION("""COMPUTED_VALUE"""),42744.64583333333)</f>
        <v>42744.64583</v>
      </c>
      <c r="B3589" s="2">
        <f>IFERROR(__xludf.DUMMYFUNCTION("""COMPUTED_VALUE"""),533.42)</f>
        <v>533.42</v>
      </c>
      <c r="C3589" s="2">
        <f>IFERROR(__xludf.DUMMYFUNCTION("""COMPUTED_VALUE"""),537.88)</f>
        <v>537.88</v>
      </c>
      <c r="D3589" s="2">
        <f>IFERROR(__xludf.DUMMYFUNCTION("""COMPUTED_VALUE"""),530.45)</f>
        <v>530.45</v>
      </c>
      <c r="E3589" s="2">
        <f>IFERROR(__xludf.DUMMYFUNCTION("""COMPUTED_VALUE"""),533.77)</f>
        <v>533.77</v>
      </c>
      <c r="F3589" s="2">
        <f>IFERROR(__xludf.DUMMYFUNCTION("""COMPUTED_VALUE"""),1195257.0)</f>
        <v>1195257</v>
      </c>
    </row>
    <row r="3590">
      <c r="A3590" s="3">
        <f>IFERROR(__xludf.DUMMYFUNCTION("""COMPUTED_VALUE"""),42745.64583333333)</f>
        <v>42745.64583</v>
      </c>
      <c r="B3590" s="2">
        <f>IFERROR(__xludf.DUMMYFUNCTION("""COMPUTED_VALUE"""),534.91)</f>
        <v>534.91</v>
      </c>
      <c r="C3590" s="2">
        <f>IFERROR(__xludf.DUMMYFUNCTION("""COMPUTED_VALUE"""),542.04)</f>
        <v>542.04</v>
      </c>
      <c r="D3590" s="2">
        <f>IFERROR(__xludf.DUMMYFUNCTION("""COMPUTED_VALUE"""),534.91)</f>
        <v>534.91</v>
      </c>
      <c r="E3590" s="2">
        <f>IFERROR(__xludf.DUMMYFUNCTION("""COMPUTED_VALUE"""),539.79)</f>
        <v>539.79</v>
      </c>
      <c r="F3590" s="2">
        <f>IFERROR(__xludf.DUMMYFUNCTION("""COMPUTED_VALUE"""),2594400.0)</f>
        <v>2594400</v>
      </c>
    </row>
    <row r="3591">
      <c r="A3591" s="3">
        <f>IFERROR(__xludf.DUMMYFUNCTION("""COMPUTED_VALUE"""),42746.64583333333)</f>
        <v>42746.64583</v>
      </c>
      <c r="B3591" s="2">
        <f>IFERROR(__xludf.DUMMYFUNCTION("""COMPUTED_VALUE"""),542.34)</f>
        <v>542.34</v>
      </c>
      <c r="C3591" s="2">
        <f>IFERROR(__xludf.DUMMYFUNCTION("""COMPUTED_VALUE"""),542.69)</f>
        <v>542.69</v>
      </c>
      <c r="D3591" s="2">
        <f>IFERROR(__xludf.DUMMYFUNCTION("""COMPUTED_VALUE"""),536.89)</f>
        <v>536.89</v>
      </c>
      <c r="E3591" s="2">
        <f>IFERROR(__xludf.DUMMYFUNCTION("""COMPUTED_VALUE"""),537.29)</f>
        <v>537.29</v>
      </c>
      <c r="F3591" s="2">
        <f>IFERROR(__xludf.DUMMYFUNCTION("""COMPUTED_VALUE"""),2623211.0)</f>
        <v>2623211</v>
      </c>
    </row>
    <row r="3592">
      <c r="A3592" s="3">
        <f>IFERROR(__xludf.DUMMYFUNCTION("""COMPUTED_VALUE"""),42747.64583333333)</f>
        <v>42747.64583</v>
      </c>
      <c r="B3592" s="2">
        <f>IFERROR(__xludf.DUMMYFUNCTION("""COMPUTED_VALUE"""),538.38)</f>
        <v>538.38</v>
      </c>
      <c r="C3592" s="2">
        <f>IFERROR(__xludf.DUMMYFUNCTION("""COMPUTED_VALUE"""),540.04)</f>
        <v>540.04</v>
      </c>
      <c r="D3592" s="2">
        <f>IFERROR(__xludf.DUMMYFUNCTION("""COMPUTED_VALUE"""),534.81)</f>
        <v>534.81</v>
      </c>
      <c r="E3592" s="2">
        <f>IFERROR(__xludf.DUMMYFUNCTION("""COMPUTED_VALUE"""),536.54)</f>
        <v>536.54</v>
      </c>
      <c r="F3592" s="2">
        <f>IFERROR(__xludf.DUMMYFUNCTION("""COMPUTED_VALUE"""),999364.0)</f>
        <v>999364</v>
      </c>
    </row>
    <row r="3593">
      <c r="A3593" s="3">
        <f>IFERROR(__xludf.DUMMYFUNCTION("""COMPUTED_VALUE"""),42748.64583333333)</f>
        <v>42748.64583</v>
      </c>
      <c r="B3593" s="2">
        <f>IFERROR(__xludf.DUMMYFUNCTION("""COMPUTED_VALUE"""),537.16)</f>
        <v>537.16</v>
      </c>
      <c r="C3593" s="2">
        <f>IFERROR(__xludf.DUMMYFUNCTION("""COMPUTED_VALUE"""),543.58)</f>
        <v>543.58</v>
      </c>
      <c r="D3593" s="2">
        <f>IFERROR(__xludf.DUMMYFUNCTION("""COMPUTED_VALUE"""),537.16)</f>
        <v>537.16</v>
      </c>
      <c r="E3593" s="2">
        <f>IFERROR(__xludf.DUMMYFUNCTION("""COMPUTED_VALUE"""),540.06)</f>
        <v>540.06</v>
      </c>
      <c r="F3593" s="2">
        <f>IFERROR(__xludf.DUMMYFUNCTION("""COMPUTED_VALUE"""),1653669.0)</f>
        <v>1653669</v>
      </c>
    </row>
    <row r="3594">
      <c r="A3594" s="3">
        <f>IFERROR(__xludf.DUMMYFUNCTION("""COMPUTED_VALUE"""),42751.64583333333)</f>
        <v>42751.64583</v>
      </c>
      <c r="B3594" s="2">
        <f>IFERROR(__xludf.DUMMYFUNCTION("""COMPUTED_VALUE"""),539.84)</f>
        <v>539.84</v>
      </c>
      <c r="C3594" s="2">
        <f>IFERROR(__xludf.DUMMYFUNCTION("""COMPUTED_VALUE"""),541.82)</f>
        <v>541.82</v>
      </c>
      <c r="D3594" s="2">
        <f>IFERROR(__xludf.DUMMYFUNCTION("""COMPUTED_VALUE"""),531.91)</f>
        <v>531.91</v>
      </c>
      <c r="E3594" s="2">
        <f>IFERROR(__xludf.DUMMYFUNCTION("""COMPUTED_VALUE"""),533.05)</f>
        <v>533.05</v>
      </c>
      <c r="F3594" s="2">
        <f>IFERROR(__xludf.DUMMYFUNCTION("""COMPUTED_VALUE"""),2746005.0)</f>
        <v>2746005</v>
      </c>
    </row>
    <row r="3595">
      <c r="A3595" s="3">
        <f>IFERROR(__xludf.DUMMYFUNCTION("""COMPUTED_VALUE"""),42752.64583333333)</f>
        <v>42752.64583</v>
      </c>
      <c r="B3595" s="2">
        <f>IFERROR(__xludf.DUMMYFUNCTION("""COMPUTED_VALUE"""),527.48)</f>
        <v>527.48</v>
      </c>
      <c r="C3595" s="2">
        <f>IFERROR(__xludf.DUMMYFUNCTION("""COMPUTED_VALUE"""),528.97)</f>
        <v>528.97</v>
      </c>
      <c r="D3595" s="2">
        <f>IFERROR(__xludf.DUMMYFUNCTION("""COMPUTED_VALUE"""),514.36)</f>
        <v>514.36</v>
      </c>
      <c r="E3595" s="2">
        <f>IFERROR(__xludf.DUMMYFUNCTION("""COMPUTED_VALUE"""),515.72)</f>
        <v>515.72</v>
      </c>
      <c r="F3595" s="2">
        <f>IFERROR(__xludf.DUMMYFUNCTION("""COMPUTED_VALUE"""),8968290.0)</f>
        <v>8968290</v>
      </c>
    </row>
    <row r="3596">
      <c r="A3596" s="3">
        <f>IFERROR(__xludf.DUMMYFUNCTION("""COMPUTED_VALUE"""),42753.64583333333)</f>
        <v>42753.64583</v>
      </c>
      <c r="B3596" s="2">
        <f>IFERROR(__xludf.DUMMYFUNCTION("""COMPUTED_VALUE"""),516.39)</f>
        <v>516.39</v>
      </c>
      <c r="C3596" s="2">
        <f>IFERROR(__xludf.DUMMYFUNCTION("""COMPUTED_VALUE"""),519.06)</f>
        <v>519.06</v>
      </c>
      <c r="D3596" s="2">
        <f>IFERROR(__xludf.DUMMYFUNCTION("""COMPUTED_VALUE"""),509.53)</f>
        <v>509.53</v>
      </c>
      <c r="E3596" s="2">
        <f>IFERROR(__xludf.DUMMYFUNCTION("""COMPUTED_VALUE"""),511.41)</f>
        <v>511.41</v>
      </c>
      <c r="F3596" s="2">
        <f>IFERROR(__xludf.DUMMYFUNCTION("""COMPUTED_VALUE"""),3627071.0)</f>
        <v>3627071</v>
      </c>
    </row>
    <row r="3597">
      <c r="A3597" s="3">
        <f>IFERROR(__xludf.DUMMYFUNCTION("""COMPUTED_VALUE"""),42754.64583333333)</f>
        <v>42754.64583</v>
      </c>
      <c r="B3597" s="2">
        <f>IFERROR(__xludf.DUMMYFUNCTION("""COMPUTED_VALUE"""),512.7)</f>
        <v>512.7</v>
      </c>
      <c r="C3597" s="2">
        <f>IFERROR(__xludf.DUMMYFUNCTION("""COMPUTED_VALUE"""),517.72)</f>
        <v>517.72</v>
      </c>
      <c r="D3597" s="2">
        <f>IFERROR(__xludf.DUMMYFUNCTION("""COMPUTED_VALUE"""),510.64)</f>
        <v>510.64</v>
      </c>
      <c r="E3597" s="2">
        <f>IFERROR(__xludf.DUMMYFUNCTION("""COMPUTED_VALUE"""),511.98)</f>
        <v>511.98</v>
      </c>
      <c r="F3597" s="2">
        <f>IFERROR(__xludf.DUMMYFUNCTION("""COMPUTED_VALUE"""),3493728.0)</f>
        <v>3493728</v>
      </c>
    </row>
    <row r="3598">
      <c r="A3598" s="3">
        <f>IFERROR(__xludf.DUMMYFUNCTION("""COMPUTED_VALUE"""),42755.64583333333)</f>
        <v>42755.64583</v>
      </c>
      <c r="B3598" s="2">
        <f>IFERROR(__xludf.DUMMYFUNCTION("""COMPUTED_VALUE"""),512.1)</f>
        <v>512.1</v>
      </c>
      <c r="C3598" s="2">
        <f>IFERROR(__xludf.DUMMYFUNCTION("""COMPUTED_VALUE"""),513.84)</f>
        <v>513.84</v>
      </c>
      <c r="D3598" s="2">
        <f>IFERROR(__xludf.DUMMYFUNCTION("""COMPUTED_VALUE"""),507.12)</f>
        <v>507.12</v>
      </c>
      <c r="E3598" s="2">
        <f>IFERROR(__xludf.DUMMYFUNCTION("""COMPUTED_VALUE"""),508.07)</f>
        <v>508.07</v>
      </c>
      <c r="F3598" s="2">
        <f>IFERROR(__xludf.DUMMYFUNCTION("""COMPUTED_VALUE"""),2008082.0)</f>
        <v>2008082</v>
      </c>
    </row>
    <row r="3599">
      <c r="A3599" s="3">
        <f>IFERROR(__xludf.DUMMYFUNCTION("""COMPUTED_VALUE"""),42758.64583333333)</f>
        <v>42758.64583</v>
      </c>
      <c r="B3599" s="2">
        <f>IFERROR(__xludf.DUMMYFUNCTION("""COMPUTED_VALUE"""),506.08)</f>
        <v>506.08</v>
      </c>
      <c r="C3599" s="2">
        <f>IFERROR(__xludf.DUMMYFUNCTION("""COMPUTED_VALUE"""),510.64)</f>
        <v>510.64</v>
      </c>
      <c r="D3599" s="2">
        <f>IFERROR(__xludf.DUMMYFUNCTION("""COMPUTED_VALUE"""),501.63)</f>
        <v>501.63</v>
      </c>
      <c r="E3599" s="2">
        <f>IFERROR(__xludf.DUMMYFUNCTION("""COMPUTED_VALUE"""),503.16)</f>
        <v>503.16</v>
      </c>
      <c r="F3599" s="2">
        <f>IFERROR(__xludf.DUMMYFUNCTION("""COMPUTED_VALUE"""),3133533.0)</f>
        <v>3133533</v>
      </c>
    </row>
    <row r="3600">
      <c r="A3600" s="3">
        <f>IFERROR(__xludf.DUMMYFUNCTION("""COMPUTED_VALUE"""),42759.64583333333)</f>
        <v>42759.64583</v>
      </c>
      <c r="B3600" s="2">
        <f>IFERROR(__xludf.DUMMYFUNCTION("""COMPUTED_VALUE"""),503.71)</f>
        <v>503.71</v>
      </c>
      <c r="C3600" s="2">
        <f>IFERROR(__xludf.DUMMYFUNCTION("""COMPUTED_VALUE"""),509.55)</f>
        <v>509.55</v>
      </c>
      <c r="D3600" s="2">
        <f>IFERROR(__xludf.DUMMYFUNCTION("""COMPUTED_VALUE"""),503.71)</f>
        <v>503.71</v>
      </c>
      <c r="E3600" s="2">
        <f>IFERROR(__xludf.DUMMYFUNCTION("""COMPUTED_VALUE"""),508.81)</f>
        <v>508.81</v>
      </c>
      <c r="F3600" s="2">
        <f>IFERROR(__xludf.DUMMYFUNCTION("""COMPUTED_VALUE"""),2153091.0)</f>
        <v>2153091</v>
      </c>
    </row>
    <row r="3601">
      <c r="A3601" s="3">
        <f>IFERROR(__xludf.DUMMYFUNCTION("""COMPUTED_VALUE"""),42760.64583333333)</f>
        <v>42760.64583</v>
      </c>
      <c r="B3601" s="2">
        <f>IFERROR(__xludf.DUMMYFUNCTION("""COMPUTED_VALUE"""),511.14)</f>
        <v>511.14</v>
      </c>
      <c r="C3601" s="2">
        <f>IFERROR(__xludf.DUMMYFUNCTION("""COMPUTED_VALUE"""),511.48)</f>
        <v>511.48</v>
      </c>
      <c r="D3601" s="2">
        <f>IFERROR(__xludf.DUMMYFUNCTION("""COMPUTED_VALUE"""),503.29)</f>
        <v>503.29</v>
      </c>
      <c r="E3601" s="2">
        <f>IFERROR(__xludf.DUMMYFUNCTION("""COMPUTED_VALUE"""),503.86)</f>
        <v>503.86</v>
      </c>
      <c r="F3601" s="2">
        <f>IFERROR(__xludf.DUMMYFUNCTION("""COMPUTED_VALUE"""),5453230.0)</f>
        <v>5453230</v>
      </c>
    </row>
    <row r="3602">
      <c r="A3602" s="3">
        <f>IFERROR(__xludf.DUMMYFUNCTION("""COMPUTED_VALUE"""),42762.64583333333)</f>
        <v>42762.64583</v>
      </c>
      <c r="B3602" s="2">
        <f>IFERROR(__xludf.DUMMYFUNCTION("""COMPUTED_VALUE"""),505.32)</f>
        <v>505.32</v>
      </c>
      <c r="C3602" s="2">
        <f>IFERROR(__xludf.DUMMYFUNCTION("""COMPUTED_VALUE"""),509.6)</f>
        <v>509.6</v>
      </c>
      <c r="D3602" s="2">
        <f>IFERROR(__xludf.DUMMYFUNCTION("""COMPUTED_VALUE"""),504.7)</f>
        <v>504.7</v>
      </c>
      <c r="E3602" s="2">
        <f>IFERROR(__xludf.DUMMYFUNCTION("""COMPUTED_VALUE"""),507.72)</f>
        <v>507.72</v>
      </c>
      <c r="F3602" s="2">
        <f>IFERROR(__xludf.DUMMYFUNCTION("""COMPUTED_VALUE"""),4997239.0)</f>
        <v>4997239</v>
      </c>
    </row>
    <row r="3603">
      <c r="A3603" s="3">
        <f>IFERROR(__xludf.DUMMYFUNCTION("""COMPUTED_VALUE"""),42765.64583333333)</f>
        <v>42765.64583</v>
      </c>
      <c r="B3603" s="2">
        <f>IFERROR(__xludf.DUMMYFUNCTION("""COMPUTED_VALUE"""),507.64)</f>
        <v>507.64</v>
      </c>
      <c r="C3603" s="2">
        <f>IFERROR(__xludf.DUMMYFUNCTION("""COMPUTED_VALUE"""),518.29)</f>
        <v>518.29</v>
      </c>
      <c r="D3603" s="2">
        <f>IFERROR(__xludf.DUMMYFUNCTION("""COMPUTED_VALUE"""),507.57)</f>
        <v>507.57</v>
      </c>
      <c r="E3603" s="2">
        <f>IFERROR(__xludf.DUMMYFUNCTION("""COMPUTED_VALUE"""),517.48)</f>
        <v>517.48</v>
      </c>
      <c r="F3603" s="2">
        <f>IFERROR(__xludf.DUMMYFUNCTION("""COMPUTED_VALUE"""),3583756.0)</f>
        <v>3583756</v>
      </c>
    </row>
    <row r="3604">
      <c r="A3604" s="3">
        <f>IFERROR(__xludf.DUMMYFUNCTION("""COMPUTED_VALUE"""),42766.64583333333)</f>
        <v>42766.64583</v>
      </c>
      <c r="B3604" s="2">
        <f>IFERROR(__xludf.DUMMYFUNCTION("""COMPUTED_VALUE"""),518.49)</f>
        <v>518.49</v>
      </c>
      <c r="C3604" s="2">
        <f>IFERROR(__xludf.DUMMYFUNCTION("""COMPUTED_VALUE"""),521.93)</f>
        <v>521.93</v>
      </c>
      <c r="D3604" s="2">
        <f>IFERROR(__xludf.DUMMYFUNCTION("""COMPUTED_VALUE"""),515.25)</f>
        <v>515.25</v>
      </c>
      <c r="E3604" s="2">
        <f>IFERROR(__xludf.DUMMYFUNCTION("""COMPUTED_VALUE"""),517.67)</f>
        <v>517.67</v>
      </c>
      <c r="F3604" s="2">
        <f>IFERROR(__xludf.DUMMYFUNCTION("""COMPUTED_VALUE"""),3457365.0)</f>
        <v>3457365</v>
      </c>
    </row>
    <row r="3605">
      <c r="A3605" s="3">
        <f>IFERROR(__xludf.DUMMYFUNCTION("""COMPUTED_VALUE"""),42767.64583333333)</f>
        <v>42767.64583</v>
      </c>
      <c r="B3605" s="2">
        <f>IFERROR(__xludf.DUMMYFUNCTION("""COMPUTED_VALUE"""),518.12)</f>
        <v>518.12</v>
      </c>
      <c r="C3605" s="2">
        <f>IFERROR(__xludf.DUMMYFUNCTION("""COMPUTED_VALUE"""),520.5)</f>
        <v>520.5</v>
      </c>
      <c r="D3605" s="2">
        <f>IFERROR(__xludf.DUMMYFUNCTION("""COMPUTED_VALUE"""),512.72)</f>
        <v>512.72</v>
      </c>
      <c r="E3605" s="2">
        <f>IFERROR(__xludf.DUMMYFUNCTION("""COMPUTED_VALUE"""),519.88)</f>
        <v>519.88</v>
      </c>
      <c r="F3605" s="2">
        <f>IFERROR(__xludf.DUMMYFUNCTION("""COMPUTED_VALUE"""),2585798.0)</f>
        <v>2585798</v>
      </c>
    </row>
    <row r="3606">
      <c r="A3606" s="3">
        <f>IFERROR(__xludf.DUMMYFUNCTION("""COMPUTED_VALUE"""),42768.64583333333)</f>
        <v>42768.64583</v>
      </c>
      <c r="B3606" s="2">
        <f>IFERROR(__xludf.DUMMYFUNCTION("""COMPUTED_VALUE"""),520.05)</f>
        <v>520.05</v>
      </c>
      <c r="C3606" s="2">
        <f>IFERROR(__xludf.DUMMYFUNCTION("""COMPUTED_VALUE"""),520.45)</f>
        <v>520.45</v>
      </c>
      <c r="D3606" s="2">
        <f>IFERROR(__xludf.DUMMYFUNCTION("""COMPUTED_VALUE"""),514.23)</f>
        <v>514.23</v>
      </c>
      <c r="E3606" s="2">
        <f>IFERROR(__xludf.DUMMYFUNCTION("""COMPUTED_VALUE"""),516.83)</f>
        <v>516.83</v>
      </c>
      <c r="F3606" s="2">
        <f>IFERROR(__xludf.DUMMYFUNCTION("""COMPUTED_VALUE"""),2079908.0)</f>
        <v>2079908</v>
      </c>
    </row>
    <row r="3607">
      <c r="A3607" s="3">
        <f>IFERROR(__xludf.DUMMYFUNCTION("""COMPUTED_VALUE"""),42769.64583333333)</f>
        <v>42769.64583</v>
      </c>
      <c r="B3607" s="2">
        <f>IFERROR(__xludf.DUMMYFUNCTION("""COMPUTED_VALUE"""),518.07)</f>
        <v>518.07</v>
      </c>
      <c r="C3607" s="2">
        <f>IFERROR(__xludf.DUMMYFUNCTION("""COMPUTED_VALUE"""),520.27)</f>
        <v>520.27</v>
      </c>
      <c r="D3607" s="2">
        <f>IFERROR(__xludf.DUMMYFUNCTION("""COMPUTED_VALUE"""),510.2)</f>
        <v>510.2</v>
      </c>
      <c r="E3607" s="2">
        <f>IFERROR(__xludf.DUMMYFUNCTION("""COMPUTED_VALUE"""),511.95)</f>
        <v>511.95</v>
      </c>
      <c r="F3607" s="2">
        <f>IFERROR(__xludf.DUMMYFUNCTION("""COMPUTED_VALUE"""),3021751.0)</f>
        <v>3021751</v>
      </c>
    </row>
    <row r="3608">
      <c r="A3608" s="3">
        <f>IFERROR(__xludf.DUMMYFUNCTION("""COMPUTED_VALUE"""),42772.64583333333)</f>
        <v>42772.64583</v>
      </c>
      <c r="B3608" s="2">
        <f>IFERROR(__xludf.DUMMYFUNCTION("""COMPUTED_VALUE"""),513.61)</f>
        <v>513.61</v>
      </c>
      <c r="C3608" s="2">
        <f>IFERROR(__xludf.DUMMYFUNCTION("""COMPUTED_VALUE"""),517.53)</f>
        <v>517.53</v>
      </c>
      <c r="D3608" s="2">
        <f>IFERROR(__xludf.DUMMYFUNCTION("""COMPUTED_VALUE"""),511.16)</f>
        <v>511.16</v>
      </c>
      <c r="E3608" s="2">
        <f>IFERROR(__xludf.DUMMYFUNCTION("""COMPUTED_VALUE"""),515.92)</f>
        <v>515.92</v>
      </c>
      <c r="F3608" s="2">
        <f>IFERROR(__xludf.DUMMYFUNCTION("""COMPUTED_VALUE"""),2283982.0)</f>
        <v>2283982</v>
      </c>
    </row>
    <row r="3609">
      <c r="A3609" s="3">
        <f>IFERROR(__xludf.DUMMYFUNCTION("""COMPUTED_VALUE"""),42773.64583333333)</f>
        <v>42773.64583</v>
      </c>
      <c r="B3609" s="2">
        <f>IFERROR(__xludf.DUMMYFUNCTION("""COMPUTED_VALUE"""),516.09)</f>
        <v>516.09</v>
      </c>
      <c r="C3609" s="2">
        <f>IFERROR(__xludf.DUMMYFUNCTION("""COMPUTED_VALUE"""),516.26)</f>
        <v>516.26</v>
      </c>
      <c r="D3609" s="2">
        <f>IFERROR(__xludf.DUMMYFUNCTION("""COMPUTED_VALUE"""),508.76)</f>
        <v>508.76</v>
      </c>
      <c r="E3609" s="2">
        <f>IFERROR(__xludf.DUMMYFUNCTION("""COMPUTED_VALUE"""),510.59)</f>
        <v>510.59</v>
      </c>
      <c r="F3609" s="2">
        <f>IFERROR(__xludf.DUMMYFUNCTION("""COMPUTED_VALUE"""),2264245.0)</f>
        <v>2264245</v>
      </c>
    </row>
    <row r="3610">
      <c r="A3610" s="3">
        <f>IFERROR(__xludf.DUMMYFUNCTION("""COMPUTED_VALUE"""),42774.64583333333)</f>
        <v>42774.64583</v>
      </c>
      <c r="B3610" s="2">
        <f>IFERROR(__xludf.DUMMYFUNCTION("""COMPUTED_VALUE"""),510.59)</f>
        <v>510.59</v>
      </c>
      <c r="C3610" s="2">
        <f>IFERROR(__xludf.DUMMYFUNCTION("""COMPUTED_VALUE"""),514.23)</f>
        <v>514.23</v>
      </c>
      <c r="D3610" s="2">
        <f>IFERROR(__xludf.DUMMYFUNCTION("""COMPUTED_VALUE"""),506.18)</f>
        <v>506.18</v>
      </c>
      <c r="E3610" s="2">
        <f>IFERROR(__xludf.DUMMYFUNCTION("""COMPUTED_VALUE"""),507.74)</f>
        <v>507.74</v>
      </c>
      <c r="F3610" s="2">
        <f>IFERROR(__xludf.DUMMYFUNCTION("""COMPUTED_VALUE"""),3710094.0)</f>
        <v>3710094</v>
      </c>
    </row>
    <row r="3611">
      <c r="A3611" s="3">
        <f>IFERROR(__xludf.DUMMYFUNCTION("""COMPUTED_VALUE"""),42775.64583333333)</f>
        <v>42775.64583</v>
      </c>
      <c r="B3611" s="2">
        <f>IFERROR(__xludf.DUMMYFUNCTION("""COMPUTED_VALUE"""),509.15)</f>
        <v>509.15</v>
      </c>
      <c r="C3611" s="2">
        <f>IFERROR(__xludf.DUMMYFUNCTION("""COMPUTED_VALUE"""),512.13)</f>
        <v>512.13</v>
      </c>
      <c r="D3611" s="2">
        <f>IFERROR(__xludf.DUMMYFUNCTION("""COMPUTED_VALUE"""),508.56)</f>
        <v>508.56</v>
      </c>
      <c r="E3611" s="2">
        <f>IFERROR(__xludf.DUMMYFUNCTION("""COMPUTED_VALUE"""),511.51)</f>
        <v>511.51</v>
      </c>
      <c r="F3611" s="2">
        <f>IFERROR(__xludf.DUMMYFUNCTION("""COMPUTED_VALUE"""),2254216.0)</f>
        <v>2254216</v>
      </c>
    </row>
    <row r="3612">
      <c r="A3612" s="3">
        <f>IFERROR(__xludf.DUMMYFUNCTION("""COMPUTED_VALUE"""),42776.64583333333)</f>
        <v>42776.64583</v>
      </c>
      <c r="B3612" s="2">
        <f>IFERROR(__xludf.DUMMYFUNCTION("""COMPUTED_VALUE"""),512.62)</f>
        <v>512.62</v>
      </c>
      <c r="C3612" s="2">
        <f>IFERROR(__xludf.DUMMYFUNCTION("""COMPUTED_VALUE"""),512.89)</f>
        <v>512.89</v>
      </c>
      <c r="D3612" s="2">
        <f>IFERROR(__xludf.DUMMYFUNCTION("""COMPUTED_VALUE"""),507.94)</f>
        <v>507.94</v>
      </c>
      <c r="E3612" s="2">
        <f>IFERROR(__xludf.DUMMYFUNCTION("""COMPUTED_VALUE"""),510.22)</f>
        <v>510.22</v>
      </c>
      <c r="F3612" s="2">
        <f>IFERROR(__xludf.DUMMYFUNCTION("""COMPUTED_VALUE"""),2861531.0)</f>
        <v>2861531</v>
      </c>
    </row>
    <row r="3613">
      <c r="A3613" s="3">
        <f>IFERROR(__xludf.DUMMYFUNCTION("""COMPUTED_VALUE"""),42779.64583333333)</f>
        <v>42779.64583</v>
      </c>
      <c r="B3613" s="2">
        <f>IFERROR(__xludf.DUMMYFUNCTION("""COMPUTED_VALUE"""),511.63)</f>
        <v>511.63</v>
      </c>
      <c r="C3613" s="2">
        <f>IFERROR(__xludf.DUMMYFUNCTION("""COMPUTED_VALUE"""),512.13)</f>
        <v>512.13</v>
      </c>
      <c r="D3613" s="2">
        <f>IFERROR(__xludf.DUMMYFUNCTION("""COMPUTED_VALUE"""),506.18)</f>
        <v>506.18</v>
      </c>
      <c r="E3613" s="2">
        <f>IFERROR(__xludf.DUMMYFUNCTION("""COMPUTED_VALUE"""),510.07)</f>
        <v>510.07</v>
      </c>
      <c r="F3613" s="2">
        <f>IFERROR(__xludf.DUMMYFUNCTION("""COMPUTED_VALUE"""),1957988.0)</f>
        <v>1957988</v>
      </c>
    </row>
    <row r="3614">
      <c r="A3614" s="3">
        <f>IFERROR(__xludf.DUMMYFUNCTION("""COMPUTED_VALUE"""),42780.64583333333)</f>
        <v>42780.64583</v>
      </c>
      <c r="B3614" s="2">
        <f>IFERROR(__xludf.DUMMYFUNCTION("""COMPUTED_VALUE"""),512.62)</f>
        <v>512.62</v>
      </c>
      <c r="C3614" s="2">
        <f>IFERROR(__xludf.DUMMYFUNCTION("""COMPUTED_VALUE"""),521.49)</f>
        <v>521.49</v>
      </c>
      <c r="D3614" s="2">
        <f>IFERROR(__xludf.DUMMYFUNCTION("""COMPUTED_VALUE"""),510.1)</f>
        <v>510.1</v>
      </c>
      <c r="E3614" s="2">
        <f>IFERROR(__xludf.DUMMYFUNCTION("""COMPUTED_VALUE"""),519.95)</f>
        <v>519.95</v>
      </c>
      <c r="F3614" s="2">
        <f>IFERROR(__xludf.DUMMYFUNCTION("""COMPUTED_VALUE"""),4170414.0)</f>
        <v>4170414</v>
      </c>
    </row>
    <row r="3615">
      <c r="A3615" s="3">
        <f>IFERROR(__xludf.DUMMYFUNCTION("""COMPUTED_VALUE"""),42781.64583333333)</f>
        <v>42781.64583</v>
      </c>
      <c r="B3615" s="2">
        <f>IFERROR(__xludf.DUMMYFUNCTION("""COMPUTED_VALUE"""),521.49)</f>
        <v>521.49</v>
      </c>
      <c r="C3615" s="2">
        <f>IFERROR(__xludf.DUMMYFUNCTION("""COMPUTED_VALUE"""),523.77)</f>
        <v>523.77</v>
      </c>
      <c r="D3615" s="2">
        <f>IFERROR(__xludf.DUMMYFUNCTION("""COMPUTED_VALUE"""),517.7)</f>
        <v>517.7</v>
      </c>
      <c r="E3615" s="2">
        <f>IFERROR(__xludf.DUMMYFUNCTION("""COMPUTED_VALUE"""),520.7)</f>
        <v>520.7</v>
      </c>
      <c r="F3615" s="2">
        <f>IFERROR(__xludf.DUMMYFUNCTION("""COMPUTED_VALUE"""),3482845.0)</f>
        <v>3482845</v>
      </c>
    </row>
    <row r="3616">
      <c r="A3616" s="3">
        <f>IFERROR(__xludf.DUMMYFUNCTION("""COMPUTED_VALUE"""),42782.64583333333)</f>
        <v>42782.64583</v>
      </c>
      <c r="B3616" s="2">
        <f>IFERROR(__xludf.DUMMYFUNCTION("""COMPUTED_VALUE"""),521.31)</f>
        <v>521.31</v>
      </c>
      <c r="C3616" s="2">
        <f>IFERROR(__xludf.DUMMYFUNCTION("""COMPUTED_VALUE"""),529.68)</f>
        <v>529.68</v>
      </c>
      <c r="D3616" s="2">
        <f>IFERROR(__xludf.DUMMYFUNCTION("""COMPUTED_VALUE"""),521.31)</f>
        <v>521.31</v>
      </c>
      <c r="E3616" s="2">
        <f>IFERROR(__xludf.DUMMYFUNCTION("""COMPUTED_VALUE"""),528.72)</f>
        <v>528.72</v>
      </c>
      <c r="F3616" s="2">
        <f>IFERROR(__xludf.DUMMYFUNCTION("""COMPUTED_VALUE"""),4492847.0)</f>
        <v>4492847</v>
      </c>
    </row>
    <row r="3617">
      <c r="A3617" s="3">
        <f>IFERROR(__xludf.DUMMYFUNCTION("""COMPUTED_VALUE"""),42783.64583333333)</f>
        <v>42783.64583</v>
      </c>
      <c r="B3617" s="2">
        <f>IFERROR(__xludf.DUMMYFUNCTION("""COMPUTED_VALUE"""),528.22)</f>
        <v>528.22</v>
      </c>
      <c r="C3617" s="2">
        <f>IFERROR(__xludf.DUMMYFUNCTION("""COMPUTED_VALUE"""),534.02)</f>
        <v>534.02</v>
      </c>
      <c r="D3617" s="2">
        <f>IFERROR(__xludf.DUMMYFUNCTION("""COMPUTED_VALUE"""),524.24)</f>
        <v>524.24</v>
      </c>
      <c r="E3617" s="2">
        <f>IFERROR(__xludf.DUMMYFUNCTION("""COMPUTED_VALUE"""),532.68)</f>
        <v>532.68</v>
      </c>
      <c r="F3617" s="2">
        <f>IFERROR(__xludf.DUMMYFUNCTION("""COMPUTED_VALUE"""),3393856.0)</f>
        <v>3393856</v>
      </c>
    </row>
    <row r="3618">
      <c r="A3618" s="3">
        <f>IFERROR(__xludf.DUMMYFUNCTION("""COMPUTED_VALUE"""),42786.64583333333)</f>
        <v>42786.64583</v>
      </c>
      <c r="B3618" s="2">
        <f>IFERROR(__xludf.DUMMYFUNCTION("""COMPUTED_VALUE"""),530.23)</f>
        <v>530.23</v>
      </c>
      <c r="C3618" s="2">
        <f>IFERROR(__xludf.DUMMYFUNCTION("""COMPUTED_VALUE"""),534.34)</f>
        <v>534.34</v>
      </c>
      <c r="D3618" s="2">
        <f>IFERROR(__xludf.DUMMYFUNCTION("""COMPUTED_VALUE"""),528.22)</f>
        <v>528.22</v>
      </c>
      <c r="E3618" s="2">
        <f>IFERROR(__xludf.DUMMYFUNCTION("""COMPUTED_VALUE"""),532.63)</f>
        <v>532.63</v>
      </c>
      <c r="F3618" s="2">
        <f>IFERROR(__xludf.DUMMYFUNCTION("""COMPUTED_VALUE"""),2663127.0)</f>
        <v>2663127</v>
      </c>
    </row>
    <row r="3619">
      <c r="A3619" s="3">
        <f>IFERROR(__xludf.DUMMYFUNCTION("""COMPUTED_VALUE"""),42787.64583333333)</f>
        <v>42787.64583</v>
      </c>
      <c r="B3619" s="2">
        <f>IFERROR(__xludf.DUMMYFUNCTION("""COMPUTED_VALUE"""),532.53)</f>
        <v>532.53</v>
      </c>
      <c r="C3619" s="2">
        <f>IFERROR(__xludf.DUMMYFUNCTION("""COMPUTED_VALUE"""),540.33)</f>
        <v>540.33</v>
      </c>
      <c r="D3619" s="2">
        <f>IFERROR(__xludf.DUMMYFUNCTION("""COMPUTED_VALUE"""),531.47)</f>
        <v>531.47</v>
      </c>
      <c r="E3619" s="2">
        <f>IFERROR(__xludf.DUMMYFUNCTION("""COMPUTED_VALUE"""),538.97)</f>
        <v>538.97</v>
      </c>
      <c r="F3619" s="2">
        <f>IFERROR(__xludf.DUMMYFUNCTION("""COMPUTED_VALUE"""),3242790.0)</f>
        <v>3242790</v>
      </c>
    </row>
    <row r="3620">
      <c r="A3620" s="3">
        <f>IFERROR(__xludf.DUMMYFUNCTION("""COMPUTED_VALUE"""),42788.64583333333)</f>
        <v>42788.64583</v>
      </c>
      <c r="B3620" s="2">
        <f>IFERROR(__xludf.DUMMYFUNCTION("""COMPUTED_VALUE"""),541.35)</f>
        <v>541.35</v>
      </c>
      <c r="C3620" s="2">
        <f>IFERROR(__xludf.DUMMYFUNCTION("""COMPUTED_VALUE"""),600.11)</f>
        <v>600.11</v>
      </c>
      <c r="D3620" s="2">
        <f>IFERROR(__xludf.DUMMYFUNCTION("""COMPUTED_VALUE"""),540.85)</f>
        <v>540.85</v>
      </c>
      <c r="E3620" s="2">
        <f>IFERROR(__xludf.DUMMYFUNCTION("""COMPUTED_VALUE"""),598.06)</f>
        <v>598.06</v>
      </c>
      <c r="F3620" s="2">
        <f>IFERROR(__xludf.DUMMYFUNCTION("""COMPUTED_VALUE"""),2.9103926E7)</f>
        <v>29103926</v>
      </c>
    </row>
    <row r="3621">
      <c r="A3621" s="3">
        <f>IFERROR(__xludf.DUMMYFUNCTION("""COMPUTED_VALUE"""),42789.64583333333)</f>
        <v>42789.64583</v>
      </c>
      <c r="B3621" s="2">
        <f>IFERROR(__xludf.DUMMYFUNCTION("""COMPUTED_VALUE"""),601.08)</f>
        <v>601.08</v>
      </c>
      <c r="C3621" s="2">
        <f>IFERROR(__xludf.DUMMYFUNCTION("""COMPUTED_VALUE"""),605.24)</f>
        <v>605.24</v>
      </c>
      <c r="D3621" s="2">
        <f>IFERROR(__xludf.DUMMYFUNCTION("""COMPUTED_VALUE"""),584.12)</f>
        <v>584.12</v>
      </c>
      <c r="E3621" s="2">
        <f>IFERROR(__xludf.DUMMYFUNCTION("""COMPUTED_VALUE"""),585.8)</f>
        <v>585.8</v>
      </c>
      <c r="F3621" s="2">
        <f>IFERROR(__xludf.DUMMYFUNCTION("""COMPUTED_VALUE"""),1.4229234E7)</f>
        <v>14229234</v>
      </c>
    </row>
    <row r="3622">
      <c r="A3622" s="3">
        <f>IFERROR(__xludf.DUMMYFUNCTION("""COMPUTED_VALUE"""),42793.64583333333)</f>
        <v>42793.64583</v>
      </c>
      <c r="B3622" s="2">
        <f>IFERROR(__xludf.DUMMYFUNCTION("""COMPUTED_VALUE"""),589.64)</f>
        <v>589.64</v>
      </c>
      <c r="C3622" s="2">
        <f>IFERROR(__xludf.DUMMYFUNCTION("""COMPUTED_VALUE"""),622.48)</f>
        <v>622.48</v>
      </c>
      <c r="D3622" s="2">
        <f>IFERROR(__xludf.DUMMYFUNCTION("""COMPUTED_VALUE"""),589.56)</f>
        <v>589.56</v>
      </c>
      <c r="E3622" s="2">
        <f>IFERROR(__xludf.DUMMYFUNCTION("""COMPUTED_VALUE"""),613.61)</f>
        <v>613.61</v>
      </c>
      <c r="F3622" s="2">
        <f>IFERROR(__xludf.DUMMYFUNCTION("""COMPUTED_VALUE"""),1.9068911E7)</f>
        <v>19068911</v>
      </c>
    </row>
    <row r="3623">
      <c r="A3623" s="3">
        <f>IFERROR(__xludf.DUMMYFUNCTION("""COMPUTED_VALUE"""),42794.64583333333)</f>
        <v>42794.64583</v>
      </c>
      <c r="B3623" s="2">
        <f>IFERROR(__xludf.DUMMYFUNCTION("""COMPUTED_VALUE"""),610.19)</f>
        <v>610.19</v>
      </c>
      <c r="C3623" s="2">
        <f>IFERROR(__xludf.DUMMYFUNCTION("""COMPUTED_VALUE"""),618.12)</f>
        <v>618.12</v>
      </c>
      <c r="D3623" s="2">
        <f>IFERROR(__xludf.DUMMYFUNCTION("""COMPUTED_VALUE"""),608.46)</f>
        <v>608.46</v>
      </c>
      <c r="E3623" s="2">
        <f>IFERROR(__xludf.DUMMYFUNCTION("""COMPUTED_VALUE"""),613.19)</f>
        <v>613.19</v>
      </c>
      <c r="F3623" s="2">
        <f>IFERROR(__xludf.DUMMYFUNCTION("""COMPUTED_VALUE"""),8254531.0)</f>
        <v>8254531</v>
      </c>
    </row>
    <row r="3624">
      <c r="A3624" s="3">
        <f>IFERROR(__xludf.DUMMYFUNCTION("""COMPUTED_VALUE"""),42795.64583333333)</f>
        <v>42795.64583</v>
      </c>
      <c r="B3624" s="2">
        <f>IFERROR(__xludf.DUMMYFUNCTION("""COMPUTED_VALUE"""),614.21)</f>
        <v>614.21</v>
      </c>
      <c r="C3624" s="2">
        <f>IFERROR(__xludf.DUMMYFUNCTION("""COMPUTED_VALUE"""),616.34)</f>
        <v>616.34</v>
      </c>
      <c r="D3624" s="2">
        <f>IFERROR(__xludf.DUMMYFUNCTION("""COMPUTED_VALUE"""),609.2)</f>
        <v>609.2</v>
      </c>
      <c r="E3624" s="2">
        <f>IFERROR(__xludf.DUMMYFUNCTION("""COMPUTED_VALUE"""),611.43)</f>
        <v>611.43</v>
      </c>
      <c r="F3624" s="2">
        <f>IFERROR(__xludf.DUMMYFUNCTION("""COMPUTED_VALUE"""),5574153.0)</f>
        <v>5574153</v>
      </c>
    </row>
    <row r="3625">
      <c r="A3625" s="3">
        <f>IFERROR(__xludf.DUMMYFUNCTION("""COMPUTED_VALUE"""),42796.64583333333)</f>
        <v>42796.64583</v>
      </c>
      <c r="B3625" s="2">
        <f>IFERROR(__xludf.DUMMYFUNCTION("""COMPUTED_VALUE"""),613.12)</f>
        <v>613.12</v>
      </c>
      <c r="C3625" s="2">
        <f>IFERROR(__xludf.DUMMYFUNCTION("""COMPUTED_VALUE"""),621.44)</f>
        <v>621.44</v>
      </c>
      <c r="D3625" s="2">
        <f>IFERROR(__xludf.DUMMYFUNCTION("""COMPUTED_VALUE"""),607.74)</f>
        <v>607.74</v>
      </c>
      <c r="E3625" s="2">
        <f>IFERROR(__xludf.DUMMYFUNCTION("""COMPUTED_VALUE"""),612.55)</f>
        <v>612.55</v>
      </c>
      <c r="F3625" s="2">
        <f>IFERROR(__xludf.DUMMYFUNCTION("""COMPUTED_VALUE"""),4129033.0)</f>
        <v>4129033</v>
      </c>
    </row>
    <row r="3626">
      <c r="A3626" s="3">
        <f>IFERROR(__xludf.DUMMYFUNCTION("""COMPUTED_VALUE"""),42797.64583333333)</f>
        <v>42797.64583</v>
      </c>
      <c r="B3626" s="2">
        <f>IFERROR(__xludf.DUMMYFUNCTION("""COMPUTED_VALUE"""),614.92)</f>
        <v>614.92</v>
      </c>
      <c r="C3626" s="2">
        <f>IFERROR(__xludf.DUMMYFUNCTION("""COMPUTED_VALUE"""),637.83)</f>
        <v>637.83</v>
      </c>
      <c r="D3626" s="2">
        <f>IFERROR(__xludf.DUMMYFUNCTION("""COMPUTED_VALUE"""),614.92)</f>
        <v>614.92</v>
      </c>
      <c r="E3626" s="2">
        <f>IFERROR(__xludf.DUMMYFUNCTION("""COMPUTED_VALUE"""),623.34)</f>
        <v>623.34</v>
      </c>
      <c r="F3626" s="2">
        <f>IFERROR(__xludf.DUMMYFUNCTION("""COMPUTED_VALUE"""),1.9270851E7)</f>
        <v>19270851</v>
      </c>
    </row>
    <row r="3627">
      <c r="A3627" s="3">
        <f>IFERROR(__xludf.DUMMYFUNCTION("""COMPUTED_VALUE"""),42800.64583333333)</f>
        <v>42800.64583</v>
      </c>
      <c r="B3627" s="2">
        <f>IFERROR(__xludf.DUMMYFUNCTION("""COMPUTED_VALUE"""),628.52)</f>
        <v>628.52</v>
      </c>
      <c r="C3627" s="2">
        <f>IFERROR(__xludf.DUMMYFUNCTION("""COMPUTED_VALUE"""),649.82)</f>
        <v>649.82</v>
      </c>
      <c r="D3627" s="2">
        <f>IFERROR(__xludf.DUMMYFUNCTION("""COMPUTED_VALUE"""),626.66)</f>
        <v>626.66</v>
      </c>
      <c r="E3627" s="2">
        <f>IFERROR(__xludf.DUMMYFUNCTION("""COMPUTED_VALUE"""),646.52)</f>
        <v>646.52</v>
      </c>
      <c r="F3627" s="2">
        <f>IFERROR(__xludf.DUMMYFUNCTION("""COMPUTED_VALUE"""),1.5252154E7)</f>
        <v>15252154</v>
      </c>
    </row>
    <row r="3628">
      <c r="A3628" s="3">
        <f>IFERROR(__xludf.DUMMYFUNCTION("""COMPUTED_VALUE"""),42801.64583333333)</f>
        <v>42801.64583</v>
      </c>
      <c r="B3628" s="2">
        <f>IFERROR(__xludf.DUMMYFUNCTION("""COMPUTED_VALUE"""),653.21)</f>
        <v>653.21</v>
      </c>
      <c r="C3628" s="2">
        <f>IFERROR(__xludf.DUMMYFUNCTION("""COMPUTED_VALUE"""),657.25)</f>
        <v>657.25</v>
      </c>
      <c r="D3628" s="2">
        <f>IFERROR(__xludf.DUMMYFUNCTION("""COMPUTED_VALUE"""),641.97)</f>
        <v>641.97</v>
      </c>
      <c r="E3628" s="2">
        <f>IFERROR(__xludf.DUMMYFUNCTION("""COMPUTED_VALUE"""),646.32)</f>
        <v>646.32</v>
      </c>
      <c r="F3628" s="2">
        <f>IFERROR(__xludf.DUMMYFUNCTION("""COMPUTED_VALUE"""),9616850.0)</f>
        <v>9616850</v>
      </c>
    </row>
    <row r="3629">
      <c r="A3629" s="3">
        <f>IFERROR(__xludf.DUMMYFUNCTION("""COMPUTED_VALUE"""),42802.64583333333)</f>
        <v>42802.64583</v>
      </c>
      <c r="B3629" s="2">
        <f>IFERROR(__xludf.DUMMYFUNCTION("""COMPUTED_VALUE"""),647.69)</f>
        <v>647.69</v>
      </c>
      <c r="C3629" s="2">
        <f>IFERROR(__xludf.DUMMYFUNCTION("""COMPUTED_VALUE"""),647.69)</f>
        <v>647.69</v>
      </c>
      <c r="D3629" s="2">
        <f>IFERROR(__xludf.DUMMYFUNCTION("""COMPUTED_VALUE"""),636.99)</f>
        <v>636.99</v>
      </c>
      <c r="E3629" s="2">
        <f>IFERROR(__xludf.DUMMYFUNCTION("""COMPUTED_VALUE"""),639.51)</f>
        <v>639.51</v>
      </c>
      <c r="F3629" s="2">
        <f>IFERROR(__xludf.DUMMYFUNCTION("""COMPUTED_VALUE"""),9906103.0)</f>
        <v>9906103</v>
      </c>
    </row>
    <row r="3630">
      <c r="A3630" s="3">
        <f>IFERROR(__xludf.DUMMYFUNCTION("""COMPUTED_VALUE"""),42803.64583333333)</f>
        <v>42803.64583</v>
      </c>
      <c r="B3630" s="2">
        <f>IFERROR(__xludf.DUMMYFUNCTION("""COMPUTED_VALUE"""),638.92)</f>
        <v>638.92</v>
      </c>
      <c r="C3630" s="2">
        <f>IFERROR(__xludf.DUMMYFUNCTION("""COMPUTED_VALUE"""),642.88)</f>
        <v>642.88</v>
      </c>
      <c r="D3630" s="2">
        <f>IFERROR(__xludf.DUMMYFUNCTION("""COMPUTED_VALUE"""),634.71)</f>
        <v>634.71</v>
      </c>
      <c r="E3630" s="2">
        <f>IFERROR(__xludf.DUMMYFUNCTION("""COMPUTED_VALUE"""),637.31)</f>
        <v>637.31</v>
      </c>
      <c r="F3630" s="2">
        <f>IFERROR(__xludf.DUMMYFUNCTION("""COMPUTED_VALUE"""),7107670.0)</f>
        <v>7107670</v>
      </c>
    </row>
    <row r="3631">
      <c r="A3631" s="3">
        <f>IFERROR(__xludf.DUMMYFUNCTION("""COMPUTED_VALUE"""),42804.64583333333)</f>
        <v>42804.64583</v>
      </c>
      <c r="B3631" s="2">
        <f>IFERROR(__xludf.DUMMYFUNCTION("""COMPUTED_VALUE"""),639.04)</f>
        <v>639.04</v>
      </c>
      <c r="C3631" s="2">
        <f>IFERROR(__xludf.DUMMYFUNCTION("""COMPUTED_VALUE"""),641.89)</f>
        <v>641.89</v>
      </c>
      <c r="D3631" s="2">
        <f>IFERROR(__xludf.DUMMYFUNCTION("""COMPUTED_VALUE"""),624.66)</f>
        <v>624.66</v>
      </c>
      <c r="E3631" s="2">
        <f>IFERROR(__xludf.DUMMYFUNCTION("""COMPUTED_VALUE"""),634.78)</f>
        <v>634.78</v>
      </c>
      <c r="F3631" s="2">
        <f>IFERROR(__xludf.DUMMYFUNCTION("""COMPUTED_VALUE"""),5665568.0)</f>
        <v>5665568</v>
      </c>
    </row>
    <row r="3632">
      <c r="A3632" s="3">
        <f>IFERROR(__xludf.DUMMYFUNCTION("""COMPUTED_VALUE"""),42808.64583333333)</f>
        <v>42808.64583</v>
      </c>
      <c r="B3632" s="2">
        <f>IFERROR(__xludf.DUMMYFUNCTION("""COMPUTED_VALUE"""),653.16)</f>
        <v>653.16</v>
      </c>
      <c r="C3632" s="2">
        <f>IFERROR(__xludf.DUMMYFUNCTION("""COMPUTED_VALUE"""),653.28)</f>
        <v>653.28</v>
      </c>
      <c r="D3632" s="2">
        <f>IFERROR(__xludf.DUMMYFUNCTION("""COMPUTED_VALUE"""),636.57)</f>
        <v>636.57</v>
      </c>
      <c r="E3632" s="2">
        <f>IFERROR(__xludf.DUMMYFUNCTION("""COMPUTED_VALUE"""),638.67)</f>
        <v>638.67</v>
      </c>
      <c r="F3632" s="2">
        <f>IFERROR(__xludf.DUMMYFUNCTION("""COMPUTED_VALUE"""),6346620.0)</f>
        <v>6346620</v>
      </c>
    </row>
    <row r="3633">
      <c r="A3633" s="3">
        <f>IFERROR(__xludf.DUMMYFUNCTION("""COMPUTED_VALUE"""),42809.64583333333)</f>
        <v>42809.64583</v>
      </c>
      <c r="B3633" s="2">
        <f>IFERROR(__xludf.DUMMYFUNCTION("""COMPUTED_VALUE"""),639.44)</f>
        <v>639.44</v>
      </c>
      <c r="C3633" s="2">
        <f>IFERROR(__xludf.DUMMYFUNCTION("""COMPUTED_VALUE"""),651.95)</f>
        <v>651.95</v>
      </c>
      <c r="D3633" s="2">
        <f>IFERROR(__xludf.DUMMYFUNCTION("""COMPUTED_VALUE"""),639.12)</f>
        <v>639.12</v>
      </c>
      <c r="E3633" s="2">
        <f>IFERROR(__xludf.DUMMYFUNCTION("""COMPUTED_VALUE"""),646.32)</f>
        <v>646.32</v>
      </c>
      <c r="F3633" s="2">
        <f>IFERROR(__xludf.DUMMYFUNCTION("""COMPUTED_VALUE"""),5510658.0)</f>
        <v>5510658</v>
      </c>
    </row>
    <row r="3634">
      <c r="A3634" s="3">
        <f>IFERROR(__xludf.DUMMYFUNCTION("""COMPUTED_VALUE"""),42810.64583333333)</f>
        <v>42810.64583</v>
      </c>
      <c r="B3634" s="2">
        <f>IFERROR(__xludf.DUMMYFUNCTION("""COMPUTED_VALUE"""),648.83)</f>
        <v>648.83</v>
      </c>
      <c r="C3634" s="2">
        <f>IFERROR(__xludf.DUMMYFUNCTION("""COMPUTED_VALUE"""),649.02)</f>
        <v>649.02</v>
      </c>
      <c r="D3634" s="2">
        <f>IFERROR(__xludf.DUMMYFUNCTION("""COMPUTED_VALUE"""),640.7)</f>
        <v>640.7</v>
      </c>
      <c r="E3634" s="2">
        <f>IFERROR(__xludf.DUMMYFUNCTION("""COMPUTED_VALUE"""),642.71)</f>
        <v>642.71</v>
      </c>
      <c r="F3634" s="2">
        <f>IFERROR(__xludf.DUMMYFUNCTION("""COMPUTED_VALUE"""),3639964.0)</f>
        <v>3639964</v>
      </c>
    </row>
    <row r="3635">
      <c r="A3635" s="3">
        <f>IFERROR(__xludf.DUMMYFUNCTION("""COMPUTED_VALUE"""),42811.64583333333)</f>
        <v>42811.64583</v>
      </c>
      <c r="B3635" s="2">
        <f>IFERROR(__xludf.DUMMYFUNCTION("""COMPUTED_VALUE"""),647.84)</f>
        <v>647.84</v>
      </c>
      <c r="C3635" s="2">
        <f>IFERROR(__xludf.DUMMYFUNCTION("""COMPUTED_VALUE"""),653.75)</f>
        <v>653.75</v>
      </c>
      <c r="D3635" s="2">
        <f>IFERROR(__xludf.DUMMYFUNCTION("""COMPUTED_VALUE"""),642.91)</f>
        <v>642.91</v>
      </c>
      <c r="E3635" s="2">
        <f>IFERROR(__xludf.DUMMYFUNCTION("""COMPUTED_VALUE"""),644.22)</f>
        <v>644.22</v>
      </c>
      <c r="F3635" s="2">
        <f>IFERROR(__xludf.DUMMYFUNCTION("""COMPUTED_VALUE"""),5195076.0)</f>
        <v>5195076</v>
      </c>
    </row>
    <row r="3636">
      <c r="A3636" s="3">
        <f>IFERROR(__xludf.DUMMYFUNCTION("""COMPUTED_VALUE"""),42814.64583333333)</f>
        <v>42814.64583</v>
      </c>
      <c r="B3636" s="2">
        <f>IFERROR(__xludf.DUMMYFUNCTION("""COMPUTED_VALUE"""),646.84)</f>
        <v>646.84</v>
      </c>
      <c r="C3636" s="2">
        <f>IFERROR(__xludf.DUMMYFUNCTION("""COMPUTED_VALUE"""),646.97)</f>
        <v>646.97</v>
      </c>
      <c r="D3636" s="2">
        <f>IFERROR(__xludf.DUMMYFUNCTION("""COMPUTED_VALUE"""),633.15)</f>
        <v>633.15</v>
      </c>
      <c r="E3636" s="2">
        <f>IFERROR(__xludf.DUMMYFUNCTION("""COMPUTED_VALUE"""),634.36)</f>
        <v>634.36</v>
      </c>
      <c r="F3636" s="2">
        <f>IFERROR(__xludf.DUMMYFUNCTION("""COMPUTED_VALUE"""),2941714.0)</f>
        <v>2941714</v>
      </c>
    </row>
    <row r="3637">
      <c r="A3637" s="3">
        <f>IFERROR(__xludf.DUMMYFUNCTION("""COMPUTED_VALUE"""),42815.64583333333)</f>
        <v>42815.64583</v>
      </c>
      <c r="B3637" s="2">
        <f>IFERROR(__xludf.DUMMYFUNCTION("""COMPUTED_VALUE"""),635.06)</f>
        <v>635.06</v>
      </c>
      <c r="C3637" s="2">
        <f>IFERROR(__xludf.DUMMYFUNCTION("""COMPUTED_VALUE"""),635.9)</f>
        <v>635.9</v>
      </c>
      <c r="D3637" s="2">
        <f>IFERROR(__xludf.DUMMYFUNCTION("""COMPUTED_VALUE"""),623.71)</f>
        <v>623.71</v>
      </c>
      <c r="E3637" s="2">
        <f>IFERROR(__xludf.DUMMYFUNCTION("""COMPUTED_VALUE"""),625.94)</f>
        <v>625.94</v>
      </c>
      <c r="F3637" s="2">
        <f>IFERROR(__xludf.DUMMYFUNCTION("""COMPUTED_VALUE"""),5165107.0)</f>
        <v>5165107</v>
      </c>
    </row>
    <row r="3638">
      <c r="A3638" s="3">
        <f>IFERROR(__xludf.DUMMYFUNCTION("""COMPUTED_VALUE"""),42816.64583333333)</f>
        <v>42816.64583</v>
      </c>
      <c r="B3638" s="2">
        <f>IFERROR(__xludf.DUMMYFUNCTION("""COMPUTED_VALUE"""),620.1)</f>
        <v>620.1</v>
      </c>
      <c r="C3638" s="2">
        <f>IFERROR(__xludf.DUMMYFUNCTION("""COMPUTED_VALUE"""),626.98)</f>
        <v>626.98</v>
      </c>
      <c r="D3638" s="2">
        <f>IFERROR(__xludf.DUMMYFUNCTION("""COMPUTED_VALUE"""),617.4)</f>
        <v>617.4</v>
      </c>
      <c r="E3638" s="2">
        <f>IFERROR(__xludf.DUMMYFUNCTION("""COMPUTED_VALUE"""),623.91)</f>
        <v>623.91</v>
      </c>
      <c r="F3638" s="2">
        <f>IFERROR(__xludf.DUMMYFUNCTION("""COMPUTED_VALUE"""),4638338.0)</f>
        <v>4638338</v>
      </c>
    </row>
    <row r="3639">
      <c r="A3639" s="3">
        <f>IFERROR(__xludf.DUMMYFUNCTION("""COMPUTED_VALUE"""),42817.64583333333)</f>
        <v>42817.64583</v>
      </c>
      <c r="B3639" s="2">
        <f>IFERROR(__xludf.DUMMYFUNCTION("""COMPUTED_VALUE"""),625.62)</f>
        <v>625.62</v>
      </c>
      <c r="C3639" s="2">
        <f>IFERROR(__xludf.DUMMYFUNCTION("""COMPUTED_VALUE"""),632.75)</f>
        <v>632.75</v>
      </c>
      <c r="D3639" s="2">
        <f>IFERROR(__xludf.DUMMYFUNCTION("""COMPUTED_VALUE"""),623.07)</f>
        <v>623.07</v>
      </c>
      <c r="E3639" s="2">
        <f>IFERROR(__xludf.DUMMYFUNCTION("""COMPUTED_VALUE"""),630.65)</f>
        <v>630.65</v>
      </c>
      <c r="F3639" s="2">
        <f>IFERROR(__xludf.DUMMYFUNCTION("""COMPUTED_VALUE"""),2699090.0)</f>
        <v>2699090</v>
      </c>
    </row>
    <row r="3640">
      <c r="A3640" s="3">
        <f>IFERROR(__xludf.DUMMYFUNCTION("""COMPUTED_VALUE"""),42818.64583333333)</f>
        <v>42818.64583</v>
      </c>
      <c r="B3640" s="2">
        <f>IFERROR(__xludf.DUMMYFUNCTION("""COMPUTED_VALUE"""),631.05)</f>
        <v>631.05</v>
      </c>
      <c r="C3640" s="2">
        <f>IFERROR(__xludf.DUMMYFUNCTION("""COMPUTED_VALUE"""),639.91)</f>
        <v>639.91</v>
      </c>
      <c r="D3640" s="2">
        <f>IFERROR(__xludf.DUMMYFUNCTION("""COMPUTED_VALUE"""),628.25)</f>
        <v>628.25</v>
      </c>
      <c r="E3640" s="2">
        <f>IFERROR(__xludf.DUMMYFUNCTION("""COMPUTED_VALUE"""),637.31)</f>
        <v>637.31</v>
      </c>
      <c r="F3640" s="2">
        <f>IFERROR(__xludf.DUMMYFUNCTION("""COMPUTED_VALUE"""),3721911.0)</f>
        <v>3721911</v>
      </c>
    </row>
    <row r="3641">
      <c r="A3641" s="3">
        <f>IFERROR(__xludf.DUMMYFUNCTION("""COMPUTED_VALUE"""),42821.64583333333)</f>
        <v>42821.64583</v>
      </c>
      <c r="B3641" s="2">
        <f>IFERROR(__xludf.DUMMYFUNCTION("""COMPUTED_VALUE"""),629.56)</f>
        <v>629.56</v>
      </c>
      <c r="C3641" s="2">
        <f>IFERROR(__xludf.DUMMYFUNCTION("""COMPUTED_VALUE"""),633.35)</f>
        <v>633.35</v>
      </c>
      <c r="D3641" s="2">
        <f>IFERROR(__xludf.DUMMYFUNCTION("""COMPUTED_VALUE"""),617.72)</f>
        <v>617.72</v>
      </c>
      <c r="E3641" s="2">
        <f>IFERROR(__xludf.DUMMYFUNCTION("""COMPUTED_VALUE"""),619.65)</f>
        <v>619.65</v>
      </c>
      <c r="F3641" s="2">
        <f>IFERROR(__xludf.DUMMYFUNCTION("""COMPUTED_VALUE"""),7418122.0)</f>
        <v>7418122</v>
      </c>
    </row>
    <row r="3642">
      <c r="A3642" s="3">
        <f>IFERROR(__xludf.DUMMYFUNCTION("""COMPUTED_VALUE"""),42822.64583333333)</f>
        <v>42822.64583</v>
      </c>
      <c r="B3642" s="2">
        <f>IFERROR(__xludf.DUMMYFUNCTION("""COMPUTED_VALUE"""),623.07)</f>
        <v>623.07</v>
      </c>
      <c r="C3642" s="2">
        <f>IFERROR(__xludf.DUMMYFUNCTION("""COMPUTED_VALUE"""),626.04)</f>
        <v>626.04</v>
      </c>
      <c r="D3642" s="2">
        <f>IFERROR(__xludf.DUMMYFUNCTION("""COMPUTED_VALUE"""),615.2)</f>
        <v>615.2</v>
      </c>
      <c r="E3642" s="2">
        <f>IFERROR(__xludf.DUMMYFUNCTION("""COMPUTED_VALUE"""),617.0)</f>
        <v>617</v>
      </c>
      <c r="F3642" s="2">
        <f>IFERROR(__xludf.DUMMYFUNCTION("""COMPUTED_VALUE"""),4961934.0)</f>
        <v>4961934</v>
      </c>
    </row>
    <row r="3643">
      <c r="A3643" s="3">
        <f>IFERROR(__xludf.DUMMYFUNCTION("""COMPUTED_VALUE"""),42823.64583333333)</f>
        <v>42823.64583</v>
      </c>
      <c r="B3643" s="2">
        <f>IFERROR(__xludf.DUMMYFUNCTION("""COMPUTED_VALUE"""),619.95)</f>
        <v>619.95</v>
      </c>
      <c r="C3643" s="2">
        <f>IFERROR(__xludf.DUMMYFUNCTION("""COMPUTED_VALUE"""),624.06)</f>
        <v>624.06</v>
      </c>
      <c r="D3643" s="2">
        <f>IFERROR(__xludf.DUMMYFUNCTION("""COMPUTED_VALUE"""),610.86)</f>
        <v>610.86</v>
      </c>
      <c r="E3643" s="2">
        <f>IFERROR(__xludf.DUMMYFUNCTION("""COMPUTED_VALUE"""),622.4)</f>
        <v>622.4</v>
      </c>
      <c r="F3643" s="2">
        <f>IFERROR(__xludf.DUMMYFUNCTION("""COMPUTED_VALUE"""),4325787.0)</f>
        <v>4325787</v>
      </c>
    </row>
    <row r="3644">
      <c r="A3644" s="3">
        <f>IFERROR(__xludf.DUMMYFUNCTION("""COMPUTED_VALUE"""),42824.64583333333)</f>
        <v>42824.64583</v>
      </c>
      <c r="B3644" s="2">
        <f>IFERROR(__xludf.DUMMYFUNCTION("""COMPUTED_VALUE"""),621.59)</f>
        <v>621.59</v>
      </c>
      <c r="C3644" s="2">
        <f>IFERROR(__xludf.DUMMYFUNCTION("""COMPUTED_VALUE"""),631.37)</f>
        <v>631.37</v>
      </c>
      <c r="D3644" s="2">
        <f>IFERROR(__xludf.DUMMYFUNCTION("""COMPUTED_VALUE"""),620.59)</f>
        <v>620.59</v>
      </c>
      <c r="E3644" s="2">
        <f>IFERROR(__xludf.DUMMYFUNCTION("""COMPUTED_VALUE"""),629.34)</f>
        <v>629.34</v>
      </c>
      <c r="F3644" s="2">
        <f>IFERROR(__xludf.DUMMYFUNCTION("""COMPUTED_VALUE"""),6368859.0)</f>
        <v>6368859</v>
      </c>
    </row>
    <row r="3645">
      <c r="A3645" s="3">
        <f>IFERROR(__xludf.DUMMYFUNCTION("""COMPUTED_VALUE"""),42825.64583333333)</f>
        <v>42825.64583</v>
      </c>
      <c r="B3645" s="2">
        <f>IFERROR(__xludf.DUMMYFUNCTION("""COMPUTED_VALUE"""),627.03)</f>
        <v>627.03</v>
      </c>
      <c r="C3645" s="2">
        <f>IFERROR(__xludf.DUMMYFUNCTION("""COMPUTED_VALUE"""),662.52)</f>
        <v>662.52</v>
      </c>
      <c r="D3645" s="2">
        <f>IFERROR(__xludf.DUMMYFUNCTION("""COMPUTED_VALUE"""),627.03)</f>
        <v>627.03</v>
      </c>
      <c r="E3645" s="2">
        <f>IFERROR(__xludf.DUMMYFUNCTION("""COMPUTED_VALUE"""),654.22)</f>
        <v>654.22</v>
      </c>
      <c r="F3645" s="2">
        <f>IFERROR(__xludf.DUMMYFUNCTION("""COMPUTED_VALUE"""),1.0375519E7)</f>
        <v>10375519</v>
      </c>
    </row>
    <row r="3646">
      <c r="A3646" s="3">
        <f>IFERROR(__xludf.DUMMYFUNCTION("""COMPUTED_VALUE"""),42828.64583333333)</f>
        <v>42828.64583</v>
      </c>
      <c r="B3646" s="2">
        <f>IFERROR(__xludf.DUMMYFUNCTION("""COMPUTED_VALUE"""),664.68)</f>
        <v>664.68</v>
      </c>
      <c r="C3646" s="2">
        <f>IFERROR(__xludf.DUMMYFUNCTION("""COMPUTED_VALUE"""),683.74)</f>
        <v>683.74</v>
      </c>
      <c r="D3646" s="2">
        <f>IFERROR(__xludf.DUMMYFUNCTION("""COMPUTED_VALUE"""),662.22)</f>
        <v>662.22</v>
      </c>
      <c r="E3646" s="2">
        <f>IFERROR(__xludf.DUMMYFUNCTION("""COMPUTED_VALUE"""),680.85)</f>
        <v>680.85</v>
      </c>
      <c r="F3646" s="2">
        <f>IFERROR(__xludf.DUMMYFUNCTION("""COMPUTED_VALUE"""),1.0260327E7)</f>
        <v>10260327</v>
      </c>
    </row>
    <row r="3647">
      <c r="A3647" s="3">
        <f>IFERROR(__xludf.DUMMYFUNCTION("""COMPUTED_VALUE"""),42830.64583333333)</f>
        <v>42830.64583</v>
      </c>
      <c r="B3647" s="2">
        <f>IFERROR(__xludf.DUMMYFUNCTION("""COMPUTED_VALUE"""),691.02)</f>
        <v>691.02</v>
      </c>
      <c r="C3647" s="2">
        <f>IFERROR(__xludf.DUMMYFUNCTION("""COMPUTED_VALUE"""),702.32)</f>
        <v>702.32</v>
      </c>
      <c r="D3647" s="2">
        <f>IFERROR(__xludf.DUMMYFUNCTION("""COMPUTED_VALUE"""),683.55)</f>
        <v>683.55</v>
      </c>
      <c r="E3647" s="2">
        <f>IFERROR(__xludf.DUMMYFUNCTION("""COMPUTED_VALUE"""),700.83)</f>
        <v>700.83</v>
      </c>
      <c r="F3647" s="2">
        <f>IFERROR(__xludf.DUMMYFUNCTION("""COMPUTED_VALUE"""),9217360.0)</f>
        <v>9217360</v>
      </c>
    </row>
    <row r="3648">
      <c r="A3648" s="3">
        <f>IFERROR(__xludf.DUMMYFUNCTION("""COMPUTED_VALUE"""),42831.64583333333)</f>
        <v>42831.64583</v>
      </c>
      <c r="B3648" s="2">
        <f>IFERROR(__xludf.DUMMYFUNCTION("""COMPUTED_VALUE"""),697.86)</f>
        <v>697.86</v>
      </c>
      <c r="C3648" s="2">
        <f>IFERROR(__xludf.DUMMYFUNCTION("""COMPUTED_VALUE"""),717.62)</f>
        <v>717.62</v>
      </c>
      <c r="D3648" s="2">
        <f>IFERROR(__xludf.DUMMYFUNCTION("""COMPUTED_VALUE"""),694.49)</f>
        <v>694.49</v>
      </c>
      <c r="E3648" s="2">
        <f>IFERROR(__xludf.DUMMYFUNCTION("""COMPUTED_VALUE"""),712.47)</f>
        <v>712.47</v>
      </c>
      <c r="F3648" s="2">
        <f>IFERROR(__xludf.DUMMYFUNCTION("""COMPUTED_VALUE"""),1.1571075E7)</f>
        <v>11571075</v>
      </c>
    </row>
    <row r="3649">
      <c r="A3649" s="3">
        <f>IFERROR(__xludf.DUMMYFUNCTION("""COMPUTED_VALUE"""),42832.64583333333)</f>
        <v>42832.64583</v>
      </c>
      <c r="B3649" s="2">
        <f>IFERROR(__xludf.DUMMYFUNCTION("""COMPUTED_VALUE"""),703.95)</f>
        <v>703.95</v>
      </c>
      <c r="C3649" s="2">
        <f>IFERROR(__xludf.DUMMYFUNCTION("""COMPUTED_VALUE"""),710.24)</f>
        <v>710.24</v>
      </c>
      <c r="D3649" s="2">
        <f>IFERROR(__xludf.DUMMYFUNCTION("""COMPUTED_VALUE"""),694.66)</f>
        <v>694.66</v>
      </c>
      <c r="E3649" s="2">
        <f>IFERROR(__xludf.DUMMYFUNCTION("""COMPUTED_VALUE"""),696.67)</f>
        <v>696.67</v>
      </c>
      <c r="F3649" s="2">
        <f>IFERROR(__xludf.DUMMYFUNCTION("""COMPUTED_VALUE"""),7286151.0)</f>
        <v>7286151</v>
      </c>
    </row>
    <row r="3650">
      <c r="A3650" s="3">
        <f>IFERROR(__xludf.DUMMYFUNCTION("""COMPUTED_VALUE"""),42835.64583333333)</f>
        <v>42835.64583</v>
      </c>
      <c r="B3650" s="2">
        <f>IFERROR(__xludf.DUMMYFUNCTION("""COMPUTED_VALUE"""),698.35)</f>
        <v>698.35</v>
      </c>
      <c r="C3650" s="2">
        <f>IFERROR(__xludf.DUMMYFUNCTION("""COMPUTED_VALUE"""),705.73)</f>
        <v>705.73</v>
      </c>
      <c r="D3650" s="2">
        <f>IFERROR(__xludf.DUMMYFUNCTION("""COMPUTED_VALUE"""),682.16)</f>
        <v>682.16</v>
      </c>
      <c r="E3650" s="2">
        <f>IFERROR(__xludf.DUMMYFUNCTION("""COMPUTED_VALUE"""),684.16)</f>
        <v>684.16</v>
      </c>
      <c r="F3650" s="2">
        <f>IFERROR(__xludf.DUMMYFUNCTION("""COMPUTED_VALUE"""),7033141.0)</f>
        <v>7033141</v>
      </c>
    </row>
    <row r="3651">
      <c r="A3651" s="3">
        <f>IFERROR(__xludf.DUMMYFUNCTION("""COMPUTED_VALUE"""),42836.64583333333)</f>
        <v>42836.64583</v>
      </c>
      <c r="B3651" s="2">
        <f>IFERROR(__xludf.DUMMYFUNCTION("""COMPUTED_VALUE"""),687.38)</f>
        <v>687.38</v>
      </c>
      <c r="C3651" s="2">
        <f>IFERROR(__xludf.DUMMYFUNCTION("""COMPUTED_VALUE"""),693.62)</f>
        <v>693.62</v>
      </c>
      <c r="D3651" s="2">
        <f>IFERROR(__xludf.DUMMYFUNCTION("""COMPUTED_VALUE"""),678.59)</f>
        <v>678.59</v>
      </c>
      <c r="E3651" s="2">
        <f>IFERROR(__xludf.DUMMYFUNCTION("""COMPUTED_VALUE"""),679.71)</f>
        <v>679.71</v>
      </c>
      <c r="F3651" s="2">
        <f>IFERROR(__xludf.DUMMYFUNCTION("""COMPUTED_VALUE"""),7371727.0)</f>
        <v>7371727</v>
      </c>
    </row>
    <row r="3652">
      <c r="A3652" s="3">
        <f>IFERROR(__xludf.DUMMYFUNCTION("""COMPUTED_VALUE"""),42837.64583333333)</f>
        <v>42837.64583</v>
      </c>
      <c r="B3652" s="2">
        <f>IFERROR(__xludf.DUMMYFUNCTION("""COMPUTED_VALUE"""),684.88)</f>
        <v>684.88</v>
      </c>
      <c r="C3652" s="2">
        <f>IFERROR(__xludf.DUMMYFUNCTION("""COMPUTED_VALUE"""),686.69)</f>
        <v>686.69</v>
      </c>
      <c r="D3652" s="2">
        <f>IFERROR(__xludf.DUMMYFUNCTION("""COMPUTED_VALUE"""),669.21)</f>
        <v>669.21</v>
      </c>
      <c r="E3652" s="2">
        <f>IFERROR(__xludf.DUMMYFUNCTION("""COMPUTED_VALUE"""),670.62)</f>
        <v>670.62</v>
      </c>
      <c r="F3652" s="2">
        <f>IFERROR(__xludf.DUMMYFUNCTION("""COMPUTED_VALUE"""),6274215.0)</f>
        <v>6274215</v>
      </c>
    </row>
    <row r="3653">
      <c r="A3653" s="3">
        <f>IFERROR(__xludf.DUMMYFUNCTION("""COMPUTED_VALUE"""),42838.64583333333)</f>
        <v>42838.64583</v>
      </c>
      <c r="B3653" s="2">
        <f>IFERROR(__xludf.DUMMYFUNCTION("""COMPUTED_VALUE"""),670.62)</f>
        <v>670.62</v>
      </c>
      <c r="C3653" s="2">
        <f>IFERROR(__xludf.DUMMYFUNCTION("""COMPUTED_VALUE"""),680.23)</f>
        <v>680.23</v>
      </c>
      <c r="D3653" s="2">
        <f>IFERROR(__xludf.DUMMYFUNCTION("""COMPUTED_VALUE"""),667.32)</f>
        <v>667.32</v>
      </c>
      <c r="E3653" s="2">
        <f>IFERROR(__xludf.DUMMYFUNCTION("""COMPUTED_VALUE"""),675.97)</f>
        <v>675.97</v>
      </c>
      <c r="F3653" s="2">
        <f>IFERROR(__xludf.DUMMYFUNCTION("""COMPUTED_VALUE"""),2906188.0)</f>
        <v>2906188</v>
      </c>
    </row>
    <row r="3654">
      <c r="A3654" s="3">
        <f>IFERROR(__xludf.DUMMYFUNCTION("""COMPUTED_VALUE"""),42842.64583333333)</f>
        <v>42842.64583</v>
      </c>
      <c r="B3654" s="2">
        <f>IFERROR(__xludf.DUMMYFUNCTION("""COMPUTED_VALUE"""),676.07)</f>
        <v>676.07</v>
      </c>
      <c r="C3654" s="2">
        <f>IFERROR(__xludf.DUMMYFUNCTION("""COMPUTED_VALUE"""),691.2)</f>
        <v>691.2</v>
      </c>
      <c r="D3654" s="2">
        <f>IFERROR(__xludf.DUMMYFUNCTION("""COMPUTED_VALUE"""),676.07)</f>
        <v>676.07</v>
      </c>
      <c r="E3654" s="2">
        <f>IFERROR(__xludf.DUMMYFUNCTION("""COMPUTED_VALUE"""),689.37)</f>
        <v>689.37</v>
      </c>
      <c r="F3654" s="2">
        <f>IFERROR(__xludf.DUMMYFUNCTION("""COMPUTED_VALUE"""),2705854.0)</f>
        <v>2705854</v>
      </c>
    </row>
    <row r="3655">
      <c r="A3655" s="3">
        <f>IFERROR(__xludf.DUMMYFUNCTION("""COMPUTED_VALUE"""),42843.64583333333)</f>
        <v>42843.64583</v>
      </c>
      <c r="B3655" s="2">
        <f>IFERROR(__xludf.DUMMYFUNCTION("""COMPUTED_VALUE"""),693.38)</f>
        <v>693.38</v>
      </c>
      <c r="C3655" s="2">
        <f>IFERROR(__xludf.DUMMYFUNCTION("""COMPUTED_VALUE"""),698.35)</f>
        <v>698.35</v>
      </c>
      <c r="D3655" s="2">
        <f>IFERROR(__xludf.DUMMYFUNCTION("""COMPUTED_VALUE"""),677.06)</f>
        <v>677.06</v>
      </c>
      <c r="E3655" s="2">
        <f>IFERROR(__xludf.DUMMYFUNCTION("""COMPUTED_VALUE"""),678.64)</f>
        <v>678.64</v>
      </c>
      <c r="F3655" s="2">
        <f>IFERROR(__xludf.DUMMYFUNCTION("""COMPUTED_VALUE"""),3661083.0)</f>
        <v>3661083</v>
      </c>
    </row>
    <row r="3656">
      <c r="A3656" s="3">
        <f>IFERROR(__xludf.DUMMYFUNCTION("""COMPUTED_VALUE"""),42844.64583333333)</f>
        <v>42844.64583</v>
      </c>
      <c r="B3656" s="2">
        <f>IFERROR(__xludf.DUMMYFUNCTION("""COMPUTED_VALUE"""),678.05)</f>
        <v>678.05</v>
      </c>
      <c r="C3656" s="2">
        <f>IFERROR(__xludf.DUMMYFUNCTION("""COMPUTED_VALUE"""),684.76)</f>
        <v>684.76</v>
      </c>
      <c r="D3656" s="2">
        <f>IFERROR(__xludf.DUMMYFUNCTION("""COMPUTED_VALUE"""),672.38)</f>
        <v>672.38</v>
      </c>
      <c r="E3656" s="2">
        <f>IFERROR(__xludf.DUMMYFUNCTION("""COMPUTED_VALUE"""),677.95)</f>
        <v>677.95</v>
      </c>
      <c r="F3656" s="2">
        <f>IFERROR(__xludf.DUMMYFUNCTION("""COMPUTED_VALUE"""),2645292.0)</f>
        <v>2645292</v>
      </c>
    </row>
    <row r="3657">
      <c r="A3657" s="3">
        <f>IFERROR(__xludf.DUMMYFUNCTION("""COMPUTED_VALUE"""),42845.64583333333)</f>
        <v>42845.64583</v>
      </c>
      <c r="B3657" s="2">
        <f>IFERROR(__xludf.DUMMYFUNCTION("""COMPUTED_VALUE"""),683.0)</f>
        <v>683</v>
      </c>
      <c r="C3657" s="2">
        <f>IFERROR(__xludf.DUMMYFUNCTION("""COMPUTED_VALUE"""),686.86)</f>
        <v>686.86</v>
      </c>
      <c r="D3657" s="2">
        <f>IFERROR(__xludf.DUMMYFUNCTION("""COMPUTED_VALUE"""),675.62)</f>
        <v>675.62</v>
      </c>
      <c r="E3657" s="2">
        <f>IFERROR(__xludf.DUMMYFUNCTION("""COMPUTED_VALUE"""),678.32)</f>
        <v>678.32</v>
      </c>
      <c r="F3657" s="2">
        <f>IFERROR(__xludf.DUMMYFUNCTION("""COMPUTED_VALUE"""),1918612.0)</f>
        <v>1918612</v>
      </c>
    </row>
    <row r="3658">
      <c r="A3658" s="3">
        <f>IFERROR(__xludf.DUMMYFUNCTION("""COMPUTED_VALUE"""),42846.64583333333)</f>
        <v>42846.64583</v>
      </c>
      <c r="B3658" s="2">
        <f>IFERROR(__xludf.DUMMYFUNCTION("""COMPUTED_VALUE"""),683.74)</f>
        <v>683.74</v>
      </c>
      <c r="C3658" s="2">
        <f>IFERROR(__xludf.DUMMYFUNCTION("""COMPUTED_VALUE"""),703.8)</f>
        <v>703.8</v>
      </c>
      <c r="D3658" s="2">
        <f>IFERROR(__xludf.DUMMYFUNCTION("""COMPUTED_VALUE"""),682.78)</f>
        <v>682.78</v>
      </c>
      <c r="E3658" s="2">
        <f>IFERROR(__xludf.DUMMYFUNCTION("""COMPUTED_VALUE"""),694.64)</f>
        <v>694.64</v>
      </c>
      <c r="F3658" s="2">
        <f>IFERROR(__xludf.DUMMYFUNCTION("""COMPUTED_VALUE"""),6910277.0)</f>
        <v>6910277</v>
      </c>
    </row>
    <row r="3659">
      <c r="A3659" s="3">
        <f>IFERROR(__xludf.DUMMYFUNCTION("""COMPUTED_VALUE"""),42849.64583333333)</f>
        <v>42849.64583</v>
      </c>
      <c r="B3659" s="2">
        <f>IFERROR(__xludf.DUMMYFUNCTION("""COMPUTED_VALUE"""),697.88)</f>
        <v>697.88</v>
      </c>
      <c r="C3659" s="2">
        <f>IFERROR(__xludf.DUMMYFUNCTION("""COMPUTED_VALUE"""),710.74)</f>
        <v>710.74</v>
      </c>
      <c r="D3659" s="2">
        <f>IFERROR(__xludf.DUMMYFUNCTION("""COMPUTED_VALUE"""),693.5)</f>
        <v>693.5</v>
      </c>
      <c r="E3659" s="2">
        <f>IFERROR(__xludf.DUMMYFUNCTION("""COMPUTED_VALUE"""),702.02)</f>
        <v>702.02</v>
      </c>
      <c r="F3659" s="2">
        <f>IFERROR(__xludf.DUMMYFUNCTION("""COMPUTED_VALUE"""),5831731.0)</f>
        <v>5831731</v>
      </c>
    </row>
    <row r="3660">
      <c r="A3660" s="3">
        <f>IFERROR(__xludf.DUMMYFUNCTION("""COMPUTED_VALUE"""),42850.64583333333)</f>
        <v>42850.64583</v>
      </c>
      <c r="B3660" s="2">
        <f>IFERROR(__xludf.DUMMYFUNCTION("""COMPUTED_VALUE"""),723.12)</f>
        <v>723.12</v>
      </c>
      <c r="C3660" s="2">
        <f>IFERROR(__xludf.DUMMYFUNCTION("""COMPUTED_VALUE"""),726.96)</f>
        <v>726.96</v>
      </c>
      <c r="D3660" s="2">
        <f>IFERROR(__xludf.DUMMYFUNCTION("""COMPUTED_VALUE"""),706.33)</f>
        <v>706.33</v>
      </c>
      <c r="E3660" s="2">
        <f>IFERROR(__xludf.DUMMYFUNCTION("""COMPUTED_VALUE"""),709.65)</f>
        <v>709.65</v>
      </c>
      <c r="F3660" s="2">
        <f>IFERROR(__xludf.DUMMYFUNCTION("""COMPUTED_VALUE"""),8403704.0)</f>
        <v>8403704</v>
      </c>
    </row>
    <row r="3661">
      <c r="A3661" s="3">
        <f>IFERROR(__xludf.DUMMYFUNCTION("""COMPUTED_VALUE"""),42851.64583333333)</f>
        <v>42851.64583</v>
      </c>
      <c r="B3661" s="2">
        <f>IFERROR(__xludf.DUMMYFUNCTION("""COMPUTED_VALUE"""),710.74)</f>
        <v>710.74</v>
      </c>
      <c r="C3661" s="2">
        <f>IFERROR(__xludf.DUMMYFUNCTION("""COMPUTED_VALUE"""),713.24)</f>
        <v>713.24</v>
      </c>
      <c r="D3661" s="2">
        <f>IFERROR(__xludf.DUMMYFUNCTION("""COMPUTED_VALUE"""),694.69)</f>
        <v>694.69</v>
      </c>
      <c r="E3661" s="2">
        <f>IFERROR(__xludf.DUMMYFUNCTION("""COMPUTED_VALUE"""),701.55)</f>
        <v>701.55</v>
      </c>
      <c r="F3661" s="2">
        <f>IFERROR(__xludf.DUMMYFUNCTION("""COMPUTED_VALUE"""),3831775.0)</f>
        <v>3831775</v>
      </c>
    </row>
    <row r="3662">
      <c r="A3662" s="3">
        <f>IFERROR(__xludf.DUMMYFUNCTION("""COMPUTED_VALUE"""),42852.64583333333)</f>
        <v>42852.64583</v>
      </c>
      <c r="B3662" s="2">
        <f>IFERROR(__xludf.DUMMYFUNCTION("""COMPUTED_VALUE"""),701.82)</f>
        <v>701.82</v>
      </c>
      <c r="C3662" s="2">
        <f>IFERROR(__xludf.DUMMYFUNCTION("""COMPUTED_VALUE"""),705.36)</f>
        <v>705.36</v>
      </c>
      <c r="D3662" s="2">
        <f>IFERROR(__xludf.DUMMYFUNCTION("""COMPUTED_VALUE"""),694.49)</f>
        <v>694.49</v>
      </c>
      <c r="E3662" s="2">
        <f>IFERROR(__xludf.DUMMYFUNCTION("""COMPUTED_VALUE"""),698.11)</f>
        <v>698.11</v>
      </c>
      <c r="F3662" s="2">
        <f>IFERROR(__xludf.DUMMYFUNCTION("""COMPUTED_VALUE"""),2873655.0)</f>
        <v>2873655</v>
      </c>
    </row>
    <row r="3663">
      <c r="A3663" s="3">
        <f>IFERROR(__xludf.DUMMYFUNCTION("""COMPUTED_VALUE"""),42853.64583333333)</f>
        <v>42853.64583</v>
      </c>
      <c r="B3663" s="2">
        <f>IFERROR(__xludf.DUMMYFUNCTION("""COMPUTED_VALUE"""),698.23)</f>
        <v>698.23</v>
      </c>
      <c r="C3663" s="2">
        <f>IFERROR(__xludf.DUMMYFUNCTION("""COMPUTED_VALUE"""),703.46)</f>
        <v>703.46</v>
      </c>
      <c r="D3663" s="2">
        <f>IFERROR(__xludf.DUMMYFUNCTION("""COMPUTED_VALUE"""),688.94)</f>
        <v>688.94</v>
      </c>
      <c r="E3663" s="2">
        <f>IFERROR(__xludf.DUMMYFUNCTION("""COMPUTED_VALUE"""),691.02)</f>
        <v>691.02</v>
      </c>
      <c r="F3663" s="2">
        <f>IFERROR(__xludf.DUMMYFUNCTION("""COMPUTED_VALUE"""),2708404.0)</f>
        <v>2708404</v>
      </c>
    </row>
    <row r="3664">
      <c r="A3664" s="3">
        <f>IFERROR(__xludf.DUMMYFUNCTION("""COMPUTED_VALUE"""),42857.64583333333)</f>
        <v>42857.64583</v>
      </c>
      <c r="B3664" s="2">
        <f>IFERROR(__xludf.DUMMYFUNCTION("""COMPUTED_VALUE"""),694.39)</f>
        <v>694.39</v>
      </c>
      <c r="C3664" s="2">
        <f>IFERROR(__xludf.DUMMYFUNCTION("""COMPUTED_VALUE"""),694.39)</f>
        <v>694.39</v>
      </c>
      <c r="D3664" s="2">
        <f>IFERROR(__xludf.DUMMYFUNCTION("""COMPUTED_VALUE"""),676.71)</f>
        <v>676.71</v>
      </c>
      <c r="E3664" s="2">
        <f>IFERROR(__xludf.DUMMYFUNCTION("""COMPUTED_VALUE"""),678.82)</f>
        <v>678.82</v>
      </c>
      <c r="F3664" s="2">
        <f>IFERROR(__xludf.DUMMYFUNCTION("""COMPUTED_VALUE"""),4249684.0)</f>
        <v>4249684</v>
      </c>
    </row>
    <row r="3665">
      <c r="A3665" s="3">
        <f>IFERROR(__xludf.DUMMYFUNCTION("""COMPUTED_VALUE"""),42858.64583333333)</f>
        <v>42858.64583</v>
      </c>
      <c r="B3665" s="2">
        <f>IFERROR(__xludf.DUMMYFUNCTION("""COMPUTED_VALUE"""),681.96)</f>
        <v>681.96</v>
      </c>
      <c r="C3665" s="2">
        <f>IFERROR(__xludf.DUMMYFUNCTION("""COMPUTED_VALUE"""),683.87)</f>
        <v>683.87</v>
      </c>
      <c r="D3665" s="2">
        <f>IFERROR(__xludf.DUMMYFUNCTION("""COMPUTED_VALUE"""),676.07)</f>
        <v>676.07</v>
      </c>
      <c r="E3665" s="2">
        <f>IFERROR(__xludf.DUMMYFUNCTION("""COMPUTED_VALUE"""),678.59)</f>
        <v>678.59</v>
      </c>
      <c r="F3665" s="2">
        <f>IFERROR(__xludf.DUMMYFUNCTION("""COMPUTED_VALUE"""),2171549.0)</f>
        <v>2171549</v>
      </c>
    </row>
    <row r="3666">
      <c r="A3666" s="3">
        <f>IFERROR(__xludf.DUMMYFUNCTION("""COMPUTED_VALUE"""),42859.64583333333)</f>
        <v>42859.64583</v>
      </c>
      <c r="B3666" s="2">
        <f>IFERROR(__xludf.DUMMYFUNCTION("""COMPUTED_VALUE"""),681.02)</f>
        <v>681.02</v>
      </c>
      <c r="C3666" s="2">
        <f>IFERROR(__xludf.DUMMYFUNCTION("""COMPUTED_VALUE"""),683.3)</f>
        <v>683.3</v>
      </c>
      <c r="D3666" s="2">
        <f>IFERROR(__xludf.DUMMYFUNCTION("""COMPUTED_VALUE"""),670.64)</f>
        <v>670.64</v>
      </c>
      <c r="E3666" s="2">
        <f>IFERROR(__xludf.DUMMYFUNCTION("""COMPUTED_VALUE"""),672.57)</f>
        <v>672.57</v>
      </c>
      <c r="F3666" s="2">
        <f>IFERROR(__xludf.DUMMYFUNCTION("""COMPUTED_VALUE"""),3283811.0)</f>
        <v>3283811</v>
      </c>
    </row>
    <row r="3667">
      <c r="A3667" s="3">
        <f>IFERROR(__xludf.DUMMYFUNCTION("""COMPUTED_VALUE"""),42860.64583333333)</f>
        <v>42860.64583</v>
      </c>
      <c r="B3667" s="2">
        <f>IFERROR(__xludf.DUMMYFUNCTION("""COMPUTED_VALUE"""),674.38)</f>
        <v>674.38</v>
      </c>
      <c r="C3667" s="2">
        <f>IFERROR(__xludf.DUMMYFUNCTION("""COMPUTED_VALUE"""),677.23)</f>
        <v>677.23</v>
      </c>
      <c r="D3667" s="2">
        <f>IFERROR(__xludf.DUMMYFUNCTION("""COMPUTED_VALUE"""),656.26)</f>
        <v>656.26</v>
      </c>
      <c r="E3667" s="2">
        <f>IFERROR(__xludf.DUMMYFUNCTION("""COMPUTED_VALUE"""),657.86)</f>
        <v>657.86</v>
      </c>
      <c r="F3667" s="2">
        <f>IFERROR(__xludf.DUMMYFUNCTION("""COMPUTED_VALUE"""),3565543.0)</f>
        <v>3565543</v>
      </c>
    </row>
    <row r="3668">
      <c r="A3668" s="3">
        <f>IFERROR(__xludf.DUMMYFUNCTION("""COMPUTED_VALUE"""),42863.64583333333)</f>
        <v>42863.64583</v>
      </c>
      <c r="B3668" s="2">
        <f>IFERROR(__xludf.DUMMYFUNCTION("""COMPUTED_VALUE"""),658.73)</f>
        <v>658.73</v>
      </c>
      <c r="C3668" s="2">
        <f>IFERROR(__xludf.DUMMYFUNCTION("""COMPUTED_VALUE"""),663.44)</f>
        <v>663.44</v>
      </c>
      <c r="D3668" s="2">
        <f>IFERROR(__xludf.DUMMYFUNCTION("""COMPUTED_VALUE"""),652.96)</f>
        <v>652.96</v>
      </c>
      <c r="E3668" s="2">
        <f>IFERROR(__xludf.DUMMYFUNCTION("""COMPUTED_VALUE"""),654.47)</f>
        <v>654.47</v>
      </c>
      <c r="F3668" s="2">
        <f>IFERROR(__xludf.DUMMYFUNCTION("""COMPUTED_VALUE"""),3672585.0)</f>
        <v>3672585</v>
      </c>
    </row>
    <row r="3669">
      <c r="A3669" s="3">
        <f>IFERROR(__xludf.DUMMYFUNCTION("""COMPUTED_VALUE"""),42864.64583333333)</f>
        <v>42864.64583</v>
      </c>
      <c r="B3669" s="2">
        <f>IFERROR(__xludf.DUMMYFUNCTION("""COMPUTED_VALUE"""),655.76)</f>
        <v>655.76</v>
      </c>
      <c r="C3669" s="2">
        <f>IFERROR(__xludf.DUMMYFUNCTION("""COMPUTED_VALUE"""),660.54)</f>
        <v>660.54</v>
      </c>
      <c r="D3669" s="2">
        <f>IFERROR(__xludf.DUMMYFUNCTION("""COMPUTED_VALUE"""),653.9)</f>
        <v>653.9</v>
      </c>
      <c r="E3669" s="2">
        <f>IFERROR(__xludf.DUMMYFUNCTION("""COMPUTED_VALUE"""),658.9)</f>
        <v>658.9</v>
      </c>
      <c r="F3669" s="2">
        <f>IFERROR(__xludf.DUMMYFUNCTION("""COMPUTED_VALUE"""),4824511.0)</f>
        <v>4824511</v>
      </c>
    </row>
    <row r="3670">
      <c r="A3670" s="3">
        <f>IFERROR(__xludf.DUMMYFUNCTION("""COMPUTED_VALUE"""),42865.64583333333)</f>
        <v>42865.64583</v>
      </c>
      <c r="B3670" s="2">
        <f>IFERROR(__xludf.DUMMYFUNCTION("""COMPUTED_VALUE"""),661.11)</f>
        <v>661.11</v>
      </c>
      <c r="C3670" s="2">
        <f>IFERROR(__xludf.DUMMYFUNCTION("""COMPUTED_VALUE"""),675.37)</f>
        <v>675.37</v>
      </c>
      <c r="D3670" s="2">
        <f>IFERROR(__xludf.DUMMYFUNCTION("""COMPUTED_VALUE"""),659.05)</f>
        <v>659.05</v>
      </c>
      <c r="E3670" s="2">
        <f>IFERROR(__xludf.DUMMYFUNCTION("""COMPUTED_VALUE"""),673.14)</f>
        <v>673.14</v>
      </c>
      <c r="F3670" s="2">
        <f>IFERROR(__xludf.DUMMYFUNCTION("""COMPUTED_VALUE"""),5235932.0)</f>
        <v>5235932</v>
      </c>
    </row>
    <row r="3671">
      <c r="A3671" s="3">
        <f>IFERROR(__xludf.DUMMYFUNCTION("""COMPUTED_VALUE"""),42866.64583333333)</f>
        <v>42866.64583</v>
      </c>
      <c r="B3671" s="2">
        <f>IFERROR(__xludf.DUMMYFUNCTION("""COMPUTED_VALUE"""),675.62)</f>
        <v>675.62</v>
      </c>
      <c r="C3671" s="2">
        <f>IFERROR(__xludf.DUMMYFUNCTION("""COMPUTED_VALUE"""),678.42)</f>
        <v>678.42</v>
      </c>
      <c r="D3671" s="2">
        <f>IFERROR(__xludf.DUMMYFUNCTION("""COMPUTED_VALUE"""),669.45)</f>
        <v>669.45</v>
      </c>
      <c r="E3671" s="2">
        <f>IFERROR(__xludf.DUMMYFUNCTION("""COMPUTED_VALUE"""),673.37)</f>
        <v>673.37</v>
      </c>
      <c r="F3671" s="2">
        <f>IFERROR(__xludf.DUMMYFUNCTION("""COMPUTED_VALUE"""),3150756.0)</f>
        <v>3150756</v>
      </c>
    </row>
    <row r="3672">
      <c r="A3672" s="3">
        <f>IFERROR(__xludf.DUMMYFUNCTION("""COMPUTED_VALUE"""),42867.64583333333)</f>
        <v>42867.64583</v>
      </c>
      <c r="B3672" s="2">
        <f>IFERROR(__xludf.DUMMYFUNCTION("""COMPUTED_VALUE"""),673.61)</f>
        <v>673.61</v>
      </c>
      <c r="C3672" s="2">
        <f>IFERROR(__xludf.DUMMYFUNCTION("""COMPUTED_VALUE"""),675.57)</f>
        <v>675.57</v>
      </c>
      <c r="D3672" s="2">
        <f>IFERROR(__xludf.DUMMYFUNCTION("""COMPUTED_VALUE"""),665.69)</f>
        <v>665.69</v>
      </c>
      <c r="E3672" s="2">
        <f>IFERROR(__xludf.DUMMYFUNCTION("""COMPUTED_VALUE"""),668.86)</f>
        <v>668.86</v>
      </c>
      <c r="F3672" s="2">
        <f>IFERROR(__xludf.DUMMYFUNCTION("""COMPUTED_VALUE"""),1719729.0)</f>
        <v>1719729</v>
      </c>
    </row>
    <row r="3673">
      <c r="A3673" s="3">
        <f>IFERROR(__xludf.DUMMYFUNCTION("""COMPUTED_VALUE"""),42870.64583333333)</f>
        <v>42870.64583</v>
      </c>
      <c r="B3673" s="2">
        <f>IFERROR(__xludf.DUMMYFUNCTION("""COMPUTED_VALUE"""),671.81)</f>
        <v>671.81</v>
      </c>
      <c r="C3673" s="2">
        <f>IFERROR(__xludf.DUMMYFUNCTION("""COMPUTED_VALUE"""),671.81)</f>
        <v>671.81</v>
      </c>
      <c r="D3673" s="2">
        <f>IFERROR(__xludf.DUMMYFUNCTION("""COMPUTED_VALUE"""),660.47)</f>
        <v>660.47</v>
      </c>
      <c r="E3673" s="2">
        <f>IFERROR(__xludf.DUMMYFUNCTION("""COMPUTED_VALUE"""),665.72)</f>
        <v>665.72</v>
      </c>
      <c r="F3673" s="2">
        <f>IFERROR(__xludf.DUMMYFUNCTION("""COMPUTED_VALUE"""),1540213.0)</f>
        <v>1540213</v>
      </c>
    </row>
    <row r="3674">
      <c r="A3674" s="3">
        <f>IFERROR(__xludf.DUMMYFUNCTION("""COMPUTED_VALUE"""),42871.64583333333)</f>
        <v>42871.64583</v>
      </c>
      <c r="B3674" s="2">
        <f>IFERROR(__xludf.DUMMYFUNCTION("""COMPUTED_VALUE"""),666.68)</f>
        <v>666.68</v>
      </c>
      <c r="C3674" s="2">
        <f>IFERROR(__xludf.DUMMYFUNCTION("""COMPUTED_VALUE"""),681.96)</f>
        <v>681.96</v>
      </c>
      <c r="D3674" s="2">
        <f>IFERROR(__xludf.DUMMYFUNCTION("""COMPUTED_VALUE"""),664.18)</f>
        <v>664.18</v>
      </c>
      <c r="E3674" s="2">
        <f>IFERROR(__xludf.DUMMYFUNCTION("""COMPUTED_VALUE"""),671.76)</f>
        <v>671.76</v>
      </c>
      <c r="F3674" s="2">
        <f>IFERROR(__xludf.DUMMYFUNCTION("""COMPUTED_VALUE"""),2892947.0)</f>
        <v>2892947</v>
      </c>
    </row>
    <row r="3675">
      <c r="A3675" s="3">
        <f>IFERROR(__xludf.DUMMYFUNCTION("""COMPUTED_VALUE"""),42872.64583333333)</f>
        <v>42872.64583</v>
      </c>
      <c r="B3675" s="2">
        <f>IFERROR(__xludf.DUMMYFUNCTION("""COMPUTED_VALUE"""),670.12)</f>
        <v>670.12</v>
      </c>
      <c r="C3675" s="2">
        <f>IFERROR(__xludf.DUMMYFUNCTION("""COMPUTED_VALUE"""),676.54)</f>
        <v>676.54</v>
      </c>
      <c r="D3675" s="2">
        <f>IFERROR(__xludf.DUMMYFUNCTION("""COMPUTED_VALUE"""),667.52)</f>
        <v>667.52</v>
      </c>
      <c r="E3675" s="2">
        <f>IFERROR(__xludf.DUMMYFUNCTION("""COMPUTED_VALUE"""),670.17)</f>
        <v>670.17</v>
      </c>
      <c r="F3675" s="2">
        <f>IFERROR(__xludf.DUMMYFUNCTION("""COMPUTED_VALUE"""),2250304.0)</f>
        <v>2250304</v>
      </c>
    </row>
    <row r="3676">
      <c r="A3676" s="3">
        <f>IFERROR(__xludf.DUMMYFUNCTION("""COMPUTED_VALUE"""),42873.64583333333)</f>
        <v>42873.64583</v>
      </c>
      <c r="B3676" s="2">
        <f>IFERROR(__xludf.DUMMYFUNCTION("""COMPUTED_VALUE"""),663.81)</f>
        <v>663.81</v>
      </c>
      <c r="C3676" s="2">
        <f>IFERROR(__xludf.DUMMYFUNCTION("""COMPUTED_VALUE"""),668.64)</f>
        <v>668.64</v>
      </c>
      <c r="D3676" s="2">
        <f>IFERROR(__xludf.DUMMYFUNCTION("""COMPUTED_VALUE"""),655.81)</f>
        <v>655.81</v>
      </c>
      <c r="E3676" s="2">
        <f>IFERROR(__xludf.DUMMYFUNCTION("""COMPUTED_VALUE"""),657.42)</f>
        <v>657.42</v>
      </c>
      <c r="F3676" s="2">
        <f>IFERROR(__xludf.DUMMYFUNCTION("""COMPUTED_VALUE"""),2237916.0)</f>
        <v>2237916</v>
      </c>
    </row>
    <row r="3677">
      <c r="A3677" s="3">
        <f>IFERROR(__xludf.DUMMYFUNCTION("""COMPUTED_VALUE"""),42874.64583333333)</f>
        <v>42874.64583</v>
      </c>
      <c r="B3677" s="2">
        <f>IFERROR(__xludf.DUMMYFUNCTION("""COMPUTED_VALUE"""),660.22)</f>
        <v>660.22</v>
      </c>
      <c r="C3677" s="2">
        <f>IFERROR(__xludf.DUMMYFUNCTION("""COMPUTED_VALUE"""),661.55)</f>
        <v>661.55</v>
      </c>
      <c r="D3677" s="2">
        <f>IFERROR(__xludf.DUMMYFUNCTION("""COMPUTED_VALUE"""),648.83)</f>
        <v>648.83</v>
      </c>
      <c r="E3677" s="2">
        <f>IFERROR(__xludf.DUMMYFUNCTION("""COMPUTED_VALUE"""),653.21)</f>
        <v>653.21</v>
      </c>
      <c r="F3677" s="2">
        <f>IFERROR(__xludf.DUMMYFUNCTION("""COMPUTED_VALUE"""),2928883.0)</f>
        <v>2928883</v>
      </c>
    </row>
    <row r="3678">
      <c r="A3678" s="3">
        <f>IFERROR(__xludf.DUMMYFUNCTION("""COMPUTED_VALUE"""),42877.64583333333)</f>
        <v>42877.64583</v>
      </c>
      <c r="B3678" s="2">
        <f>IFERROR(__xludf.DUMMYFUNCTION("""COMPUTED_VALUE"""),657.0)</f>
        <v>657</v>
      </c>
      <c r="C3678" s="2">
        <f>IFERROR(__xludf.DUMMYFUNCTION("""COMPUTED_VALUE"""),660.51)</f>
        <v>660.51</v>
      </c>
      <c r="D3678" s="2">
        <f>IFERROR(__xludf.DUMMYFUNCTION("""COMPUTED_VALUE"""),651.4)</f>
        <v>651.4</v>
      </c>
      <c r="E3678" s="2">
        <f>IFERROR(__xludf.DUMMYFUNCTION("""COMPUTED_VALUE"""),655.83)</f>
        <v>655.83</v>
      </c>
      <c r="F3678" s="2">
        <f>IFERROR(__xludf.DUMMYFUNCTION("""COMPUTED_VALUE"""),2011859.0)</f>
        <v>2011859</v>
      </c>
    </row>
    <row r="3679">
      <c r="A3679" s="3">
        <f>IFERROR(__xludf.DUMMYFUNCTION("""COMPUTED_VALUE"""),42878.64583333333)</f>
        <v>42878.64583</v>
      </c>
      <c r="B3679" s="2">
        <f>IFERROR(__xludf.DUMMYFUNCTION("""COMPUTED_VALUE"""),656.6)</f>
        <v>656.6</v>
      </c>
      <c r="C3679" s="2">
        <f>IFERROR(__xludf.DUMMYFUNCTION("""COMPUTED_VALUE"""),658.66)</f>
        <v>658.66</v>
      </c>
      <c r="D3679" s="2">
        <f>IFERROR(__xludf.DUMMYFUNCTION("""COMPUTED_VALUE"""),644.86)</f>
        <v>644.86</v>
      </c>
      <c r="E3679" s="2">
        <f>IFERROR(__xludf.DUMMYFUNCTION("""COMPUTED_VALUE"""),646.62)</f>
        <v>646.62</v>
      </c>
      <c r="F3679" s="2">
        <f>IFERROR(__xludf.DUMMYFUNCTION("""COMPUTED_VALUE"""),2108223.0)</f>
        <v>2108223</v>
      </c>
    </row>
    <row r="3680">
      <c r="A3680" s="3">
        <f>IFERROR(__xludf.DUMMYFUNCTION("""COMPUTED_VALUE"""),42879.64583333333)</f>
        <v>42879.64583</v>
      </c>
      <c r="B3680" s="2">
        <f>IFERROR(__xludf.DUMMYFUNCTION("""COMPUTED_VALUE"""),647.59)</f>
        <v>647.59</v>
      </c>
      <c r="C3680" s="2">
        <f>IFERROR(__xludf.DUMMYFUNCTION("""COMPUTED_VALUE"""),650.66)</f>
        <v>650.66</v>
      </c>
      <c r="D3680" s="2">
        <f>IFERROR(__xludf.DUMMYFUNCTION("""COMPUTED_VALUE"""),641.45)</f>
        <v>641.45</v>
      </c>
      <c r="E3680" s="2">
        <f>IFERROR(__xludf.DUMMYFUNCTION("""COMPUTED_VALUE"""),642.73)</f>
        <v>642.73</v>
      </c>
      <c r="F3680" s="2">
        <f>IFERROR(__xludf.DUMMYFUNCTION("""COMPUTED_VALUE"""),3274804.0)</f>
        <v>3274804</v>
      </c>
    </row>
    <row r="3681">
      <c r="A3681" s="3">
        <f>IFERROR(__xludf.DUMMYFUNCTION("""COMPUTED_VALUE"""),42880.64583333333)</f>
        <v>42880.64583</v>
      </c>
      <c r="B3681" s="2">
        <f>IFERROR(__xludf.DUMMYFUNCTION("""COMPUTED_VALUE"""),643.87)</f>
        <v>643.87</v>
      </c>
      <c r="C3681" s="2">
        <f>IFERROR(__xludf.DUMMYFUNCTION("""COMPUTED_VALUE"""),650.01)</f>
        <v>650.01</v>
      </c>
      <c r="D3681" s="2">
        <f>IFERROR(__xludf.DUMMYFUNCTION("""COMPUTED_VALUE"""),642.11)</f>
        <v>642.11</v>
      </c>
      <c r="E3681" s="2">
        <f>IFERROR(__xludf.DUMMYFUNCTION("""COMPUTED_VALUE"""),645.09)</f>
        <v>645.09</v>
      </c>
      <c r="F3681" s="2">
        <f>IFERROR(__xludf.DUMMYFUNCTION("""COMPUTED_VALUE"""),5925335.0)</f>
        <v>5925335</v>
      </c>
    </row>
    <row r="3682">
      <c r="A3682" s="3">
        <f>IFERROR(__xludf.DUMMYFUNCTION("""COMPUTED_VALUE"""),42881.64583333333)</f>
        <v>42881.64583</v>
      </c>
      <c r="B3682" s="2">
        <f>IFERROR(__xludf.DUMMYFUNCTION("""COMPUTED_VALUE"""),645.83)</f>
        <v>645.83</v>
      </c>
      <c r="C3682" s="2">
        <f>IFERROR(__xludf.DUMMYFUNCTION("""COMPUTED_VALUE"""),665.86)</f>
        <v>665.86</v>
      </c>
      <c r="D3682" s="2">
        <f>IFERROR(__xludf.DUMMYFUNCTION("""COMPUTED_VALUE"""),643.87)</f>
        <v>643.87</v>
      </c>
      <c r="E3682" s="2">
        <f>IFERROR(__xludf.DUMMYFUNCTION("""COMPUTED_VALUE"""),662.35)</f>
        <v>662.35</v>
      </c>
      <c r="F3682" s="2">
        <f>IFERROR(__xludf.DUMMYFUNCTION("""COMPUTED_VALUE"""),4898639.0)</f>
        <v>4898639</v>
      </c>
    </row>
    <row r="3683">
      <c r="A3683" s="3">
        <f>IFERROR(__xludf.DUMMYFUNCTION("""COMPUTED_VALUE"""),42884.64583333333)</f>
        <v>42884.64583</v>
      </c>
      <c r="B3683" s="2">
        <f>IFERROR(__xludf.DUMMYFUNCTION("""COMPUTED_VALUE"""),662.2)</f>
        <v>662.2</v>
      </c>
      <c r="C3683" s="2">
        <f>IFERROR(__xludf.DUMMYFUNCTION("""COMPUTED_VALUE"""),676.29)</f>
        <v>676.29</v>
      </c>
      <c r="D3683" s="2">
        <f>IFERROR(__xludf.DUMMYFUNCTION("""COMPUTED_VALUE"""),661.51)</f>
        <v>661.51</v>
      </c>
      <c r="E3683" s="2">
        <f>IFERROR(__xludf.DUMMYFUNCTION("""COMPUTED_VALUE"""),672.05)</f>
        <v>672.05</v>
      </c>
      <c r="F3683" s="2">
        <f>IFERROR(__xludf.DUMMYFUNCTION("""COMPUTED_VALUE"""),5491170.0)</f>
        <v>5491170</v>
      </c>
    </row>
    <row r="3684">
      <c r="A3684" s="3">
        <f>IFERROR(__xludf.DUMMYFUNCTION("""COMPUTED_VALUE"""),42885.64583333333)</f>
        <v>42885.64583</v>
      </c>
      <c r="B3684" s="2">
        <f>IFERROR(__xludf.DUMMYFUNCTION("""COMPUTED_VALUE"""),671.56)</f>
        <v>671.56</v>
      </c>
      <c r="C3684" s="2">
        <f>IFERROR(__xludf.DUMMYFUNCTION("""COMPUTED_VALUE"""),675.92)</f>
        <v>675.92</v>
      </c>
      <c r="D3684" s="2">
        <f>IFERROR(__xludf.DUMMYFUNCTION("""COMPUTED_VALUE"""),667.89)</f>
        <v>667.89</v>
      </c>
      <c r="E3684" s="2">
        <f>IFERROR(__xludf.DUMMYFUNCTION("""COMPUTED_VALUE"""),673.27)</f>
        <v>673.27</v>
      </c>
      <c r="F3684" s="2">
        <f>IFERROR(__xludf.DUMMYFUNCTION("""COMPUTED_VALUE"""),2207727.0)</f>
        <v>2207727</v>
      </c>
    </row>
    <row r="3685">
      <c r="A3685" s="3">
        <f>IFERROR(__xludf.DUMMYFUNCTION("""COMPUTED_VALUE"""),42886.64583333333)</f>
        <v>42886.64583</v>
      </c>
      <c r="B3685" s="2">
        <f>IFERROR(__xludf.DUMMYFUNCTION("""COMPUTED_VALUE"""),677.06)</f>
        <v>677.06</v>
      </c>
      <c r="C3685" s="2">
        <f>IFERROR(__xludf.DUMMYFUNCTION("""COMPUTED_VALUE"""),677.53)</f>
        <v>677.53</v>
      </c>
      <c r="D3685" s="2">
        <f>IFERROR(__xludf.DUMMYFUNCTION("""COMPUTED_VALUE"""),661.6)</f>
        <v>661.6</v>
      </c>
      <c r="E3685" s="2">
        <f>IFERROR(__xludf.DUMMYFUNCTION("""COMPUTED_VALUE"""),664.03)</f>
        <v>664.03</v>
      </c>
      <c r="F3685" s="2">
        <f>IFERROR(__xludf.DUMMYFUNCTION("""COMPUTED_VALUE"""),3754099.0)</f>
        <v>3754099</v>
      </c>
    </row>
    <row r="3686">
      <c r="A3686" s="3">
        <f>IFERROR(__xludf.DUMMYFUNCTION("""COMPUTED_VALUE"""),42887.64583333333)</f>
        <v>42887.64583</v>
      </c>
      <c r="B3686" s="2">
        <f>IFERROR(__xludf.DUMMYFUNCTION("""COMPUTED_VALUE"""),660.07)</f>
        <v>660.07</v>
      </c>
      <c r="C3686" s="2">
        <f>IFERROR(__xludf.DUMMYFUNCTION("""COMPUTED_VALUE"""),663.68)</f>
        <v>663.68</v>
      </c>
      <c r="D3686" s="2">
        <f>IFERROR(__xludf.DUMMYFUNCTION("""COMPUTED_VALUE"""),655.26)</f>
        <v>655.26</v>
      </c>
      <c r="E3686" s="2">
        <f>IFERROR(__xludf.DUMMYFUNCTION("""COMPUTED_VALUE"""),657.86)</f>
        <v>657.86</v>
      </c>
      <c r="F3686" s="2">
        <f>IFERROR(__xludf.DUMMYFUNCTION("""COMPUTED_VALUE"""),2179328.0)</f>
        <v>2179328</v>
      </c>
    </row>
    <row r="3687">
      <c r="A3687" s="3">
        <f>IFERROR(__xludf.DUMMYFUNCTION("""COMPUTED_VALUE"""),42888.64583333333)</f>
        <v>42888.64583</v>
      </c>
      <c r="B3687" s="2">
        <f>IFERROR(__xludf.DUMMYFUNCTION("""COMPUTED_VALUE"""),661.21)</f>
        <v>661.21</v>
      </c>
      <c r="C3687" s="2">
        <f>IFERROR(__xludf.DUMMYFUNCTION("""COMPUTED_VALUE"""),663.04)</f>
        <v>663.04</v>
      </c>
      <c r="D3687" s="2">
        <f>IFERROR(__xludf.DUMMYFUNCTION("""COMPUTED_VALUE"""),652.29)</f>
        <v>652.29</v>
      </c>
      <c r="E3687" s="2">
        <f>IFERROR(__xludf.DUMMYFUNCTION("""COMPUTED_VALUE"""),656.13)</f>
        <v>656.13</v>
      </c>
      <c r="F3687" s="2">
        <f>IFERROR(__xludf.DUMMYFUNCTION("""COMPUTED_VALUE"""),2627565.0)</f>
        <v>2627565</v>
      </c>
    </row>
    <row r="3688">
      <c r="A3688" s="3">
        <f>IFERROR(__xludf.DUMMYFUNCTION("""COMPUTED_VALUE"""),42891.64583333333)</f>
        <v>42891.64583</v>
      </c>
      <c r="B3688" s="2">
        <f>IFERROR(__xludf.DUMMYFUNCTION("""COMPUTED_VALUE"""),656.87)</f>
        <v>656.87</v>
      </c>
      <c r="C3688" s="2">
        <f>IFERROR(__xludf.DUMMYFUNCTION("""COMPUTED_VALUE"""),664.18)</f>
        <v>664.18</v>
      </c>
      <c r="D3688" s="2">
        <f>IFERROR(__xludf.DUMMYFUNCTION("""COMPUTED_VALUE"""),651.72)</f>
        <v>651.72</v>
      </c>
      <c r="E3688" s="2">
        <f>IFERROR(__xludf.DUMMYFUNCTION("""COMPUTED_VALUE"""),658.41)</f>
        <v>658.41</v>
      </c>
      <c r="F3688" s="2">
        <f>IFERROR(__xludf.DUMMYFUNCTION("""COMPUTED_VALUE"""),2476706.0)</f>
        <v>2476706</v>
      </c>
    </row>
    <row r="3689">
      <c r="A3689" s="3">
        <f>IFERROR(__xludf.DUMMYFUNCTION("""COMPUTED_VALUE"""),42892.64583333333)</f>
        <v>42892.64583</v>
      </c>
      <c r="B3689" s="2">
        <f>IFERROR(__xludf.DUMMYFUNCTION("""COMPUTED_VALUE"""),660.69)</f>
        <v>660.69</v>
      </c>
      <c r="C3689" s="2">
        <f>IFERROR(__xludf.DUMMYFUNCTION("""COMPUTED_VALUE"""),660.69)</f>
        <v>660.69</v>
      </c>
      <c r="D3689" s="2">
        <f>IFERROR(__xludf.DUMMYFUNCTION("""COMPUTED_VALUE"""),649.32)</f>
        <v>649.32</v>
      </c>
      <c r="E3689" s="2">
        <f>IFERROR(__xludf.DUMMYFUNCTION("""COMPUTED_VALUE"""),650.21)</f>
        <v>650.21</v>
      </c>
      <c r="F3689" s="2">
        <f>IFERROR(__xludf.DUMMYFUNCTION("""COMPUTED_VALUE"""),2192356.0)</f>
        <v>2192356</v>
      </c>
    </row>
    <row r="3690">
      <c r="A3690" s="3">
        <f>IFERROR(__xludf.DUMMYFUNCTION("""COMPUTED_VALUE"""),42893.64583333333)</f>
        <v>42893.64583</v>
      </c>
      <c r="B3690" s="2">
        <f>IFERROR(__xludf.DUMMYFUNCTION("""COMPUTED_VALUE"""),649.42)</f>
        <v>649.42</v>
      </c>
      <c r="C3690" s="2">
        <f>IFERROR(__xludf.DUMMYFUNCTION("""COMPUTED_VALUE"""),664.68)</f>
        <v>664.68</v>
      </c>
      <c r="D3690" s="2">
        <f>IFERROR(__xludf.DUMMYFUNCTION("""COMPUTED_VALUE"""),648.33)</f>
        <v>648.33</v>
      </c>
      <c r="E3690" s="2">
        <f>IFERROR(__xludf.DUMMYFUNCTION("""COMPUTED_VALUE"""),663.19)</f>
        <v>663.19</v>
      </c>
      <c r="F3690" s="2">
        <f>IFERROR(__xludf.DUMMYFUNCTION("""COMPUTED_VALUE"""),2559954.0)</f>
        <v>2559954</v>
      </c>
    </row>
    <row r="3691">
      <c r="A3691" s="3">
        <f>IFERROR(__xludf.DUMMYFUNCTION("""COMPUTED_VALUE"""),42894.64583333333)</f>
        <v>42894.64583</v>
      </c>
      <c r="B3691" s="2">
        <f>IFERROR(__xludf.DUMMYFUNCTION("""COMPUTED_VALUE"""),663.68)</f>
        <v>663.68</v>
      </c>
      <c r="C3691" s="2">
        <f>IFERROR(__xludf.DUMMYFUNCTION("""COMPUTED_VALUE"""),666.06)</f>
        <v>666.06</v>
      </c>
      <c r="D3691" s="2">
        <f>IFERROR(__xludf.DUMMYFUNCTION("""COMPUTED_VALUE"""),657.77)</f>
        <v>657.77</v>
      </c>
      <c r="E3691" s="2">
        <f>IFERROR(__xludf.DUMMYFUNCTION("""COMPUTED_VALUE"""),659.57)</f>
        <v>659.57</v>
      </c>
      <c r="F3691" s="2">
        <f>IFERROR(__xludf.DUMMYFUNCTION("""COMPUTED_VALUE"""),1806521.0)</f>
        <v>1806521</v>
      </c>
    </row>
    <row r="3692">
      <c r="A3692" s="3">
        <f>IFERROR(__xludf.DUMMYFUNCTION("""COMPUTED_VALUE"""),42895.64583333333)</f>
        <v>42895.64583</v>
      </c>
      <c r="B3692" s="2">
        <f>IFERROR(__xludf.DUMMYFUNCTION("""COMPUTED_VALUE"""),666.21)</f>
        <v>666.21</v>
      </c>
      <c r="C3692" s="2">
        <f>IFERROR(__xludf.DUMMYFUNCTION("""COMPUTED_VALUE"""),670.1)</f>
        <v>670.1</v>
      </c>
      <c r="D3692" s="2">
        <f>IFERROR(__xludf.DUMMYFUNCTION("""COMPUTED_VALUE"""),659.23)</f>
        <v>659.23</v>
      </c>
      <c r="E3692" s="2">
        <f>IFERROR(__xludf.DUMMYFUNCTION("""COMPUTED_VALUE"""),661.55)</f>
        <v>661.55</v>
      </c>
      <c r="F3692" s="2">
        <f>IFERROR(__xludf.DUMMYFUNCTION("""COMPUTED_VALUE"""),3162802.0)</f>
        <v>3162802</v>
      </c>
    </row>
    <row r="3693">
      <c r="A3693" s="3">
        <f>IFERROR(__xludf.DUMMYFUNCTION("""COMPUTED_VALUE"""),42898.64583333333)</f>
        <v>42898.64583</v>
      </c>
      <c r="B3693" s="2">
        <f>IFERROR(__xludf.DUMMYFUNCTION("""COMPUTED_VALUE"""),657.02)</f>
        <v>657.02</v>
      </c>
      <c r="C3693" s="2">
        <f>IFERROR(__xludf.DUMMYFUNCTION("""COMPUTED_VALUE"""),658.61)</f>
        <v>658.61</v>
      </c>
      <c r="D3693" s="2">
        <f>IFERROR(__xludf.DUMMYFUNCTION("""COMPUTED_VALUE"""),652.29)</f>
        <v>652.29</v>
      </c>
      <c r="E3693" s="2">
        <f>IFERROR(__xludf.DUMMYFUNCTION("""COMPUTED_VALUE"""),653.51)</f>
        <v>653.51</v>
      </c>
      <c r="F3693" s="2">
        <f>IFERROR(__xludf.DUMMYFUNCTION("""COMPUTED_VALUE"""),1927513.0)</f>
        <v>1927513</v>
      </c>
    </row>
    <row r="3694">
      <c r="A3694" s="3">
        <f>IFERROR(__xludf.DUMMYFUNCTION("""COMPUTED_VALUE"""),42899.64583333333)</f>
        <v>42899.64583</v>
      </c>
      <c r="B3694" s="2">
        <f>IFERROR(__xludf.DUMMYFUNCTION("""COMPUTED_VALUE"""),654.08)</f>
        <v>654.08</v>
      </c>
      <c r="C3694" s="2">
        <f>IFERROR(__xludf.DUMMYFUNCTION("""COMPUTED_VALUE"""),657.25)</f>
        <v>657.25</v>
      </c>
      <c r="D3694" s="2">
        <f>IFERROR(__xludf.DUMMYFUNCTION("""COMPUTED_VALUE"""),649.32)</f>
        <v>649.32</v>
      </c>
      <c r="E3694" s="2">
        <f>IFERROR(__xludf.DUMMYFUNCTION("""COMPUTED_VALUE"""),650.98)</f>
        <v>650.98</v>
      </c>
      <c r="F3694" s="2">
        <f>IFERROR(__xludf.DUMMYFUNCTION("""COMPUTED_VALUE"""),1377291.0)</f>
        <v>1377291</v>
      </c>
    </row>
    <row r="3695">
      <c r="A3695" s="3">
        <f>IFERROR(__xludf.DUMMYFUNCTION("""COMPUTED_VALUE"""),42900.64583333333)</f>
        <v>42900.64583</v>
      </c>
      <c r="B3695" s="2">
        <f>IFERROR(__xludf.DUMMYFUNCTION("""COMPUTED_VALUE"""),651.75)</f>
        <v>651.75</v>
      </c>
      <c r="C3695" s="2">
        <f>IFERROR(__xludf.DUMMYFUNCTION("""COMPUTED_VALUE"""),673.59)</f>
        <v>673.59</v>
      </c>
      <c r="D3695" s="2">
        <f>IFERROR(__xludf.DUMMYFUNCTION("""COMPUTED_VALUE"""),651.75)</f>
        <v>651.75</v>
      </c>
      <c r="E3695" s="2">
        <f>IFERROR(__xludf.DUMMYFUNCTION("""COMPUTED_VALUE"""),672.35)</f>
        <v>672.35</v>
      </c>
      <c r="F3695" s="2">
        <f>IFERROR(__xludf.DUMMYFUNCTION("""COMPUTED_VALUE"""),1.2101027E7)</f>
        <v>12101027</v>
      </c>
    </row>
    <row r="3696">
      <c r="A3696" s="3">
        <f>IFERROR(__xludf.DUMMYFUNCTION("""COMPUTED_VALUE"""),42901.64583333333)</f>
        <v>42901.64583</v>
      </c>
      <c r="B3696" s="2">
        <f>IFERROR(__xludf.DUMMYFUNCTION("""COMPUTED_VALUE"""),673.59)</f>
        <v>673.59</v>
      </c>
      <c r="C3696" s="2">
        <f>IFERROR(__xludf.DUMMYFUNCTION("""COMPUTED_VALUE"""),690.93)</f>
        <v>690.93</v>
      </c>
      <c r="D3696" s="2">
        <f>IFERROR(__xludf.DUMMYFUNCTION("""COMPUTED_VALUE"""),673.14)</f>
        <v>673.14</v>
      </c>
      <c r="E3696" s="2">
        <f>IFERROR(__xludf.DUMMYFUNCTION("""COMPUTED_VALUE"""),685.45)</f>
        <v>685.45</v>
      </c>
      <c r="F3696" s="2">
        <f>IFERROR(__xludf.DUMMYFUNCTION("""COMPUTED_VALUE"""),6466804.0)</f>
        <v>6466804</v>
      </c>
    </row>
    <row r="3697">
      <c r="A3697" s="3">
        <f>IFERROR(__xludf.DUMMYFUNCTION("""COMPUTED_VALUE"""),42902.64583333333)</f>
        <v>42902.64583</v>
      </c>
      <c r="B3697" s="2">
        <f>IFERROR(__xludf.DUMMYFUNCTION("""COMPUTED_VALUE"""),688.0)</f>
        <v>688</v>
      </c>
      <c r="C3697" s="2">
        <f>IFERROR(__xludf.DUMMYFUNCTION("""COMPUTED_VALUE"""),691.32)</f>
        <v>691.32</v>
      </c>
      <c r="D3697" s="2">
        <f>IFERROR(__xludf.DUMMYFUNCTION("""COMPUTED_VALUE"""),678.2)</f>
        <v>678.2</v>
      </c>
      <c r="E3697" s="2">
        <f>IFERROR(__xludf.DUMMYFUNCTION("""COMPUTED_VALUE"""),687.85)</f>
        <v>687.85</v>
      </c>
      <c r="F3697" s="2">
        <f>IFERROR(__xludf.DUMMYFUNCTION("""COMPUTED_VALUE"""),7477157.0)</f>
        <v>7477157</v>
      </c>
    </row>
    <row r="3698">
      <c r="A3698" s="3">
        <f>IFERROR(__xludf.DUMMYFUNCTION("""COMPUTED_VALUE"""),42905.64583333333)</f>
        <v>42905.64583</v>
      </c>
      <c r="B3698" s="2">
        <f>IFERROR(__xludf.DUMMYFUNCTION("""COMPUTED_VALUE"""),688.55)</f>
        <v>688.55</v>
      </c>
      <c r="C3698" s="2">
        <f>IFERROR(__xludf.DUMMYFUNCTION("""COMPUTED_VALUE"""),701.23)</f>
        <v>701.23</v>
      </c>
      <c r="D3698" s="2">
        <f>IFERROR(__xludf.DUMMYFUNCTION("""COMPUTED_VALUE"""),688.55)</f>
        <v>688.55</v>
      </c>
      <c r="E3698" s="2">
        <f>IFERROR(__xludf.DUMMYFUNCTION("""COMPUTED_VALUE"""),697.98)</f>
        <v>697.98</v>
      </c>
      <c r="F3698" s="2">
        <f>IFERROR(__xludf.DUMMYFUNCTION("""COMPUTED_VALUE"""),3482912.0)</f>
        <v>3482912</v>
      </c>
    </row>
    <row r="3699">
      <c r="A3699" s="3">
        <f>IFERROR(__xludf.DUMMYFUNCTION("""COMPUTED_VALUE"""),42906.64583333333)</f>
        <v>42906.64583</v>
      </c>
      <c r="B3699" s="2">
        <f>IFERROR(__xludf.DUMMYFUNCTION("""COMPUTED_VALUE"""),697.86)</f>
        <v>697.86</v>
      </c>
      <c r="C3699" s="2">
        <f>IFERROR(__xludf.DUMMYFUNCTION("""COMPUTED_VALUE"""),704.35)</f>
        <v>704.35</v>
      </c>
      <c r="D3699" s="2">
        <f>IFERROR(__xludf.DUMMYFUNCTION("""COMPUTED_VALUE"""),697.09)</f>
        <v>697.09</v>
      </c>
      <c r="E3699" s="2">
        <f>IFERROR(__xludf.DUMMYFUNCTION("""COMPUTED_VALUE"""),699.52)</f>
        <v>699.52</v>
      </c>
      <c r="F3699" s="2">
        <f>IFERROR(__xludf.DUMMYFUNCTION("""COMPUTED_VALUE"""),2318399.0)</f>
        <v>2318399</v>
      </c>
    </row>
    <row r="3700">
      <c r="A3700" s="3">
        <f>IFERROR(__xludf.DUMMYFUNCTION("""COMPUTED_VALUE"""),42907.64583333333)</f>
        <v>42907.64583</v>
      </c>
      <c r="B3700" s="2">
        <f>IFERROR(__xludf.DUMMYFUNCTION("""COMPUTED_VALUE"""),697.26)</f>
        <v>697.26</v>
      </c>
      <c r="C3700" s="2">
        <f>IFERROR(__xludf.DUMMYFUNCTION("""COMPUTED_VALUE"""),707.27)</f>
        <v>707.27</v>
      </c>
      <c r="D3700" s="2">
        <f>IFERROR(__xludf.DUMMYFUNCTION("""COMPUTED_VALUE"""),695.51)</f>
        <v>695.51</v>
      </c>
      <c r="E3700" s="2">
        <f>IFERROR(__xludf.DUMMYFUNCTION("""COMPUTED_VALUE"""),704.3)</f>
        <v>704.3</v>
      </c>
      <c r="F3700" s="2">
        <f>IFERROR(__xludf.DUMMYFUNCTION("""COMPUTED_VALUE"""),4569943.0)</f>
        <v>4569943</v>
      </c>
    </row>
    <row r="3701">
      <c r="A3701" s="3">
        <f>IFERROR(__xludf.DUMMYFUNCTION("""COMPUTED_VALUE"""),42908.64583333333)</f>
        <v>42908.64583</v>
      </c>
      <c r="B3701" s="2">
        <f>IFERROR(__xludf.DUMMYFUNCTION("""COMPUTED_VALUE"""),707.99)</f>
        <v>707.99</v>
      </c>
      <c r="C3701" s="2">
        <f>IFERROR(__xludf.DUMMYFUNCTION("""COMPUTED_VALUE"""),715.89)</f>
        <v>715.89</v>
      </c>
      <c r="D3701" s="2">
        <f>IFERROR(__xludf.DUMMYFUNCTION("""COMPUTED_VALUE"""),707.12)</f>
        <v>707.12</v>
      </c>
      <c r="E3701" s="2">
        <f>IFERROR(__xludf.DUMMYFUNCTION("""COMPUTED_VALUE"""),709.57)</f>
        <v>709.57</v>
      </c>
      <c r="F3701" s="2">
        <f>IFERROR(__xludf.DUMMYFUNCTION("""COMPUTED_VALUE"""),5055942.0)</f>
        <v>5055942</v>
      </c>
    </row>
    <row r="3702">
      <c r="A3702" s="3">
        <f>IFERROR(__xludf.DUMMYFUNCTION("""COMPUTED_VALUE"""),42909.64583333333)</f>
        <v>42909.64583</v>
      </c>
      <c r="B3702" s="2">
        <f>IFERROR(__xludf.DUMMYFUNCTION("""COMPUTED_VALUE"""),711.23)</f>
        <v>711.23</v>
      </c>
      <c r="C3702" s="2">
        <f>IFERROR(__xludf.DUMMYFUNCTION("""COMPUTED_VALUE"""),714.2)</f>
        <v>714.2</v>
      </c>
      <c r="D3702" s="2">
        <f>IFERROR(__xludf.DUMMYFUNCTION("""COMPUTED_VALUE"""),708.56)</f>
        <v>708.56</v>
      </c>
      <c r="E3702" s="2">
        <f>IFERROR(__xludf.DUMMYFUNCTION("""COMPUTED_VALUE"""),711.16)</f>
        <v>711.16</v>
      </c>
      <c r="F3702" s="2">
        <f>IFERROR(__xludf.DUMMYFUNCTION("""COMPUTED_VALUE"""),7118832.0)</f>
        <v>7118832</v>
      </c>
    </row>
    <row r="3703">
      <c r="A3703" s="3">
        <f>IFERROR(__xludf.DUMMYFUNCTION("""COMPUTED_VALUE"""),42913.64583333333)</f>
        <v>42913.64583</v>
      </c>
      <c r="B3703" s="2">
        <f>IFERROR(__xludf.DUMMYFUNCTION("""COMPUTED_VALUE"""),709.25)</f>
        <v>709.25</v>
      </c>
      <c r="C3703" s="2">
        <f>IFERROR(__xludf.DUMMYFUNCTION("""COMPUTED_VALUE"""),714.7)</f>
        <v>714.7</v>
      </c>
      <c r="D3703" s="2">
        <f>IFERROR(__xludf.DUMMYFUNCTION("""COMPUTED_VALUE"""),705.78)</f>
        <v>705.78</v>
      </c>
      <c r="E3703" s="2">
        <f>IFERROR(__xludf.DUMMYFUNCTION("""COMPUTED_VALUE"""),711.8)</f>
        <v>711.8</v>
      </c>
      <c r="F3703" s="2">
        <f>IFERROR(__xludf.DUMMYFUNCTION("""COMPUTED_VALUE"""),7449878.0)</f>
        <v>7449878</v>
      </c>
    </row>
    <row r="3704">
      <c r="A3704" s="3">
        <f>IFERROR(__xludf.DUMMYFUNCTION("""COMPUTED_VALUE"""),42914.64583333333)</f>
        <v>42914.64583</v>
      </c>
      <c r="B3704" s="2">
        <f>IFERROR(__xludf.DUMMYFUNCTION("""COMPUTED_VALUE"""),713.19)</f>
        <v>713.19</v>
      </c>
      <c r="C3704" s="2">
        <f>IFERROR(__xludf.DUMMYFUNCTION("""COMPUTED_VALUE"""),713.19)</f>
        <v>713.19</v>
      </c>
      <c r="D3704" s="2">
        <f>IFERROR(__xludf.DUMMYFUNCTION("""COMPUTED_VALUE"""),691.2)</f>
        <v>691.2</v>
      </c>
      <c r="E3704" s="2">
        <f>IFERROR(__xludf.DUMMYFUNCTION("""COMPUTED_VALUE"""),692.66)</f>
        <v>692.66</v>
      </c>
      <c r="F3704" s="2">
        <f>IFERROR(__xludf.DUMMYFUNCTION("""COMPUTED_VALUE"""),3558538.0)</f>
        <v>3558538</v>
      </c>
    </row>
    <row r="3705">
      <c r="A3705" s="3">
        <f>IFERROR(__xludf.DUMMYFUNCTION("""COMPUTED_VALUE"""),42915.64583333333)</f>
        <v>42915.64583</v>
      </c>
      <c r="B3705" s="2">
        <f>IFERROR(__xludf.DUMMYFUNCTION("""COMPUTED_VALUE"""),693.4)</f>
        <v>693.4</v>
      </c>
      <c r="C3705" s="2">
        <f>IFERROR(__xludf.DUMMYFUNCTION("""COMPUTED_VALUE"""),698.35)</f>
        <v>698.35</v>
      </c>
      <c r="D3705" s="2">
        <f>IFERROR(__xludf.DUMMYFUNCTION("""COMPUTED_VALUE"""),688.5)</f>
        <v>688.5</v>
      </c>
      <c r="E3705" s="2">
        <f>IFERROR(__xludf.DUMMYFUNCTION("""COMPUTED_VALUE"""),689.79)</f>
        <v>689.79</v>
      </c>
      <c r="F3705" s="2">
        <f>IFERROR(__xludf.DUMMYFUNCTION("""COMPUTED_VALUE"""),2948322.0)</f>
        <v>2948322</v>
      </c>
    </row>
    <row r="3706">
      <c r="A3706" s="3">
        <f>IFERROR(__xludf.DUMMYFUNCTION("""COMPUTED_VALUE"""),42916.64583333333)</f>
        <v>42916.64583</v>
      </c>
      <c r="B3706" s="2">
        <f>IFERROR(__xludf.DUMMYFUNCTION("""COMPUTED_VALUE"""),689.44)</f>
        <v>689.44</v>
      </c>
      <c r="C3706" s="2">
        <f>IFERROR(__xludf.DUMMYFUNCTION("""COMPUTED_VALUE"""),689.64)</f>
        <v>689.64</v>
      </c>
      <c r="D3706" s="2">
        <f>IFERROR(__xludf.DUMMYFUNCTION("""COMPUTED_VALUE"""),681.04)</f>
        <v>681.04</v>
      </c>
      <c r="E3706" s="2">
        <f>IFERROR(__xludf.DUMMYFUNCTION("""COMPUTED_VALUE"""),683.5)</f>
        <v>683.5</v>
      </c>
      <c r="F3706" s="2">
        <f>IFERROR(__xludf.DUMMYFUNCTION("""COMPUTED_VALUE"""),1786211.0)</f>
        <v>1786211</v>
      </c>
    </row>
    <row r="3707">
      <c r="A3707" s="3">
        <f>IFERROR(__xludf.DUMMYFUNCTION("""COMPUTED_VALUE"""),42919.64583333333)</f>
        <v>42919.64583</v>
      </c>
      <c r="B3707" s="2">
        <f>IFERROR(__xludf.DUMMYFUNCTION("""COMPUTED_VALUE"""),687.56)</f>
        <v>687.56</v>
      </c>
      <c r="C3707" s="2">
        <f>IFERROR(__xludf.DUMMYFUNCTION("""COMPUTED_VALUE"""),690.78)</f>
        <v>690.78</v>
      </c>
      <c r="D3707" s="2">
        <f>IFERROR(__xludf.DUMMYFUNCTION("""COMPUTED_VALUE"""),679.04)</f>
        <v>679.04</v>
      </c>
      <c r="E3707" s="2">
        <f>IFERROR(__xludf.DUMMYFUNCTION("""COMPUTED_VALUE"""),684.02)</f>
        <v>684.02</v>
      </c>
      <c r="F3707" s="2">
        <f>IFERROR(__xludf.DUMMYFUNCTION("""COMPUTED_VALUE"""),2101886.0)</f>
        <v>2101886</v>
      </c>
    </row>
    <row r="3708">
      <c r="A3708" s="3">
        <f>IFERROR(__xludf.DUMMYFUNCTION("""COMPUTED_VALUE"""),42920.64583333333)</f>
        <v>42920.64583</v>
      </c>
      <c r="B3708" s="2">
        <f>IFERROR(__xludf.DUMMYFUNCTION("""COMPUTED_VALUE"""),688.45)</f>
        <v>688.45</v>
      </c>
      <c r="C3708" s="2">
        <f>IFERROR(__xludf.DUMMYFUNCTION("""COMPUTED_VALUE"""),706.82)</f>
        <v>706.82</v>
      </c>
      <c r="D3708" s="2">
        <f>IFERROR(__xludf.DUMMYFUNCTION("""COMPUTED_VALUE"""),687.95)</f>
        <v>687.95</v>
      </c>
      <c r="E3708" s="2">
        <f>IFERROR(__xludf.DUMMYFUNCTION("""COMPUTED_VALUE"""),704.27)</f>
        <v>704.27</v>
      </c>
      <c r="F3708" s="2">
        <f>IFERROR(__xludf.DUMMYFUNCTION("""COMPUTED_VALUE"""),4301200.0)</f>
        <v>4301200</v>
      </c>
    </row>
    <row r="3709">
      <c r="A3709" s="3">
        <f>IFERROR(__xludf.DUMMYFUNCTION("""COMPUTED_VALUE"""),42921.64583333333)</f>
        <v>42921.64583</v>
      </c>
      <c r="B3709" s="2">
        <f>IFERROR(__xludf.DUMMYFUNCTION("""COMPUTED_VALUE"""),707.99)</f>
        <v>707.99</v>
      </c>
      <c r="C3709" s="2">
        <f>IFERROR(__xludf.DUMMYFUNCTION("""COMPUTED_VALUE"""),716.9)</f>
        <v>716.9</v>
      </c>
      <c r="D3709" s="2">
        <f>IFERROR(__xludf.DUMMYFUNCTION("""COMPUTED_VALUE"""),705.29)</f>
        <v>705.29</v>
      </c>
      <c r="E3709" s="2">
        <f>IFERROR(__xludf.DUMMYFUNCTION("""COMPUTED_VALUE"""),714.53)</f>
        <v>714.53</v>
      </c>
      <c r="F3709" s="2">
        <f>IFERROR(__xludf.DUMMYFUNCTION("""COMPUTED_VALUE"""),6219522.0)</f>
        <v>6219522</v>
      </c>
    </row>
    <row r="3710">
      <c r="A3710" s="3">
        <f>IFERROR(__xludf.DUMMYFUNCTION("""COMPUTED_VALUE"""),42922.64583333333)</f>
        <v>42922.64583</v>
      </c>
      <c r="B3710" s="2">
        <f>IFERROR(__xludf.DUMMYFUNCTION("""COMPUTED_VALUE"""),717.52)</f>
        <v>717.52</v>
      </c>
      <c r="C3710" s="2">
        <f>IFERROR(__xludf.DUMMYFUNCTION("""COMPUTED_VALUE"""),718.17)</f>
        <v>718.17</v>
      </c>
      <c r="D3710" s="2">
        <f>IFERROR(__xludf.DUMMYFUNCTION("""COMPUTED_VALUE"""),712.22)</f>
        <v>712.22</v>
      </c>
      <c r="E3710" s="2">
        <f>IFERROR(__xludf.DUMMYFUNCTION("""COMPUTED_VALUE"""),714.48)</f>
        <v>714.48</v>
      </c>
      <c r="F3710" s="2">
        <f>IFERROR(__xludf.DUMMYFUNCTION("""COMPUTED_VALUE"""),3106517.0)</f>
        <v>3106517</v>
      </c>
    </row>
    <row r="3711">
      <c r="A3711" s="3">
        <f>IFERROR(__xludf.DUMMYFUNCTION("""COMPUTED_VALUE"""),42923.64583333333)</f>
        <v>42923.64583</v>
      </c>
      <c r="B3711" s="2">
        <f>IFERROR(__xludf.DUMMYFUNCTION("""COMPUTED_VALUE"""),714.7)</f>
        <v>714.7</v>
      </c>
      <c r="C3711" s="2">
        <f>IFERROR(__xludf.DUMMYFUNCTION("""COMPUTED_VALUE"""),741.82)</f>
        <v>741.82</v>
      </c>
      <c r="D3711" s="2">
        <f>IFERROR(__xludf.DUMMYFUNCTION("""COMPUTED_VALUE"""),713.21)</f>
        <v>713.21</v>
      </c>
      <c r="E3711" s="2">
        <f>IFERROR(__xludf.DUMMYFUNCTION("""COMPUTED_VALUE"""),738.55)</f>
        <v>738.55</v>
      </c>
      <c r="F3711" s="2">
        <f>IFERROR(__xludf.DUMMYFUNCTION("""COMPUTED_VALUE"""),8193635.0)</f>
        <v>8193635</v>
      </c>
    </row>
    <row r="3712">
      <c r="A3712" s="3">
        <f>IFERROR(__xludf.DUMMYFUNCTION("""COMPUTED_VALUE"""),42926.64583333333)</f>
        <v>42926.64583</v>
      </c>
      <c r="B3712" s="2">
        <f>IFERROR(__xludf.DUMMYFUNCTION("""COMPUTED_VALUE"""),740.5)</f>
        <v>740.5</v>
      </c>
      <c r="C3712" s="2">
        <f>IFERROR(__xludf.DUMMYFUNCTION("""COMPUTED_VALUE"""),743.38)</f>
        <v>743.38</v>
      </c>
      <c r="D3712" s="2">
        <f>IFERROR(__xludf.DUMMYFUNCTION("""COMPUTED_VALUE"""),737.53)</f>
        <v>737.53</v>
      </c>
      <c r="E3712" s="2">
        <f>IFERROR(__xludf.DUMMYFUNCTION("""COMPUTED_VALUE"""),739.39)</f>
        <v>739.39</v>
      </c>
      <c r="F3712" s="2">
        <f>IFERROR(__xludf.DUMMYFUNCTION("""COMPUTED_VALUE"""),801079.0)</f>
        <v>801079</v>
      </c>
    </row>
    <row r="3713">
      <c r="A3713" s="3">
        <f>IFERROR(__xludf.DUMMYFUNCTION("""COMPUTED_VALUE"""),42927.64583333333)</f>
        <v>42927.64583</v>
      </c>
      <c r="B3713" s="2">
        <f>IFERROR(__xludf.DUMMYFUNCTION("""COMPUTED_VALUE"""),743.43)</f>
        <v>743.43</v>
      </c>
      <c r="C3713" s="2">
        <f>IFERROR(__xludf.DUMMYFUNCTION("""COMPUTED_VALUE"""),745.11)</f>
        <v>745.11</v>
      </c>
      <c r="D3713" s="2">
        <f>IFERROR(__xludf.DUMMYFUNCTION("""COMPUTED_VALUE"""),736.49)</f>
        <v>736.49</v>
      </c>
      <c r="E3713" s="2">
        <f>IFERROR(__xludf.DUMMYFUNCTION("""COMPUTED_VALUE"""),740.13)</f>
        <v>740.13</v>
      </c>
      <c r="F3713" s="2">
        <f>IFERROR(__xludf.DUMMYFUNCTION("""COMPUTED_VALUE"""),4799229.0)</f>
        <v>4799229</v>
      </c>
    </row>
    <row r="3714">
      <c r="A3714" s="3">
        <f>IFERROR(__xludf.DUMMYFUNCTION("""COMPUTED_VALUE"""),42928.64583333333)</f>
        <v>42928.64583</v>
      </c>
      <c r="B3714" s="2">
        <f>IFERROR(__xludf.DUMMYFUNCTION("""COMPUTED_VALUE"""),742.63)</f>
        <v>742.63</v>
      </c>
      <c r="C3714" s="2">
        <f>IFERROR(__xludf.DUMMYFUNCTION("""COMPUTED_VALUE"""),755.31)</f>
        <v>755.31</v>
      </c>
      <c r="D3714" s="2">
        <f>IFERROR(__xludf.DUMMYFUNCTION("""COMPUTED_VALUE"""),741.69)</f>
        <v>741.69</v>
      </c>
      <c r="E3714" s="2">
        <f>IFERROR(__xludf.DUMMYFUNCTION("""COMPUTED_VALUE"""),748.43)</f>
        <v>748.43</v>
      </c>
      <c r="F3714" s="2">
        <f>IFERROR(__xludf.DUMMYFUNCTION("""COMPUTED_VALUE"""),3909797.0)</f>
        <v>3909797</v>
      </c>
    </row>
    <row r="3715">
      <c r="A3715" s="3">
        <f>IFERROR(__xludf.DUMMYFUNCTION("""COMPUTED_VALUE"""),42929.64583333333)</f>
        <v>42929.64583</v>
      </c>
      <c r="B3715" s="2">
        <f>IFERROR(__xludf.DUMMYFUNCTION("""COMPUTED_VALUE"""),747.26)</f>
        <v>747.26</v>
      </c>
      <c r="C3715" s="2">
        <f>IFERROR(__xludf.DUMMYFUNCTION("""COMPUTED_VALUE"""),755.31)</f>
        <v>755.31</v>
      </c>
      <c r="D3715" s="2">
        <f>IFERROR(__xludf.DUMMYFUNCTION("""COMPUTED_VALUE"""),745.98)</f>
        <v>745.98</v>
      </c>
      <c r="E3715" s="2">
        <f>IFERROR(__xludf.DUMMYFUNCTION("""COMPUTED_VALUE"""),753.88)</f>
        <v>753.88</v>
      </c>
      <c r="F3715" s="2">
        <f>IFERROR(__xludf.DUMMYFUNCTION("""COMPUTED_VALUE"""),5259759.0)</f>
        <v>5259759</v>
      </c>
    </row>
    <row r="3716">
      <c r="A3716" s="3">
        <f>IFERROR(__xludf.DUMMYFUNCTION("""COMPUTED_VALUE"""),42930.64583333333)</f>
        <v>42930.64583</v>
      </c>
      <c r="B3716" s="2">
        <f>IFERROR(__xludf.DUMMYFUNCTION("""COMPUTED_VALUE"""),752.84)</f>
        <v>752.84</v>
      </c>
      <c r="C3716" s="2">
        <f>IFERROR(__xludf.DUMMYFUNCTION("""COMPUTED_VALUE"""),760.76)</f>
        <v>760.76</v>
      </c>
      <c r="D3716" s="2">
        <f>IFERROR(__xludf.DUMMYFUNCTION("""COMPUTED_VALUE"""),750.63)</f>
        <v>750.63</v>
      </c>
      <c r="E3716" s="2">
        <f>IFERROR(__xludf.DUMMYFUNCTION("""COMPUTED_VALUE"""),759.65)</f>
        <v>759.65</v>
      </c>
      <c r="F3716" s="2">
        <f>IFERROR(__xludf.DUMMYFUNCTION("""COMPUTED_VALUE"""),4693011.0)</f>
        <v>4693011</v>
      </c>
    </row>
    <row r="3717">
      <c r="A3717" s="3">
        <f>IFERROR(__xludf.DUMMYFUNCTION("""COMPUTED_VALUE"""),42933.64583333333)</f>
        <v>42933.64583</v>
      </c>
      <c r="B3717" s="2">
        <f>IFERROR(__xludf.DUMMYFUNCTION("""COMPUTED_VALUE"""),761.26)</f>
        <v>761.26</v>
      </c>
      <c r="C3717" s="2">
        <f>IFERROR(__xludf.DUMMYFUNCTION("""COMPUTED_VALUE"""),772.45)</f>
        <v>772.45</v>
      </c>
      <c r="D3717" s="2">
        <f>IFERROR(__xludf.DUMMYFUNCTION("""COMPUTED_VALUE"""),761.26)</f>
        <v>761.26</v>
      </c>
      <c r="E3717" s="2">
        <f>IFERROR(__xludf.DUMMYFUNCTION("""COMPUTED_VALUE"""),768.56)</f>
        <v>768.56</v>
      </c>
      <c r="F3717" s="2">
        <f>IFERROR(__xludf.DUMMYFUNCTION("""COMPUTED_VALUE"""),4285809.0)</f>
        <v>4285809</v>
      </c>
    </row>
    <row r="3718">
      <c r="A3718" s="3">
        <f>IFERROR(__xludf.DUMMYFUNCTION("""COMPUTED_VALUE"""),42934.64583333333)</f>
        <v>42934.64583</v>
      </c>
      <c r="B3718" s="2">
        <f>IFERROR(__xludf.DUMMYFUNCTION("""COMPUTED_VALUE"""),766.11)</f>
        <v>766.11</v>
      </c>
      <c r="C3718" s="2">
        <f>IFERROR(__xludf.DUMMYFUNCTION("""COMPUTED_VALUE"""),768.59)</f>
        <v>768.59</v>
      </c>
      <c r="D3718" s="2">
        <f>IFERROR(__xludf.DUMMYFUNCTION("""COMPUTED_VALUE"""),748.38)</f>
        <v>748.38</v>
      </c>
      <c r="E3718" s="2">
        <f>IFERROR(__xludf.DUMMYFUNCTION("""COMPUTED_VALUE"""),752.79)</f>
        <v>752.79</v>
      </c>
      <c r="F3718" s="2">
        <f>IFERROR(__xludf.DUMMYFUNCTION("""COMPUTED_VALUE"""),4489412.0)</f>
        <v>4489412</v>
      </c>
    </row>
    <row r="3719">
      <c r="A3719" s="3">
        <f>IFERROR(__xludf.DUMMYFUNCTION("""COMPUTED_VALUE"""),42935.64583333333)</f>
        <v>42935.64583</v>
      </c>
      <c r="B3719" s="2">
        <f>IFERROR(__xludf.DUMMYFUNCTION("""COMPUTED_VALUE"""),749.17)</f>
        <v>749.17</v>
      </c>
      <c r="C3719" s="2">
        <f>IFERROR(__xludf.DUMMYFUNCTION("""COMPUTED_VALUE"""),761.75)</f>
        <v>761.75</v>
      </c>
      <c r="D3719" s="2">
        <f>IFERROR(__xludf.DUMMYFUNCTION("""COMPUTED_VALUE"""),749.17)</f>
        <v>749.17</v>
      </c>
      <c r="E3719" s="2">
        <f>IFERROR(__xludf.DUMMYFUNCTION("""COMPUTED_VALUE"""),759.25)</f>
        <v>759.25</v>
      </c>
      <c r="F3719" s="2">
        <f>IFERROR(__xludf.DUMMYFUNCTION("""COMPUTED_VALUE"""),2695041.0)</f>
        <v>2695041</v>
      </c>
    </row>
    <row r="3720">
      <c r="A3720" s="3">
        <f>IFERROR(__xludf.DUMMYFUNCTION("""COMPUTED_VALUE"""),42936.64583333333)</f>
        <v>42936.64583</v>
      </c>
      <c r="B3720" s="2">
        <f>IFERROR(__xludf.DUMMYFUNCTION("""COMPUTED_VALUE"""),762.62)</f>
        <v>762.62</v>
      </c>
      <c r="C3720" s="2">
        <f>IFERROR(__xludf.DUMMYFUNCTION("""COMPUTED_VALUE"""),767.69)</f>
        <v>767.69</v>
      </c>
      <c r="D3720" s="2">
        <f>IFERROR(__xludf.DUMMYFUNCTION("""COMPUTED_VALUE"""),754.67)</f>
        <v>754.67</v>
      </c>
      <c r="E3720" s="2">
        <f>IFERROR(__xludf.DUMMYFUNCTION("""COMPUTED_VALUE"""),757.24)</f>
        <v>757.24</v>
      </c>
      <c r="F3720" s="2">
        <f>IFERROR(__xludf.DUMMYFUNCTION("""COMPUTED_VALUE"""),3114686.0)</f>
        <v>3114686</v>
      </c>
    </row>
    <row r="3721">
      <c r="A3721" s="3">
        <f>IFERROR(__xludf.DUMMYFUNCTION("""COMPUTED_VALUE"""),42937.64583333333)</f>
        <v>42937.64583</v>
      </c>
      <c r="B3721" s="2">
        <f>IFERROR(__xludf.DUMMYFUNCTION("""COMPUTED_VALUE"""),767.69)</f>
        <v>767.69</v>
      </c>
      <c r="C3721" s="2">
        <f>IFERROR(__xludf.DUMMYFUNCTION("""COMPUTED_VALUE"""),788.35)</f>
        <v>788.35</v>
      </c>
      <c r="D3721" s="2">
        <f>IFERROR(__xludf.DUMMYFUNCTION("""COMPUTED_VALUE"""),765.19)</f>
        <v>765.19</v>
      </c>
      <c r="E3721" s="2">
        <f>IFERROR(__xludf.DUMMYFUNCTION("""COMPUTED_VALUE"""),785.03)</f>
        <v>785.03</v>
      </c>
      <c r="F3721" s="2">
        <f>IFERROR(__xludf.DUMMYFUNCTION("""COMPUTED_VALUE"""),2.2205112E7)</f>
        <v>22205112</v>
      </c>
    </row>
    <row r="3722">
      <c r="A3722" s="3">
        <f>IFERROR(__xludf.DUMMYFUNCTION("""COMPUTED_VALUE"""),42940.64583333333)</f>
        <v>42940.64583</v>
      </c>
      <c r="B3722" s="2">
        <f>IFERROR(__xludf.DUMMYFUNCTION("""COMPUTED_VALUE"""),792.46)</f>
        <v>792.46</v>
      </c>
      <c r="C3722" s="2">
        <f>IFERROR(__xludf.DUMMYFUNCTION("""COMPUTED_VALUE"""),804.79)</f>
        <v>804.79</v>
      </c>
      <c r="D3722" s="2">
        <f>IFERROR(__xludf.DUMMYFUNCTION("""COMPUTED_VALUE"""),785.03)</f>
        <v>785.03</v>
      </c>
      <c r="E3722" s="2">
        <f>IFERROR(__xludf.DUMMYFUNCTION("""COMPUTED_VALUE"""),800.01)</f>
        <v>800.01</v>
      </c>
      <c r="F3722" s="2">
        <f>IFERROR(__xludf.DUMMYFUNCTION("""COMPUTED_VALUE"""),9927229.0)</f>
        <v>9927229</v>
      </c>
    </row>
    <row r="3723">
      <c r="A3723" s="3">
        <f>IFERROR(__xludf.DUMMYFUNCTION("""COMPUTED_VALUE"""),42941.64583333333)</f>
        <v>42941.64583</v>
      </c>
      <c r="B3723" s="2">
        <f>IFERROR(__xludf.DUMMYFUNCTION("""COMPUTED_VALUE"""),804.69)</f>
        <v>804.69</v>
      </c>
      <c r="C3723" s="2">
        <f>IFERROR(__xludf.DUMMYFUNCTION("""COMPUTED_VALUE"""),804.82)</f>
        <v>804.82</v>
      </c>
      <c r="D3723" s="2">
        <f>IFERROR(__xludf.DUMMYFUNCTION("""COMPUTED_VALUE"""),791.27)</f>
        <v>791.27</v>
      </c>
      <c r="E3723" s="2">
        <f>IFERROR(__xludf.DUMMYFUNCTION("""COMPUTED_VALUE"""),793.52)</f>
        <v>793.52</v>
      </c>
      <c r="F3723" s="2">
        <f>IFERROR(__xludf.DUMMYFUNCTION("""COMPUTED_VALUE"""),4586079.0)</f>
        <v>4586079</v>
      </c>
    </row>
    <row r="3724">
      <c r="A3724" s="3">
        <f>IFERROR(__xludf.DUMMYFUNCTION("""COMPUTED_VALUE"""),42942.64583333333)</f>
        <v>42942.64583</v>
      </c>
      <c r="B3724" s="2">
        <f>IFERROR(__xludf.DUMMYFUNCTION("""COMPUTED_VALUE"""),794.54)</f>
        <v>794.54</v>
      </c>
      <c r="C3724" s="2">
        <f>IFERROR(__xludf.DUMMYFUNCTION("""COMPUTED_VALUE"""),807.27)</f>
        <v>807.27</v>
      </c>
      <c r="D3724" s="2">
        <f>IFERROR(__xludf.DUMMYFUNCTION("""COMPUTED_VALUE"""),793.0)</f>
        <v>793</v>
      </c>
      <c r="E3724" s="2">
        <f>IFERROR(__xludf.DUMMYFUNCTION("""COMPUTED_VALUE"""),803.73)</f>
        <v>803.73</v>
      </c>
      <c r="F3724" s="2">
        <f>IFERROR(__xludf.DUMMYFUNCTION("""COMPUTED_VALUE"""),5018389.0)</f>
        <v>5018389</v>
      </c>
    </row>
    <row r="3725">
      <c r="A3725" s="3">
        <f>IFERROR(__xludf.DUMMYFUNCTION("""COMPUTED_VALUE"""),42943.64583333333)</f>
        <v>42943.64583</v>
      </c>
      <c r="B3725" s="2">
        <f>IFERROR(__xludf.DUMMYFUNCTION("""COMPUTED_VALUE"""),806.33)</f>
        <v>806.33</v>
      </c>
      <c r="C3725" s="2">
        <f>IFERROR(__xludf.DUMMYFUNCTION("""COMPUTED_VALUE"""),808.06)</f>
        <v>808.06</v>
      </c>
      <c r="D3725" s="2">
        <f>IFERROR(__xludf.DUMMYFUNCTION("""COMPUTED_VALUE"""),786.69)</f>
        <v>786.69</v>
      </c>
      <c r="E3725" s="2">
        <f>IFERROR(__xludf.DUMMYFUNCTION("""COMPUTED_VALUE"""),789.88)</f>
        <v>789.88</v>
      </c>
      <c r="F3725" s="2">
        <f>IFERROR(__xludf.DUMMYFUNCTION("""COMPUTED_VALUE"""),4208071.0)</f>
        <v>4208071</v>
      </c>
    </row>
    <row r="3726">
      <c r="A3726" s="3">
        <f>IFERROR(__xludf.DUMMYFUNCTION("""COMPUTED_VALUE"""),42944.64583333333)</f>
        <v>42944.64583</v>
      </c>
      <c r="B3726" s="2">
        <f>IFERROR(__xludf.DUMMYFUNCTION("""COMPUTED_VALUE"""),788.13)</f>
        <v>788.13</v>
      </c>
      <c r="C3726" s="2">
        <f>IFERROR(__xludf.DUMMYFUNCTION("""COMPUTED_VALUE"""),795.41)</f>
        <v>795.41</v>
      </c>
      <c r="D3726" s="2">
        <f>IFERROR(__xludf.DUMMYFUNCTION("""COMPUTED_VALUE"""),781.56)</f>
        <v>781.56</v>
      </c>
      <c r="E3726" s="2">
        <f>IFERROR(__xludf.DUMMYFUNCTION("""COMPUTED_VALUE"""),789.71)</f>
        <v>789.71</v>
      </c>
      <c r="F3726" s="2">
        <f>IFERROR(__xludf.DUMMYFUNCTION("""COMPUTED_VALUE"""),3276023.0)</f>
        <v>3276023</v>
      </c>
    </row>
    <row r="3727">
      <c r="A3727" s="3">
        <f>IFERROR(__xludf.DUMMYFUNCTION("""COMPUTED_VALUE"""),42947.64583333333)</f>
        <v>42947.64583</v>
      </c>
      <c r="B3727" s="2">
        <f>IFERROR(__xludf.DUMMYFUNCTION("""COMPUTED_VALUE"""),793.42)</f>
        <v>793.42</v>
      </c>
      <c r="C3727" s="2">
        <f>IFERROR(__xludf.DUMMYFUNCTION("""COMPUTED_VALUE"""),801.77)</f>
        <v>801.77</v>
      </c>
      <c r="D3727" s="2">
        <f>IFERROR(__xludf.DUMMYFUNCTION("""COMPUTED_VALUE"""),790.48)</f>
        <v>790.48</v>
      </c>
      <c r="E3727" s="2">
        <f>IFERROR(__xludf.DUMMYFUNCTION("""COMPUTED_VALUE"""),799.99)</f>
        <v>799.99</v>
      </c>
      <c r="F3727" s="2">
        <f>IFERROR(__xludf.DUMMYFUNCTION("""COMPUTED_VALUE"""),3787034.0)</f>
        <v>3787034</v>
      </c>
    </row>
    <row r="3728">
      <c r="A3728" s="3">
        <f>IFERROR(__xludf.DUMMYFUNCTION("""COMPUTED_VALUE"""),42948.64583333333)</f>
        <v>42948.64583</v>
      </c>
      <c r="B3728" s="2">
        <f>IFERROR(__xludf.DUMMYFUNCTION("""COMPUTED_VALUE"""),803.73)</f>
        <v>803.73</v>
      </c>
      <c r="C3728" s="2">
        <f>IFERROR(__xludf.DUMMYFUNCTION("""COMPUTED_VALUE"""),803.73)</f>
        <v>803.73</v>
      </c>
      <c r="D3728" s="2">
        <f>IFERROR(__xludf.DUMMYFUNCTION("""COMPUTED_VALUE"""),788.25)</f>
        <v>788.25</v>
      </c>
      <c r="E3728" s="2">
        <f>IFERROR(__xludf.DUMMYFUNCTION("""COMPUTED_VALUE"""),794.24)</f>
        <v>794.24</v>
      </c>
      <c r="F3728" s="2">
        <f>IFERROR(__xludf.DUMMYFUNCTION("""COMPUTED_VALUE"""),2814298.0)</f>
        <v>2814298</v>
      </c>
    </row>
    <row r="3729">
      <c r="A3729" s="3">
        <f>IFERROR(__xludf.DUMMYFUNCTION("""COMPUTED_VALUE"""),42949.64583333333)</f>
        <v>42949.64583</v>
      </c>
      <c r="B3729" s="2">
        <f>IFERROR(__xludf.DUMMYFUNCTION("""COMPUTED_VALUE"""),797.41)</f>
        <v>797.41</v>
      </c>
      <c r="C3729" s="2">
        <f>IFERROR(__xludf.DUMMYFUNCTION("""COMPUTED_VALUE"""),810.14)</f>
        <v>810.14</v>
      </c>
      <c r="D3729" s="2">
        <f>IFERROR(__xludf.DUMMYFUNCTION("""COMPUTED_VALUE"""),796.47)</f>
        <v>796.47</v>
      </c>
      <c r="E3729" s="2">
        <f>IFERROR(__xludf.DUMMYFUNCTION("""COMPUTED_VALUE"""),806.92)</f>
        <v>806.92</v>
      </c>
      <c r="F3729" s="2">
        <f>IFERROR(__xludf.DUMMYFUNCTION("""COMPUTED_VALUE"""),4751385.0)</f>
        <v>4751385</v>
      </c>
    </row>
    <row r="3730">
      <c r="A3730" s="3">
        <f>IFERROR(__xludf.DUMMYFUNCTION("""COMPUTED_VALUE"""),42950.64583333333)</f>
        <v>42950.64583</v>
      </c>
      <c r="B3730" s="2">
        <f>IFERROR(__xludf.DUMMYFUNCTION("""COMPUTED_VALUE"""),805.76)</f>
        <v>805.76</v>
      </c>
      <c r="C3730" s="2">
        <f>IFERROR(__xludf.DUMMYFUNCTION("""COMPUTED_VALUE"""),824.6)</f>
        <v>824.6</v>
      </c>
      <c r="D3730" s="2">
        <f>IFERROR(__xludf.DUMMYFUNCTION("""COMPUTED_VALUE"""),800.9)</f>
        <v>800.9</v>
      </c>
      <c r="E3730" s="2">
        <f>IFERROR(__xludf.DUMMYFUNCTION("""COMPUTED_VALUE"""),817.27)</f>
        <v>817.27</v>
      </c>
      <c r="F3730" s="2">
        <f>IFERROR(__xludf.DUMMYFUNCTION("""COMPUTED_VALUE"""),4504776.0)</f>
        <v>4504776</v>
      </c>
    </row>
    <row r="3731">
      <c r="A3731" s="3">
        <f>IFERROR(__xludf.DUMMYFUNCTION("""COMPUTED_VALUE"""),42951.64583333333)</f>
        <v>42951.64583</v>
      </c>
      <c r="B3731" s="2">
        <f>IFERROR(__xludf.DUMMYFUNCTION("""COMPUTED_VALUE"""),823.66)</f>
        <v>823.66</v>
      </c>
      <c r="C3731" s="2">
        <f>IFERROR(__xludf.DUMMYFUNCTION("""COMPUTED_VALUE"""),823.66)</f>
        <v>823.66</v>
      </c>
      <c r="D3731" s="2">
        <f>IFERROR(__xludf.DUMMYFUNCTION("""COMPUTED_VALUE"""),799.94)</f>
        <v>799.94</v>
      </c>
      <c r="E3731" s="2">
        <f>IFERROR(__xludf.DUMMYFUNCTION("""COMPUTED_VALUE"""),803.43)</f>
        <v>803.43</v>
      </c>
      <c r="F3731" s="2">
        <f>IFERROR(__xludf.DUMMYFUNCTION("""COMPUTED_VALUE"""),4247045.0)</f>
        <v>4247045</v>
      </c>
    </row>
    <row r="3732">
      <c r="A3732" s="3">
        <f>IFERROR(__xludf.DUMMYFUNCTION("""COMPUTED_VALUE"""),42954.64583333333)</f>
        <v>42954.64583</v>
      </c>
      <c r="B3732" s="2">
        <f>IFERROR(__xludf.DUMMYFUNCTION("""COMPUTED_VALUE"""),808.11)</f>
        <v>808.11</v>
      </c>
      <c r="C3732" s="2">
        <f>IFERROR(__xludf.DUMMYFUNCTION("""COMPUTED_VALUE"""),808.11)</f>
        <v>808.11</v>
      </c>
      <c r="D3732" s="2">
        <f>IFERROR(__xludf.DUMMYFUNCTION("""COMPUTED_VALUE"""),798.67)</f>
        <v>798.67</v>
      </c>
      <c r="E3732" s="2">
        <f>IFERROR(__xludf.DUMMYFUNCTION("""COMPUTED_VALUE"""),800.56)</f>
        <v>800.56</v>
      </c>
      <c r="F3732" s="2">
        <f>IFERROR(__xludf.DUMMYFUNCTION("""COMPUTED_VALUE"""),2180018.0)</f>
        <v>2180018</v>
      </c>
    </row>
    <row r="3733">
      <c r="A3733" s="3">
        <f>IFERROR(__xludf.DUMMYFUNCTION("""COMPUTED_VALUE"""),42955.64583333333)</f>
        <v>42955.64583</v>
      </c>
      <c r="B3733" s="2">
        <f>IFERROR(__xludf.DUMMYFUNCTION("""COMPUTED_VALUE"""),801.37)</f>
        <v>801.37</v>
      </c>
      <c r="C3733" s="2">
        <f>IFERROR(__xludf.DUMMYFUNCTION("""COMPUTED_VALUE"""),802.88)</f>
        <v>802.88</v>
      </c>
      <c r="D3733" s="2">
        <f>IFERROR(__xludf.DUMMYFUNCTION("""COMPUTED_VALUE"""),785.92)</f>
        <v>785.92</v>
      </c>
      <c r="E3733" s="2">
        <f>IFERROR(__xludf.DUMMYFUNCTION("""COMPUTED_VALUE"""),793.72)</f>
        <v>793.72</v>
      </c>
      <c r="F3733" s="2">
        <f>IFERROR(__xludf.DUMMYFUNCTION("""COMPUTED_VALUE"""),2505568.0)</f>
        <v>2505568</v>
      </c>
    </row>
    <row r="3734">
      <c r="A3734" s="3">
        <f>IFERROR(__xludf.DUMMYFUNCTION("""COMPUTED_VALUE"""),42956.64583333333)</f>
        <v>42956.64583</v>
      </c>
      <c r="B3734" s="2">
        <f>IFERROR(__xludf.DUMMYFUNCTION("""COMPUTED_VALUE"""),793.2)</f>
        <v>793.2</v>
      </c>
      <c r="C3734" s="2">
        <f>IFERROR(__xludf.DUMMYFUNCTION("""COMPUTED_VALUE"""),802.36)</f>
        <v>802.36</v>
      </c>
      <c r="D3734" s="2">
        <f>IFERROR(__xludf.DUMMYFUNCTION("""COMPUTED_VALUE"""),785.03)</f>
        <v>785.03</v>
      </c>
      <c r="E3734" s="2">
        <f>IFERROR(__xludf.DUMMYFUNCTION("""COMPUTED_VALUE"""),791.86)</f>
        <v>791.86</v>
      </c>
      <c r="F3734" s="2">
        <f>IFERROR(__xludf.DUMMYFUNCTION("""COMPUTED_VALUE"""),2385643.0)</f>
        <v>2385643</v>
      </c>
    </row>
    <row r="3735">
      <c r="A3735" s="3">
        <f>IFERROR(__xludf.DUMMYFUNCTION("""COMPUTED_VALUE"""),42957.64583333333)</f>
        <v>42957.64583</v>
      </c>
      <c r="B3735" s="2">
        <f>IFERROR(__xludf.DUMMYFUNCTION("""COMPUTED_VALUE"""),789.02)</f>
        <v>789.02</v>
      </c>
      <c r="C3735" s="2">
        <f>IFERROR(__xludf.DUMMYFUNCTION("""COMPUTED_VALUE"""),795.75)</f>
        <v>795.75</v>
      </c>
      <c r="D3735" s="2">
        <f>IFERROR(__xludf.DUMMYFUNCTION("""COMPUTED_VALUE"""),781.54)</f>
        <v>781.54</v>
      </c>
      <c r="E3735" s="2">
        <f>IFERROR(__xludf.DUMMYFUNCTION("""COMPUTED_VALUE"""),784.71)</f>
        <v>784.71</v>
      </c>
      <c r="F3735" s="2">
        <f>IFERROR(__xludf.DUMMYFUNCTION("""COMPUTED_VALUE"""),2328843.0)</f>
        <v>2328843</v>
      </c>
    </row>
    <row r="3736">
      <c r="A3736" s="3">
        <f>IFERROR(__xludf.DUMMYFUNCTION("""COMPUTED_VALUE"""),42958.64583333333)</f>
        <v>42958.64583</v>
      </c>
      <c r="B3736" s="2">
        <f>IFERROR(__xludf.DUMMYFUNCTION("""COMPUTED_VALUE"""),768.17)</f>
        <v>768.17</v>
      </c>
      <c r="C3736" s="2">
        <f>IFERROR(__xludf.DUMMYFUNCTION("""COMPUTED_VALUE"""),782.55)</f>
        <v>782.55</v>
      </c>
      <c r="D3736" s="2">
        <f>IFERROR(__xludf.DUMMYFUNCTION("""COMPUTED_VALUE"""),759.27)</f>
        <v>759.27</v>
      </c>
      <c r="E3736" s="2">
        <f>IFERROR(__xludf.DUMMYFUNCTION("""COMPUTED_VALUE"""),765.84)</f>
        <v>765.84</v>
      </c>
      <c r="F3736" s="2">
        <f>IFERROR(__xludf.DUMMYFUNCTION("""COMPUTED_VALUE"""),3885064.0)</f>
        <v>3885064</v>
      </c>
    </row>
    <row r="3737">
      <c r="A3737" s="3">
        <f>IFERROR(__xludf.DUMMYFUNCTION("""COMPUTED_VALUE"""),42961.64583333333)</f>
        <v>42961.64583</v>
      </c>
      <c r="B3737" s="2">
        <f>IFERROR(__xludf.DUMMYFUNCTION("""COMPUTED_VALUE"""),773.14)</f>
        <v>773.14</v>
      </c>
      <c r="C3737" s="2">
        <f>IFERROR(__xludf.DUMMYFUNCTION("""COMPUTED_VALUE"""),784.78)</f>
        <v>784.78</v>
      </c>
      <c r="D3737" s="2">
        <f>IFERROR(__xludf.DUMMYFUNCTION("""COMPUTED_VALUE"""),773.14)</f>
        <v>773.14</v>
      </c>
      <c r="E3737" s="2">
        <f>IFERROR(__xludf.DUMMYFUNCTION("""COMPUTED_VALUE"""),779.11)</f>
        <v>779.11</v>
      </c>
      <c r="F3737" s="2">
        <f>IFERROR(__xludf.DUMMYFUNCTION("""COMPUTED_VALUE"""),3072299.0)</f>
        <v>3072299</v>
      </c>
    </row>
    <row r="3738">
      <c r="A3738" s="3">
        <f>IFERROR(__xludf.DUMMYFUNCTION("""COMPUTED_VALUE"""),42963.64583333333)</f>
        <v>42963.64583</v>
      </c>
      <c r="B3738" s="2">
        <f>IFERROR(__xludf.DUMMYFUNCTION("""COMPUTED_VALUE"""),778.59)</f>
        <v>778.59</v>
      </c>
      <c r="C3738" s="2">
        <f>IFERROR(__xludf.DUMMYFUNCTION("""COMPUTED_VALUE"""),780.57)</f>
        <v>780.57</v>
      </c>
      <c r="D3738" s="2">
        <f>IFERROR(__xludf.DUMMYFUNCTION("""COMPUTED_VALUE"""),767.79)</f>
        <v>767.79</v>
      </c>
      <c r="E3738" s="2">
        <f>IFERROR(__xludf.DUMMYFUNCTION("""COMPUTED_VALUE"""),775.67)</f>
        <v>775.67</v>
      </c>
      <c r="F3738" s="2">
        <f>IFERROR(__xludf.DUMMYFUNCTION("""COMPUTED_VALUE"""),3103394.0)</f>
        <v>3103394</v>
      </c>
    </row>
    <row r="3739">
      <c r="A3739" s="3">
        <f>IFERROR(__xludf.DUMMYFUNCTION("""COMPUTED_VALUE"""),42964.64583333333)</f>
        <v>42964.64583</v>
      </c>
      <c r="B3739" s="2">
        <f>IFERROR(__xludf.DUMMYFUNCTION("""COMPUTED_VALUE"""),777.11)</f>
        <v>777.11</v>
      </c>
      <c r="C3739" s="2">
        <f>IFERROR(__xludf.DUMMYFUNCTION("""COMPUTED_VALUE"""),791.3)</f>
        <v>791.3</v>
      </c>
      <c r="D3739" s="2">
        <f>IFERROR(__xludf.DUMMYFUNCTION("""COMPUTED_VALUE"""),773.22)</f>
        <v>773.22</v>
      </c>
      <c r="E3739" s="2">
        <f>IFERROR(__xludf.DUMMYFUNCTION("""COMPUTED_VALUE"""),776.16)</f>
        <v>776.16</v>
      </c>
      <c r="F3739" s="2">
        <f>IFERROR(__xludf.DUMMYFUNCTION("""COMPUTED_VALUE"""),3618179.0)</f>
        <v>3618179</v>
      </c>
    </row>
    <row r="3740">
      <c r="A3740" s="3">
        <f>IFERROR(__xludf.DUMMYFUNCTION("""COMPUTED_VALUE"""),42965.64583333333)</f>
        <v>42965.64583</v>
      </c>
      <c r="B3740" s="2">
        <f>IFERROR(__xludf.DUMMYFUNCTION("""COMPUTED_VALUE"""),774.63)</f>
        <v>774.63</v>
      </c>
      <c r="C3740" s="2">
        <f>IFERROR(__xludf.DUMMYFUNCTION("""COMPUTED_VALUE"""),781.46)</f>
        <v>781.46</v>
      </c>
      <c r="D3740" s="2">
        <f>IFERROR(__xludf.DUMMYFUNCTION("""COMPUTED_VALUE"""),769.25)</f>
        <v>769.25</v>
      </c>
      <c r="E3740" s="2">
        <f>IFERROR(__xludf.DUMMYFUNCTION("""COMPUTED_VALUE"""),780.27)</f>
        <v>780.27</v>
      </c>
      <c r="F3740" s="2">
        <f>IFERROR(__xludf.DUMMYFUNCTION("""COMPUTED_VALUE"""),1814011.0)</f>
        <v>1814011</v>
      </c>
    </row>
    <row r="3741">
      <c r="A3741" s="3">
        <f>IFERROR(__xludf.DUMMYFUNCTION("""COMPUTED_VALUE"""),42968.64583333333)</f>
        <v>42968.64583</v>
      </c>
      <c r="B3741" s="2">
        <f>IFERROR(__xludf.DUMMYFUNCTION("""COMPUTED_VALUE"""),781.07)</f>
        <v>781.07</v>
      </c>
      <c r="C3741" s="2">
        <f>IFERROR(__xludf.DUMMYFUNCTION("""COMPUTED_VALUE"""),784.61)</f>
        <v>784.61</v>
      </c>
      <c r="D3741" s="2">
        <f>IFERROR(__xludf.DUMMYFUNCTION("""COMPUTED_VALUE"""),772.77)</f>
        <v>772.77</v>
      </c>
      <c r="E3741" s="2">
        <f>IFERROR(__xludf.DUMMYFUNCTION("""COMPUTED_VALUE"""),774.83)</f>
        <v>774.83</v>
      </c>
      <c r="F3741" s="2">
        <f>IFERROR(__xludf.DUMMYFUNCTION("""COMPUTED_VALUE"""),1731188.0)</f>
        <v>1731188</v>
      </c>
    </row>
    <row r="3742">
      <c r="A3742" s="3">
        <f>IFERROR(__xludf.DUMMYFUNCTION("""COMPUTED_VALUE"""),42969.64583333333)</f>
        <v>42969.64583</v>
      </c>
      <c r="B3742" s="2">
        <f>IFERROR(__xludf.DUMMYFUNCTION("""COMPUTED_VALUE"""),778.59)</f>
        <v>778.59</v>
      </c>
      <c r="C3742" s="2">
        <f>IFERROR(__xludf.DUMMYFUNCTION("""COMPUTED_VALUE"""),782.5)</f>
        <v>782.5</v>
      </c>
      <c r="D3742" s="2">
        <f>IFERROR(__xludf.DUMMYFUNCTION("""COMPUTED_VALUE"""),770.69)</f>
        <v>770.69</v>
      </c>
      <c r="E3742" s="2">
        <f>IFERROR(__xludf.DUMMYFUNCTION("""COMPUTED_VALUE"""),772.67)</f>
        <v>772.67</v>
      </c>
      <c r="F3742" s="2">
        <f>IFERROR(__xludf.DUMMYFUNCTION("""COMPUTED_VALUE"""),2179230.0)</f>
        <v>2179230</v>
      </c>
    </row>
    <row r="3743">
      <c r="A3743" s="3">
        <f>IFERROR(__xludf.DUMMYFUNCTION("""COMPUTED_VALUE"""),42970.64583333333)</f>
        <v>42970.64583</v>
      </c>
      <c r="B3743" s="2">
        <f>IFERROR(__xludf.DUMMYFUNCTION("""COMPUTED_VALUE"""),775.05)</f>
        <v>775.05</v>
      </c>
      <c r="C3743" s="2">
        <f>IFERROR(__xludf.DUMMYFUNCTION("""COMPUTED_VALUE"""),785.8)</f>
        <v>785.8</v>
      </c>
      <c r="D3743" s="2">
        <f>IFERROR(__xludf.DUMMYFUNCTION("""COMPUTED_VALUE"""),769.25)</f>
        <v>769.25</v>
      </c>
      <c r="E3743" s="2">
        <f>IFERROR(__xludf.DUMMYFUNCTION("""COMPUTED_VALUE"""),783.57)</f>
        <v>783.57</v>
      </c>
      <c r="F3743" s="2">
        <f>IFERROR(__xludf.DUMMYFUNCTION("""COMPUTED_VALUE"""),1901824.0)</f>
        <v>1901824</v>
      </c>
    </row>
    <row r="3744">
      <c r="A3744" s="3">
        <f>IFERROR(__xludf.DUMMYFUNCTION("""COMPUTED_VALUE"""),42971.64583333333)</f>
        <v>42971.64583</v>
      </c>
      <c r="B3744" s="2">
        <f>IFERROR(__xludf.DUMMYFUNCTION("""COMPUTED_VALUE"""),787.51)</f>
        <v>787.51</v>
      </c>
      <c r="C3744" s="2">
        <f>IFERROR(__xludf.DUMMYFUNCTION("""COMPUTED_VALUE"""),789.04)</f>
        <v>789.04</v>
      </c>
      <c r="D3744" s="2">
        <f>IFERROR(__xludf.DUMMYFUNCTION("""COMPUTED_VALUE"""),774.88)</f>
        <v>774.88</v>
      </c>
      <c r="E3744" s="2">
        <f>IFERROR(__xludf.DUMMYFUNCTION("""COMPUTED_VALUE"""),776.63)</f>
        <v>776.63</v>
      </c>
      <c r="F3744" s="2">
        <f>IFERROR(__xludf.DUMMYFUNCTION("""COMPUTED_VALUE"""),2892571.0)</f>
        <v>2892571</v>
      </c>
    </row>
    <row r="3745">
      <c r="A3745" s="3">
        <f>IFERROR(__xludf.DUMMYFUNCTION("""COMPUTED_VALUE"""),42975.64583333333)</f>
        <v>42975.64583</v>
      </c>
      <c r="B3745" s="2">
        <f>IFERROR(__xludf.DUMMYFUNCTION("""COMPUTED_VALUE"""),782.08)</f>
        <v>782.08</v>
      </c>
      <c r="C3745" s="2">
        <f>IFERROR(__xludf.DUMMYFUNCTION("""COMPUTED_VALUE"""),783.52)</f>
        <v>783.52</v>
      </c>
      <c r="D3745" s="2">
        <f>IFERROR(__xludf.DUMMYFUNCTION("""COMPUTED_VALUE"""),773.24)</f>
        <v>773.24</v>
      </c>
      <c r="E3745" s="2">
        <f>IFERROR(__xludf.DUMMYFUNCTION("""COMPUTED_VALUE"""),775.89)</f>
        <v>775.89</v>
      </c>
      <c r="F3745" s="2">
        <f>IFERROR(__xludf.DUMMYFUNCTION("""COMPUTED_VALUE"""),2815328.0)</f>
        <v>2815328</v>
      </c>
    </row>
    <row r="3746">
      <c r="A3746" s="3">
        <f>IFERROR(__xludf.DUMMYFUNCTION("""COMPUTED_VALUE"""),42976.64583333333)</f>
        <v>42976.64583</v>
      </c>
      <c r="B3746" s="2">
        <f>IFERROR(__xludf.DUMMYFUNCTION("""COMPUTED_VALUE"""),773.56)</f>
        <v>773.56</v>
      </c>
      <c r="C3746" s="2">
        <f>IFERROR(__xludf.DUMMYFUNCTION("""COMPUTED_VALUE"""),776.36)</f>
        <v>776.36</v>
      </c>
      <c r="D3746" s="2">
        <f>IFERROR(__xludf.DUMMYFUNCTION("""COMPUTED_VALUE"""),757.79)</f>
        <v>757.79</v>
      </c>
      <c r="E3746" s="2">
        <f>IFERROR(__xludf.DUMMYFUNCTION("""COMPUTED_VALUE"""),758.85)</f>
        <v>758.85</v>
      </c>
      <c r="F3746" s="2">
        <f>IFERROR(__xludf.DUMMYFUNCTION("""COMPUTED_VALUE"""),3466421.0)</f>
        <v>3466421</v>
      </c>
    </row>
    <row r="3747">
      <c r="A3747" s="3">
        <f>IFERROR(__xludf.DUMMYFUNCTION("""COMPUTED_VALUE"""),42977.64583333333)</f>
        <v>42977.64583</v>
      </c>
      <c r="B3747" s="2">
        <f>IFERROR(__xludf.DUMMYFUNCTION("""COMPUTED_VALUE"""),766.48)</f>
        <v>766.48</v>
      </c>
      <c r="C3747" s="2">
        <f>IFERROR(__xludf.DUMMYFUNCTION("""COMPUTED_VALUE"""),777.01)</f>
        <v>777.01</v>
      </c>
      <c r="D3747" s="2">
        <f>IFERROR(__xludf.DUMMYFUNCTION("""COMPUTED_VALUE"""),763.36)</f>
        <v>763.36</v>
      </c>
      <c r="E3747" s="2">
        <f>IFERROR(__xludf.DUMMYFUNCTION("""COMPUTED_VALUE"""),774.68)</f>
        <v>774.68</v>
      </c>
      <c r="F3747" s="2">
        <f>IFERROR(__xludf.DUMMYFUNCTION("""COMPUTED_VALUE"""),2362387.0)</f>
        <v>2362387</v>
      </c>
    </row>
    <row r="3748">
      <c r="A3748" s="3">
        <f>IFERROR(__xludf.DUMMYFUNCTION("""COMPUTED_VALUE"""),42978.64583333333)</f>
        <v>42978.64583</v>
      </c>
      <c r="B3748" s="2">
        <f>IFERROR(__xludf.DUMMYFUNCTION("""COMPUTED_VALUE"""),780.08)</f>
        <v>780.08</v>
      </c>
      <c r="C3748" s="2">
        <f>IFERROR(__xludf.DUMMYFUNCTION("""COMPUTED_VALUE"""),791.2)</f>
        <v>791.2</v>
      </c>
      <c r="D3748" s="2">
        <f>IFERROR(__xludf.DUMMYFUNCTION("""COMPUTED_VALUE"""),779.58)</f>
        <v>779.58</v>
      </c>
      <c r="E3748" s="2">
        <f>IFERROR(__xludf.DUMMYFUNCTION("""COMPUTED_VALUE"""),789.73)</f>
        <v>789.73</v>
      </c>
      <c r="F3748" s="2">
        <f>IFERROR(__xludf.DUMMYFUNCTION("""COMPUTED_VALUE"""),5738495.0)</f>
        <v>5738495</v>
      </c>
    </row>
    <row r="3749">
      <c r="A3749" s="3">
        <f>IFERROR(__xludf.DUMMYFUNCTION("""COMPUTED_VALUE"""),42979.64583333333)</f>
        <v>42979.64583</v>
      </c>
      <c r="B3749" s="2">
        <f>IFERROR(__xludf.DUMMYFUNCTION("""COMPUTED_VALUE"""),792.38)</f>
        <v>792.38</v>
      </c>
      <c r="C3749" s="2">
        <f>IFERROR(__xludf.DUMMYFUNCTION("""COMPUTED_VALUE"""),800.68)</f>
        <v>800.68</v>
      </c>
      <c r="D3749" s="2">
        <f>IFERROR(__xludf.DUMMYFUNCTION("""COMPUTED_VALUE"""),791.96)</f>
        <v>791.96</v>
      </c>
      <c r="E3749" s="2">
        <f>IFERROR(__xludf.DUMMYFUNCTION("""COMPUTED_VALUE"""),797.46)</f>
        <v>797.46</v>
      </c>
      <c r="F3749" s="2">
        <f>IFERROR(__xludf.DUMMYFUNCTION("""COMPUTED_VALUE"""),3527477.0)</f>
        <v>3527477</v>
      </c>
    </row>
    <row r="3750">
      <c r="A3750" s="3">
        <f>IFERROR(__xludf.DUMMYFUNCTION("""COMPUTED_VALUE"""),42982.64583333333)</f>
        <v>42982.64583</v>
      </c>
      <c r="B3750" s="2">
        <f>IFERROR(__xludf.DUMMYFUNCTION("""COMPUTED_VALUE"""),800.14)</f>
        <v>800.14</v>
      </c>
      <c r="C3750" s="2">
        <f>IFERROR(__xludf.DUMMYFUNCTION("""COMPUTED_VALUE"""),810.36)</f>
        <v>810.36</v>
      </c>
      <c r="D3750" s="2">
        <f>IFERROR(__xludf.DUMMYFUNCTION("""COMPUTED_VALUE"""),790.4)</f>
        <v>790.4</v>
      </c>
      <c r="E3750" s="2">
        <f>IFERROR(__xludf.DUMMYFUNCTION("""COMPUTED_VALUE"""),799.07)</f>
        <v>799.07</v>
      </c>
      <c r="F3750" s="2">
        <f>IFERROR(__xludf.DUMMYFUNCTION("""COMPUTED_VALUE"""),4928375.0)</f>
        <v>4928375</v>
      </c>
    </row>
    <row r="3751">
      <c r="A3751" s="3">
        <f>IFERROR(__xludf.DUMMYFUNCTION("""COMPUTED_VALUE"""),42983.64583333333)</f>
        <v>42983.64583</v>
      </c>
      <c r="B3751" s="2">
        <f>IFERROR(__xludf.DUMMYFUNCTION("""COMPUTED_VALUE"""),807.32)</f>
        <v>807.32</v>
      </c>
      <c r="C3751" s="2">
        <f>IFERROR(__xludf.DUMMYFUNCTION("""COMPUTED_VALUE"""),809.72)</f>
        <v>809.72</v>
      </c>
      <c r="D3751" s="2">
        <f>IFERROR(__xludf.DUMMYFUNCTION("""COMPUTED_VALUE"""),802.88)</f>
        <v>802.88</v>
      </c>
      <c r="E3751" s="2">
        <f>IFERROR(__xludf.DUMMYFUNCTION("""COMPUTED_VALUE"""),808.61)</f>
        <v>808.61</v>
      </c>
      <c r="F3751" s="2">
        <f>IFERROR(__xludf.DUMMYFUNCTION("""COMPUTED_VALUE"""),5764131.0)</f>
        <v>5764131</v>
      </c>
    </row>
    <row r="3752">
      <c r="A3752" s="3">
        <f>IFERROR(__xludf.DUMMYFUNCTION("""COMPUTED_VALUE"""),42984.64583333333)</f>
        <v>42984.64583</v>
      </c>
      <c r="B3752" s="2">
        <f>IFERROR(__xludf.DUMMYFUNCTION("""COMPUTED_VALUE"""),805.53)</f>
        <v>805.53</v>
      </c>
      <c r="C3752" s="2">
        <f>IFERROR(__xludf.DUMMYFUNCTION("""COMPUTED_VALUE"""),818.46)</f>
        <v>818.46</v>
      </c>
      <c r="D3752" s="2">
        <f>IFERROR(__xludf.DUMMYFUNCTION("""COMPUTED_VALUE"""),803.75)</f>
        <v>803.75</v>
      </c>
      <c r="E3752" s="2">
        <f>IFERROR(__xludf.DUMMYFUNCTION("""COMPUTED_VALUE"""),814.95)</f>
        <v>814.95</v>
      </c>
      <c r="F3752" s="2">
        <f>IFERROR(__xludf.DUMMYFUNCTION("""COMPUTED_VALUE"""),1.1142512E7)</f>
        <v>11142512</v>
      </c>
    </row>
    <row r="3753">
      <c r="A3753" s="3">
        <f>IFERROR(__xludf.DUMMYFUNCTION("""COMPUTED_VALUE"""),42985.64583333333)</f>
        <v>42985.64583</v>
      </c>
      <c r="B3753" s="2">
        <f>IFERROR(__xludf.DUMMYFUNCTION("""COMPUTED_VALUE"""),815.24)</f>
        <v>815.24</v>
      </c>
      <c r="C3753" s="2">
        <f>IFERROR(__xludf.DUMMYFUNCTION("""COMPUTED_VALUE"""),824.65)</f>
        <v>824.65</v>
      </c>
      <c r="D3753" s="2">
        <f>IFERROR(__xludf.DUMMYFUNCTION("""COMPUTED_VALUE"""),807.32)</f>
        <v>807.32</v>
      </c>
      <c r="E3753" s="2">
        <f>IFERROR(__xludf.DUMMYFUNCTION("""COMPUTED_VALUE"""),810.39)</f>
        <v>810.39</v>
      </c>
      <c r="F3753" s="2">
        <f>IFERROR(__xludf.DUMMYFUNCTION("""COMPUTED_VALUE"""),7408536.0)</f>
        <v>7408536</v>
      </c>
    </row>
    <row r="3754">
      <c r="A3754" s="3">
        <f>IFERROR(__xludf.DUMMYFUNCTION("""COMPUTED_VALUE"""),42986.64583333333)</f>
        <v>42986.64583</v>
      </c>
      <c r="B3754" s="2">
        <f>IFERROR(__xludf.DUMMYFUNCTION("""COMPUTED_VALUE"""),812.27)</f>
        <v>812.27</v>
      </c>
      <c r="C3754" s="2">
        <f>IFERROR(__xludf.DUMMYFUNCTION("""COMPUTED_VALUE"""),815.49)</f>
        <v>815.49</v>
      </c>
      <c r="D3754" s="2">
        <f>IFERROR(__xludf.DUMMYFUNCTION("""COMPUTED_VALUE"""),804.44)</f>
        <v>804.44</v>
      </c>
      <c r="E3754" s="2">
        <f>IFERROR(__xludf.DUMMYFUNCTION("""COMPUTED_VALUE"""),809.25)</f>
        <v>809.25</v>
      </c>
      <c r="F3754" s="2">
        <f>IFERROR(__xludf.DUMMYFUNCTION("""COMPUTED_VALUE"""),6056729.0)</f>
        <v>6056729</v>
      </c>
    </row>
    <row r="3755">
      <c r="A3755" s="3">
        <f>IFERROR(__xludf.DUMMYFUNCTION("""COMPUTED_VALUE"""),42989.64583333333)</f>
        <v>42989.64583</v>
      </c>
      <c r="B3755" s="2">
        <f>IFERROR(__xludf.DUMMYFUNCTION("""COMPUTED_VALUE"""),813.56)</f>
        <v>813.56</v>
      </c>
      <c r="C3755" s="2">
        <f>IFERROR(__xludf.DUMMYFUNCTION("""COMPUTED_VALUE"""),819.06)</f>
        <v>819.06</v>
      </c>
      <c r="D3755" s="2">
        <f>IFERROR(__xludf.DUMMYFUNCTION("""COMPUTED_VALUE"""),808.85)</f>
        <v>808.85</v>
      </c>
      <c r="E3755" s="2">
        <f>IFERROR(__xludf.DUMMYFUNCTION("""COMPUTED_VALUE"""),810.19)</f>
        <v>810.19</v>
      </c>
      <c r="F3755" s="2">
        <f>IFERROR(__xludf.DUMMYFUNCTION("""COMPUTED_VALUE"""),5801712.0)</f>
        <v>5801712</v>
      </c>
    </row>
    <row r="3756">
      <c r="A3756" s="3">
        <f>IFERROR(__xludf.DUMMYFUNCTION("""COMPUTED_VALUE"""),42990.64583333333)</f>
        <v>42990.64583</v>
      </c>
      <c r="B3756" s="2">
        <f>IFERROR(__xludf.DUMMYFUNCTION("""COMPUTED_VALUE"""),814.99)</f>
        <v>814.99</v>
      </c>
      <c r="C3756" s="2">
        <f>IFERROR(__xludf.DUMMYFUNCTION("""COMPUTED_VALUE"""),817.22)</f>
        <v>817.22</v>
      </c>
      <c r="D3756" s="2">
        <f>IFERROR(__xludf.DUMMYFUNCTION("""COMPUTED_VALUE"""),809.3)</f>
        <v>809.3</v>
      </c>
      <c r="E3756" s="2">
        <f>IFERROR(__xludf.DUMMYFUNCTION("""COMPUTED_VALUE"""),815.99)</f>
        <v>815.99</v>
      </c>
      <c r="F3756" s="2">
        <f>IFERROR(__xludf.DUMMYFUNCTION("""COMPUTED_VALUE"""),2971669.0)</f>
        <v>2971669</v>
      </c>
    </row>
    <row r="3757">
      <c r="A3757" s="3">
        <f>IFERROR(__xludf.DUMMYFUNCTION("""COMPUTED_VALUE"""),42991.64583333333)</f>
        <v>42991.64583</v>
      </c>
      <c r="B3757" s="2">
        <f>IFERROR(__xludf.DUMMYFUNCTION("""COMPUTED_VALUE"""),816.23)</f>
        <v>816.23</v>
      </c>
      <c r="C3757" s="2">
        <f>IFERROR(__xludf.DUMMYFUNCTION("""COMPUTED_VALUE"""),851.79)</f>
        <v>851.79</v>
      </c>
      <c r="D3757" s="2">
        <f>IFERROR(__xludf.DUMMYFUNCTION("""COMPUTED_VALUE"""),814.25)</f>
        <v>814.25</v>
      </c>
      <c r="E3757" s="2">
        <f>IFERROR(__xludf.DUMMYFUNCTION("""COMPUTED_VALUE"""),841.0)</f>
        <v>841</v>
      </c>
      <c r="F3757" s="2">
        <f>IFERROR(__xludf.DUMMYFUNCTION("""COMPUTED_VALUE"""),1.3430225E7)</f>
        <v>13430225</v>
      </c>
    </row>
    <row r="3758">
      <c r="A3758" s="3">
        <f>IFERROR(__xludf.DUMMYFUNCTION("""COMPUTED_VALUE"""),42992.64583333333)</f>
        <v>42992.64583</v>
      </c>
      <c r="B3758" s="2">
        <f>IFERROR(__xludf.DUMMYFUNCTION("""COMPUTED_VALUE"""),847.73)</f>
        <v>847.73</v>
      </c>
      <c r="C3758" s="2">
        <f>IFERROR(__xludf.DUMMYFUNCTION("""COMPUTED_VALUE"""),853.38)</f>
        <v>853.38</v>
      </c>
      <c r="D3758" s="2">
        <f>IFERROR(__xludf.DUMMYFUNCTION("""COMPUTED_VALUE"""),834.06)</f>
        <v>834.06</v>
      </c>
      <c r="E3758" s="2">
        <f>IFERROR(__xludf.DUMMYFUNCTION("""COMPUTED_VALUE"""),835.9)</f>
        <v>835.9</v>
      </c>
      <c r="F3758" s="2">
        <f>IFERROR(__xludf.DUMMYFUNCTION("""COMPUTED_VALUE"""),5425486.0)</f>
        <v>5425486</v>
      </c>
    </row>
    <row r="3759">
      <c r="A3759" s="3">
        <f>IFERROR(__xludf.DUMMYFUNCTION("""COMPUTED_VALUE"""),42993.64583333333)</f>
        <v>42993.64583</v>
      </c>
      <c r="B3759" s="2">
        <f>IFERROR(__xludf.DUMMYFUNCTION("""COMPUTED_VALUE"""),834.06)</f>
        <v>834.06</v>
      </c>
      <c r="C3759" s="2">
        <f>IFERROR(__xludf.DUMMYFUNCTION("""COMPUTED_VALUE"""),844.81)</f>
        <v>844.81</v>
      </c>
      <c r="D3759" s="2">
        <f>IFERROR(__xludf.DUMMYFUNCTION("""COMPUTED_VALUE"""),826.88)</f>
        <v>826.88</v>
      </c>
      <c r="E3759" s="2">
        <f>IFERROR(__xludf.DUMMYFUNCTION("""COMPUTED_VALUE"""),833.87)</f>
        <v>833.87</v>
      </c>
      <c r="F3759" s="2">
        <f>IFERROR(__xludf.DUMMYFUNCTION("""COMPUTED_VALUE"""),1.3072853E7)</f>
        <v>13072853</v>
      </c>
    </row>
    <row r="3760">
      <c r="A3760" s="3">
        <f>IFERROR(__xludf.DUMMYFUNCTION("""COMPUTED_VALUE"""),42996.64583333333)</f>
        <v>42996.64583</v>
      </c>
      <c r="B3760" s="2">
        <f>IFERROR(__xludf.DUMMYFUNCTION("""COMPUTED_VALUE"""),841.99)</f>
        <v>841.99</v>
      </c>
      <c r="C3760" s="2">
        <f>IFERROR(__xludf.DUMMYFUNCTION("""COMPUTED_VALUE"""),843.03)</f>
        <v>843.03</v>
      </c>
      <c r="D3760" s="2">
        <f>IFERROR(__xludf.DUMMYFUNCTION("""COMPUTED_VALUE"""),835.15)</f>
        <v>835.15</v>
      </c>
      <c r="E3760" s="2">
        <f>IFERROR(__xludf.DUMMYFUNCTION("""COMPUTED_VALUE"""),837.58)</f>
        <v>837.58</v>
      </c>
      <c r="F3760" s="2">
        <f>IFERROR(__xludf.DUMMYFUNCTION("""COMPUTED_VALUE"""),2314174.0)</f>
        <v>2314174</v>
      </c>
    </row>
    <row r="3761">
      <c r="A3761" s="3">
        <f>IFERROR(__xludf.DUMMYFUNCTION("""COMPUTED_VALUE"""),42997.64583333333)</f>
        <v>42997.64583</v>
      </c>
      <c r="B3761" s="2">
        <f>IFERROR(__xludf.DUMMYFUNCTION("""COMPUTED_VALUE"""),840.7)</f>
        <v>840.7</v>
      </c>
      <c r="C3761" s="2">
        <f>IFERROR(__xludf.DUMMYFUNCTION("""COMPUTED_VALUE"""),840.75)</f>
        <v>840.75</v>
      </c>
      <c r="D3761" s="2">
        <f>IFERROR(__xludf.DUMMYFUNCTION("""COMPUTED_VALUE"""),829.11)</f>
        <v>829.11</v>
      </c>
      <c r="E3761" s="2">
        <f>IFERROR(__xludf.DUMMYFUNCTION("""COMPUTED_VALUE"""),830.7)</f>
        <v>830.7</v>
      </c>
      <c r="F3761" s="2">
        <f>IFERROR(__xludf.DUMMYFUNCTION("""COMPUTED_VALUE"""),3528729.0)</f>
        <v>3528729</v>
      </c>
    </row>
    <row r="3762">
      <c r="A3762" s="3">
        <f>IFERROR(__xludf.DUMMYFUNCTION("""COMPUTED_VALUE"""),42998.64583333333)</f>
        <v>42998.64583</v>
      </c>
      <c r="B3762" s="2">
        <f>IFERROR(__xludf.DUMMYFUNCTION("""COMPUTED_VALUE"""),848.03)</f>
        <v>848.03</v>
      </c>
      <c r="C3762" s="2">
        <f>IFERROR(__xludf.DUMMYFUNCTION("""COMPUTED_VALUE"""),864.28)</f>
        <v>864.28</v>
      </c>
      <c r="D3762" s="2">
        <f>IFERROR(__xludf.DUMMYFUNCTION("""COMPUTED_VALUE"""),837.13)</f>
        <v>837.13</v>
      </c>
      <c r="E3762" s="2">
        <f>IFERROR(__xludf.DUMMYFUNCTION("""COMPUTED_VALUE"""),839.16)</f>
        <v>839.16</v>
      </c>
      <c r="F3762" s="2">
        <f>IFERROR(__xludf.DUMMYFUNCTION("""COMPUTED_VALUE"""),1.1402965E7)</f>
        <v>11402965</v>
      </c>
    </row>
    <row r="3763">
      <c r="A3763" s="3">
        <f>IFERROR(__xludf.DUMMYFUNCTION("""COMPUTED_VALUE"""),42999.64583333333)</f>
        <v>42999.64583</v>
      </c>
      <c r="B3763" s="2">
        <f>IFERROR(__xludf.DUMMYFUNCTION("""COMPUTED_VALUE"""),839.02)</f>
        <v>839.02</v>
      </c>
      <c r="C3763" s="2">
        <f>IFERROR(__xludf.DUMMYFUNCTION("""COMPUTED_VALUE"""),843.67)</f>
        <v>843.67</v>
      </c>
      <c r="D3763" s="2">
        <f>IFERROR(__xludf.DUMMYFUNCTION("""COMPUTED_VALUE"""),828.37)</f>
        <v>828.37</v>
      </c>
      <c r="E3763" s="2">
        <f>IFERROR(__xludf.DUMMYFUNCTION("""COMPUTED_VALUE"""),833.42)</f>
        <v>833.42</v>
      </c>
      <c r="F3763" s="2">
        <f>IFERROR(__xludf.DUMMYFUNCTION("""COMPUTED_VALUE"""),5920552.0)</f>
        <v>5920552</v>
      </c>
    </row>
    <row r="3764">
      <c r="A3764" s="3">
        <f>IFERROR(__xludf.DUMMYFUNCTION("""COMPUTED_VALUE"""),43000.64583333333)</f>
        <v>43000.64583</v>
      </c>
      <c r="B3764" s="2">
        <f>IFERROR(__xludf.DUMMYFUNCTION("""COMPUTED_VALUE"""),831.98)</f>
        <v>831.98</v>
      </c>
      <c r="C3764" s="2">
        <f>IFERROR(__xludf.DUMMYFUNCTION("""COMPUTED_VALUE"""),831.98)</f>
        <v>831.98</v>
      </c>
      <c r="D3764" s="2">
        <f>IFERROR(__xludf.DUMMYFUNCTION("""COMPUTED_VALUE"""),805.53)</f>
        <v>805.53</v>
      </c>
      <c r="E3764" s="2">
        <f>IFERROR(__xludf.DUMMYFUNCTION("""COMPUTED_VALUE"""),809.7)</f>
        <v>809.7</v>
      </c>
      <c r="F3764" s="2">
        <f>IFERROR(__xludf.DUMMYFUNCTION("""COMPUTED_VALUE"""),5620443.0)</f>
        <v>5620443</v>
      </c>
    </row>
    <row r="3765">
      <c r="A3765" s="3">
        <f>IFERROR(__xludf.DUMMYFUNCTION("""COMPUTED_VALUE"""),43003.64583333333)</f>
        <v>43003.64583</v>
      </c>
      <c r="B3765" s="2">
        <f>IFERROR(__xludf.DUMMYFUNCTION("""COMPUTED_VALUE"""),807.32)</f>
        <v>807.32</v>
      </c>
      <c r="C3765" s="2">
        <f>IFERROR(__xludf.DUMMYFUNCTION("""COMPUTED_VALUE"""),820.15)</f>
        <v>820.15</v>
      </c>
      <c r="D3765" s="2">
        <f>IFERROR(__xludf.DUMMYFUNCTION("""COMPUTED_VALUE"""),797.61)</f>
        <v>797.61</v>
      </c>
      <c r="E3765" s="2">
        <f>IFERROR(__xludf.DUMMYFUNCTION("""COMPUTED_VALUE"""),813.81)</f>
        <v>813.81</v>
      </c>
      <c r="F3765" s="2">
        <f>IFERROR(__xludf.DUMMYFUNCTION("""COMPUTED_VALUE"""),6505309.0)</f>
        <v>6505309</v>
      </c>
    </row>
    <row r="3766">
      <c r="A3766" s="3">
        <f>IFERROR(__xludf.DUMMYFUNCTION("""COMPUTED_VALUE"""),43004.64583333333)</f>
        <v>43004.64583</v>
      </c>
      <c r="B3766" s="2">
        <f>IFERROR(__xludf.DUMMYFUNCTION("""COMPUTED_VALUE"""),813.95)</f>
        <v>813.95</v>
      </c>
      <c r="C3766" s="2">
        <f>IFERROR(__xludf.DUMMYFUNCTION("""COMPUTED_VALUE"""),819.25)</f>
        <v>819.25</v>
      </c>
      <c r="D3766" s="2">
        <f>IFERROR(__xludf.DUMMYFUNCTION("""COMPUTED_VALUE"""),804.54)</f>
        <v>804.54</v>
      </c>
      <c r="E3766" s="2">
        <f>IFERROR(__xludf.DUMMYFUNCTION("""COMPUTED_VALUE"""),812.37)</f>
        <v>812.37</v>
      </c>
      <c r="F3766" s="2">
        <f>IFERROR(__xludf.DUMMYFUNCTION("""COMPUTED_VALUE"""),4829571.0)</f>
        <v>4829571</v>
      </c>
    </row>
    <row r="3767">
      <c r="A3767" s="3">
        <f>IFERROR(__xludf.DUMMYFUNCTION("""COMPUTED_VALUE"""),43005.64583333333)</f>
        <v>43005.64583</v>
      </c>
      <c r="B3767" s="2">
        <f>IFERROR(__xludf.DUMMYFUNCTION("""COMPUTED_VALUE"""),817.82)</f>
        <v>817.82</v>
      </c>
      <c r="C3767" s="2">
        <f>IFERROR(__xludf.DUMMYFUNCTION("""COMPUTED_VALUE"""),817.92)</f>
        <v>817.92</v>
      </c>
      <c r="D3767" s="2">
        <f>IFERROR(__xludf.DUMMYFUNCTION("""COMPUTED_VALUE"""),788.0)</f>
        <v>788</v>
      </c>
      <c r="E3767" s="2">
        <f>IFERROR(__xludf.DUMMYFUNCTION("""COMPUTED_VALUE"""),791.62)</f>
        <v>791.62</v>
      </c>
      <c r="F3767" s="2">
        <f>IFERROR(__xludf.DUMMYFUNCTION("""COMPUTED_VALUE"""),8434196.0)</f>
        <v>8434196</v>
      </c>
    </row>
    <row r="3768">
      <c r="A3768" s="3">
        <f>IFERROR(__xludf.DUMMYFUNCTION("""COMPUTED_VALUE"""),43006.64583333333)</f>
        <v>43006.64583</v>
      </c>
      <c r="B3768" s="2">
        <f>IFERROR(__xludf.DUMMYFUNCTION("""COMPUTED_VALUE"""),792.11)</f>
        <v>792.11</v>
      </c>
      <c r="C3768" s="2">
        <f>IFERROR(__xludf.DUMMYFUNCTION("""COMPUTED_VALUE"""),795.33)</f>
        <v>795.33</v>
      </c>
      <c r="D3768" s="2">
        <f>IFERROR(__xludf.DUMMYFUNCTION("""COMPUTED_VALUE"""),772.85)</f>
        <v>772.85</v>
      </c>
      <c r="E3768" s="2">
        <f>IFERROR(__xludf.DUMMYFUNCTION("""COMPUTED_VALUE"""),779.04)</f>
        <v>779.04</v>
      </c>
      <c r="F3768" s="2">
        <f>IFERROR(__xludf.DUMMYFUNCTION("""COMPUTED_VALUE"""),1.3508179E7)</f>
        <v>13508179</v>
      </c>
    </row>
    <row r="3769">
      <c r="A3769" s="3">
        <f>IFERROR(__xludf.DUMMYFUNCTION("""COMPUTED_VALUE"""),43007.64583333333)</f>
        <v>43007.64583</v>
      </c>
      <c r="B3769" s="2">
        <f>IFERROR(__xludf.DUMMYFUNCTION("""COMPUTED_VALUE"""),784.29)</f>
        <v>784.29</v>
      </c>
      <c r="C3769" s="2">
        <f>IFERROR(__xludf.DUMMYFUNCTION("""COMPUTED_VALUE"""),785.92)</f>
        <v>785.92</v>
      </c>
      <c r="D3769" s="2">
        <f>IFERROR(__xludf.DUMMYFUNCTION("""COMPUTED_VALUE"""),771.76)</f>
        <v>771.76</v>
      </c>
      <c r="E3769" s="2">
        <f>IFERROR(__xludf.DUMMYFUNCTION("""COMPUTED_VALUE"""),773.54)</f>
        <v>773.54</v>
      </c>
      <c r="F3769" s="2">
        <f>IFERROR(__xludf.DUMMYFUNCTION("""COMPUTED_VALUE"""),7619230.0)</f>
        <v>7619230</v>
      </c>
    </row>
    <row r="3770">
      <c r="A3770" s="3">
        <f>IFERROR(__xludf.DUMMYFUNCTION("""COMPUTED_VALUE"""),43011.64583333333)</f>
        <v>43011.64583</v>
      </c>
      <c r="B3770" s="2">
        <f>IFERROR(__xludf.DUMMYFUNCTION("""COMPUTED_VALUE"""),787.51)</f>
        <v>787.51</v>
      </c>
      <c r="C3770" s="2">
        <f>IFERROR(__xludf.DUMMYFUNCTION("""COMPUTED_VALUE"""),796.27)</f>
        <v>796.27</v>
      </c>
      <c r="D3770" s="2">
        <f>IFERROR(__xludf.DUMMYFUNCTION("""COMPUTED_VALUE"""),777.95)</f>
        <v>777.95</v>
      </c>
      <c r="E3770" s="2">
        <f>IFERROR(__xludf.DUMMYFUNCTION("""COMPUTED_VALUE"""),790.82)</f>
        <v>790.82</v>
      </c>
      <c r="F3770" s="2">
        <f>IFERROR(__xludf.DUMMYFUNCTION("""COMPUTED_VALUE"""),8387059.0)</f>
        <v>8387059</v>
      </c>
    </row>
    <row r="3771">
      <c r="A3771" s="3">
        <f>IFERROR(__xludf.DUMMYFUNCTION("""COMPUTED_VALUE"""),43012.64583333333)</f>
        <v>43012.64583</v>
      </c>
      <c r="B3771" s="2">
        <f>IFERROR(__xludf.DUMMYFUNCTION("""COMPUTED_VALUE"""),791.67)</f>
        <v>791.67</v>
      </c>
      <c r="C3771" s="2">
        <f>IFERROR(__xludf.DUMMYFUNCTION("""COMPUTED_VALUE"""),817.17)</f>
        <v>817.17</v>
      </c>
      <c r="D3771" s="2">
        <f>IFERROR(__xludf.DUMMYFUNCTION("""COMPUTED_VALUE"""),788.1)</f>
        <v>788.1</v>
      </c>
      <c r="E3771" s="2">
        <f>IFERROR(__xludf.DUMMYFUNCTION("""COMPUTED_VALUE"""),811.13)</f>
        <v>811.13</v>
      </c>
      <c r="F3771" s="2">
        <f>IFERROR(__xludf.DUMMYFUNCTION("""COMPUTED_VALUE"""),8643924.0)</f>
        <v>8643924</v>
      </c>
    </row>
    <row r="3772">
      <c r="A3772" s="3">
        <f>IFERROR(__xludf.DUMMYFUNCTION("""COMPUTED_VALUE"""),43013.64583333333)</f>
        <v>43013.64583</v>
      </c>
      <c r="B3772" s="2">
        <f>IFERROR(__xludf.DUMMYFUNCTION("""COMPUTED_VALUE"""),817.22)</f>
        <v>817.22</v>
      </c>
      <c r="C3772" s="2">
        <f>IFERROR(__xludf.DUMMYFUNCTION("""COMPUTED_VALUE"""),820.64)</f>
        <v>820.64</v>
      </c>
      <c r="D3772" s="2">
        <f>IFERROR(__xludf.DUMMYFUNCTION("""COMPUTED_VALUE"""),810.93)</f>
        <v>810.93</v>
      </c>
      <c r="E3772" s="2">
        <f>IFERROR(__xludf.DUMMYFUNCTION("""COMPUTED_VALUE"""),816.38)</f>
        <v>816.38</v>
      </c>
      <c r="F3772" s="2">
        <f>IFERROR(__xludf.DUMMYFUNCTION("""COMPUTED_VALUE"""),4860479.0)</f>
        <v>4860479</v>
      </c>
    </row>
    <row r="3773">
      <c r="A3773" s="3">
        <f>IFERROR(__xludf.DUMMYFUNCTION("""COMPUTED_VALUE"""),43014.64583333333)</f>
        <v>43014.64583</v>
      </c>
      <c r="B3773" s="2">
        <f>IFERROR(__xludf.DUMMYFUNCTION("""COMPUTED_VALUE"""),816.23)</f>
        <v>816.23</v>
      </c>
      <c r="C3773" s="2">
        <f>IFERROR(__xludf.DUMMYFUNCTION("""COMPUTED_VALUE"""),831.44)</f>
        <v>831.44</v>
      </c>
      <c r="D3773" s="2">
        <f>IFERROR(__xludf.DUMMYFUNCTION("""COMPUTED_VALUE"""),814.85)</f>
        <v>814.85</v>
      </c>
      <c r="E3773" s="2">
        <f>IFERROR(__xludf.DUMMYFUNCTION("""COMPUTED_VALUE"""),829.16)</f>
        <v>829.16</v>
      </c>
      <c r="F3773" s="2">
        <f>IFERROR(__xludf.DUMMYFUNCTION("""COMPUTED_VALUE"""),5942106.0)</f>
        <v>5942106</v>
      </c>
    </row>
    <row r="3774">
      <c r="A3774" s="3">
        <f>IFERROR(__xludf.DUMMYFUNCTION("""COMPUTED_VALUE"""),43017.64583333333)</f>
        <v>43017.64583</v>
      </c>
      <c r="B3774" s="2">
        <f>IFERROR(__xludf.DUMMYFUNCTION("""COMPUTED_VALUE"""),831.09)</f>
        <v>831.09</v>
      </c>
      <c r="C3774" s="2">
        <f>IFERROR(__xludf.DUMMYFUNCTION("""COMPUTED_VALUE"""),831.88)</f>
        <v>831.88</v>
      </c>
      <c r="D3774" s="2">
        <f>IFERROR(__xludf.DUMMYFUNCTION("""COMPUTED_VALUE"""),820.2)</f>
        <v>820.2</v>
      </c>
      <c r="E3774" s="2">
        <f>IFERROR(__xludf.DUMMYFUNCTION("""COMPUTED_VALUE"""),822.82)</f>
        <v>822.82</v>
      </c>
      <c r="F3774" s="2">
        <f>IFERROR(__xludf.DUMMYFUNCTION("""COMPUTED_VALUE"""),4046109.0)</f>
        <v>4046109</v>
      </c>
    </row>
    <row r="3775">
      <c r="A3775" s="3">
        <f>IFERROR(__xludf.DUMMYFUNCTION("""COMPUTED_VALUE"""),43018.64583333333)</f>
        <v>43018.64583</v>
      </c>
      <c r="B3775" s="2">
        <f>IFERROR(__xludf.DUMMYFUNCTION("""COMPUTED_VALUE"""),823.17)</f>
        <v>823.17</v>
      </c>
      <c r="C3775" s="2">
        <f>IFERROR(__xludf.DUMMYFUNCTION("""COMPUTED_VALUE"""),839.31)</f>
        <v>839.31</v>
      </c>
      <c r="D3775" s="2">
        <f>IFERROR(__xludf.DUMMYFUNCTION("""COMPUTED_VALUE"""),823.17)</f>
        <v>823.17</v>
      </c>
      <c r="E3775" s="2">
        <f>IFERROR(__xludf.DUMMYFUNCTION("""COMPUTED_VALUE"""),835.25)</f>
        <v>835.25</v>
      </c>
      <c r="F3775" s="2">
        <f>IFERROR(__xludf.DUMMYFUNCTION("""COMPUTED_VALUE"""),6734986.0)</f>
        <v>6734986</v>
      </c>
    </row>
    <row r="3776">
      <c r="A3776" s="3">
        <f>IFERROR(__xludf.DUMMYFUNCTION("""COMPUTED_VALUE"""),43019.64583333333)</f>
        <v>43019.64583</v>
      </c>
      <c r="B3776" s="2">
        <f>IFERROR(__xludf.DUMMYFUNCTION("""COMPUTED_VALUE"""),837.33)</f>
        <v>837.33</v>
      </c>
      <c r="C3776" s="2">
        <f>IFERROR(__xludf.DUMMYFUNCTION("""COMPUTED_VALUE"""),850.31)</f>
        <v>850.31</v>
      </c>
      <c r="D3776" s="2">
        <f>IFERROR(__xludf.DUMMYFUNCTION("""COMPUTED_VALUE"""),828.12)</f>
        <v>828.12</v>
      </c>
      <c r="E3776" s="2">
        <f>IFERROR(__xludf.DUMMYFUNCTION("""COMPUTED_VALUE"""),832.23)</f>
        <v>832.23</v>
      </c>
      <c r="F3776" s="2">
        <f>IFERROR(__xludf.DUMMYFUNCTION("""COMPUTED_VALUE"""),7049800.0)</f>
        <v>7049800</v>
      </c>
    </row>
    <row r="3777">
      <c r="A3777" s="3">
        <f>IFERROR(__xludf.DUMMYFUNCTION("""COMPUTED_VALUE"""),43020.64583333333)</f>
        <v>43020.64583</v>
      </c>
      <c r="B3777" s="2">
        <f>IFERROR(__xludf.DUMMYFUNCTION("""COMPUTED_VALUE"""),834.16)</f>
        <v>834.16</v>
      </c>
      <c r="C3777" s="2">
        <f>IFERROR(__xludf.DUMMYFUNCTION("""COMPUTED_VALUE"""),868.54)</f>
        <v>868.54</v>
      </c>
      <c r="D3777" s="2">
        <f>IFERROR(__xludf.DUMMYFUNCTION("""COMPUTED_VALUE"""),834.16)</f>
        <v>834.16</v>
      </c>
      <c r="E3777" s="2">
        <f>IFERROR(__xludf.DUMMYFUNCTION("""COMPUTED_VALUE"""),864.52)</f>
        <v>864.52</v>
      </c>
      <c r="F3777" s="2">
        <f>IFERROR(__xludf.DUMMYFUNCTION("""COMPUTED_VALUE"""),8522926.0)</f>
        <v>8522926</v>
      </c>
    </row>
    <row r="3778">
      <c r="A3778" s="3">
        <f>IFERROR(__xludf.DUMMYFUNCTION("""COMPUTED_VALUE"""),43021.64583333333)</f>
        <v>43021.64583</v>
      </c>
      <c r="B3778" s="2">
        <f>IFERROR(__xludf.DUMMYFUNCTION("""COMPUTED_VALUE"""),871.01)</f>
        <v>871.01</v>
      </c>
      <c r="C3778" s="2">
        <f>IFERROR(__xludf.DUMMYFUNCTION("""COMPUTED_VALUE"""),882.3)</f>
        <v>882.3</v>
      </c>
      <c r="D3778" s="2">
        <f>IFERROR(__xludf.DUMMYFUNCTION("""COMPUTED_VALUE"""),865.12)</f>
        <v>865.12</v>
      </c>
      <c r="E3778" s="2">
        <f>IFERROR(__xludf.DUMMYFUNCTION("""COMPUTED_VALUE"""),868.19)</f>
        <v>868.19</v>
      </c>
      <c r="F3778" s="2">
        <f>IFERROR(__xludf.DUMMYFUNCTION("""COMPUTED_VALUE"""),9833512.0)</f>
        <v>9833512</v>
      </c>
    </row>
    <row r="3779">
      <c r="A3779" s="3">
        <f>IFERROR(__xludf.DUMMYFUNCTION("""COMPUTED_VALUE"""),43024.64583333333)</f>
        <v>43024.64583</v>
      </c>
      <c r="B3779" s="2">
        <f>IFERROR(__xludf.DUMMYFUNCTION("""COMPUTED_VALUE"""),870.71)</f>
        <v>870.71</v>
      </c>
      <c r="C3779" s="2">
        <f>IFERROR(__xludf.DUMMYFUNCTION("""COMPUTED_VALUE"""),883.59)</f>
        <v>883.59</v>
      </c>
      <c r="D3779" s="2">
        <f>IFERROR(__xludf.DUMMYFUNCTION("""COMPUTED_VALUE"""),853.18)</f>
        <v>853.18</v>
      </c>
      <c r="E3779" s="2">
        <f>IFERROR(__xludf.DUMMYFUNCTION("""COMPUTED_VALUE"""),868.54)</f>
        <v>868.54</v>
      </c>
      <c r="F3779" s="2">
        <f>IFERROR(__xludf.DUMMYFUNCTION("""COMPUTED_VALUE"""),1.4633539E7)</f>
        <v>14633539</v>
      </c>
    </row>
    <row r="3780">
      <c r="A3780" s="3">
        <f>IFERROR(__xludf.DUMMYFUNCTION("""COMPUTED_VALUE"""),43025.83333333333)</f>
        <v>43025.83333</v>
      </c>
      <c r="B3780" s="2">
        <f>IFERROR(__xludf.DUMMYFUNCTION("""COMPUTED_VALUE"""),869.72)</f>
        <v>869.72</v>
      </c>
      <c r="C3780" s="2">
        <f>IFERROR(__xludf.DUMMYFUNCTION("""COMPUTED_VALUE"""),875.67)</f>
        <v>875.67</v>
      </c>
      <c r="D3780" s="2">
        <f>IFERROR(__xludf.DUMMYFUNCTION("""COMPUTED_VALUE"""),859.03)</f>
        <v>859.03</v>
      </c>
      <c r="E3780" s="2">
        <f>IFERROR(__xludf.DUMMYFUNCTION("""COMPUTED_VALUE"""),866.11)</f>
        <v>866.11</v>
      </c>
      <c r="F3780" s="2">
        <f>IFERROR(__xludf.DUMMYFUNCTION("""COMPUTED_VALUE"""),6354084.0)</f>
        <v>6354084</v>
      </c>
    </row>
    <row r="3781">
      <c r="A3781" s="3">
        <f>IFERROR(__xludf.DUMMYFUNCTION("""COMPUTED_VALUE"""),43026.64583333333)</f>
        <v>43026.64583</v>
      </c>
      <c r="B3781" s="2">
        <f>IFERROR(__xludf.DUMMYFUNCTION("""COMPUTED_VALUE"""),869.13)</f>
        <v>869.13</v>
      </c>
      <c r="C3781" s="2">
        <f>IFERROR(__xludf.DUMMYFUNCTION("""COMPUTED_VALUE"""),909.25)</f>
        <v>909.25</v>
      </c>
      <c r="D3781" s="2">
        <f>IFERROR(__xludf.DUMMYFUNCTION("""COMPUTED_VALUE"""),866.75)</f>
        <v>866.75</v>
      </c>
      <c r="E3781" s="2">
        <f>IFERROR(__xludf.DUMMYFUNCTION("""COMPUTED_VALUE"""),905.88)</f>
        <v>905.88</v>
      </c>
      <c r="F3781" s="2">
        <f>IFERROR(__xludf.DUMMYFUNCTION("""COMPUTED_VALUE"""),1.6765178E7)</f>
        <v>16765178</v>
      </c>
    </row>
    <row r="3782">
      <c r="A3782" s="3">
        <f>IFERROR(__xludf.DUMMYFUNCTION("""COMPUTED_VALUE"""),43027.83333333333)</f>
        <v>43027.83333</v>
      </c>
      <c r="B3782" s="2">
        <f>IFERROR(__xludf.DUMMYFUNCTION("""COMPUTED_VALUE"""),907.17)</f>
        <v>907.17</v>
      </c>
      <c r="C3782" s="2">
        <f>IFERROR(__xludf.DUMMYFUNCTION("""COMPUTED_VALUE"""),913.21)</f>
        <v>913.21</v>
      </c>
      <c r="D3782" s="2">
        <f>IFERROR(__xludf.DUMMYFUNCTION("""COMPUTED_VALUE"""),894.49)</f>
        <v>894.49</v>
      </c>
      <c r="E3782" s="2">
        <f>IFERROR(__xludf.DUMMYFUNCTION("""COMPUTED_VALUE"""),895.48)</f>
        <v>895.48</v>
      </c>
      <c r="F3782" s="2">
        <f>IFERROR(__xludf.DUMMYFUNCTION("""COMPUTED_VALUE"""),3664082.0)</f>
        <v>3664082</v>
      </c>
    </row>
    <row r="3783">
      <c r="A3783" s="3">
        <f>IFERROR(__xludf.DUMMYFUNCTION("""COMPUTED_VALUE"""),43031.64583333333)</f>
        <v>43031.64583</v>
      </c>
      <c r="B3783" s="2">
        <f>IFERROR(__xludf.DUMMYFUNCTION("""COMPUTED_VALUE"""),904.29)</f>
        <v>904.29</v>
      </c>
      <c r="C3783" s="2">
        <f>IFERROR(__xludf.DUMMYFUNCTION("""COMPUTED_VALUE"""),935.8)</f>
        <v>935.8</v>
      </c>
      <c r="D3783" s="2">
        <f>IFERROR(__xludf.DUMMYFUNCTION("""COMPUTED_VALUE"""),900.53)</f>
        <v>900.53</v>
      </c>
      <c r="E3783" s="2">
        <f>IFERROR(__xludf.DUMMYFUNCTION("""COMPUTED_VALUE"""),930.89)</f>
        <v>930.89</v>
      </c>
      <c r="F3783" s="2">
        <f>IFERROR(__xludf.DUMMYFUNCTION("""COMPUTED_VALUE"""),1.2551649E7)</f>
        <v>12551649</v>
      </c>
    </row>
    <row r="3784">
      <c r="A3784" s="3">
        <f>IFERROR(__xludf.DUMMYFUNCTION("""COMPUTED_VALUE"""),43032.64583333333)</f>
        <v>43032.64583</v>
      </c>
      <c r="B3784" s="2">
        <f>IFERROR(__xludf.DUMMYFUNCTION("""COMPUTED_VALUE"""),938.77)</f>
        <v>938.77</v>
      </c>
      <c r="C3784" s="2">
        <f>IFERROR(__xludf.DUMMYFUNCTION("""COMPUTED_VALUE"""),938.77)</f>
        <v>938.77</v>
      </c>
      <c r="D3784" s="2">
        <f>IFERROR(__xludf.DUMMYFUNCTION("""COMPUTED_VALUE"""),919.45)</f>
        <v>919.45</v>
      </c>
      <c r="E3784" s="2">
        <f>IFERROR(__xludf.DUMMYFUNCTION("""COMPUTED_VALUE"""),925.44)</f>
        <v>925.44</v>
      </c>
      <c r="F3784" s="2">
        <f>IFERROR(__xludf.DUMMYFUNCTION("""COMPUTED_VALUE"""),6335308.0)</f>
        <v>6335308</v>
      </c>
    </row>
    <row r="3785">
      <c r="A3785" s="3">
        <f>IFERROR(__xludf.DUMMYFUNCTION("""COMPUTED_VALUE"""),43033.64583333333)</f>
        <v>43033.64583</v>
      </c>
      <c r="B3785" s="2">
        <f>IFERROR(__xludf.DUMMYFUNCTION("""COMPUTED_VALUE"""),931.24)</f>
        <v>931.24</v>
      </c>
      <c r="C3785" s="2">
        <f>IFERROR(__xludf.DUMMYFUNCTION("""COMPUTED_VALUE"""),936.98)</f>
        <v>936.98</v>
      </c>
      <c r="D3785" s="2">
        <f>IFERROR(__xludf.DUMMYFUNCTION("""COMPUTED_VALUE"""),920.74)</f>
        <v>920.74</v>
      </c>
      <c r="E3785" s="2">
        <f>IFERROR(__xludf.DUMMYFUNCTION("""COMPUTED_VALUE"""),931.04)</f>
        <v>931.04</v>
      </c>
      <c r="F3785" s="2">
        <f>IFERROR(__xludf.DUMMYFUNCTION("""COMPUTED_VALUE"""),4577050.0)</f>
        <v>4577050</v>
      </c>
    </row>
    <row r="3786">
      <c r="A3786" s="3">
        <f>IFERROR(__xludf.DUMMYFUNCTION("""COMPUTED_VALUE"""),43034.64583333333)</f>
        <v>43034.64583</v>
      </c>
      <c r="B3786" s="2">
        <f>IFERROR(__xludf.DUMMYFUNCTION("""COMPUTED_VALUE"""),931.14)</f>
        <v>931.14</v>
      </c>
      <c r="C3786" s="2">
        <f>IFERROR(__xludf.DUMMYFUNCTION("""COMPUTED_VALUE"""),948.77)</f>
        <v>948.77</v>
      </c>
      <c r="D3786" s="2">
        <f>IFERROR(__xludf.DUMMYFUNCTION("""COMPUTED_VALUE"""),922.22)</f>
        <v>922.22</v>
      </c>
      <c r="E3786" s="2">
        <f>IFERROR(__xludf.DUMMYFUNCTION("""COMPUTED_VALUE"""),938.47)</f>
        <v>938.47</v>
      </c>
      <c r="F3786" s="2">
        <f>IFERROR(__xludf.DUMMYFUNCTION("""COMPUTED_VALUE"""),7698704.0)</f>
        <v>7698704</v>
      </c>
    </row>
    <row r="3787">
      <c r="A3787" s="3">
        <f>IFERROR(__xludf.DUMMYFUNCTION("""COMPUTED_VALUE"""),43035.64583333333)</f>
        <v>43035.64583</v>
      </c>
      <c r="B3787" s="2">
        <f>IFERROR(__xludf.DUMMYFUNCTION("""COMPUTED_VALUE"""),941.05)</f>
        <v>941.05</v>
      </c>
      <c r="C3787" s="2">
        <f>IFERROR(__xludf.DUMMYFUNCTION("""COMPUTED_VALUE"""),947.68)</f>
        <v>947.68</v>
      </c>
      <c r="D3787" s="2">
        <f>IFERROR(__xludf.DUMMYFUNCTION("""COMPUTED_VALUE"""),916.97)</f>
        <v>916.97</v>
      </c>
      <c r="E3787" s="2">
        <f>IFERROR(__xludf.DUMMYFUNCTION("""COMPUTED_VALUE"""),921.09)</f>
        <v>921.09</v>
      </c>
      <c r="F3787" s="2">
        <f>IFERROR(__xludf.DUMMYFUNCTION("""COMPUTED_VALUE"""),5256749.0)</f>
        <v>5256749</v>
      </c>
    </row>
    <row r="3788">
      <c r="A3788" s="3">
        <f>IFERROR(__xludf.DUMMYFUNCTION("""COMPUTED_VALUE"""),43038.64583333333)</f>
        <v>43038.64583</v>
      </c>
      <c r="B3788" s="2">
        <f>IFERROR(__xludf.DUMMYFUNCTION("""COMPUTED_VALUE"""),925.2)</f>
        <v>925.2</v>
      </c>
      <c r="C3788" s="2">
        <f>IFERROR(__xludf.DUMMYFUNCTION("""COMPUTED_VALUE"""),936.64)</f>
        <v>936.64</v>
      </c>
      <c r="D3788" s="2">
        <f>IFERROR(__xludf.DUMMYFUNCTION("""COMPUTED_VALUE"""),921.83)</f>
        <v>921.83</v>
      </c>
      <c r="E3788" s="2">
        <f>IFERROR(__xludf.DUMMYFUNCTION("""COMPUTED_VALUE"""),933.62)</f>
        <v>933.62</v>
      </c>
      <c r="F3788" s="2">
        <f>IFERROR(__xludf.DUMMYFUNCTION("""COMPUTED_VALUE"""),3576533.0)</f>
        <v>3576533</v>
      </c>
    </row>
    <row r="3789">
      <c r="A3789" s="3">
        <f>IFERROR(__xludf.DUMMYFUNCTION("""COMPUTED_VALUE"""),43039.64583333333)</f>
        <v>43039.64583</v>
      </c>
      <c r="B3789" s="2">
        <f>IFERROR(__xludf.DUMMYFUNCTION("""COMPUTED_VALUE"""),936.04)</f>
        <v>936.04</v>
      </c>
      <c r="C3789" s="2">
        <f>IFERROR(__xludf.DUMMYFUNCTION("""COMPUTED_VALUE"""),936.84)</f>
        <v>936.84</v>
      </c>
      <c r="D3789" s="2">
        <f>IFERROR(__xludf.DUMMYFUNCTION("""COMPUTED_VALUE"""),923.41)</f>
        <v>923.41</v>
      </c>
      <c r="E3789" s="2">
        <f>IFERROR(__xludf.DUMMYFUNCTION("""COMPUTED_VALUE"""),931.98)</f>
        <v>931.98</v>
      </c>
      <c r="F3789" s="2">
        <f>IFERROR(__xludf.DUMMYFUNCTION("""COMPUTED_VALUE"""),4345360.0)</f>
        <v>4345360</v>
      </c>
    </row>
    <row r="3790">
      <c r="A3790" s="3">
        <f>IFERROR(__xludf.DUMMYFUNCTION("""COMPUTED_VALUE"""),43040.64583333333)</f>
        <v>43040.64583</v>
      </c>
      <c r="B3790" s="2">
        <f>IFERROR(__xludf.DUMMYFUNCTION("""COMPUTED_VALUE"""),938.82)</f>
        <v>938.82</v>
      </c>
      <c r="C3790" s="2">
        <f>IFERROR(__xludf.DUMMYFUNCTION("""COMPUTED_VALUE"""),948.77)</f>
        <v>948.77</v>
      </c>
      <c r="D3790" s="2">
        <f>IFERROR(__xludf.DUMMYFUNCTION("""COMPUTED_VALUE"""),936.84)</f>
        <v>936.84</v>
      </c>
      <c r="E3790" s="2">
        <f>IFERROR(__xludf.DUMMYFUNCTION("""COMPUTED_VALUE"""),943.57)</f>
        <v>943.57</v>
      </c>
      <c r="F3790" s="2">
        <f>IFERROR(__xludf.DUMMYFUNCTION("""COMPUTED_VALUE"""),8033040.0)</f>
        <v>8033040</v>
      </c>
    </row>
    <row r="3791">
      <c r="A3791" s="3">
        <f>IFERROR(__xludf.DUMMYFUNCTION("""COMPUTED_VALUE"""),43041.64583333333)</f>
        <v>43041.64583</v>
      </c>
      <c r="B3791" s="2">
        <f>IFERROR(__xludf.DUMMYFUNCTION("""COMPUTED_VALUE"""),943.82)</f>
        <v>943.82</v>
      </c>
      <c r="C3791" s="2">
        <f>IFERROR(__xludf.DUMMYFUNCTION("""COMPUTED_VALUE"""),947.48)</f>
        <v>947.48</v>
      </c>
      <c r="D3791" s="2">
        <f>IFERROR(__xludf.DUMMYFUNCTION("""COMPUTED_VALUE"""),935.35)</f>
        <v>935.35</v>
      </c>
      <c r="E3791" s="2">
        <f>IFERROR(__xludf.DUMMYFUNCTION("""COMPUTED_VALUE"""),937.68)</f>
        <v>937.68</v>
      </c>
      <c r="F3791" s="2">
        <f>IFERROR(__xludf.DUMMYFUNCTION("""COMPUTED_VALUE"""),4698609.0)</f>
        <v>4698609</v>
      </c>
    </row>
    <row r="3792">
      <c r="A3792" s="3">
        <f>IFERROR(__xludf.DUMMYFUNCTION("""COMPUTED_VALUE"""),43042.64583333333)</f>
        <v>43042.64583</v>
      </c>
      <c r="B3792" s="2">
        <f>IFERROR(__xludf.DUMMYFUNCTION("""COMPUTED_VALUE"""),946.94)</f>
        <v>946.94</v>
      </c>
      <c r="C3792" s="2">
        <f>IFERROR(__xludf.DUMMYFUNCTION("""COMPUTED_VALUE"""),946.94)</f>
        <v>946.94</v>
      </c>
      <c r="D3792" s="2">
        <f>IFERROR(__xludf.DUMMYFUNCTION("""COMPUTED_VALUE"""),931.29)</f>
        <v>931.29</v>
      </c>
      <c r="E3792" s="2">
        <f>IFERROR(__xludf.DUMMYFUNCTION("""COMPUTED_VALUE"""),936.39)</f>
        <v>936.39</v>
      </c>
      <c r="F3792" s="2">
        <f>IFERROR(__xludf.DUMMYFUNCTION("""COMPUTED_VALUE"""),2193730.0)</f>
        <v>2193730</v>
      </c>
    </row>
    <row r="3793">
      <c r="A3793" s="3">
        <f>IFERROR(__xludf.DUMMYFUNCTION("""COMPUTED_VALUE"""),43045.64583333333)</f>
        <v>43045.64583</v>
      </c>
      <c r="B3793" s="2">
        <f>IFERROR(__xludf.DUMMYFUNCTION("""COMPUTED_VALUE"""),933.62)</f>
        <v>933.62</v>
      </c>
      <c r="C3793" s="2">
        <f>IFERROR(__xludf.DUMMYFUNCTION("""COMPUTED_VALUE"""),933.62)</f>
        <v>933.62</v>
      </c>
      <c r="D3793" s="2">
        <f>IFERROR(__xludf.DUMMYFUNCTION("""COMPUTED_VALUE"""),920.24)</f>
        <v>920.24</v>
      </c>
      <c r="E3793" s="2">
        <f>IFERROR(__xludf.DUMMYFUNCTION("""COMPUTED_VALUE"""),923.71)</f>
        <v>923.71</v>
      </c>
      <c r="F3793" s="2">
        <f>IFERROR(__xludf.DUMMYFUNCTION("""COMPUTED_VALUE"""),4460799.0)</f>
        <v>4460799</v>
      </c>
    </row>
    <row r="3794">
      <c r="A3794" s="3">
        <f>IFERROR(__xludf.DUMMYFUNCTION("""COMPUTED_VALUE"""),43046.64583333333)</f>
        <v>43046.64583</v>
      </c>
      <c r="B3794" s="2">
        <f>IFERROR(__xludf.DUMMYFUNCTION("""COMPUTED_VALUE"""),924.55)</f>
        <v>924.55</v>
      </c>
      <c r="C3794" s="2">
        <f>IFERROR(__xludf.DUMMYFUNCTION("""COMPUTED_VALUE"""),926.19)</f>
        <v>926.19</v>
      </c>
      <c r="D3794" s="2">
        <f>IFERROR(__xludf.DUMMYFUNCTION("""COMPUTED_VALUE"""),894.54)</f>
        <v>894.54</v>
      </c>
      <c r="E3794" s="2">
        <f>IFERROR(__xludf.DUMMYFUNCTION("""COMPUTED_VALUE"""),898.15)</f>
        <v>898.15</v>
      </c>
      <c r="F3794" s="2">
        <f>IFERROR(__xludf.DUMMYFUNCTION("""COMPUTED_VALUE"""),9347943.0)</f>
        <v>9347943</v>
      </c>
    </row>
    <row r="3795">
      <c r="A3795" s="3">
        <f>IFERROR(__xludf.DUMMYFUNCTION("""COMPUTED_VALUE"""),43047.64583333333)</f>
        <v>43047.64583</v>
      </c>
      <c r="B3795" s="2">
        <f>IFERROR(__xludf.DUMMYFUNCTION("""COMPUTED_VALUE"""),893.99)</f>
        <v>893.99</v>
      </c>
      <c r="C3795" s="2">
        <f>IFERROR(__xludf.DUMMYFUNCTION("""COMPUTED_VALUE"""),897.46)</f>
        <v>897.46</v>
      </c>
      <c r="D3795" s="2">
        <f>IFERROR(__xludf.DUMMYFUNCTION("""COMPUTED_VALUE"""),875.77)</f>
        <v>875.77</v>
      </c>
      <c r="E3795" s="2">
        <f>IFERROR(__xludf.DUMMYFUNCTION("""COMPUTED_VALUE"""),879.43)</f>
        <v>879.43</v>
      </c>
      <c r="F3795" s="2">
        <f>IFERROR(__xludf.DUMMYFUNCTION("""COMPUTED_VALUE"""),8115980.0)</f>
        <v>8115980</v>
      </c>
    </row>
    <row r="3796">
      <c r="A3796" s="3">
        <f>IFERROR(__xludf.DUMMYFUNCTION("""COMPUTED_VALUE"""),43048.64583333333)</f>
        <v>43048.64583</v>
      </c>
      <c r="B3796" s="2">
        <f>IFERROR(__xludf.DUMMYFUNCTION("""COMPUTED_VALUE"""),886.32)</f>
        <v>886.32</v>
      </c>
      <c r="C3796" s="2">
        <f>IFERROR(__xludf.DUMMYFUNCTION("""COMPUTED_VALUE"""),901.32)</f>
        <v>901.32</v>
      </c>
      <c r="D3796" s="2">
        <f>IFERROR(__xludf.DUMMYFUNCTION("""COMPUTED_VALUE"""),883.64)</f>
        <v>883.64</v>
      </c>
      <c r="E3796" s="2">
        <f>IFERROR(__xludf.DUMMYFUNCTION("""COMPUTED_VALUE"""),892.01)</f>
        <v>892.01</v>
      </c>
      <c r="F3796" s="2">
        <f>IFERROR(__xludf.DUMMYFUNCTION("""COMPUTED_VALUE"""),6860798.0)</f>
        <v>6860798</v>
      </c>
    </row>
    <row r="3797">
      <c r="A3797" s="3">
        <f>IFERROR(__xludf.DUMMYFUNCTION("""COMPUTED_VALUE"""),43049.64583333333)</f>
        <v>43049.64583</v>
      </c>
      <c r="B3797" s="2">
        <f>IFERROR(__xludf.DUMMYFUNCTION("""COMPUTED_VALUE"""),892.46)</f>
        <v>892.46</v>
      </c>
      <c r="C3797" s="2">
        <f>IFERROR(__xludf.DUMMYFUNCTION("""COMPUTED_VALUE"""),892.46)</f>
        <v>892.46</v>
      </c>
      <c r="D3797" s="2">
        <f>IFERROR(__xludf.DUMMYFUNCTION("""COMPUTED_VALUE"""),870.91)</f>
        <v>870.91</v>
      </c>
      <c r="E3797" s="2">
        <f>IFERROR(__xludf.DUMMYFUNCTION("""COMPUTED_VALUE"""),875.52)</f>
        <v>875.52</v>
      </c>
      <c r="F3797" s="2">
        <f>IFERROR(__xludf.DUMMYFUNCTION("""COMPUTED_VALUE"""),6365174.0)</f>
        <v>6365174</v>
      </c>
    </row>
    <row r="3798">
      <c r="A3798" s="3">
        <f>IFERROR(__xludf.DUMMYFUNCTION("""COMPUTED_VALUE"""),43052.64583333333)</f>
        <v>43052.64583</v>
      </c>
      <c r="B3798" s="2">
        <f>IFERROR(__xludf.DUMMYFUNCTION("""COMPUTED_VALUE"""),876.66)</f>
        <v>876.66</v>
      </c>
      <c r="C3798" s="2">
        <f>IFERROR(__xludf.DUMMYFUNCTION("""COMPUTED_VALUE"""),883.49)</f>
        <v>883.49</v>
      </c>
      <c r="D3798" s="2">
        <f>IFERROR(__xludf.DUMMYFUNCTION("""COMPUTED_VALUE"""),865.27)</f>
        <v>865.27</v>
      </c>
      <c r="E3798" s="2">
        <f>IFERROR(__xludf.DUMMYFUNCTION("""COMPUTED_VALUE"""),867.0)</f>
        <v>867</v>
      </c>
      <c r="F3798" s="2">
        <f>IFERROR(__xludf.DUMMYFUNCTION("""COMPUTED_VALUE"""),4155011.0)</f>
        <v>4155011</v>
      </c>
    </row>
    <row r="3799">
      <c r="A3799" s="3">
        <f>IFERROR(__xludf.DUMMYFUNCTION("""COMPUTED_VALUE"""),43053.64583333333)</f>
        <v>43053.64583</v>
      </c>
      <c r="B3799" s="2">
        <f>IFERROR(__xludf.DUMMYFUNCTION("""COMPUTED_VALUE"""),866.75)</f>
        <v>866.75</v>
      </c>
      <c r="C3799" s="2">
        <f>IFERROR(__xludf.DUMMYFUNCTION("""COMPUTED_VALUE"""),886.56)</f>
        <v>886.56</v>
      </c>
      <c r="D3799" s="2">
        <f>IFERROR(__xludf.DUMMYFUNCTION("""COMPUTED_VALUE"""),864.77)</f>
        <v>864.77</v>
      </c>
      <c r="E3799" s="2">
        <f>IFERROR(__xludf.DUMMYFUNCTION("""COMPUTED_VALUE"""),878.34)</f>
        <v>878.34</v>
      </c>
      <c r="F3799" s="2">
        <f>IFERROR(__xludf.DUMMYFUNCTION("""COMPUTED_VALUE"""),5706105.0)</f>
        <v>5706105</v>
      </c>
    </row>
    <row r="3800">
      <c r="A3800" s="3">
        <f>IFERROR(__xludf.DUMMYFUNCTION("""COMPUTED_VALUE"""),43054.64583333333)</f>
        <v>43054.64583</v>
      </c>
      <c r="B3800" s="2">
        <f>IFERROR(__xludf.DUMMYFUNCTION("""COMPUTED_VALUE"""),876.16)</f>
        <v>876.16</v>
      </c>
      <c r="C3800" s="2">
        <f>IFERROR(__xludf.DUMMYFUNCTION("""COMPUTED_VALUE"""),882.21)</f>
        <v>882.21</v>
      </c>
      <c r="D3800" s="2">
        <f>IFERROR(__xludf.DUMMYFUNCTION("""COMPUTED_VALUE"""),869.67)</f>
        <v>869.67</v>
      </c>
      <c r="E3800" s="2">
        <f>IFERROR(__xludf.DUMMYFUNCTION("""COMPUTED_VALUE"""),875.37)</f>
        <v>875.37</v>
      </c>
      <c r="F3800" s="2">
        <f>IFERROR(__xludf.DUMMYFUNCTION("""COMPUTED_VALUE"""),6981872.0)</f>
        <v>6981872</v>
      </c>
    </row>
    <row r="3801">
      <c r="A3801" s="3">
        <f>IFERROR(__xludf.DUMMYFUNCTION("""COMPUTED_VALUE"""),43055.64583333333)</f>
        <v>43055.64583</v>
      </c>
      <c r="B3801" s="2">
        <f>IFERROR(__xludf.DUMMYFUNCTION("""COMPUTED_VALUE"""),877.15)</f>
        <v>877.15</v>
      </c>
      <c r="C3801" s="2">
        <f>IFERROR(__xludf.DUMMYFUNCTION("""COMPUTED_VALUE"""),897.46)</f>
        <v>897.46</v>
      </c>
      <c r="D3801" s="2">
        <f>IFERROR(__xludf.DUMMYFUNCTION("""COMPUTED_VALUE"""),877.15)</f>
        <v>877.15</v>
      </c>
      <c r="E3801" s="2">
        <f>IFERROR(__xludf.DUMMYFUNCTION("""COMPUTED_VALUE"""),895.33)</f>
        <v>895.33</v>
      </c>
      <c r="F3801" s="2">
        <f>IFERROR(__xludf.DUMMYFUNCTION("""COMPUTED_VALUE"""),6931038.0)</f>
        <v>6931038</v>
      </c>
    </row>
    <row r="3802">
      <c r="A3802" s="3">
        <f>IFERROR(__xludf.DUMMYFUNCTION("""COMPUTED_VALUE"""),43056.64583333333)</f>
        <v>43056.64583</v>
      </c>
      <c r="B3802" s="2">
        <f>IFERROR(__xludf.DUMMYFUNCTION("""COMPUTED_VALUE"""),910.29)</f>
        <v>910.29</v>
      </c>
      <c r="C3802" s="2">
        <f>IFERROR(__xludf.DUMMYFUNCTION("""COMPUTED_VALUE"""),916.18)</f>
        <v>916.18</v>
      </c>
      <c r="D3802" s="2">
        <f>IFERROR(__xludf.DUMMYFUNCTION("""COMPUTED_VALUE"""),899.94)</f>
        <v>899.94</v>
      </c>
      <c r="E3802" s="2">
        <f>IFERROR(__xludf.DUMMYFUNCTION("""COMPUTED_VALUE"""),903.3)</f>
        <v>903.3</v>
      </c>
      <c r="F3802" s="2">
        <f>IFERROR(__xludf.DUMMYFUNCTION("""COMPUTED_VALUE"""),5586242.0)</f>
        <v>5586242</v>
      </c>
    </row>
    <row r="3803">
      <c r="A3803" s="3">
        <f>IFERROR(__xludf.DUMMYFUNCTION("""COMPUTED_VALUE"""),43059.64583333333)</f>
        <v>43059.64583</v>
      </c>
      <c r="B3803" s="2">
        <f>IFERROR(__xludf.DUMMYFUNCTION("""COMPUTED_VALUE"""),897.66)</f>
        <v>897.66</v>
      </c>
      <c r="C3803" s="2">
        <f>IFERROR(__xludf.DUMMYFUNCTION("""COMPUTED_VALUE"""),915.64)</f>
        <v>915.64</v>
      </c>
      <c r="D3803" s="2">
        <f>IFERROR(__xludf.DUMMYFUNCTION("""COMPUTED_VALUE"""),896.47)</f>
        <v>896.47</v>
      </c>
      <c r="E3803" s="2">
        <f>IFERROR(__xludf.DUMMYFUNCTION("""COMPUTED_VALUE"""),912.17)</f>
        <v>912.17</v>
      </c>
      <c r="F3803" s="2">
        <f>IFERROR(__xludf.DUMMYFUNCTION("""COMPUTED_VALUE"""),4220192.0)</f>
        <v>4220192</v>
      </c>
    </row>
    <row r="3804">
      <c r="A3804" s="3">
        <f>IFERROR(__xludf.DUMMYFUNCTION("""COMPUTED_VALUE"""),43060.64583333333)</f>
        <v>43060.64583</v>
      </c>
      <c r="B3804" s="2">
        <f>IFERROR(__xludf.DUMMYFUNCTION("""COMPUTED_VALUE"""),918.06)</f>
        <v>918.06</v>
      </c>
      <c r="C3804" s="2">
        <f>IFERROR(__xludf.DUMMYFUNCTION("""COMPUTED_VALUE"""),930.79)</f>
        <v>930.79</v>
      </c>
      <c r="D3804" s="2">
        <f>IFERROR(__xludf.DUMMYFUNCTION("""COMPUTED_VALUE"""),916.78)</f>
        <v>916.78</v>
      </c>
      <c r="E3804" s="2">
        <f>IFERROR(__xludf.DUMMYFUNCTION("""COMPUTED_VALUE"""),923.76)</f>
        <v>923.76</v>
      </c>
      <c r="F3804" s="2">
        <f>IFERROR(__xludf.DUMMYFUNCTION("""COMPUTED_VALUE"""),5980763.0)</f>
        <v>5980763</v>
      </c>
    </row>
    <row r="3805">
      <c r="A3805" s="3">
        <f>IFERROR(__xludf.DUMMYFUNCTION("""COMPUTED_VALUE"""),43061.64583333333)</f>
        <v>43061.64583</v>
      </c>
      <c r="B3805" s="2">
        <f>IFERROR(__xludf.DUMMYFUNCTION("""COMPUTED_VALUE"""),928.61)</f>
        <v>928.61</v>
      </c>
      <c r="C3805" s="2">
        <f>IFERROR(__xludf.DUMMYFUNCTION("""COMPUTED_VALUE"""),929.8)</f>
        <v>929.8</v>
      </c>
      <c r="D3805" s="2">
        <f>IFERROR(__xludf.DUMMYFUNCTION("""COMPUTED_VALUE"""),914.75)</f>
        <v>914.75</v>
      </c>
      <c r="E3805" s="2">
        <f>IFERROR(__xludf.DUMMYFUNCTION("""COMPUTED_VALUE"""),921.98)</f>
        <v>921.98</v>
      </c>
      <c r="F3805" s="2">
        <f>IFERROR(__xludf.DUMMYFUNCTION("""COMPUTED_VALUE"""),5055490.0)</f>
        <v>5055490</v>
      </c>
    </row>
    <row r="3806">
      <c r="A3806" s="3">
        <f>IFERROR(__xludf.DUMMYFUNCTION("""COMPUTED_VALUE"""),43062.64583333333)</f>
        <v>43062.64583</v>
      </c>
      <c r="B3806" s="2">
        <f>IFERROR(__xludf.DUMMYFUNCTION("""COMPUTED_VALUE"""),922.22)</f>
        <v>922.22</v>
      </c>
      <c r="C3806" s="2">
        <f>IFERROR(__xludf.DUMMYFUNCTION("""COMPUTED_VALUE"""),940.95)</f>
        <v>940.95</v>
      </c>
      <c r="D3806" s="2">
        <f>IFERROR(__xludf.DUMMYFUNCTION("""COMPUTED_VALUE"""),917.92)</f>
        <v>917.92</v>
      </c>
      <c r="E3806" s="2">
        <f>IFERROR(__xludf.DUMMYFUNCTION("""COMPUTED_VALUE"""),938.07)</f>
        <v>938.07</v>
      </c>
      <c r="F3806" s="2">
        <f>IFERROR(__xludf.DUMMYFUNCTION("""COMPUTED_VALUE"""),7329126.0)</f>
        <v>7329126</v>
      </c>
    </row>
    <row r="3807">
      <c r="A3807" s="3">
        <f>IFERROR(__xludf.DUMMYFUNCTION("""COMPUTED_VALUE"""),43063.64583333333)</f>
        <v>43063.64583</v>
      </c>
      <c r="B3807" s="2">
        <f>IFERROR(__xludf.DUMMYFUNCTION("""COMPUTED_VALUE"""),941.05)</f>
        <v>941.05</v>
      </c>
      <c r="C3807" s="2">
        <f>IFERROR(__xludf.DUMMYFUNCTION("""COMPUTED_VALUE"""),950.46)</f>
        <v>950.46</v>
      </c>
      <c r="D3807" s="2">
        <f>IFERROR(__xludf.DUMMYFUNCTION("""COMPUTED_VALUE"""),938.47)</f>
        <v>938.47</v>
      </c>
      <c r="E3807" s="2">
        <f>IFERROR(__xludf.DUMMYFUNCTION("""COMPUTED_VALUE"""),942.13)</f>
        <v>942.13</v>
      </c>
      <c r="F3807" s="2">
        <f>IFERROR(__xludf.DUMMYFUNCTION("""COMPUTED_VALUE"""),6394443.0)</f>
        <v>6394443</v>
      </c>
    </row>
    <row r="3808">
      <c r="A3808" s="3">
        <f>IFERROR(__xludf.DUMMYFUNCTION("""COMPUTED_VALUE"""),43066.64583333333)</f>
        <v>43066.64583</v>
      </c>
      <c r="B3808" s="2">
        <f>IFERROR(__xludf.DUMMYFUNCTION("""COMPUTED_VALUE"""),938.32)</f>
        <v>938.32</v>
      </c>
      <c r="C3808" s="2">
        <f>IFERROR(__xludf.DUMMYFUNCTION("""COMPUTED_VALUE"""),948.47)</f>
        <v>948.47</v>
      </c>
      <c r="D3808" s="2">
        <f>IFERROR(__xludf.DUMMYFUNCTION("""COMPUTED_VALUE"""),935.1)</f>
        <v>935.1</v>
      </c>
      <c r="E3808" s="2">
        <f>IFERROR(__xludf.DUMMYFUNCTION("""COMPUTED_VALUE"""),942.38)</f>
        <v>942.38</v>
      </c>
      <c r="F3808" s="2">
        <f>IFERROR(__xludf.DUMMYFUNCTION("""COMPUTED_VALUE"""),4680074.0)</f>
        <v>4680074</v>
      </c>
    </row>
    <row r="3809">
      <c r="A3809" s="3">
        <f>IFERROR(__xludf.DUMMYFUNCTION("""COMPUTED_VALUE"""),43067.64583333333)</f>
        <v>43067.64583</v>
      </c>
      <c r="B3809" s="2">
        <f>IFERROR(__xludf.DUMMYFUNCTION("""COMPUTED_VALUE"""),940.9)</f>
        <v>940.9</v>
      </c>
      <c r="C3809" s="2">
        <f>IFERROR(__xludf.DUMMYFUNCTION("""COMPUTED_VALUE"""),942.38)</f>
        <v>942.38</v>
      </c>
      <c r="D3809" s="2">
        <f>IFERROR(__xludf.DUMMYFUNCTION("""COMPUTED_VALUE"""),929.26)</f>
        <v>929.26</v>
      </c>
      <c r="E3809" s="2">
        <f>IFERROR(__xludf.DUMMYFUNCTION("""COMPUTED_VALUE"""),934.46)</f>
        <v>934.46</v>
      </c>
      <c r="F3809" s="2">
        <f>IFERROR(__xludf.DUMMYFUNCTION("""COMPUTED_VALUE"""),4641893.0)</f>
        <v>4641893</v>
      </c>
    </row>
    <row r="3810">
      <c r="A3810" s="3">
        <f>IFERROR(__xludf.DUMMYFUNCTION("""COMPUTED_VALUE"""),43068.64583333333)</f>
        <v>43068.64583</v>
      </c>
      <c r="B3810" s="2">
        <f>IFERROR(__xludf.DUMMYFUNCTION("""COMPUTED_VALUE"""),932.97)</f>
        <v>932.97</v>
      </c>
      <c r="C3810" s="2">
        <f>IFERROR(__xludf.DUMMYFUNCTION("""COMPUTED_VALUE"""),941.05)</f>
        <v>941.05</v>
      </c>
      <c r="D3810" s="2">
        <f>IFERROR(__xludf.DUMMYFUNCTION("""COMPUTED_VALUE"""),932.13)</f>
        <v>932.13</v>
      </c>
      <c r="E3810" s="2">
        <f>IFERROR(__xludf.DUMMYFUNCTION("""COMPUTED_VALUE"""),937.08)</f>
        <v>937.08</v>
      </c>
      <c r="F3810" s="2">
        <f>IFERROR(__xludf.DUMMYFUNCTION("""COMPUTED_VALUE"""),3674864.0)</f>
        <v>3674864</v>
      </c>
    </row>
    <row r="3811">
      <c r="A3811" s="3">
        <f>IFERROR(__xludf.DUMMYFUNCTION("""COMPUTED_VALUE"""),43069.64583333333)</f>
        <v>43069.64583</v>
      </c>
      <c r="B3811" s="2">
        <f>IFERROR(__xludf.DUMMYFUNCTION("""COMPUTED_VALUE"""),932.58)</f>
        <v>932.58</v>
      </c>
      <c r="C3811" s="2">
        <f>IFERROR(__xludf.DUMMYFUNCTION("""COMPUTED_VALUE"""),932.58)</f>
        <v>932.58</v>
      </c>
      <c r="D3811" s="2">
        <f>IFERROR(__xludf.DUMMYFUNCTION("""COMPUTED_VALUE"""),910.83)</f>
        <v>910.83</v>
      </c>
      <c r="E3811" s="2">
        <f>IFERROR(__xludf.DUMMYFUNCTION("""COMPUTED_VALUE"""),912.86)</f>
        <v>912.86</v>
      </c>
      <c r="F3811" s="2">
        <f>IFERROR(__xludf.DUMMYFUNCTION("""COMPUTED_VALUE"""),9434893.0)</f>
        <v>9434893</v>
      </c>
    </row>
    <row r="3812">
      <c r="A3812" s="3">
        <f>IFERROR(__xludf.DUMMYFUNCTION("""COMPUTED_VALUE"""),43070.64583333333)</f>
        <v>43070.64583</v>
      </c>
      <c r="B3812" s="2">
        <f>IFERROR(__xludf.DUMMYFUNCTION("""COMPUTED_VALUE"""),915.74)</f>
        <v>915.74</v>
      </c>
      <c r="C3812" s="2">
        <f>IFERROR(__xludf.DUMMYFUNCTION("""COMPUTED_VALUE"""),922.47)</f>
        <v>922.47</v>
      </c>
      <c r="D3812" s="2">
        <f>IFERROR(__xludf.DUMMYFUNCTION("""COMPUTED_VALUE"""),899.14)</f>
        <v>899.14</v>
      </c>
      <c r="E3812" s="2">
        <f>IFERROR(__xludf.DUMMYFUNCTION("""COMPUTED_VALUE"""),901.52)</f>
        <v>901.52</v>
      </c>
      <c r="F3812" s="2">
        <f>IFERROR(__xludf.DUMMYFUNCTION("""COMPUTED_VALUE"""),5081389.0)</f>
        <v>5081389</v>
      </c>
    </row>
    <row r="3813">
      <c r="A3813" s="3">
        <f>IFERROR(__xludf.DUMMYFUNCTION("""COMPUTED_VALUE"""),43073.64583333333)</f>
        <v>43073.64583</v>
      </c>
      <c r="B3813" s="2">
        <f>IFERROR(__xludf.DUMMYFUNCTION("""COMPUTED_VALUE"""),904.89)</f>
        <v>904.89</v>
      </c>
      <c r="C3813" s="2">
        <f>IFERROR(__xludf.DUMMYFUNCTION("""COMPUTED_VALUE"""),905.19)</f>
        <v>905.19</v>
      </c>
      <c r="D3813" s="2">
        <f>IFERROR(__xludf.DUMMYFUNCTION("""COMPUTED_VALUE"""),888.89)</f>
        <v>888.89</v>
      </c>
      <c r="E3813" s="2">
        <f>IFERROR(__xludf.DUMMYFUNCTION("""COMPUTED_VALUE"""),893.1)</f>
        <v>893.1</v>
      </c>
      <c r="F3813" s="2">
        <f>IFERROR(__xludf.DUMMYFUNCTION("""COMPUTED_VALUE"""),4618847.0)</f>
        <v>4618847</v>
      </c>
    </row>
    <row r="3814">
      <c r="A3814" s="3">
        <f>IFERROR(__xludf.DUMMYFUNCTION("""COMPUTED_VALUE"""),43074.64583333333)</f>
        <v>43074.64583</v>
      </c>
      <c r="B3814" s="2">
        <f>IFERROR(__xludf.DUMMYFUNCTION("""COMPUTED_VALUE"""),892.56)</f>
        <v>892.56</v>
      </c>
      <c r="C3814" s="2">
        <f>IFERROR(__xludf.DUMMYFUNCTION("""COMPUTED_VALUE"""),912.07)</f>
        <v>912.07</v>
      </c>
      <c r="D3814" s="2">
        <f>IFERROR(__xludf.DUMMYFUNCTION("""COMPUTED_VALUE"""),887.01)</f>
        <v>887.01</v>
      </c>
      <c r="E3814" s="2">
        <f>IFERROR(__xludf.DUMMYFUNCTION("""COMPUTED_VALUE"""),905.09)</f>
        <v>905.09</v>
      </c>
      <c r="F3814" s="2">
        <f>IFERROR(__xludf.DUMMYFUNCTION("""COMPUTED_VALUE"""),8369174.0)</f>
        <v>8369174</v>
      </c>
    </row>
    <row r="3815">
      <c r="A3815" s="3">
        <f>IFERROR(__xludf.DUMMYFUNCTION("""COMPUTED_VALUE"""),43075.64583333333)</f>
        <v>43075.64583</v>
      </c>
      <c r="B3815" s="2">
        <f>IFERROR(__xludf.DUMMYFUNCTION("""COMPUTED_VALUE"""),901.42)</f>
        <v>901.42</v>
      </c>
      <c r="C3815" s="2">
        <f>IFERROR(__xludf.DUMMYFUNCTION("""COMPUTED_VALUE"""),921.53)</f>
        <v>921.53</v>
      </c>
      <c r="D3815" s="2">
        <f>IFERROR(__xludf.DUMMYFUNCTION("""COMPUTED_VALUE"""),900.23)</f>
        <v>900.23</v>
      </c>
      <c r="E3815" s="2">
        <f>IFERROR(__xludf.DUMMYFUNCTION("""COMPUTED_VALUE"""),917.92)</f>
        <v>917.92</v>
      </c>
      <c r="F3815" s="2">
        <f>IFERROR(__xludf.DUMMYFUNCTION("""COMPUTED_VALUE"""),1.1007689E7)</f>
        <v>11007689</v>
      </c>
    </row>
    <row r="3816">
      <c r="A3816" s="3">
        <f>IFERROR(__xludf.DUMMYFUNCTION("""COMPUTED_VALUE"""),43076.64583333333)</f>
        <v>43076.64583</v>
      </c>
      <c r="B3816" s="2">
        <f>IFERROR(__xludf.DUMMYFUNCTION("""COMPUTED_VALUE"""),921.28)</f>
        <v>921.28</v>
      </c>
      <c r="C3816" s="2">
        <f>IFERROR(__xludf.DUMMYFUNCTION("""COMPUTED_VALUE"""),927.18)</f>
        <v>927.18</v>
      </c>
      <c r="D3816" s="2">
        <f>IFERROR(__xludf.DUMMYFUNCTION("""COMPUTED_VALUE"""),914.3)</f>
        <v>914.3</v>
      </c>
      <c r="E3816" s="2">
        <f>IFERROR(__xludf.DUMMYFUNCTION("""COMPUTED_VALUE"""),923.66)</f>
        <v>923.66</v>
      </c>
      <c r="F3816" s="2">
        <f>IFERROR(__xludf.DUMMYFUNCTION("""COMPUTED_VALUE"""),5529565.0)</f>
        <v>5529565</v>
      </c>
    </row>
    <row r="3817">
      <c r="A3817" s="3">
        <f>IFERROR(__xludf.DUMMYFUNCTION("""COMPUTED_VALUE"""),43077.64583333333)</f>
        <v>43077.64583</v>
      </c>
      <c r="B3817" s="2">
        <f>IFERROR(__xludf.DUMMYFUNCTION("""COMPUTED_VALUE"""),925.05)</f>
        <v>925.05</v>
      </c>
      <c r="C3817" s="2">
        <f>IFERROR(__xludf.DUMMYFUNCTION("""COMPUTED_VALUE"""),928.12)</f>
        <v>928.12</v>
      </c>
      <c r="D3817" s="2">
        <f>IFERROR(__xludf.DUMMYFUNCTION("""COMPUTED_VALUE"""),910.39)</f>
        <v>910.39</v>
      </c>
      <c r="E3817" s="2">
        <f>IFERROR(__xludf.DUMMYFUNCTION("""COMPUTED_VALUE"""),912.32)</f>
        <v>912.32</v>
      </c>
      <c r="F3817" s="2">
        <f>IFERROR(__xludf.DUMMYFUNCTION("""COMPUTED_VALUE"""),5588486.0)</f>
        <v>5588486</v>
      </c>
    </row>
    <row r="3818">
      <c r="A3818" s="3">
        <f>IFERROR(__xludf.DUMMYFUNCTION("""COMPUTED_VALUE"""),43080.64583333333)</f>
        <v>43080.64583</v>
      </c>
      <c r="B3818" s="2">
        <f>IFERROR(__xludf.DUMMYFUNCTION("""COMPUTED_VALUE"""),913.75)</f>
        <v>913.75</v>
      </c>
      <c r="C3818" s="2">
        <f>IFERROR(__xludf.DUMMYFUNCTION("""COMPUTED_VALUE"""),917.27)</f>
        <v>917.27</v>
      </c>
      <c r="D3818" s="2">
        <f>IFERROR(__xludf.DUMMYFUNCTION("""COMPUTED_VALUE"""),904.94)</f>
        <v>904.94</v>
      </c>
      <c r="E3818" s="2">
        <f>IFERROR(__xludf.DUMMYFUNCTION("""COMPUTED_VALUE"""),907.51)</f>
        <v>907.51</v>
      </c>
      <c r="F3818" s="2">
        <f>IFERROR(__xludf.DUMMYFUNCTION("""COMPUTED_VALUE"""),4933853.0)</f>
        <v>4933853</v>
      </c>
    </row>
    <row r="3819">
      <c r="A3819" s="3">
        <f>IFERROR(__xludf.DUMMYFUNCTION("""COMPUTED_VALUE"""),43081.64583333333)</f>
        <v>43081.64583</v>
      </c>
      <c r="B3819" s="2">
        <f>IFERROR(__xludf.DUMMYFUNCTION("""COMPUTED_VALUE"""),907.32)</f>
        <v>907.32</v>
      </c>
      <c r="C3819" s="2">
        <f>IFERROR(__xludf.DUMMYFUNCTION("""COMPUTED_VALUE"""),920.24)</f>
        <v>920.24</v>
      </c>
      <c r="D3819" s="2">
        <f>IFERROR(__xludf.DUMMYFUNCTION("""COMPUTED_VALUE"""),899.44)</f>
        <v>899.44</v>
      </c>
      <c r="E3819" s="2">
        <f>IFERROR(__xludf.DUMMYFUNCTION("""COMPUTED_VALUE"""),906.97)</f>
        <v>906.97</v>
      </c>
      <c r="F3819" s="2">
        <f>IFERROR(__xludf.DUMMYFUNCTION("""COMPUTED_VALUE"""),7215014.0)</f>
        <v>7215014</v>
      </c>
    </row>
    <row r="3820">
      <c r="A3820" s="3">
        <f>IFERROR(__xludf.DUMMYFUNCTION("""COMPUTED_VALUE"""),43082.64583333333)</f>
        <v>43082.64583</v>
      </c>
      <c r="B3820" s="2">
        <f>IFERROR(__xludf.DUMMYFUNCTION("""COMPUTED_VALUE"""),908.26)</f>
        <v>908.26</v>
      </c>
      <c r="C3820" s="2">
        <f>IFERROR(__xludf.DUMMYFUNCTION("""COMPUTED_VALUE"""),916.23)</f>
        <v>916.23</v>
      </c>
      <c r="D3820" s="2">
        <f>IFERROR(__xludf.DUMMYFUNCTION("""COMPUTED_VALUE"""),902.12)</f>
        <v>902.12</v>
      </c>
      <c r="E3820" s="2">
        <f>IFERROR(__xludf.DUMMYFUNCTION("""COMPUTED_VALUE"""),906.03)</f>
        <v>906.03</v>
      </c>
      <c r="F3820" s="2">
        <f>IFERROR(__xludf.DUMMYFUNCTION("""COMPUTED_VALUE"""),4182097.0)</f>
        <v>4182097</v>
      </c>
    </row>
    <row r="3821">
      <c r="A3821" s="3">
        <f>IFERROR(__xludf.DUMMYFUNCTION("""COMPUTED_VALUE"""),43083.64583333333)</f>
        <v>43083.64583</v>
      </c>
      <c r="B3821" s="2">
        <f>IFERROR(__xludf.DUMMYFUNCTION("""COMPUTED_VALUE"""),910.34)</f>
        <v>910.34</v>
      </c>
      <c r="C3821" s="2">
        <f>IFERROR(__xludf.DUMMYFUNCTION("""COMPUTED_VALUE"""),916.18)</f>
        <v>916.18</v>
      </c>
      <c r="D3821" s="2">
        <f>IFERROR(__xludf.DUMMYFUNCTION("""COMPUTED_VALUE"""),900.18)</f>
        <v>900.18</v>
      </c>
      <c r="E3821" s="2">
        <f>IFERROR(__xludf.DUMMYFUNCTION("""COMPUTED_VALUE"""),912.81)</f>
        <v>912.81</v>
      </c>
      <c r="F3821" s="2">
        <f>IFERROR(__xludf.DUMMYFUNCTION("""COMPUTED_VALUE"""),5021130.0)</f>
        <v>5021130</v>
      </c>
    </row>
    <row r="3822">
      <c r="A3822" s="3">
        <f>IFERROR(__xludf.DUMMYFUNCTION("""COMPUTED_VALUE"""),43084.64583333333)</f>
        <v>43084.64583</v>
      </c>
      <c r="B3822" s="2">
        <f>IFERROR(__xludf.DUMMYFUNCTION("""COMPUTED_VALUE"""),922.22)</f>
        <v>922.22</v>
      </c>
      <c r="C3822" s="2">
        <f>IFERROR(__xludf.DUMMYFUNCTION("""COMPUTED_VALUE"""),924.16)</f>
        <v>924.16</v>
      </c>
      <c r="D3822" s="2">
        <f>IFERROR(__xludf.DUMMYFUNCTION("""COMPUTED_VALUE"""),909.05)</f>
        <v>909.05</v>
      </c>
      <c r="E3822" s="2">
        <f>IFERROR(__xludf.DUMMYFUNCTION("""COMPUTED_VALUE"""),911.08)</f>
        <v>911.08</v>
      </c>
      <c r="F3822" s="2">
        <f>IFERROR(__xludf.DUMMYFUNCTION("""COMPUTED_VALUE"""),1.1158706E7)</f>
        <v>11158706</v>
      </c>
    </row>
    <row r="3823">
      <c r="A3823" s="3">
        <f>IFERROR(__xludf.DUMMYFUNCTION("""COMPUTED_VALUE"""),43087.64583333333)</f>
        <v>43087.64583</v>
      </c>
      <c r="B3823" s="2">
        <f>IFERROR(__xludf.DUMMYFUNCTION("""COMPUTED_VALUE"""),903.35)</f>
        <v>903.35</v>
      </c>
      <c r="C3823" s="2">
        <f>IFERROR(__xludf.DUMMYFUNCTION("""COMPUTED_VALUE"""),923.86)</f>
        <v>923.86</v>
      </c>
      <c r="D3823" s="2">
        <f>IFERROR(__xludf.DUMMYFUNCTION("""COMPUTED_VALUE"""),854.52)</f>
        <v>854.52</v>
      </c>
      <c r="E3823" s="2">
        <f>IFERROR(__xludf.DUMMYFUNCTION("""COMPUTED_VALUE"""),912.32)</f>
        <v>912.32</v>
      </c>
      <c r="F3823" s="2">
        <f>IFERROR(__xludf.DUMMYFUNCTION("""COMPUTED_VALUE"""),8494801.0)</f>
        <v>8494801</v>
      </c>
    </row>
    <row r="3824">
      <c r="A3824" s="3">
        <f>IFERROR(__xludf.DUMMYFUNCTION("""COMPUTED_VALUE"""),43088.64583333333)</f>
        <v>43088.64583</v>
      </c>
      <c r="B3824" s="2">
        <f>IFERROR(__xludf.DUMMYFUNCTION("""COMPUTED_VALUE"""),914.89)</f>
        <v>914.89</v>
      </c>
      <c r="C3824" s="2">
        <f>IFERROR(__xludf.DUMMYFUNCTION("""COMPUTED_VALUE"""),918.26)</f>
        <v>918.26</v>
      </c>
      <c r="D3824" s="2">
        <f>IFERROR(__xludf.DUMMYFUNCTION("""COMPUTED_VALUE"""),911.33)</f>
        <v>911.33</v>
      </c>
      <c r="E3824" s="2">
        <f>IFERROR(__xludf.DUMMYFUNCTION("""COMPUTED_VALUE"""),917.22)</f>
        <v>917.22</v>
      </c>
      <c r="F3824" s="2">
        <f>IFERROR(__xludf.DUMMYFUNCTION("""COMPUTED_VALUE"""),4064982.0)</f>
        <v>4064982</v>
      </c>
    </row>
    <row r="3825">
      <c r="A3825" s="3">
        <f>IFERROR(__xludf.DUMMYFUNCTION("""COMPUTED_VALUE"""),43089.64583333333)</f>
        <v>43089.64583</v>
      </c>
      <c r="B3825" s="2">
        <f>IFERROR(__xludf.DUMMYFUNCTION("""COMPUTED_VALUE"""),917.17)</f>
        <v>917.17</v>
      </c>
      <c r="C3825" s="2">
        <f>IFERROR(__xludf.DUMMYFUNCTION("""COMPUTED_VALUE"""),918.66)</f>
        <v>918.66</v>
      </c>
      <c r="D3825" s="2">
        <f>IFERROR(__xludf.DUMMYFUNCTION("""COMPUTED_VALUE"""),908.36)</f>
        <v>908.36</v>
      </c>
      <c r="E3825" s="2">
        <f>IFERROR(__xludf.DUMMYFUNCTION("""COMPUTED_VALUE"""),909.5)</f>
        <v>909.5</v>
      </c>
      <c r="F3825" s="2">
        <f>IFERROR(__xludf.DUMMYFUNCTION("""COMPUTED_VALUE"""),4774414.0)</f>
        <v>4774414</v>
      </c>
    </row>
    <row r="3826">
      <c r="A3826" s="3">
        <f>IFERROR(__xludf.DUMMYFUNCTION("""COMPUTED_VALUE"""),43090.64583333333)</f>
        <v>43090.64583</v>
      </c>
      <c r="B3826" s="2">
        <f>IFERROR(__xludf.DUMMYFUNCTION("""COMPUTED_VALUE"""),909.79)</f>
        <v>909.79</v>
      </c>
      <c r="C3826" s="2">
        <f>IFERROR(__xludf.DUMMYFUNCTION("""COMPUTED_VALUE"""),915.24)</f>
        <v>915.24</v>
      </c>
      <c r="D3826" s="2">
        <f>IFERROR(__xludf.DUMMYFUNCTION("""COMPUTED_VALUE"""),901.42)</f>
        <v>901.42</v>
      </c>
      <c r="E3826" s="2">
        <f>IFERROR(__xludf.DUMMYFUNCTION("""COMPUTED_VALUE"""),904.34)</f>
        <v>904.34</v>
      </c>
      <c r="F3826" s="2">
        <f>IFERROR(__xludf.DUMMYFUNCTION("""COMPUTED_VALUE"""),4147162.0)</f>
        <v>4147162</v>
      </c>
    </row>
    <row r="3827">
      <c r="A3827" s="3">
        <f>IFERROR(__xludf.DUMMYFUNCTION("""COMPUTED_VALUE"""),43091.64583333333)</f>
        <v>43091.64583</v>
      </c>
      <c r="B3827" s="2">
        <f>IFERROR(__xludf.DUMMYFUNCTION("""COMPUTED_VALUE"""),906.03)</f>
        <v>906.03</v>
      </c>
      <c r="C3827" s="2">
        <f>IFERROR(__xludf.DUMMYFUNCTION("""COMPUTED_VALUE"""),913.71)</f>
        <v>913.71</v>
      </c>
      <c r="D3827" s="2">
        <f>IFERROR(__xludf.DUMMYFUNCTION("""COMPUTED_VALUE"""),900.73)</f>
        <v>900.73</v>
      </c>
      <c r="E3827" s="2">
        <f>IFERROR(__xludf.DUMMYFUNCTION("""COMPUTED_VALUE"""),911.72)</f>
        <v>911.72</v>
      </c>
      <c r="F3827" s="2">
        <f>IFERROR(__xludf.DUMMYFUNCTION("""COMPUTED_VALUE"""),4872675.0)</f>
        <v>4872675</v>
      </c>
    </row>
    <row r="3828">
      <c r="A3828" s="3">
        <f>IFERROR(__xludf.DUMMYFUNCTION("""COMPUTED_VALUE"""),43095.64583333333)</f>
        <v>43095.64583</v>
      </c>
      <c r="B3828" s="2">
        <f>IFERROR(__xludf.DUMMYFUNCTION("""COMPUTED_VALUE"""),916.13)</f>
        <v>916.13</v>
      </c>
      <c r="C3828" s="2">
        <f>IFERROR(__xludf.DUMMYFUNCTION("""COMPUTED_VALUE"""),930.05)</f>
        <v>930.05</v>
      </c>
      <c r="D3828" s="2">
        <f>IFERROR(__xludf.DUMMYFUNCTION("""COMPUTED_VALUE"""),909.5)</f>
        <v>909.5</v>
      </c>
      <c r="E3828" s="2">
        <f>IFERROR(__xludf.DUMMYFUNCTION("""COMPUTED_VALUE"""),921.04)</f>
        <v>921.04</v>
      </c>
      <c r="F3828" s="2">
        <f>IFERROR(__xludf.DUMMYFUNCTION("""COMPUTED_VALUE"""),5301456.0)</f>
        <v>5301456</v>
      </c>
    </row>
    <row r="3829">
      <c r="A3829" s="3">
        <f>IFERROR(__xludf.DUMMYFUNCTION("""COMPUTED_VALUE"""),43096.64583333333)</f>
        <v>43096.64583</v>
      </c>
      <c r="B3829" s="2">
        <f>IFERROR(__xludf.DUMMYFUNCTION("""COMPUTED_VALUE"""),924.21)</f>
        <v>924.21</v>
      </c>
      <c r="C3829" s="2">
        <f>IFERROR(__xludf.DUMMYFUNCTION("""COMPUTED_VALUE"""),928.66)</f>
        <v>928.66</v>
      </c>
      <c r="D3829" s="2">
        <f>IFERROR(__xludf.DUMMYFUNCTION("""COMPUTED_VALUE"""),910.34)</f>
        <v>910.34</v>
      </c>
      <c r="E3829" s="2">
        <f>IFERROR(__xludf.DUMMYFUNCTION("""COMPUTED_VALUE"""),915.04)</f>
        <v>915.04</v>
      </c>
      <c r="F3829" s="2">
        <f>IFERROR(__xludf.DUMMYFUNCTION("""COMPUTED_VALUE"""),4352384.0)</f>
        <v>4352384</v>
      </c>
    </row>
    <row r="3830">
      <c r="A3830" s="3">
        <f>IFERROR(__xludf.DUMMYFUNCTION("""COMPUTED_VALUE"""),43097.64583333333)</f>
        <v>43097.64583</v>
      </c>
      <c r="B3830" s="2">
        <f>IFERROR(__xludf.DUMMYFUNCTION("""COMPUTED_VALUE"""),916.53)</f>
        <v>916.53</v>
      </c>
      <c r="C3830" s="2">
        <f>IFERROR(__xludf.DUMMYFUNCTION("""COMPUTED_VALUE"""),925.59)</f>
        <v>925.59</v>
      </c>
      <c r="D3830" s="2">
        <f>IFERROR(__xludf.DUMMYFUNCTION("""COMPUTED_VALUE"""),910.44)</f>
        <v>910.44</v>
      </c>
      <c r="E3830" s="2">
        <f>IFERROR(__xludf.DUMMYFUNCTION("""COMPUTED_VALUE"""),915.49)</f>
        <v>915.49</v>
      </c>
      <c r="F3830" s="2">
        <f>IFERROR(__xludf.DUMMYFUNCTION("""COMPUTED_VALUE"""),7091515.0)</f>
        <v>7091515</v>
      </c>
    </row>
    <row r="3831">
      <c r="A3831" s="3">
        <f>IFERROR(__xludf.DUMMYFUNCTION("""COMPUTED_VALUE"""),43098.64583333333)</f>
        <v>43098.64583</v>
      </c>
      <c r="B3831" s="2">
        <f>IFERROR(__xludf.DUMMYFUNCTION("""COMPUTED_VALUE"""),917.77)</f>
        <v>917.77</v>
      </c>
      <c r="C3831" s="2">
        <f>IFERROR(__xludf.DUMMYFUNCTION("""COMPUTED_VALUE"""),923.51)</f>
        <v>923.51</v>
      </c>
      <c r="D3831" s="2">
        <f>IFERROR(__xludf.DUMMYFUNCTION("""COMPUTED_VALUE"""),909.84)</f>
        <v>909.84</v>
      </c>
      <c r="E3831" s="2">
        <f>IFERROR(__xludf.DUMMYFUNCTION("""COMPUTED_VALUE"""),912.37)</f>
        <v>912.37</v>
      </c>
      <c r="F3831" s="2">
        <f>IFERROR(__xludf.DUMMYFUNCTION("""COMPUTED_VALUE"""),5069838.0)</f>
        <v>5069838</v>
      </c>
    </row>
    <row r="3832">
      <c r="A3832" s="3">
        <f>IFERROR(__xludf.DUMMYFUNCTION("""COMPUTED_VALUE"""),43101.64583333333)</f>
        <v>43101.64583</v>
      </c>
      <c r="B3832" s="2">
        <f>IFERROR(__xludf.DUMMYFUNCTION("""COMPUTED_VALUE"""),914.0)</f>
        <v>914</v>
      </c>
      <c r="C3832" s="2">
        <f>IFERROR(__xludf.DUMMYFUNCTION("""COMPUTED_VALUE"""),914.0)</f>
        <v>914</v>
      </c>
      <c r="D3832" s="2">
        <f>IFERROR(__xludf.DUMMYFUNCTION("""COMPUTED_VALUE"""),898.95)</f>
        <v>898.95</v>
      </c>
      <c r="E3832" s="2">
        <f>IFERROR(__xludf.DUMMYFUNCTION("""COMPUTED_VALUE"""),901.17)</f>
        <v>901.17</v>
      </c>
      <c r="F3832" s="2">
        <f>IFERROR(__xludf.DUMMYFUNCTION("""COMPUTED_VALUE"""),4321686.0)</f>
        <v>4321686</v>
      </c>
    </row>
    <row r="3833">
      <c r="A3833" s="3">
        <f>IFERROR(__xludf.DUMMYFUNCTION("""COMPUTED_VALUE"""),43102.64583333333)</f>
        <v>43102.64583</v>
      </c>
      <c r="B3833" s="2">
        <f>IFERROR(__xludf.DUMMYFUNCTION("""COMPUTED_VALUE"""),904.39)</f>
        <v>904.39</v>
      </c>
      <c r="C3833" s="2">
        <f>IFERROR(__xludf.DUMMYFUNCTION("""COMPUTED_VALUE"""),910.88)</f>
        <v>910.88</v>
      </c>
      <c r="D3833" s="2">
        <f>IFERROR(__xludf.DUMMYFUNCTION("""COMPUTED_VALUE"""),897.86)</f>
        <v>897.86</v>
      </c>
      <c r="E3833" s="2">
        <f>IFERROR(__xludf.DUMMYFUNCTION("""COMPUTED_VALUE"""),902.56)</f>
        <v>902.56</v>
      </c>
      <c r="F3833" s="2">
        <f>IFERROR(__xludf.DUMMYFUNCTION("""COMPUTED_VALUE"""),4342815.0)</f>
        <v>4342815</v>
      </c>
    </row>
    <row r="3834">
      <c r="A3834" s="3">
        <f>IFERROR(__xludf.DUMMYFUNCTION("""COMPUTED_VALUE"""),43103.64583333333)</f>
        <v>43103.64583</v>
      </c>
      <c r="B3834" s="2">
        <f>IFERROR(__xludf.DUMMYFUNCTION("""COMPUTED_VALUE"""),916.28)</f>
        <v>916.28</v>
      </c>
      <c r="C3834" s="2">
        <f>IFERROR(__xludf.DUMMYFUNCTION("""COMPUTED_VALUE"""),917.27)</f>
        <v>917.27</v>
      </c>
      <c r="D3834" s="2">
        <f>IFERROR(__xludf.DUMMYFUNCTION("""COMPUTED_VALUE"""),904.44)</f>
        <v>904.44</v>
      </c>
      <c r="E3834" s="2">
        <f>IFERROR(__xludf.DUMMYFUNCTION("""COMPUTED_VALUE"""),906.18)</f>
        <v>906.18</v>
      </c>
      <c r="F3834" s="2">
        <f>IFERROR(__xludf.DUMMYFUNCTION("""COMPUTED_VALUE"""),6175312.0)</f>
        <v>6175312</v>
      </c>
    </row>
    <row r="3835">
      <c r="A3835" s="3">
        <f>IFERROR(__xludf.DUMMYFUNCTION("""COMPUTED_VALUE"""),43104.64583333333)</f>
        <v>43104.64583</v>
      </c>
      <c r="B3835" s="2">
        <f>IFERROR(__xludf.DUMMYFUNCTION("""COMPUTED_VALUE"""),909.5)</f>
        <v>909.5</v>
      </c>
      <c r="C3835" s="2">
        <f>IFERROR(__xludf.DUMMYFUNCTION("""COMPUTED_VALUE"""),913.11)</f>
        <v>913.11</v>
      </c>
      <c r="D3835" s="2">
        <f>IFERROR(__xludf.DUMMYFUNCTION("""COMPUTED_VALUE"""),907.07)</f>
        <v>907.07</v>
      </c>
      <c r="E3835" s="2">
        <f>IFERROR(__xludf.DUMMYFUNCTION("""COMPUTED_VALUE"""),911.63)</f>
        <v>911.63</v>
      </c>
      <c r="F3835" s="2">
        <f>IFERROR(__xludf.DUMMYFUNCTION("""COMPUTED_VALUE"""),4118581.0)</f>
        <v>4118581</v>
      </c>
    </row>
    <row r="3836">
      <c r="A3836" s="3">
        <f>IFERROR(__xludf.DUMMYFUNCTION("""COMPUTED_VALUE"""),43105.64583333333)</f>
        <v>43105.64583</v>
      </c>
      <c r="B3836" s="2">
        <f>IFERROR(__xludf.DUMMYFUNCTION("""COMPUTED_VALUE"""),913.11)</f>
        <v>913.11</v>
      </c>
      <c r="C3836" s="2">
        <f>IFERROR(__xludf.DUMMYFUNCTION("""COMPUTED_VALUE"""),918.16)</f>
        <v>918.16</v>
      </c>
      <c r="D3836" s="2">
        <f>IFERROR(__xludf.DUMMYFUNCTION("""COMPUTED_VALUE"""),911.58)</f>
        <v>911.58</v>
      </c>
      <c r="E3836" s="2">
        <f>IFERROR(__xludf.DUMMYFUNCTION("""COMPUTED_VALUE"""),914.55)</f>
        <v>914.55</v>
      </c>
      <c r="F3836" s="2">
        <f>IFERROR(__xludf.DUMMYFUNCTION("""COMPUTED_VALUE"""),3401905.0)</f>
        <v>3401905</v>
      </c>
    </row>
    <row r="3837">
      <c r="A3837" s="3">
        <f>IFERROR(__xludf.DUMMYFUNCTION("""COMPUTED_VALUE"""),43108.64583333333)</f>
        <v>43108.64583</v>
      </c>
      <c r="B3837" s="2">
        <f>IFERROR(__xludf.DUMMYFUNCTION("""COMPUTED_VALUE"""),917.37)</f>
        <v>917.37</v>
      </c>
      <c r="C3837" s="2">
        <f>IFERROR(__xludf.DUMMYFUNCTION("""COMPUTED_VALUE"""),922.22)</f>
        <v>922.22</v>
      </c>
      <c r="D3837" s="2">
        <f>IFERROR(__xludf.DUMMYFUNCTION("""COMPUTED_VALUE"""),914.79)</f>
        <v>914.79</v>
      </c>
      <c r="E3837" s="2">
        <f>IFERROR(__xludf.DUMMYFUNCTION("""COMPUTED_VALUE"""),919.8)</f>
        <v>919.8</v>
      </c>
      <c r="F3837" s="2">
        <f>IFERROR(__xludf.DUMMYFUNCTION("""COMPUTED_VALUE"""),4035417.0)</f>
        <v>4035417</v>
      </c>
    </row>
    <row r="3838">
      <c r="A3838" s="3">
        <f>IFERROR(__xludf.DUMMYFUNCTION("""COMPUTED_VALUE"""),43109.64583333333)</f>
        <v>43109.64583</v>
      </c>
      <c r="B3838" s="2">
        <f>IFERROR(__xludf.DUMMYFUNCTION("""COMPUTED_VALUE"""),919.4)</f>
        <v>919.4</v>
      </c>
      <c r="C3838" s="2">
        <f>IFERROR(__xludf.DUMMYFUNCTION("""COMPUTED_VALUE"""),935.0)</f>
        <v>935</v>
      </c>
      <c r="D3838" s="2">
        <f>IFERROR(__xludf.DUMMYFUNCTION("""COMPUTED_VALUE"""),915.29)</f>
        <v>915.29</v>
      </c>
      <c r="E3838" s="2">
        <f>IFERROR(__xludf.DUMMYFUNCTION("""COMPUTED_VALUE"""),932.08)</f>
        <v>932.08</v>
      </c>
      <c r="F3838" s="2">
        <f>IFERROR(__xludf.DUMMYFUNCTION("""COMPUTED_VALUE"""),6534997.0)</f>
        <v>6534997</v>
      </c>
    </row>
    <row r="3839">
      <c r="A3839" s="3">
        <f>IFERROR(__xludf.DUMMYFUNCTION("""COMPUTED_VALUE"""),43110.64583333333)</f>
        <v>43110.64583</v>
      </c>
      <c r="B3839" s="2">
        <f>IFERROR(__xludf.DUMMYFUNCTION("""COMPUTED_VALUE"""),934.11)</f>
        <v>934.11</v>
      </c>
      <c r="C3839" s="2">
        <f>IFERROR(__xludf.DUMMYFUNCTION("""COMPUTED_VALUE"""),938.47)</f>
        <v>938.47</v>
      </c>
      <c r="D3839" s="2">
        <f>IFERROR(__xludf.DUMMYFUNCTION("""COMPUTED_VALUE"""),926.68)</f>
        <v>926.68</v>
      </c>
      <c r="E3839" s="2">
        <f>IFERROR(__xludf.DUMMYFUNCTION("""COMPUTED_VALUE"""),933.47)</f>
        <v>933.47</v>
      </c>
      <c r="F3839" s="2">
        <f>IFERROR(__xludf.DUMMYFUNCTION("""COMPUTED_VALUE"""),5361502.0)</f>
        <v>5361502</v>
      </c>
    </row>
    <row r="3840">
      <c r="A3840" s="3">
        <f>IFERROR(__xludf.DUMMYFUNCTION("""COMPUTED_VALUE"""),43111.64583333333)</f>
        <v>43111.64583</v>
      </c>
      <c r="B3840" s="2">
        <f>IFERROR(__xludf.DUMMYFUNCTION("""COMPUTED_VALUE"""),932.92)</f>
        <v>932.92</v>
      </c>
      <c r="C3840" s="2">
        <f>IFERROR(__xludf.DUMMYFUNCTION("""COMPUTED_VALUE"""),933.76)</f>
        <v>933.76</v>
      </c>
      <c r="D3840" s="2">
        <f>IFERROR(__xludf.DUMMYFUNCTION("""COMPUTED_VALUE"""),926.19)</f>
        <v>926.19</v>
      </c>
      <c r="E3840" s="2">
        <f>IFERROR(__xludf.DUMMYFUNCTION("""COMPUTED_VALUE"""),928.91)</f>
        <v>928.91</v>
      </c>
      <c r="F3840" s="2">
        <f>IFERROR(__xludf.DUMMYFUNCTION("""COMPUTED_VALUE"""),3588727.0)</f>
        <v>3588727</v>
      </c>
    </row>
    <row r="3841">
      <c r="A3841" s="3">
        <f>IFERROR(__xludf.DUMMYFUNCTION("""COMPUTED_VALUE"""),43112.64583333333)</f>
        <v>43112.64583</v>
      </c>
      <c r="B3841" s="2">
        <f>IFERROR(__xludf.DUMMYFUNCTION("""COMPUTED_VALUE"""),934.11)</f>
        <v>934.11</v>
      </c>
      <c r="C3841" s="2">
        <f>IFERROR(__xludf.DUMMYFUNCTION("""COMPUTED_VALUE"""),943.82)</f>
        <v>943.82</v>
      </c>
      <c r="D3841" s="2">
        <f>IFERROR(__xludf.DUMMYFUNCTION("""COMPUTED_VALUE"""),929.41)</f>
        <v>929.41</v>
      </c>
      <c r="E3841" s="2">
        <f>IFERROR(__xludf.DUMMYFUNCTION("""COMPUTED_VALUE"""),940.05)</f>
        <v>940.05</v>
      </c>
      <c r="F3841" s="2">
        <f>IFERROR(__xludf.DUMMYFUNCTION("""COMPUTED_VALUE"""),6890028.0)</f>
        <v>6890028</v>
      </c>
    </row>
    <row r="3842">
      <c r="A3842" s="3">
        <f>IFERROR(__xludf.DUMMYFUNCTION("""COMPUTED_VALUE"""),43115.64583333333)</f>
        <v>43115.64583</v>
      </c>
      <c r="B3842" s="2">
        <f>IFERROR(__xludf.DUMMYFUNCTION("""COMPUTED_VALUE"""),941.05)</f>
        <v>941.05</v>
      </c>
      <c r="C3842" s="2">
        <f>IFERROR(__xludf.DUMMYFUNCTION("""COMPUTED_VALUE"""),949.46)</f>
        <v>949.46</v>
      </c>
      <c r="D3842" s="2">
        <f>IFERROR(__xludf.DUMMYFUNCTION("""COMPUTED_VALUE"""),936.29)</f>
        <v>936.29</v>
      </c>
      <c r="E3842" s="2">
        <f>IFERROR(__xludf.DUMMYFUNCTION("""COMPUTED_VALUE"""),940.2)</f>
        <v>940.2</v>
      </c>
      <c r="F3842" s="2">
        <f>IFERROR(__xludf.DUMMYFUNCTION("""COMPUTED_VALUE"""),5084113.0)</f>
        <v>5084113</v>
      </c>
    </row>
    <row r="3843">
      <c r="A3843" s="3">
        <f>IFERROR(__xludf.DUMMYFUNCTION("""COMPUTED_VALUE"""),43116.64583333333)</f>
        <v>43116.64583</v>
      </c>
      <c r="B3843" s="2">
        <f>IFERROR(__xludf.DUMMYFUNCTION("""COMPUTED_VALUE"""),938.77)</f>
        <v>938.77</v>
      </c>
      <c r="C3843" s="2">
        <f>IFERROR(__xludf.DUMMYFUNCTION("""COMPUTED_VALUE"""),938.77)</f>
        <v>938.77</v>
      </c>
      <c r="D3843" s="2">
        <f>IFERROR(__xludf.DUMMYFUNCTION("""COMPUTED_VALUE"""),911.33)</f>
        <v>911.33</v>
      </c>
      <c r="E3843" s="2">
        <f>IFERROR(__xludf.DUMMYFUNCTION("""COMPUTED_VALUE"""),914.25)</f>
        <v>914.25</v>
      </c>
      <c r="F3843" s="2">
        <f>IFERROR(__xludf.DUMMYFUNCTION("""COMPUTED_VALUE"""),4948895.0)</f>
        <v>4948895</v>
      </c>
    </row>
    <row r="3844">
      <c r="A3844" s="3">
        <f>IFERROR(__xludf.DUMMYFUNCTION("""COMPUTED_VALUE"""),43117.64583333333)</f>
        <v>43117.64583</v>
      </c>
      <c r="B3844" s="2">
        <f>IFERROR(__xludf.DUMMYFUNCTION("""COMPUTED_VALUE"""),917.27)</f>
        <v>917.27</v>
      </c>
      <c r="C3844" s="2">
        <f>IFERROR(__xludf.DUMMYFUNCTION("""COMPUTED_VALUE"""),920.24)</f>
        <v>920.24</v>
      </c>
      <c r="D3844" s="2">
        <f>IFERROR(__xludf.DUMMYFUNCTION("""COMPUTED_VALUE"""),898.45)</f>
        <v>898.45</v>
      </c>
      <c r="E3844" s="2">
        <f>IFERROR(__xludf.DUMMYFUNCTION("""COMPUTED_VALUE"""),915.79)</f>
        <v>915.79</v>
      </c>
      <c r="F3844" s="2">
        <f>IFERROR(__xludf.DUMMYFUNCTION("""COMPUTED_VALUE"""),6036432.0)</f>
        <v>6036432</v>
      </c>
    </row>
    <row r="3845">
      <c r="A3845" s="3">
        <f>IFERROR(__xludf.DUMMYFUNCTION("""COMPUTED_VALUE"""),43118.64583333333)</f>
        <v>43118.64583</v>
      </c>
      <c r="B3845" s="2">
        <f>IFERROR(__xludf.DUMMYFUNCTION("""COMPUTED_VALUE"""),920.24)</f>
        <v>920.24</v>
      </c>
      <c r="C3845" s="2">
        <f>IFERROR(__xludf.DUMMYFUNCTION("""COMPUTED_VALUE"""),920.84)</f>
        <v>920.84</v>
      </c>
      <c r="D3845" s="2">
        <f>IFERROR(__xludf.DUMMYFUNCTION("""COMPUTED_VALUE"""),906.47)</f>
        <v>906.47</v>
      </c>
      <c r="E3845" s="2">
        <f>IFERROR(__xludf.DUMMYFUNCTION("""COMPUTED_VALUE"""),911.03)</f>
        <v>911.03</v>
      </c>
      <c r="F3845" s="2">
        <f>IFERROR(__xludf.DUMMYFUNCTION("""COMPUTED_VALUE"""),4289053.0)</f>
        <v>4289053</v>
      </c>
    </row>
    <row r="3846">
      <c r="A3846" s="3">
        <f>IFERROR(__xludf.DUMMYFUNCTION("""COMPUTED_VALUE"""),43119.64583333333)</f>
        <v>43119.64583</v>
      </c>
      <c r="B3846" s="2">
        <f>IFERROR(__xludf.DUMMYFUNCTION("""COMPUTED_VALUE"""),914.3)</f>
        <v>914.3</v>
      </c>
      <c r="C3846" s="2">
        <f>IFERROR(__xludf.DUMMYFUNCTION("""COMPUTED_VALUE"""),925.59)</f>
        <v>925.59</v>
      </c>
      <c r="D3846" s="2">
        <f>IFERROR(__xludf.DUMMYFUNCTION("""COMPUTED_VALUE"""),913.41)</f>
        <v>913.41</v>
      </c>
      <c r="E3846" s="2">
        <f>IFERROR(__xludf.DUMMYFUNCTION("""COMPUTED_VALUE"""),922.52)</f>
        <v>922.52</v>
      </c>
      <c r="F3846" s="2">
        <f>IFERROR(__xludf.DUMMYFUNCTION("""COMPUTED_VALUE"""),4559564.0)</f>
        <v>4559564</v>
      </c>
    </row>
    <row r="3847">
      <c r="A3847" s="3">
        <f>IFERROR(__xludf.DUMMYFUNCTION("""COMPUTED_VALUE"""),43122.64583333333)</f>
        <v>43122.64583</v>
      </c>
      <c r="B3847" s="2">
        <f>IFERROR(__xludf.DUMMYFUNCTION("""COMPUTED_VALUE"""),939.06)</f>
        <v>939.06</v>
      </c>
      <c r="C3847" s="2">
        <f>IFERROR(__xludf.DUMMYFUNCTION("""COMPUTED_VALUE"""),965.12)</f>
        <v>965.12</v>
      </c>
      <c r="D3847" s="2">
        <f>IFERROR(__xludf.DUMMYFUNCTION("""COMPUTED_VALUE"""),931.14)</f>
        <v>931.14</v>
      </c>
      <c r="E3847" s="2">
        <f>IFERROR(__xludf.DUMMYFUNCTION("""COMPUTED_VALUE"""),962.34)</f>
        <v>962.34</v>
      </c>
      <c r="F3847" s="2">
        <f>IFERROR(__xludf.DUMMYFUNCTION("""COMPUTED_VALUE"""),2.0892838E7)</f>
        <v>20892838</v>
      </c>
    </row>
    <row r="3848">
      <c r="A3848" s="3">
        <f>IFERROR(__xludf.DUMMYFUNCTION("""COMPUTED_VALUE"""),43123.64583333333)</f>
        <v>43123.64583</v>
      </c>
      <c r="B3848" s="2">
        <f>IFERROR(__xludf.DUMMYFUNCTION("""COMPUTED_VALUE"""),965.81)</f>
        <v>965.81</v>
      </c>
      <c r="C3848" s="2">
        <f>IFERROR(__xludf.DUMMYFUNCTION("""COMPUTED_VALUE"""),981.61)</f>
        <v>981.61</v>
      </c>
      <c r="D3848" s="2">
        <f>IFERROR(__xludf.DUMMYFUNCTION("""COMPUTED_VALUE"""),965.81)</f>
        <v>965.81</v>
      </c>
      <c r="E3848" s="2">
        <f>IFERROR(__xludf.DUMMYFUNCTION("""COMPUTED_VALUE"""),973.98)</f>
        <v>973.98</v>
      </c>
      <c r="F3848" s="2">
        <f>IFERROR(__xludf.DUMMYFUNCTION("""COMPUTED_VALUE"""),1.02985E7)</f>
        <v>10298500</v>
      </c>
    </row>
    <row r="3849">
      <c r="A3849" s="3">
        <f>IFERROR(__xludf.DUMMYFUNCTION("""COMPUTED_VALUE"""),43124.64583333333)</f>
        <v>43124.64583</v>
      </c>
      <c r="B3849" s="2">
        <f>IFERROR(__xludf.DUMMYFUNCTION("""COMPUTED_VALUE"""),972.5)</f>
        <v>972.5</v>
      </c>
      <c r="C3849" s="2">
        <f>IFERROR(__xludf.DUMMYFUNCTION("""COMPUTED_VALUE"""),972.5)</f>
        <v>972.5</v>
      </c>
      <c r="D3849" s="2">
        <f>IFERROR(__xludf.DUMMYFUNCTION("""COMPUTED_VALUE"""),953.58)</f>
        <v>953.58</v>
      </c>
      <c r="E3849" s="2">
        <f>IFERROR(__xludf.DUMMYFUNCTION("""COMPUTED_VALUE"""),957.24)</f>
        <v>957.24</v>
      </c>
      <c r="F3849" s="2">
        <f>IFERROR(__xludf.DUMMYFUNCTION("""COMPUTED_VALUE"""),6532672.0)</f>
        <v>6532672</v>
      </c>
    </row>
    <row r="3850">
      <c r="A3850" s="3">
        <f>IFERROR(__xludf.DUMMYFUNCTION("""COMPUTED_VALUE"""),43125.64583333333)</f>
        <v>43125.64583</v>
      </c>
      <c r="B3850" s="2">
        <f>IFERROR(__xludf.DUMMYFUNCTION("""COMPUTED_VALUE"""),958.78)</f>
        <v>958.78</v>
      </c>
      <c r="C3850" s="2">
        <f>IFERROR(__xludf.DUMMYFUNCTION("""COMPUTED_VALUE"""),962.84)</f>
        <v>962.84</v>
      </c>
      <c r="D3850" s="2">
        <f>IFERROR(__xludf.DUMMYFUNCTION("""COMPUTED_VALUE"""),947.14)</f>
        <v>947.14</v>
      </c>
      <c r="E3850" s="2">
        <f>IFERROR(__xludf.DUMMYFUNCTION("""COMPUTED_VALUE"""),956.8)</f>
        <v>956.8</v>
      </c>
      <c r="F3850" s="2">
        <f>IFERROR(__xludf.DUMMYFUNCTION("""COMPUTED_VALUE"""),6249419.0)</f>
        <v>6249419</v>
      </c>
    </row>
    <row r="3851">
      <c r="A3851" s="3">
        <f>IFERROR(__xludf.DUMMYFUNCTION("""COMPUTED_VALUE"""),43129.64583333333)</f>
        <v>43129.64583</v>
      </c>
      <c r="B3851" s="2">
        <f>IFERROR(__xludf.DUMMYFUNCTION("""COMPUTED_VALUE"""),957.09)</f>
        <v>957.09</v>
      </c>
      <c r="C3851" s="2">
        <f>IFERROR(__xludf.DUMMYFUNCTION("""COMPUTED_VALUE"""),968.09)</f>
        <v>968.09</v>
      </c>
      <c r="D3851" s="2">
        <f>IFERROR(__xludf.DUMMYFUNCTION("""COMPUTED_VALUE"""),950.26)</f>
        <v>950.26</v>
      </c>
      <c r="E3851" s="2">
        <f>IFERROR(__xludf.DUMMYFUNCTION("""COMPUTED_VALUE"""),955.41)</f>
        <v>955.41</v>
      </c>
      <c r="F3851" s="2">
        <f>IFERROR(__xludf.DUMMYFUNCTION("""COMPUTED_VALUE"""),4524605.0)</f>
        <v>4524605</v>
      </c>
    </row>
    <row r="3852">
      <c r="A3852" s="3">
        <f>IFERROR(__xludf.DUMMYFUNCTION("""COMPUTED_VALUE"""),43130.64583333333)</f>
        <v>43130.64583</v>
      </c>
      <c r="B3852" s="2">
        <f>IFERROR(__xludf.DUMMYFUNCTION("""COMPUTED_VALUE"""),956.7)</f>
        <v>956.7</v>
      </c>
      <c r="C3852" s="2">
        <f>IFERROR(__xludf.DUMMYFUNCTION("""COMPUTED_VALUE"""),956.7)</f>
        <v>956.7</v>
      </c>
      <c r="D3852" s="2">
        <f>IFERROR(__xludf.DUMMYFUNCTION("""COMPUTED_VALUE"""),940.05)</f>
        <v>940.05</v>
      </c>
      <c r="E3852" s="2">
        <f>IFERROR(__xludf.DUMMYFUNCTION("""COMPUTED_VALUE"""),941.44)</f>
        <v>941.44</v>
      </c>
      <c r="F3852" s="2">
        <f>IFERROR(__xludf.DUMMYFUNCTION("""COMPUTED_VALUE"""),4198139.0)</f>
        <v>4198139</v>
      </c>
    </row>
    <row r="3853">
      <c r="A3853" s="3">
        <f>IFERROR(__xludf.DUMMYFUNCTION("""COMPUTED_VALUE"""),43131.64583333333)</f>
        <v>43131.64583</v>
      </c>
      <c r="B3853" s="2">
        <f>IFERROR(__xludf.DUMMYFUNCTION("""COMPUTED_VALUE"""),941.05)</f>
        <v>941.05</v>
      </c>
      <c r="C3853" s="2">
        <f>IFERROR(__xludf.DUMMYFUNCTION("""COMPUTED_VALUE"""),955.41)</f>
        <v>955.41</v>
      </c>
      <c r="D3853" s="2">
        <f>IFERROR(__xludf.DUMMYFUNCTION("""COMPUTED_VALUE"""),932.67)</f>
        <v>932.67</v>
      </c>
      <c r="E3853" s="2">
        <f>IFERROR(__xludf.DUMMYFUNCTION("""COMPUTED_VALUE"""),952.24)</f>
        <v>952.24</v>
      </c>
      <c r="F3853" s="2">
        <f>IFERROR(__xludf.DUMMYFUNCTION("""COMPUTED_VALUE"""),5738209.0)</f>
        <v>5738209</v>
      </c>
    </row>
    <row r="3854">
      <c r="A3854" s="3">
        <f>IFERROR(__xludf.DUMMYFUNCTION("""COMPUTED_VALUE"""),43132.64583333333)</f>
        <v>43132.64583</v>
      </c>
      <c r="B3854" s="2">
        <f>IFERROR(__xludf.DUMMYFUNCTION("""COMPUTED_VALUE"""),954.17)</f>
        <v>954.17</v>
      </c>
      <c r="C3854" s="2">
        <f>IFERROR(__xludf.DUMMYFUNCTION("""COMPUTED_VALUE"""),963.43)</f>
        <v>963.43</v>
      </c>
      <c r="D3854" s="2">
        <f>IFERROR(__xludf.DUMMYFUNCTION("""COMPUTED_VALUE"""),927.77)</f>
        <v>927.77</v>
      </c>
      <c r="E3854" s="2">
        <f>IFERROR(__xludf.DUMMYFUNCTION("""COMPUTED_VALUE"""),934.95)</f>
        <v>934.95</v>
      </c>
      <c r="F3854" s="2">
        <f>IFERROR(__xludf.DUMMYFUNCTION("""COMPUTED_VALUE"""),7554587.0)</f>
        <v>7554587</v>
      </c>
    </row>
    <row r="3855">
      <c r="A3855" s="3">
        <f>IFERROR(__xludf.DUMMYFUNCTION("""COMPUTED_VALUE"""),43133.64583333333)</f>
        <v>43133.64583</v>
      </c>
      <c r="B3855" s="2">
        <f>IFERROR(__xludf.DUMMYFUNCTION("""COMPUTED_VALUE"""),926.19)</f>
        <v>926.19</v>
      </c>
      <c r="C3855" s="2">
        <f>IFERROR(__xludf.DUMMYFUNCTION("""COMPUTED_VALUE"""),935.05)</f>
        <v>935.05</v>
      </c>
      <c r="D3855" s="2">
        <f>IFERROR(__xludf.DUMMYFUNCTION("""COMPUTED_VALUE"""),892.51)</f>
        <v>892.51</v>
      </c>
      <c r="E3855" s="2">
        <f>IFERROR(__xludf.DUMMYFUNCTION("""COMPUTED_VALUE"""),895.83)</f>
        <v>895.83</v>
      </c>
      <c r="F3855" s="2">
        <f>IFERROR(__xludf.DUMMYFUNCTION("""COMPUTED_VALUE"""),1.3242095E7)</f>
        <v>13242095</v>
      </c>
    </row>
    <row r="3856">
      <c r="A3856" s="3">
        <f>IFERROR(__xludf.DUMMYFUNCTION("""COMPUTED_VALUE"""),43136.64583333333)</f>
        <v>43136.64583</v>
      </c>
      <c r="B3856" s="2">
        <f>IFERROR(__xludf.DUMMYFUNCTION("""COMPUTED_VALUE"""),885.57)</f>
        <v>885.57</v>
      </c>
      <c r="C3856" s="2">
        <f>IFERROR(__xludf.DUMMYFUNCTION("""COMPUTED_VALUE"""),903.9)</f>
        <v>903.9</v>
      </c>
      <c r="D3856" s="2">
        <f>IFERROR(__xludf.DUMMYFUNCTION("""COMPUTED_VALUE"""),873.49)</f>
        <v>873.49</v>
      </c>
      <c r="E3856" s="2">
        <f>IFERROR(__xludf.DUMMYFUNCTION("""COMPUTED_VALUE"""),893.65)</f>
        <v>893.65</v>
      </c>
      <c r="F3856" s="2">
        <f>IFERROR(__xludf.DUMMYFUNCTION("""COMPUTED_VALUE"""),8773525.0)</f>
        <v>8773525</v>
      </c>
    </row>
    <row r="3857">
      <c r="A3857" s="3">
        <f>IFERROR(__xludf.DUMMYFUNCTION("""COMPUTED_VALUE"""),43137.64583333333)</f>
        <v>43137.64583</v>
      </c>
      <c r="B3857" s="2">
        <f>IFERROR(__xludf.DUMMYFUNCTION("""COMPUTED_VALUE"""),868.73)</f>
        <v>868.73</v>
      </c>
      <c r="C3857" s="2">
        <f>IFERROR(__xludf.DUMMYFUNCTION("""COMPUTED_VALUE"""),889.54)</f>
        <v>889.54</v>
      </c>
      <c r="D3857" s="2">
        <f>IFERROR(__xludf.DUMMYFUNCTION("""COMPUTED_VALUE"""),862.79)</f>
        <v>862.79</v>
      </c>
      <c r="E3857" s="2">
        <f>IFERROR(__xludf.DUMMYFUNCTION("""COMPUTED_VALUE"""),883.69)</f>
        <v>883.69</v>
      </c>
      <c r="F3857" s="2">
        <f>IFERROR(__xludf.DUMMYFUNCTION("""COMPUTED_VALUE"""),1.1000567E7)</f>
        <v>11000567</v>
      </c>
    </row>
    <row r="3858">
      <c r="A3858" s="3">
        <f>IFERROR(__xludf.DUMMYFUNCTION("""COMPUTED_VALUE"""),43138.64583333333)</f>
        <v>43138.64583</v>
      </c>
      <c r="B3858" s="2">
        <f>IFERROR(__xludf.DUMMYFUNCTION("""COMPUTED_VALUE"""),894.04)</f>
        <v>894.04</v>
      </c>
      <c r="C3858" s="2">
        <f>IFERROR(__xludf.DUMMYFUNCTION("""COMPUTED_VALUE"""),896.87)</f>
        <v>896.87</v>
      </c>
      <c r="D3858" s="2">
        <f>IFERROR(__xludf.DUMMYFUNCTION("""COMPUTED_VALUE"""),881.61)</f>
        <v>881.61</v>
      </c>
      <c r="E3858" s="2">
        <f>IFERROR(__xludf.DUMMYFUNCTION("""COMPUTED_VALUE"""),885.97)</f>
        <v>885.97</v>
      </c>
      <c r="F3858" s="2">
        <f>IFERROR(__xludf.DUMMYFUNCTION("""COMPUTED_VALUE"""),7100838.0)</f>
        <v>7100838</v>
      </c>
    </row>
    <row r="3859">
      <c r="A3859" s="3">
        <f>IFERROR(__xludf.DUMMYFUNCTION("""COMPUTED_VALUE"""),43139.64583333333)</f>
        <v>43139.64583</v>
      </c>
      <c r="B3859" s="2">
        <f>IFERROR(__xludf.DUMMYFUNCTION("""COMPUTED_VALUE"""),889.44)</f>
        <v>889.44</v>
      </c>
      <c r="C3859" s="2">
        <f>IFERROR(__xludf.DUMMYFUNCTION("""COMPUTED_VALUE"""),902.07)</f>
        <v>902.07</v>
      </c>
      <c r="D3859" s="2">
        <f>IFERROR(__xludf.DUMMYFUNCTION("""COMPUTED_VALUE"""),883.94)</f>
        <v>883.94</v>
      </c>
      <c r="E3859" s="2">
        <f>IFERROR(__xludf.DUMMYFUNCTION("""COMPUTED_VALUE"""),896.02)</f>
        <v>896.02</v>
      </c>
      <c r="F3859" s="2">
        <f>IFERROR(__xludf.DUMMYFUNCTION("""COMPUTED_VALUE"""),6320734.0)</f>
        <v>6320734</v>
      </c>
    </row>
    <row r="3860">
      <c r="A3860" s="3">
        <f>IFERROR(__xludf.DUMMYFUNCTION("""COMPUTED_VALUE"""),43140.64583333333)</f>
        <v>43140.64583</v>
      </c>
      <c r="B3860" s="2">
        <f>IFERROR(__xludf.DUMMYFUNCTION("""COMPUTED_VALUE"""),880.62)</f>
        <v>880.62</v>
      </c>
      <c r="C3860" s="2">
        <f>IFERROR(__xludf.DUMMYFUNCTION("""COMPUTED_VALUE"""),893.5)</f>
        <v>893.5</v>
      </c>
      <c r="D3860" s="2">
        <f>IFERROR(__xludf.DUMMYFUNCTION("""COMPUTED_VALUE"""),877.65)</f>
        <v>877.65</v>
      </c>
      <c r="E3860" s="2">
        <f>IFERROR(__xludf.DUMMYFUNCTION("""COMPUTED_VALUE"""),889.39)</f>
        <v>889.39</v>
      </c>
      <c r="F3860" s="2">
        <f>IFERROR(__xludf.DUMMYFUNCTION("""COMPUTED_VALUE"""),5294279.0)</f>
        <v>5294279</v>
      </c>
    </row>
    <row r="3861">
      <c r="A3861" s="3">
        <f>IFERROR(__xludf.DUMMYFUNCTION("""COMPUTED_VALUE"""),43143.64583333333)</f>
        <v>43143.64583</v>
      </c>
      <c r="B3861" s="2">
        <f>IFERROR(__xludf.DUMMYFUNCTION("""COMPUTED_VALUE"""),894.49)</f>
        <v>894.49</v>
      </c>
      <c r="C3861" s="2">
        <f>IFERROR(__xludf.DUMMYFUNCTION("""COMPUTED_VALUE"""),909.54)</f>
        <v>909.54</v>
      </c>
      <c r="D3861" s="2">
        <f>IFERROR(__xludf.DUMMYFUNCTION("""COMPUTED_VALUE"""),893.55)</f>
        <v>893.55</v>
      </c>
      <c r="E3861" s="2">
        <f>IFERROR(__xludf.DUMMYFUNCTION("""COMPUTED_VALUE"""),906.87)</f>
        <v>906.87</v>
      </c>
      <c r="F3861" s="2">
        <f>IFERROR(__xludf.DUMMYFUNCTION("""COMPUTED_VALUE"""),5429792.0)</f>
        <v>5429792</v>
      </c>
    </row>
    <row r="3862">
      <c r="A3862" s="3">
        <f>IFERROR(__xludf.DUMMYFUNCTION("""COMPUTED_VALUE"""),43145.64583333333)</f>
        <v>43145.64583</v>
      </c>
      <c r="B3862" s="2">
        <f>IFERROR(__xludf.DUMMYFUNCTION("""COMPUTED_VALUE"""),914.3)</f>
        <v>914.3</v>
      </c>
      <c r="C3862" s="2">
        <f>IFERROR(__xludf.DUMMYFUNCTION("""COMPUTED_VALUE"""),933.62)</f>
        <v>933.62</v>
      </c>
      <c r="D3862" s="2">
        <f>IFERROR(__xludf.DUMMYFUNCTION("""COMPUTED_VALUE"""),912.32)</f>
        <v>912.32</v>
      </c>
      <c r="E3862" s="2">
        <f>IFERROR(__xludf.DUMMYFUNCTION("""COMPUTED_VALUE"""),924.85)</f>
        <v>924.85</v>
      </c>
      <c r="F3862" s="2">
        <f>IFERROR(__xludf.DUMMYFUNCTION("""COMPUTED_VALUE"""),1.0170959E7)</f>
        <v>10170959</v>
      </c>
    </row>
    <row r="3863">
      <c r="A3863" s="3">
        <f>IFERROR(__xludf.DUMMYFUNCTION("""COMPUTED_VALUE"""),43146.64583333333)</f>
        <v>43146.64583</v>
      </c>
      <c r="B3863" s="2">
        <f>IFERROR(__xludf.DUMMYFUNCTION("""COMPUTED_VALUE"""),928.81)</f>
        <v>928.81</v>
      </c>
      <c r="C3863" s="2">
        <f>IFERROR(__xludf.DUMMYFUNCTION("""COMPUTED_VALUE"""),936.84)</f>
        <v>936.84</v>
      </c>
      <c r="D3863" s="2">
        <f>IFERROR(__xludf.DUMMYFUNCTION("""COMPUTED_VALUE"""),919.4)</f>
        <v>919.4</v>
      </c>
      <c r="E3863" s="2">
        <f>IFERROR(__xludf.DUMMYFUNCTION("""COMPUTED_VALUE"""),926.83)</f>
        <v>926.83</v>
      </c>
      <c r="F3863" s="2">
        <f>IFERROR(__xludf.DUMMYFUNCTION("""COMPUTED_VALUE"""),6109454.0)</f>
        <v>6109454</v>
      </c>
    </row>
    <row r="3864">
      <c r="A3864" s="3">
        <f>IFERROR(__xludf.DUMMYFUNCTION("""COMPUTED_VALUE"""),43147.64583333333)</f>
        <v>43147.64583</v>
      </c>
      <c r="B3864" s="2">
        <f>IFERROR(__xludf.DUMMYFUNCTION("""COMPUTED_VALUE"""),930.74)</f>
        <v>930.74</v>
      </c>
      <c r="C3864" s="2">
        <f>IFERROR(__xludf.DUMMYFUNCTION("""COMPUTED_VALUE"""),933.71)</f>
        <v>933.71</v>
      </c>
      <c r="D3864" s="2">
        <f>IFERROR(__xludf.DUMMYFUNCTION("""COMPUTED_VALUE"""),909.45)</f>
        <v>909.45</v>
      </c>
      <c r="E3864" s="2">
        <f>IFERROR(__xludf.DUMMYFUNCTION("""COMPUTED_VALUE"""),912.62)</f>
        <v>912.62</v>
      </c>
      <c r="F3864" s="2">
        <f>IFERROR(__xludf.DUMMYFUNCTION("""COMPUTED_VALUE"""),4401672.0)</f>
        <v>4401672</v>
      </c>
    </row>
    <row r="3865">
      <c r="A3865" s="3">
        <f>IFERROR(__xludf.DUMMYFUNCTION("""COMPUTED_VALUE"""),43150.64583333333)</f>
        <v>43150.64583</v>
      </c>
      <c r="B3865" s="2">
        <f>IFERROR(__xludf.DUMMYFUNCTION("""COMPUTED_VALUE"""),912.32)</f>
        <v>912.32</v>
      </c>
      <c r="C3865" s="2">
        <f>IFERROR(__xludf.DUMMYFUNCTION("""COMPUTED_VALUE"""),923.21)</f>
        <v>923.21</v>
      </c>
      <c r="D3865" s="2">
        <f>IFERROR(__xludf.DUMMYFUNCTION("""COMPUTED_VALUE"""),904.94)</f>
        <v>904.94</v>
      </c>
      <c r="E3865" s="2">
        <f>IFERROR(__xludf.DUMMYFUNCTION("""COMPUTED_VALUE"""),918.26)</f>
        <v>918.26</v>
      </c>
      <c r="F3865" s="2">
        <f>IFERROR(__xludf.DUMMYFUNCTION("""COMPUTED_VALUE"""),4087936.0)</f>
        <v>4087936</v>
      </c>
    </row>
    <row r="3866">
      <c r="A3866" s="3">
        <f>IFERROR(__xludf.DUMMYFUNCTION("""COMPUTED_VALUE"""),43151.64583333333)</f>
        <v>43151.64583</v>
      </c>
      <c r="B3866" s="2">
        <f>IFERROR(__xludf.DUMMYFUNCTION("""COMPUTED_VALUE"""),920.24)</f>
        <v>920.24</v>
      </c>
      <c r="C3866" s="2">
        <f>IFERROR(__xludf.DUMMYFUNCTION("""COMPUTED_VALUE"""),920.79)</f>
        <v>920.79</v>
      </c>
      <c r="D3866" s="2">
        <f>IFERROR(__xludf.DUMMYFUNCTION("""COMPUTED_VALUE"""),910.14)</f>
        <v>910.14</v>
      </c>
      <c r="E3866" s="2">
        <f>IFERROR(__xludf.DUMMYFUNCTION("""COMPUTED_VALUE"""),912.42)</f>
        <v>912.42</v>
      </c>
      <c r="F3866" s="2">
        <f>IFERROR(__xludf.DUMMYFUNCTION("""COMPUTED_VALUE"""),3866919.0)</f>
        <v>3866919</v>
      </c>
    </row>
    <row r="3867">
      <c r="A3867" s="3">
        <f>IFERROR(__xludf.DUMMYFUNCTION("""COMPUTED_VALUE"""),43152.64583333333)</f>
        <v>43152.64583</v>
      </c>
      <c r="B3867" s="2">
        <f>IFERROR(__xludf.DUMMYFUNCTION("""COMPUTED_VALUE"""),921.23)</f>
        <v>921.23</v>
      </c>
      <c r="C3867" s="2">
        <f>IFERROR(__xludf.DUMMYFUNCTION("""COMPUTED_VALUE"""),923.71)</f>
        <v>923.71</v>
      </c>
      <c r="D3867" s="2">
        <f>IFERROR(__xludf.DUMMYFUNCTION("""COMPUTED_VALUE"""),913.46)</f>
        <v>913.46</v>
      </c>
      <c r="E3867" s="2">
        <f>IFERROR(__xludf.DUMMYFUNCTION("""COMPUTED_VALUE"""),920.59)</f>
        <v>920.59</v>
      </c>
      <c r="F3867" s="2">
        <f>IFERROR(__xludf.DUMMYFUNCTION("""COMPUTED_VALUE"""),5448230.0)</f>
        <v>5448230</v>
      </c>
    </row>
    <row r="3868">
      <c r="A3868" s="3">
        <f>IFERROR(__xludf.DUMMYFUNCTION("""COMPUTED_VALUE"""),43153.64583333333)</f>
        <v>43153.64583</v>
      </c>
      <c r="B3868" s="2">
        <f>IFERROR(__xludf.DUMMYFUNCTION("""COMPUTED_VALUE"""),913.31)</f>
        <v>913.31</v>
      </c>
      <c r="C3868" s="2">
        <f>IFERROR(__xludf.DUMMYFUNCTION("""COMPUTED_VALUE"""),922.22)</f>
        <v>922.22</v>
      </c>
      <c r="D3868" s="2">
        <f>IFERROR(__xludf.DUMMYFUNCTION("""COMPUTED_VALUE"""),911.33)</f>
        <v>911.33</v>
      </c>
      <c r="E3868" s="2">
        <f>IFERROR(__xludf.DUMMYFUNCTION("""COMPUTED_VALUE"""),915.64)</f>
        <v>915.64</v>
      </c>
      <c r="F3868" s="2">
        <f>IFERROR(__xludf.DUMMYFUNCTION("""COMPUTED_VALUE"""),5118850.0)</f>
        <v>5118850</v>
      </c>
    </row>
    <row r="3869">
      <c r="A3869" s="3">
        <f>IFERROR(__xludf.DUMMYFUNCTION("""COMPUTED_VALUE"""),43154.64583333333)</f>
        <v>43154.64583</v>
      </c>
      <c r="B3869" s="2">
        <f>IFERROR(__xludf.DUMMYFUNCTION("""COMPUTED_VALUE"""),916.68)</f>
        <v>916.68</v>
      </c>
      <c r="C3869" s="2">
        <f>IFERROR(__xludf.DUMMYFUNCTION("""COMPUTED_VALUE"""),929.16)</f>
        <v>929.16</v>
      </c>
      <c r="D3869" s="2">
        <f>IFERROR(__xludf.DUMMYFUNCTION("""COMPUTED_VALUE"""),914.05)</f>
        <v>914.05</v>
      </c>
      <c r="E3869" s="2">
        <f>IFERROR(__xludf.DUMMYFUNCTION("""COMPUTED_VALUE"""),925.44)</f>
        <v>925.44</v>
      </c>
      <c r="F3869" s="2">
        <f>IFERROR(__xludf.DUMMYFUNCTION("""COMPUTED_VALUE"""),4850839.0)</f>
        <v>4850839</v>
      </c>
    </row>
    <row r="3870">
      <c r="A3870" s="3">
        <f>IFERROR(__xludf.DUMMYFUNCTION("""COMPUTED_VALUE"""),43157.64583333333)</f>
        <v>43157.64583</v>
      </c>
      <c r="B3870" s="2">
        <f>IFERROR(__xludf.DUMMYFUNCTION("""COMPUTED_VALUE"""),930.15)</f>
        <v>930.15</v>
      </c>
      <c r="C3870" s="2">
        <f>IFERROR(__xludf.DUMMYFUNCTION("""COMPUTED_VALUE"""),935.99)</f>
        <v>935.99</v>
      </c>
      <c r="D3870" s="2">
        <f>IFERROR(__xludf.DUMMYFUNCTION("""COMPUTED_VALUE"""),927.77)</f>
        <v>927.77</v>
      </c>
      <c r="E3870" s="2">
        <f>IFERROR(__xludf.DUMMYFUNCTION("""COMPUTED_VALUE"""),929.85)</f>
        <v>929.85</v>
      </c>
      <c r="F3870" s="2">
        <f>IFERROR(__xludf.DUMMYFUNCTION("""COMPUTED_VALUE"""),3856478.0)</f>
        <v>3856478</v>
      </c>
    </row>
    <row r="3871">
      <c r="A3871" s="3">
        <f>IFERROR(__xludf.DUMMYFUNCTION("""COMPUTED_VALUE"""),43158.64583333333)</f>
        <v>43158.64583</v>
      </c>
      <c r="B3871" s="2">
        <f>IFERROR(__xludf.DUMMYFUNCTION("""COMPUTED_VALUE"""),930.15)</f>
        <v>930.15</v>
      </c>
      <c r="C3871" s="2">
        <f>IFERROR(__xludf.DUMMYFUNCTION("""COMPUTED_VALUE"""),946.79)</f>
        <v>946.79</v>
      </c>
      <c r="D3871" s="2">
        <f>IFERROR(__xludf.DUMMYFUNCTION("""COMPUTED_VALUE"""),929.5)</f>
        <v>929.5</v>
      </c>
      <c r="E3871" s="2">
        <f>IFERROR(__xludf.DUMMYFUNCTION("""COMPUTED_VALUE"""),941.54)</f>
        <v>941.54</v>
      </c>
      <c r="F3871" s="2">
        <f>IFERROR(__xludf.DUMMYFUNCTION("""COMPUTED_VALUE"""),6410097.0)</f>
        <v>6410097</v>
      </c>
    </row>
    <row r="3872">
      <c r="A3872" s="3">
        <f>IFERROR(__xludf.DUMMYFUNCTION("""COMPUTED_VALUE"""),43159.64583333333)</f>
        <v>43159.64583</v>
      </c>
      <c r="B3872" s="2">
        <f>IFERROR(__xludf.DUMMYFUNCTION("""COMPUTED_VALUE"""),937.03)</f>
        <v>937.03</v>
      </c>
      <c r="C3872" s="2">
        <f>IFERROR(__xludf.DUMMYFUNCTION("""COMPUTED_VALUE"""),948.08)</f>
        <v>948.08</v>
      </c>
      <c r="D3872" s="2">
        <f>IFERROR(__xludf.DUMMYFUNCTION("""COMPUTED_VALUE"""),934.31)</f>
        <v>934.31</v>
      </c>
      <c r="E3872" s="2">
        <f>IFERROR(__xludf.DUMMYFUNCTION("""COMPUTED_VALUE"""),945.55)</f>
        <v>945.55</v>
      </c>
      <c r="F3872" s="2">
        <f>IFERROR(__xludf.DUMMYFUNCTION("""COMPUTED_VALUE"""),2.5898694E7)</f>
        <v>25898694</v>
      </c>
    </row>
    <row r="3873">
      <c r="A3873" s="3">
        <f>IFERROR(__xludf.DUMMYFUNCTION("""COMPUTED_VALUE"""),43160.64583333333)</f>
        <v>43160.64583</v>
      </c>
      <c r="B3873" s="2">
        <f>IFERROR(__xludf.DUMMYFUNCTION("""COMPUTED_VALUE"""),940.8)</f>
        <v>940.8</v>
      </c>
      <c r="C3873" s="2">
        <f>IFERROR(__xludf.DUMMYFUNCTION("""COMPUTED_VALUE"""),950.85)</f>
        <v>950.85</v>
      </c>
      <c r="D3873" s="2">
        <f>IFERROR(__xludf.DUMMYFUNCTION("""COMPUTED_VALUE"""),937.03)</f>
        <v>937.03</v>
      </c>
      <c r="E3873" s="2">
        <f>IFERROR(__xludf.DUMMYFUNCTION("""COMPUTED_VALUE"""),939.46)</f>
        <v>939.46</v>
      </c>
      <c r="F3873" s="2">
        <f>IFERROR(__xludf.DUMMYFUNCTION("""COMPUTED_VALUE"""),4094652.0)</f>
        <v>4094652</v>
      </c>
    </row>
    <row r="3874">
      <c r="A3874" s="3">
        <f>IFERROR(__xludf.DUMMYFUNCTION("""COMPUTED_VALUE"""),43164.64583333333)</f>
        <v>43164.64583</v>
      </c>
      <c r="B3874" s="2">
        <f>IFERROR(__xludf.DUMMYFUNCTION("""COMPUTED_VALUE"""),934.11)</f>
        <v>934.11</v>
      </c>
      <c r="C3874" s="2">
        <f>IFERROR(__xludf.DUMMYFUNCTION("""COMPUTED_VALUE"""),941.19)</f>
        <v>941.19</v>
      </c>
      <c r="D3874" s="2">
        <f>IFERROR(__xludf.DUMMYFUNCTION("""COMPUTED_VALUE"""),912.91)</f>
        <v>912.91</v>
      </c>
      <c r="E3874" s="2">
        <f>IFERROR(__xludf.DUMMYFUNCTION("""COMPUTED_VALUE"""),915.39)</f>
        <v>915.39</v>
      </c>
      <c r="F3874" s="2">
        <f>IFERROR(__xludf.DUMMYFUNCTION("""COMPUTED_VALUE"""),5634893.0)</f>
        <v>5634893</v>
      </c>
    </row>
    <row r="3875">
      <c r="A3875" s="3">
        <f>IFERROR(__xludf.DUMMYFUNCTION("""COMPUTED_VALUE"""),43165.64583333333)</f>
        <v>43165.64583</v>
      </c>
      <c r="B3875" s="2">
        <f>IFERROR(__xludf.DUMMYFUNCTION("""COMPUTED_VALUE"""),920.24)</f>
        <v>920.24</v>
      </c>
      <c r="C3875" s="2">
        <f>IFERROR(__xludf.DUMMYFUNCTION("""COMPUTED_VALUE"""),927.38)</f>
        <v>927.38</v>
      </c>
      <c r="D3875" s="2">
        <f>IFERROR(__xludf.DUMMYFUNCTION("""COMPUTED_VALUE"""),896.57)</f>
        <v>896.57</v>
      </c>
      <c r="E3875" s="2">
        <f>IFERROR(__xludf.DUMMYFUNCTION("""COMPUTED_VALUE"""),902.26)</f>
        <v>902.26</v>
      </c>
      <c r="F3875" s="2">
        <f>IFERROR(__xludf.DUMMYFUNCTION("""COMPUTED_VALUE"""),7323680.0)</f>
        <v>7323680</v>
      </c>
    </row>
    <row r="3876">
      <c r="A3876" s="3">
        <f>IFERROR(__xludf.DUMMYFUNCTION("""COMPUTED_VALUE"""),43166.64583333333)</f>
        <v>43166.64583</v>
      </c>
      <c r="B3876" s="2">
        <f>IFERROR(__xludf.DUMMYFUNCTION("""COMPUTED_VALUE"""),900.68)</f>
        <v>900.68</v>
      </c>
      <c r="C3876" s="2">
        <f>IFERROR(__xludf.DUMMYFUNCTION("""COMPUTED_VALUE"""),900.68)</f>
        <v>900.68</v>
      </c>
      <c r="D3876" s="2">
        <f>IFERROR(__xludf.DUMMYFUNCTION("""COMPUTED_VALUE"""),879.68)</f>
        <v>879.68</v>
      </c>
      <c r="E3876" s="2">
        <f>IFERROR(__xludf.DUMMYFUNCTION("""COMPUTED_VALUE"""),881.36)</f>
        <v>881.36</v>
      </c>
      <c r="F3876" s="2">
        <f>IFERROR(__xludf.DUMMYFUNCTION("""COMPUTED_VALUE"""),7247708.0)</f>
        <v>7247708</v>
      </c>
    </row>
    <row r="3877">
      <c r="A3877" s="3">
        <f>IFERROR(__xludf.DUMMYFUNCTION("""COMPUTED_VALUE"""),43167.64583333333)</f>
        <v>43167.64583</v>
      </c>
      <c r="B3877" s="2">
        <f>IFERROR(__xludf.DUMMYFUNCTION("""COMPUTED_VALUE"""),889.19)</f>
        <v>889.19</v>
      </c>
      <c r="C3877" s="2">
        <f>IFERROR(__xludf.DUMMYFUNCTION("""COMPUTED_VALUE"""),905.88)</f>
        <v>905.88</v>
      </c>
      <c r="D3877" s="2">
        <f>IFERROR(__xludf.DUMMYFUNCTION("""COMPUTED_VALUE"""),884.88)</f>
        <v>884.88</v>
      </c>
      <c r="E3877" s="2">
        <f>IFERROR(__xludf.DUMMYFUNCTION("""COMPUTED_VALUE"""),902.86)</f>
        <v>902.86</v>
      </c>
      <c r="F3877" s="2">
        <f>IFERROR(__xludf.DUMMYFUNCTION("""COMPUTED_VALUE"""),6072983.0)</f>
        <v>6072983</v>
      </c>
    </row>
    <row r="3878">
      <c r="A3878" s="3">
        <f>IFERROR(__xludf.DUMMYFUNCTION("""COMPUTED_VALUE"""),43168.64583333333)</f>
        <v>43168.64583</v>
      </c>
      <c r="B3878" s="2">
        <f>IFERROR(__xludf.DUMMYFUNCTION("""COMPUTED_VALUE"""),906.28)</f>
        <v>906.28</v>
      </c>
      <c r="C3878" s="2">
        <f>IFERROR(__xludf.DUMMYFUNCTION("""COMPUTED_VALUE"""),910.68)</f>
        <v>910.68</v>
      </c>
      <c r="D3878" s="2">
        <f>IFERROR(__xludf.DUMMYFUNCTION("""COMPUTED_VALUE"""),902.46)</f>
        <v>902.46</v>
      </c>
      <c r="E3878" s="2">
        <f>IFERROR(__xludf.DUMMYFUNCTION("""COMPUTED_VALUE"""),904.49)</f>
        <v>904.49</v>
      </c>
      <c r="F3878" s="2">
        <f>IFERROR(__xludf.DUMMYFUNCTION("""COMPUTED_VALUE"""),4863577.0)</f>
        <v>4863577</v>
      </c>
    </row>
    <row r="3879">
      <c r="A3879" s="3">
        <f>IFERROR(__xludf.DUMMYFUNCTION("""COMPUTED_VALUE"""),43171.64583333333)</f>
        <v>43171.64583</v>
      </c>
      <c r="B3879" s="2">
        <f>IFERROR(__xludf.DUMMYFUNCTION("""COMPUTED_VALUE"""),911.33)</f>
        <v>911.33</v>
      </c>
      <c r="C3879" s="2">
        <f>IFERROR(__xludf.DUMMYFUNCTION("""COMPUTED_VALUE"""),924.3)</f>
        <v>924.3</v>
      </c>
      <c r="D3879" s="2">
        <f>IFERROR(__xludf.DUMMYFUNCTION("""COMPUTED_VALUE"""),908.9)</f>
        <v>908.9</v>
      </c>
      <c r="E3879" s="2">
        <f>IFERROR(__xludf.DUMMYFUNCTION("""COMPUTED_VALUE"""),921.53)</f>
        <v>921.53</v>
      </c>
      <c r="F3879" s="2">
        <f>IFERROR(__xludf.DUMMYFUNCTION("""COMPUTED_VALUE"""),3801407.0)</f>
        <v>3801407</v>
      </c>
    </row>
    <row r="3880">
      <c r="A3880" s="3">
        <f>IFERROR(__xludf.DUMMYFUNCTION("""COMPUTED_VALUE"""),43172.64583333333)</f>
        <v>43172.64583</v>
      </c>
      <c r="B3880" s="2">
        <f>IFERROR(__xludf.DUMMYFUNCTION("""COMPUTED_VALUE"""),923.12)</f>
        <v>923.12</v>
      </c>
      <c r="C3880" s="2">
        <f>IFERROR(__xludf.DUMMYFUNCTION("""COMPUTED_VALUE"""),927.18)</f>
        <v>927.18</v>
      </c>
      <c r="D3880" s="2">
        <f>IFERROR(__xludf.DUMMYFUNCTION("""COMPUTED_VALUE"""),912.67)</f>
        <v>912.67</v>
      </c>
      <c r="E3880" s="2">
        <f>IFERROR(__xludf.DUMMYFUNCTION("""COMPUTED_VALUE"""),923.07)</f>
        <v>923.07</v>
      </c>
      <c r="F3880" s="2">
        <f>IFERROR(__xludf.DUMMYFUNCTION("""COMPUTED_VALUE"""),5096825.0)</f>
        <v>5096825</v>
      </c>
    </row>
    <row r="3881">
      <c r="A3881" s="3">
        <f>IFERROR(__xludf.DUMMYFUNCTION("""COMPUTED_VALUE"""),43173.64583333333)</f>
        <v>43173.64583</v>
      </c>
      <c r="B3881" s="2">
        <f>IFERROR(__xludf.DUMMYFUNCTION("""COMPUTED_VALUE"""),920.04)</f>
        <v>920.04</v>
      </c>
      <c r="C3881" s="2">
        <f>IFERROR(__xludf.DUMMYFUNCTION("""COMPUTED_VALUE"""),923.26)</f>
        <v>923.26</v>
      </c>
      <c r="D3881" s="2">
        <f>IFERROR(__xludf.DUMMYFUNCTION("""COMPUTED_VALUE"""),910.54)</f>
        <v>910.54</v>
      </c>
      <c r="E3881" s="2">
        <f>IFERROR(__xludf.DUMMYFUNCTION("""COMPUTED_VALUE"""),920.29)</f>
        <v>920.29</v>
      </c>
      <c r="F3881" s="2">
        <f>IFERROR(__xludf.DUMMYFUNCTION("""COMPUTED_VALUE"""),6731530.0)</f>
        <v>6731530</v>
      </c>
    </row>
    <row r="3882">
      <c r="A3882" s="3">
        <f>IFERROR(__xludf.DUMMYFUNCTION("""COMPUTED_VALUE"""),43174.64583333333)</f>
        <v>43174.64583</v>
      </c>
      <c r="B3882" s="2">
        <f>IFERROR(__xludf.DUMMYFUNCTION("""COMPUTED_VALUE"""),916.28)</f>
        <v>916.28</v>
      </c>
      <c r="C3882" s="2">
        <f>IFERROR(__xludf.DUMMYFUNCTION("""COMPUTED_VALUE"""),920.69)</f>
        <v>920.69</v>
      </c>
      <c r="D3882" s="2">
        <f>IFERROR(__xludf.DUMMYFUNCTION("""COMPUTED_VALUE"""),901.42)</f>
        <v>901.42</v>
      </c>
      <c r="E3882" s="2">
        <f>IFERROR(__xludf.DUMMYFUNCTION("""COMPUTED_VALUE"""),903.21)</f>
        <v>903.21</v>
      </c>
      <c r="F3882" s="2">
        <f>IFERROR(__xludf.DUMMYFUNCTION("""COMPUTED_VALUE"""),5811424.0)</f>
        <v>5811424</v>
      </c>
    </row>
    <row r="3883">
      <c r="A3883" s="3">
        <f>IFERROR(__xludf.DUMMYFUNCTION("""COMPUTED_VALUE"""),43175.64583333333)</f>
        <v>43175.64583</v>
      </c>
      <c r="B3883" s="2">
        <f>IFERROR(__xludf.DUMMYFUNCTION("""COMPUTED_VALUE"""),900.43)</f>
        <v>900.43</v>
      </c>
      <c r="C3883" s="2">
        <f>IFERROR(__xludf.DUMMYFUNCTION("""COMPUTED_VALUE"""),901.12)</f>
        <v>901.12</v>
      </c>
      <c r="D3883" s="2">
        <f>IFERROR(__xludf.DUMMYFUNCTION("""COMPUTED_VALUE"""),877.7)</f>
        <v>877.7</v>
      </c>
      <c r="E3883" s="2">
        <f>IFERROR(__xludf.DUMMYFUNCTION("""COMPUTED_VALUE"""),891.57)</f>
        <v>891.57</v>
      </c>
      <c r="F3883" s="2">
        <f>IFERROR(__xludf.DUMMYFUNCTION("""COMPUTED_VALUE"""),1.4087564E7)</f>
        <v>14087564</v>
      </c>
    </row>
    <row r="3884">
      <c r="A3884" s="3">
        <f>IFERROR(__xludf.DUMMYFUNCTION("""COMPUTED_VALUE"""),43178.64583333333)</f>
        <v>43178.64583</v>
      </c>
      <c r="B3884" s="2">
        <f>IFERROR(__xludf.DUMMYFUNCTION("""COMPUTED_VALUE"""),892.51)</f>
        <v>892.51</v>
      </c>
      <c r="C3884" s="2">
        <f>IFERROR(__xludf.DUMMYFUNCTION("""COMPUTED_VALUE"""),898.35)</f>
        <v>898.35</v>
      </c>
      <c r="D3884" s="2">
        <f>IFERROR(__xludf.DUMMYFUNCTION("""COMPUTED_VALUE"""),883.59)</f>
        <v>883.59</v>
      </c>
      <c r="E3884" s="2">
        <f>IFERROR(__xludf.DUMMYFUNCTION("""COMPUTED_VALUE"""),887.06)</f>
        <v>887.06</v>
      </c>
      <c r="F3884" s="2">
        <f>IFERROR(__xludf.DUMMYFUNCTION("""COMPUTED_VALUE"""),5774392.0)</f>
        <v>5774392</v>
      </c>
    </row>
    <row r="3885">
      <c r="A3885" s="3">
        <f>IFERROR(__xludf.DUMMYFUNCTION("""COMPUTED_VALUE"""),43179.64583333333)</f>
        <v>43179.64583</v>
      </c>
      <c r="B3885" s="2">
        <f>IFERROR(__xludf.DUMMYFUNCTION("""COMPUTED_VALUE"""),884.88)</f>
        <v>884.88</v>
      </c>
      <c r="C3885" s="2">
        <f>IFERROR(__xludf.DUMMYFUNCTION("""COMPUTED_VALUE"""),895.48)</f>
        <v>895.48</v>
      </c>
      <c r="D3885" s="2">
        <f>IFERROR(__xludf.DUMMYFUNCTION("""COMPUTED_VALUE"""),878.69)</f>
        <v>878.69</v>
      </c>
      <c r="E3885" s="2">
        <f>IFERROR(__xludf.DUMMYFUNCTION("""COMPUTED_VALUE"""),881.41)</f>
        <v>881.41</v>
      </c>
      <c r="F3885" s="2">
        <f>IFERROR(__xludf.DUMMYFUNCTION("""COMPUTED_VALUE"""),6945721.0)</f>
        <v>6945721</v>
      </c>
    </row>
    <row r="3886">
      <c r="A3886" s="3">
        <f>IFERROR(__xludf.DUMMYFUNCTION("""COMPUTED_VALUE"""),43180.64583333333)</f>
        <v>43180.64583</v>
      </c>
      <c r="B3886" s="2">
        <f>IFERROR(__xludf.DUMMYFUNCTION("""COMPUTED_VALUE"""),886.41)</f>
        <v>886.41</v>
      </c>
      <c r="C3886" s="2">
        <f>IFERROR(__xludf.DUMMYFUNCTION("""COMPUTED_VALUE"""),893.84)</f>
        <v>893.84</v>
      </c>
      <c r="D3886" s="2">
        <f>IFERROR(__xludf.DUMMYFUNCTION("""COMPUTED_VALUE"""),884.88)</f>
        <v>884.88</v>
      </c>
      <c r="E3886" s="2">
        <f>IFERROR(__xludf.DUMMYFUNCTION("""COMPUTED_VALUE"""),888.45)</f>
        <v>888.45</v>
      </c>
      <c r="F3886" s="2">
        <f>IFERROR(__xludf.DUMMYFUNCTION("""COMPUTED_VALUE"""),6727261.0)</f>
        <v>6727261</v>
      </c>
    </row>
    <row r="3887">
      <c r="A3887" s="3">
        <f>IFERROR(__xludf.DUMMYFUNCTION("""COMPUTED_VALUE"""),43181.64583333333)</f>
        <v>43181.64583</v>
      </c>
      <c r="B3887" s="2">
        <f>IFERROR(__xludf.DUMMYFUNCTION("""COMPUTED_VALUE"""),887.55)</f>
        <v>887.55</v>
      </c>
      <c r="C3887" s="2">
        <f>IFERROR(__xludf.DUMMYFUNCTION("""COMPUTED_VALUE"""),903.35)</f>
        <v>903.35</v>
      </c>
      <c r="D3887" s="2">
        <f>IFERROR(__xludf.DUMMYFUNCTION("""COMPUTED_VALUE"""),887.31)</f>
        <v>887.31</v>
      </c>
      <c r="E3887" s="2">
        <f>IFERROR(__xludf.DUMMYFUNCTION("""COMPUTED_VALUE"""),899.59)</f>
        <v>899.59</v>
      </c>
      <c r="F3887" s="2">
        <f>IFERROR(__xludf.DUMMYFUNCTION("""COMPUTED_VALUE"""),1.0116965E7)</f>
        <v>10116965</v>
      </c>
    </row>
    <row r="3888">
      <c r="A3888" s="3">
        <f>IFERROR(__xludf.DUMMYFUNCTION("""COMPUTED_VALUE"""),43182.64583333333)</f>
        <v>43182.64583</v>
      </c>
      <c r="B3888" s="2">
        <f>IFERROR(__xludf.DUMMYFUNCTION("""COMPUTED_VALUE"""),882.21)</f>
        <v>882.21</v>
      </c>
      <c r="C3888" s="2">
        <f>IFERROR(__xludf.DUMMYFUNCTION("""COMPUTED_VALUE"""),891.52)</f>
        <v>891.52</v>
      </c>
      <c r="D3888" s="2">
        <f>IFERROR(__xludf.DUMMYFUNCTION("""COMPUTED_VALUE"""),880.72)</f>
        <v>880.72</v>
      </c>
      <c r="E3888" s="2">
        <f>IFERROR(__xludf.DUMMYFUNCTION("""COMPUTED_VALUE"""),885.47)</f>
        <v>885.47</v>
      </c>
      <c r="F3888" s="2">
        <f>IFERROR(__xludf.DUMMYFUNCTION("""COMPUTED_VALUE"""),1.0729694E7)</f>
        <v>10729694</v>
      </c>
    </row>
    <row r="3889">
      <c r="A3889" s="3">
        <f>IFERROR(__xludf.DUMMYFUNCTION("""COMPUTED_VALUE"""),43185.64583333333)</f>
        <v>43185.64583</v>
      </c>
      <c r="B3889" s="2">
        <f>IFERROR(__xludf.DUMMYFUNCTION("""COMPUTED_VALUE"""),885.52)</f>
        <v>885.52</v>
      </c>
      <c r="C3889" s="2">
        <f>IFERROR(__xludf.DUMMYFUNCTION("""COMPUTED_VALUE"""),895.78)</f>
        <v>895.78</v>
      </c>
      <c r="D3889" s="2">
        <f>IFERROR(__xludf.DUMMYFUNCTION("""COMPUTED_VALUE"""),884.09)</f>
        <v>884.09</v>
      </c>
      <c r="E3889" s="2">
        <f>IFERROR(__xludf.DUMMYFUNCTION("""COMPUTED_VALUE"""),892.61)</f>
        <v>892.61</v>
      </c>
      <c r="F3889" s="2">
        <f>IFERROR(__xludf.DUMMYFUNCTION("""COMPUTED_VALUE"""),6047262.0)</f>
        <v>6047262</v>
      </c>
    </row>
    <row r="3890">
      <c r="A3890" s="3">
        <f>IFERROR(__xludf.DUMMYFUNCTION("""COMPUTED_VALUE"""),43186.64583333333)</f>
        <v>43186.64583</v>
      </c>
      <c r="B3890" s="2">
        <f>IFERROR(__xludf.DUMMYFUNCTION("""COMPUTED_VALUE"""),898.65)</f>
        <v>898.65</v>
      </c>
      <c r="C3890" s="2">
        <f>IFERROR(__xludf.DUMMYFUNCTION("""COMPUTED_VALUE"""),902.17)</f>
        <v>902.17</v>
      </c>
      <c r="D3890" s="2">
        <f>IFERROR(__xludf.DUMMYFUNCTION("""COMPUTED_VALUE"""),888.54)</f>
        <v>888.54</v>
      </c>
      <c r="E3890" s="2">
        <f>IFERROR(__xludf.DUMMYFUNCTION("""COMPUTED_VALUE"""),891.32)</f>
        <v>891.32</v>
      </c>
      <c r="F3890" s="2">
        <f>IFERROR(__xludf.DUMMYFUNCTION("""COMPUTED_VALUE"""),6939577.0)</f>
        <v>6939577</v>
      </c>
    </row>
    <row r="3891">
      <c r="A3891" s="3">
        <f>IFERROR(__xludf.DUMMYFUNCTION("""COMPUTED_VALUE"""),43187.64583333333)</f>
        <v>43187.64583</v>
      </c>
      <c r="B3891" s="2">
        <f>IFERROR(__xludf.DUMMYFUNCTION("""COMPUTED_VALUE"""),887.36)</f>
        <v>887.36</v>
      </c>
      <c r="C3891" s="2">
        <f>IFERROR(__xludf.DUMMYFUNCTION("""COMPUTED_VALUE"""),887.41)</f>
        <v>887.41</v>
      </c>
      <c r="D3891" s="2">
        <f>IFERROR(__xludf.DUMMYFUNCTION("""COMPUTED_VALUE"""),871.7)</f>
        <v>871.7</v>
      </c>
      <c r="E3891" s="2">
        <f>IFERROR(__xludf.DUMMYFUNCTION("""COMPUTED_VALUE"""),874.38)</f>
        <v>874.38</v>
      </c>
      <c r="F3891" s="2">
        <f>IFERROR(__xludf.DUMMYFUNCTION("""COMPUTED_VALUE"""),8759586.0)</f>
        <v>8759586</v>
      </c>
    </row>
    <row r="3892">
      <c r="A3892" s="3">
        <f>IFERROR(__xludf.DUMMYFUNCTION("""COMPUTED_VALUE"""),43192.64583333333)</f>
        <v>43192.64583</v>
      </c>
      <c r="B3892" s="2">
        <f>IFERROR(__xludf.DUMMYFUNCTION("""COMPUTED_VALUE"""),884.58)</f>
        <v>884.58</v>
      </c>
      <c r="C3892" s="2">
        <f>IFERROR(__xludf.DUMMYFUNCTION("""COMPUTED_VALUE"""),892.46)</f>
        <v>892.46</v>
      </c>
      <c r="D3892" s="2">
        <f>IFERROR(__xludf.DUMMYFUNCTION("""COMPUTED_VALUE"""),878.14)</f>
        <v>878.14</v>
      </c>
      <c r="E3892" s="2">
        <f>IFERROR(__xludf.DUMMYFUNCTION("""COMPUTED_VALUE"""),884.53)</f>
        <v>884.53</v>
      </c>
      <c r="F3892" s="2">
        <f>IFERROR(__xludf.DUMMYFUNCTION("""COMPUTED_VALUE"""),5712065.0)</f>
        <v>5712065</v>
      </c>
    </row>
    <row r="3893">
      <c r="A3893" s="3">
        <f>IFERROR(__xludf.DUMMYFUNCTION("""COMPUTED_VALUE"""),43193.64583333333)</f>
        <v>43193.64583</v>
      </c>
      <c r="B3893" s="2">
        <f>IFERROR(__xludf.DUMMYFUNCTION("""COMPUTED_VALUE"""),882.6)</f>
        <v>882.6</v>
      </c>
      <c r="C3893" s="2">
        <f>IFERROR(__xludf.DUMMYFUNCTION("""COMPUTED_VALUE"""),893.2)</f>
        <v>893.2</v>
      </c>
      <c r="D3893" s="2">
        <f>IFERROR(__xludf.DUMMYFUNCTION("""COMPUTED_VALUE"""),876.91)</f>
        <v>876.91</v>
      </c>
      <c r="E3893" s="2">
        <f>IFERROR(__xludf.DUMMYFUNCTION("""COMPUTED_VALUE"""),891.07)</f>
        <v>891.07</v>
      </c>
      <c r="F3893" s="2">
        <f>IFERROR(__xludf.DUMMYFUNCTION("""COMPUTED_VALUE"""),6364728.0)</f>
        <v>6364728</v>
      </c>
    </row>
    <row r="3894">
      <c r="A3894" s="3">
        <f>IFERROR(__xludf.DUMMYFUNCTION("""COMPUTED_VALUE"""),43194.64583333333)</f>
        <v>43194.64583</v>
      </c>
      <c r="B3894" s="2">
        <f>IFERROR(__xludf.DUMMYFUNCTION("""COMPUTED_VALUE"""),896.17)</f>
        <v>896.17</v>
      </c>
      <c r="C3894" s="2">
        <f>IFERROR(__xludf.DUMMYFUNCTION("""COMPUTED_VALUE"""),903.21)</f>
        <v>903.21</v>
      </c>
      <c r="D3894" s="2">
        <f>IFERROR(__xludf.DUMMYFUNCTION("""COMPUTED_VALUE"""),883.64)</f>
        <v>883.64</v>
      </c>
      <c r="E3894" s="2">
        <f>IFERROR(__xludf.DUMMYFUNCTION("""COMPUTED_VALUE"""),886.46)</f>
        <v>886.46</v>
      </c>
      <c r="F3894" s="2">
        <f>IFERROR(__xludf.DUMMYFUNCTION("""COMPUTED_VALUE"""),6498407.0)</f>
        <v>6498407</v>
      </c>
    </row>
    <row r="3895">
      <c r="A3895" s="3">
        <f>IFERROR(__xludf.DUMMYFUNCTION("""COMPUTED_VALUE"""),43195.64583333333)</f>
        <v>43195.64583</v>
      </c>
      <c r="B3895" s="2">
        <f>IFERROR(__xludf.DUMMYFUNCTION("""COMPUTED_VALUE"""),896.57)</f>
        <v>896.57</v>
      </c>
      <c r="C3895" s="2">
        <f>IFERROR(__xludf.DUMMYFUNCTION("""COMPUTED_VALUE"""),901.42)</f>
        <v>901.42</v>
      </c>
      <c r="D3895" s="2">
        <f>IFERROR(__xludf.DUMMYFUNCTION("""COMPUTED_VALUE"""),894.98)</f>
        <v>894.98</v>
      </c>
      <c r="E3895" s="2">
        <f>IFERROR(__xludf.DUMMYFUNCTION("""COMPUTED_VALUE"""),899.64)</f>
        <v>899.64</v>
      </c>
      <c r="F3895" s="2">
        <f>IFERROR(__xludf.DUMMYFUNCTION("""COMPUTED_VALUE"""),3898676.0)</f>
        <v>3898676</v>
      </c>
    </row>
    <row r="3896">
      <c r="A3896" s="3">
        <f>IFERROR(__xludf.DUMMYFUNCTION("""COMPUTED_VALUE"""),43196.64583333333)</f>
        <v>43196.64583</v>
      </c>
      <c r="B3896" s="2">
        <f>IFERROR(__xludf.DUMMYFUNCTION("""COMPUTED_VALUE"""),899.44)</f>
        <v>899.44</v>
      </c>
      <c r="C3896" s="2">
        <f>IFERROR(__xludf.DUMMYFUNCTION("""COMPUTED_VALUE"""),909.84)</f>
        <v>909.84</v>
      </c>
      <c r="D3896" s="2">
        <f>IFERROR(__xludf.DUMMYFUNCTION("""COMPUTED_VALUE"""),896.47)</f>
        <v>896.47</v>
      </c>
      <c r="E3896" s="2">
        <f>IFERROR(__xludf.DUMMYFUNCTION("""COMPUTED_VALUE"""),902.41)</f>
        <v>902.41</v>
      </c>
      <c r="F3896" s="2">
        <f>IFERROR(__xludf.DUMMYFUNCTION("""COMPUTED_VALUE"""),4418462.0)</f>
        <v>4418462</v>
      </c>
    </row>
    <row r="3897">
      <c r="A3897" s="3">
        <f>IFERROR(__xludf.DUMMYFUNCTION("""COMPUTED_VALUE"""),43199.64583333333)</f>
        <v>43199.64583</v>
      </c>
      <c r="B3897" s="2">
        <f>IFERROR(__xludf.DUMMYFUNCTION("""COMPUTED_VALUE"""),903.95)</f>
        <v>903.95</v>
      </c>
      <c r="C3897" s="2">
        <f>IFERROR(__xludf.DUMMYFUNCTION("""COMPUTED_VALUE"""),910.34)</f>
        <v>910.34</v>
      </c>
      <c r="D3897" s="2">
        <f>IFERROR(__xludf.DUMMYFUNCTION("""COMPUTED_VALUE"""),903.95)</f>
        <v>903.95</v>
      </c>
      <c r="E3897" s="2">
        <f>IFERROR(__xludf.DUMMYFUNCTION("""COMPUTED_VALUE"""),907.37)</f>
        <v>907.37</v>
      </c>
      <c r="F3897" s="2">
        <f>IFERROR(__xludf.DUMMYFUNCTION("""COMPUTED_VALUE"""),3572251.0)</f>
        <v>3572251</v>
      </c>
    </row>
    <row r="3898">
      <c r="A3898" s="3">
        <f>IFERROR(__xludf.DUMMYFUNCTION("""COMPUTED_VALUE"""),43200.64583333333)</f>
        <v>43200.64583</v>
      </c>
      <c r="B3898" s="2">
        <f>IFERROR(__xludf.DUMMYFUNCTION("""COMPUTED_VALUE"""),909.74)</f>
        <v>909.74</v>
      </c>
      <c r="C3898" s="2">
        <f>IFERROR(__xludf.DUMMYFUNCTION("""COMPUTED_VALUE"""),915.19)</f>
        <v>915.19</v>
      </c>
      <c r="D3898" s="2">
        <f>IFERROR(__xludf.DUMMYFUNCTION("""COMPUTED_VALUE"""),905.53)</f>
        <v>905.53</v>
      </c>
      <c r="E3898" s="2">
        <f>IFERROR(__xludf.DUMMYFUNCTION("""COMPUTED_VALUE"""),908.41)</f>
        <v>908.41</v>
      </c>
      <c r="F3898" s="2">
        <f>IFERROR(__xludf.DUMMYFUNCTION("""COMPUTED_VALUE"""),3865402.0)</f>
        <v>3865402</v>
      </c>
    </row>
    <row r="3899">
      <c r="A3899" s="3">
        <f>IFERROR(__xludf.DUMMYFUNCTION("""COMPUTED_VALUE"""),43201.64583333333)</f>
        <v>43201.64583</v>
      </c>
      <c r="B3899" s="2">
        <f>IFERROR(__xludf.DUMMYFUNCTION("""COMPUTED_VALUE"""),913.11)</f>
        <v>913.11</v>
      </c>
      <c r="C3899" s="2">
        <f>IFERROR(__xludf.DUMMYFUNCTION("""COMPUTED_VALUE"""),923.96)</f>
        <v>923.96</v>
      </c>
      <c r="D3899" s="2">
        <f>IFERROR(__xludf.DUMMYFUNCTION("""COMPUTED_VALUE"""),907.42)</f>
        <v>907.42</v>
      </c>
      <c r="E3899" s="2">
        <f>IFERROR(__xludf.DUMMYFUNCTION("""COMPUTED_VALUE"""),922.08)</f>
        <v>922.08</v>
      </c>
      <c r="F3899" s="2">
        <f>IFERROR(__xludf.DUMMYFUNCTION("""COMPUTED_VALUE"""),6007539.0)</f>
        <v>6007539</v>
      </c>
    </row>
    <row r="3900">
      <c r="A3900" s="3">
        <f>IFERROR(__xludf.DUMMYFUNCTION("""COMPUTED_VALUE"""),43202.64583333333)</f>
        <v>43202.64583</v>
      </c>
      <c r="B3900" s="2">
        <f>IFERROR(__xludf.DUMMYFUNCTION("""COMPUTED_VALUE"""),921.09)</f>
        <v>921.09</v>
      </c>
      <c r="C3900" s="2">
        <f>IFERROR(__xludf.DUMMYFUNCTION("""COMPUTED_VALUE"""),927.82)</f>
        <v>927.82</v>
      </c>
      <c r="D3900" s="2">
        <f>IFERROR(__xludf.DUMMYFUNCTION("""COMPUTED_VALUE"""),915.49)</f>
        <v>915.49</v>
      </c>
      <c r="E3900" s="2">
        <f>IFERROR(__xludf.DUMMYFUNCTION("""COMPUTED_VALUE"""),919.95)</f>
        <v>919.95</v>
      </c>
      <c r="F3900" s="2">
        <f>IFERROR(__xludf.DUMMYFUNCTION("""COMPUTED_VALUE"""),4947725.0)</f>
        <v>4947725</v>
      </c>
    </row>
    <row r="3901">
      <c r="A3901" s="3">
        <f>IFERROR(__xludf.DUMMYFUNCTION("""COMPUTED_VALUE"""),43203.64583333333)</f>
        <v>43203.64583</v>
      </c>
      <c r="B3901" s="2">
        <f>IFERROR(__xludf.DUMMYFUNCTION("""COMPUTED_VALUE"""),923.91)</f>
        <v>923.91</v>
      </c>
      <c r="C3901" s="2">
        <f>IFERROR(__xludf.DUMMYFUNCTION("""COMPUTED_VALUE"""),932.82)</f>
        <v>932.82</v>
      </c>
      <c r="D3901" s="2">
        <f>IFERROR(__xludf.DUMMYFUNCTION("""COMPUTED_VALUE"""),919.95)</f>
        <v>919.95</v>
      </c>
      <c r="E3901" s="2">
        <f>IFERROR(__xludf.DUMMYFUNCTION("""COMPUTED_VALUE"""),930.0)</f>
        <v>930</v>
      </c>
      <c r="F3901" s="2">
        <f>IFERROR(__xludf.DUMMYFUNCTION("""COMPUTED_VALUE"""),5767984.0)</f>
        <v>5767984</v>
      </c>
    </row>
    <row r="3902">
      <c r="A3902" s="3">
        <f>IFERROR(__xludf.DUMMYFUNCTION("""COMPUTED_VALUE"""),43206.64583333333)</f>
        <v>43206.64583</v>
      </c>
      <c r="B3902" s="2">
        <f>IFERROR(__xludf.DUMMYFUNCTION("""COMPUTED_VALUE"""),925.64)</f>
        <v>925.64</v>
      </c>
      <c r="C3902" s="2">
        <f>IFERROR(__xludf.DUMMYFUNCTION("""COMPUTED_VALUE"""),931.14)</f>
        <v>931.14</v>
      </c>
      <c r="D3902" s="2">
        <f>IFERROR(__xludf.DUMMYFUNCTION("""COMPUTED_VALUE"""),919.75)</f>
        <v>919.75</v>
      </c>
      <c r="E3902" s="2">
        <f>IFERROR(__xludf.DUMMYFUNCTION("""COMPUTED_VALUE"""),928.22)</f>
        <v>928.22</v>
      </c>
      <c r="F3902" s="2">
        <f>IFERROR(__xludf.DUMMYFUNCTION("""COMPUTED_VALUE"""),4084450.0)</f>
        <v>4084450</v>
      </c>
    </row>
    <row r="3903">
      <c r="A3903" s="3">
        <f>IFERROR(__xludf.DUMMYFUNCTION("""COMPUTED_VALUE"""),43207.64583333333)</f>
        <v>43207.64583</v>
      </c>
      <c r="B3903" s="2">
        <f>IFERROR(__xludf.DUMMYFUNCTION("""COMPUTED_VALUE"""),931.14)</f>
        <v>931.14</v>
      </c>
      <c r="C3903" s="2">
        <f>IFERROR(__xludf.DUMMYFUNCTION("""COMPUTED_VALUE"""),938.27)</f>
        <v>938.27</v>
      </c>
      <c r="D3903" s="2">
        <f>IFERROR(__xludf.DUMMYFUNCTION("""COMPUTED_VALUE"""),927.18)</f>
        <v>927.18</v>
      </c>
      <c r="E3903" s="2">
        <f>IFERROR(__xludf.DUMMYFUNCTION("""COMPUTED_VALUE"""),935.35)</f>
        <v>935.35</v>
      </c>
      <c r="F3903" s="2">
        <f>IFERROR(__xludf.DUMMYFUNCTION("""COMPUTED_VALUE"""),4388713.0)</f>
        <v>4388713</v>
      </c>
    </row>
    <row r="3904">
      <c r="A3904" s="3">
        <f>IFERROR(__xludf.DUMMYFUNCTION("""COMPUTED_VALUE"""),43208.64583333333)</f>
        <v>43208.64583</v>
      </c>
      <c r="B3904" s="2">
        <f>IFERROR(__xludf.DUMMYFUNCTION("""COMPUTED_VALUE"""),936.34)</f>
        <v>936.34</v>
      </c>
      <c r="C3904" s="2">
        <f>IFERROR(__xludf.DUMMYFUNCTION("""COMPUTED_VALUE"""),939.26)</f>
        <v>939.26</v>
      </c>
      <c r="D3904" s="2">
        <f>IFERROR(__xludf.DUMMYFUNCTION("""COMPUTED_VALUE"""),926.24)</f>
        <v>926.24</v>
      </c>
      <c r="E3904" s="2">
        <f>IFERROR(__xludf.DUMMYFUNCTION("""COMPUTED_VALUE"""),929.16)</f>
        <v>929.16</v>
      </c>
      <c r="F3904" s="2">
        <f>IFERROR(__xludf.DUMMYFUNCTION("""COMPUTED_VALUE"""),3365196.0)</f>
        <v>3365196</v>
      </c>
    </row>
    <row r="3905">
      <c r="A3905" s="3">
        <f>IFERROR(__xludf.DUMMYFUNCTION("""COMPUTED_VALUE"""),43209.64583333333)</f>
        <v>43209.64583</v>
      </c>
      <c r="B3905" s="2">
        <f>IFERROR(__xludf.DUMMYFUNCTION("""COMPUTED_VALUE"""),930.25)</f>
        <v>930.25</v>
      </c>
      <c r="C3905" s="2">
        <f>IFERROR(__xludf.DUMMYFUNCTION("""COMPUTED_VALUE"""),936.09)</f>
        <v>936.09</v>
      </c>
      <c r="D3905" s="2">
        <f>IFERROR(__xludf.DUMMYFUNCTION("""COMPUTED_VALUE"""),926.19)</f>
        <v>926.19</v>
      </c>
      <c r="E3905" s="2">
        <f>IFERROR(__xludf.DUMMYFUNCTION("""COMPUTED_VALUE"""),933.42)</f>
        <v>933.42</v>
      </c>
      <c r="F3905" s="2">
        <f>IFERROR(__xludf.DUMMYFUNCTION("""COMPUTED_VALUE"""),4481413.0)</f>
        <v>4481413</v>
      </c>
    </row>
    <row r="3906">
      <c r="A3906" s="3">
        <f>IFERROR(__xludf.DUMMYFUNCTION("""COMPUTED_VALUE"""),43210.64583333333)</f>
        <v>43210.64583</v>
      </c>
      <c r="B3906" s="2">
        <f>IFERROR(__xludf.DUMMYFUNCTION("""COMPUTED_VALUE"""),929.16)</f>
        <v>929.16</v>
      </c>
      <c r="C3906" s="2">
        <f>IFERROR(__xludf.DUMMYFUNCTION("""COMPUTED_VALUE"""),932.97)</f>
        <v>932.97</v>
      </c>
      <c r="D3906" s="2">
        <f>IFERROR(__xludf.DUMMYFUNCTION("""COMPUTED_VALUE"""),912.52)</f>
        <v>912.52</v>
      </c>
      <c r="E3906" s="2">
        <f>IFERROR(__xludf.DUMMYFUNCTION("""COMPUTED_VALUE"""),919.15)</f>
        <v>919.15</v>
      </c>
      <c r="F3906" s="2">
        <f>IFERROR(__xludf.DUMMYFUNCTION("""COMPUTED_VALUE"""),3349519.0)</f>
        <v>3349519</v>
      </c>
    </row>
    <row r="3907">
      <c r="A3907" s="3">
        <f>IFERROR(__xludf.DUMMYFUNCTION("""COMPUTED_VALUE"""),43213.64583333333)</f>
        <v>43213.64583</v>
      </c>
      <c r="B3907" s="2">
        <f>IFERROR(__xludf.DUMMYFUNCTION("""COMPUTED_VALUE"""),921.23)</f>
        <v>921.23</v>
      </c>
      <c r="C3907" s="2">
        <f>IFERROR(__xludf.DUMMYFUNCTION("""COMPUTED_VALUE"""),935.45)</f>
        <v>935.45</v>
      </c>
      <c r="D3907" s="2">
        <f>IFERROR(__xludf.DUMMYFUNCTION("""COMPUTED_VALUE"""),919.75)</f>
        <v>919.75</v>
      </c>
      <c r="E3907" s="2">
        <f>IFERROR(__xludf.DUMMYFUNCTION("""COMPUTED_VALUE"""),927.18)</f>
        <v>927.18</v>
      </c>
      <c r="F3907" s="2">
        <f>IFERROR(__xludf.DUMMYFUNCTION("""COMPUTED_VALUE"""),3508515.0)</f>
        <v>3508515</v>
      </c>
    </row>
    <row r="3908">
      <c r="A3908" s="3">
        <f>IFERROR(__xludf.DUMMYFUNCTION("""COMPUTED_VALUE"""),43214.64583333333)</f>
        <v>43214.64583</v>
      </c>
      <c r="B3908" s="2">
        <f>IFERROR(__xludf.DUMMYFUNCTION("""COMPUTED_VALUE"""),926.98)</f>
        <v>926.98</v>
      </c>
      <c r="C3908" s="2">
        <f>IFERROR(__xludf.DUMMYFUNCTION("""COMPUTED_VALUE"""),966.5)</f>
        <v>966.5</v>
      </c>
      <c r="D3908" s="2">
        <f>IFERROR(__xludf.DUMMYFUNCTION("""COMPUTED_VALUE"""),926.19)</f>
        <v>926.19</v>
      </c>
      <c r="E3908" s="2">
        <f>IFERROR(__xludf.DUMMYFUNCTION("""COMPUTED_VALUE"""),960.91)</f>
        <v>960.91</v>
      </c>
      <c r="F3908" s="2">
        <f>IFERROR(__xludf.DUMMYFUNCTION("""COMPUTED_VALUE"""),9107264.0)</f>
        <v>9107264</v>
      </c>
    </row>
    <row r="3909">
      <c r="A3909" s="3">
        <f>IFERROR(__xludf.DUMMYFUNCTION("""COMPUTED_VALUE"""),43215.64583333333)</f>
        <v>43215.64583</v>
      </c>
      <c r="B3909" s="2">
        <f>IFERROR(__xludf.DUMMYFUNCTION("""COMPUTED_VALUE"""),964.47)</f>
        <v>964.47</v>
      </c>
      <c r="C3909" s="2">
        <f>IFERROR(__xludf.DUMMYFUNCTION("""COMPUTED_VALUE"""),972.55)</f>
        <v>972.55</v>
      </c>
      <c r="D3909" s="2">
        <f>IFERROR(__xludf.DUMMYFUNCTION("""COMPUTED_VALUE"""),954.47)</f>
        <v>954.47</v>
      </c>
      <c r="E3909" s="2">
        <f>IFERROR(__xludf.DUMMYFUNCTION("""COMPUTED_VALUE"""),961.35)</f>
        <v>961.35</v>
      </c>
      <c r="F3909" s="2">
        <f>IFERROR(__xludf.DUMMYFUNCTION("""COMPUTED_VALUE"""),6436620.0)</f>
        <v>6436620</v>
      </c>
    </row>
    <row r="3910">
      <c r="A3910" s="3">
        <f>IFERROR(__xludf.DUMMYFUNCTION("""COMPUTED_VALUE"""),43216.64583333333)</f>
        <v>43216.64583</v>
      </c>
      <c r="B3910" s="2">
        <f>IFERROR(__xludf.DUMMYFUNCTION("""COMPUTED_VALUE"""),963.83)</f>
        <v>963.83</v>
      </c>
      <c r="C3910" s="2">
        <f>IFERROR(__xludf.DUMMYFUNCTION("""COMPUTED_VALUE"""),978.69)</f>
        <v>978.69</v>
      </c>
      <c r="D3910" s="2">
        <f>IFERROR(__xludf.DUMMYFUNCTION("""COMPUTED_VALUE"""),953.18)</f>
        <v>953.18</v>
      </c>
      <c r="E3910" s="2">
        <f>IFERROR(__xludf.DUMMYFUNCTION("""COMPUTED_VALUE"""),966.16)</f>
        <v>966.16</v>
      </c>
      <c r="F3910" s="2">
        <f>IFERROR(__xludf.DUMMYFUNCTION("""COMPUTED_VALUE"""),1.5588001E7)</f>
        <v>15588001</v>
      </c>
    </row>
    <row r="3911">
      <c r="A3911" s="3">
        <f>IFERROR(__xludf.DUMMYFUNCTION("""COMPUTED_VALUE"""),43217.64583333333)</f>
        <v>43217.64583</v>
      </c>
      <c r="B3911" s="2">
        <f>IFERROR(__xludf.DUMMYFUNCTION("""COMPUTED_VALUE"""),980.47)</f>
        <v>980.47</v>
      </c>
      <c r="C3911" s="2">
        <f>IFERROR(__xludf.DUMMYFUNCTION("""COMPUTED_VALUE"""),1001.47)</f>
        <v>1001.47</v>
      </c>
      <c r="D3911" s="2">
        <f>IFERROR(__xludf.DUMMYFUNCTION("""COMPUTED_VALUE"""),976.21)</f>
        <v>976.21</v>
      </c>
      <c r="E3911" s="2">
        <f>IFERROR(__xludf.DUMMYFUNCTION("""COMPUTED_VALUE"""),986.91)</f>
        <v>986.91</v>
      </c>
      <c r="F3911" s="2">
        <f>IFERROR(__xludf.DUMMYFUNCTION("""COMPUTED_VALUE"""),1.1666267E7)</f>
        <v>11666267</v>
      </c>
    </row>
    <row r="3912">
      <c r="A3912" s="3">
        <f>IFERROR(__xludf.DUMMYFUNCTION("""COMPUTED_VALUE"""),43220.64583333333)</f>
        <v>43220.64583</v>
      </c>
      <c r="B3912" s="2">
        <f>IFERROR(__xludf.DUMMYFUNCTION("""COMPUTED_VALUE"""),972.74)</f>
        <v>972.74</v>
      </c>
      <c r="C3912" s="2">
        <f>IFERROR(__xludf.DUMMYFUNCTION("""COMPUTED_VALUE"""),983.24)</f>
        <v>983.24</v>
      </c>
      <c r="D3912" s="2">
        <f>IFERROR(__xludf.DUMMYFUNCTION("""COMPUTED_VALUE"""),950.95)</f>
        <v>950.95</v>
      </c>
      <c r="E3912" s="2">
        <f>IFERROR(__xludf.DUMMYFUNCTION("""COMPUTED_VALUE"""),954.22)</f>
        <v>954.22</v>
      </c>
      <c r="F3912" s="2">
        <f>IFERROR(__xludf.DUMMYFUNCTION("""COMPUTED_VALUE"""),8871802.0)</f>
        <v>8871802</v>
      </c>
    </row>
    <row r="3913">
      <c r="A3913" s="3">
        <f>IFERROR(__xludf.DUMMYFUNCTION("""COMPUTED_VALUE"""),43222.64583333333)</f>
        <v>43222.64583</v>
      </c>
      <c r="B3913" s="2">
        <f>IFERROR(__xludf.DUMMYFUNCTION("""COMPUTED_VALUE"""),957.88)</f>
        <v>957.88</v>
      </c>
      <c r="C3913" s="2">
        <f>IFERROR(__xludf.DUMMYFUNCTION("""COMPUTED_VALUE"""),969.97)</f>
        <v>969.97</v>
      </c>
      <c r="D3913" s="2">
        <f>IFERROR(__xludf.DUMMYFUNCTION("""COMPUTED_VALUE"""),955.95)</f>
        <v>955.95</v>
      </c>
      <c r="E3913" s="2">
        <f>IFERROR(__xludf.DUMMYFUNCTION("""COMPUTED_VALUE"""),963.53)</f>
        <v>963.53</v>
      </c>
      <c r="F3913" s="2">
        <f>IFERROR(__xludf.DUMMYFUNCTION("""COMPUTED_VALUE"""),6117761.0)</f>
        <v>6117761</v>
      </c>
    </row>
    <row r="3914">
      <c r="A3914" s="3">
        <f>IFERROR(__xludf.DUMMYFUNCTION("""COMPUTED_VALUE"""),43223.64583333333)</f>
        <v>43223.64583</v>
      </c>
      <c r="B3914" s="2">
        <f>IFERROR(__xludf.DUMMYFUNCTION("""COMPUTED_VALUE"""),968.68)</f>
        <v>968.68</v>
      </c>
      <c r="C3914" s="2">
        <f>IFERROR(__xludf.DUMMYFUNCTION("""COMPUTED_VALUE"""),968.68)</f>
        <v>968.68</v>
      </c>
      <c r="D3914" s="2">
        <f>IFERROR(__xludf.DUMMYFUNCTION("""COMPUTED_VALUE"""),950.21)</f>
        <v>950.21</v>
      </c>
      <c r="E3914" s="2">
        <f>IFERROR(__xludf.DUMMYFUNCTION("""COMPUTED_VALUE"""),952.54)</f>
        <v>952.54</v>
      </c>
      <c r="F3914" s="2">
        <f>IFERROR(__xludf.DUMMYFUNCTION("""COMPUTED_VALUE"""),3947546.0)</f>
        <v>3947546</v>
      </c>
    </row>
    <row r="3915">
      <c r="A3915" s="3">
        <f>IFERROR(__xludf.DUMMYFUNCTION("""COMPUTED_VALUE"""),43224.64583333333)</f>
        <v>43224.64583</v>
      </c>
      <c r="B3915" s="2">
        <f>IFERROR(__xludf.DUMMYFUNCTION("""COMPUTED_VALUE"""),953.77)</f>
        <v>953.77</v>
      </c>
      <c r="C3915" s="2">
        <f>IFERROR(__xludf.DUMMYFUNCTION("""COMPUTED_VALUE"""),955.61)</f>
        <v>955.61</v>
      </c>
      <c r="D3915" s="2">
        <f>IFERROR(__xludf.DUMMYFUNCTION("""COMPUTED_VALUE"""),941.05)</f>
        <v>941.05</v>
      </c>
      <c r="E3915" s="2">
        <f>IFERROR(__xludf.DUMMYFUNCTION("""COMPUTED_VALUE"""),944.96)</f>
        <v>944.96</v>
      </c>
      <c r="F3915" s="2">
        <f>IFERROR(__xludf.DUMMYFUNCTION("""COMPUTED_VALUE"""),3795692.0)</f>
        <v>3795692</v>
      </c>
    </row>
    <row r="3916">
      <c r="A3916" s="3">
        <f>IFERROR(__xludf.DUMMYFUNCTION("""COMPUTED_VALUE"""),43227.64583333333)</f>
        <v>43227.64583</v>
      </c>
      <c r="B3916" s="2">
        <f>IFERROR(__xludf.DUMMYFUNCTION("""COMPUTED_VALUE"""),949.81)</f>
        <v>949.81</v>
      </c>
      <c r="C3916" s="2">
        <f>IFERROR(__xludf.DUMMYFUNCTION("""COMPUTED_VALUE"""),964.08)</f>
        <v>964.08</v>
      </c>
      <c r="D3916" s="2">
        <f>IFERROR(__xludf.DUMMYFUNCTION("""COMPUTED_VALUE"""),947.34)</f>
        <v>947.34</v>
      </c>
      <c r="E3916" s="2">
        <f>IFERROR(__xludf.DUMMYFUNCTION("""COMPUTED_VALUE"""),961.85)</f>
        <v>961.85</v>
      </c>
      <c r="F3916" s="2">
        <f>IFERROR(__xludf.DUMMYFUNCTION("""COMPUTED_VALUE"""),3512532.0)</f>
        <v>3512532</v>
      </c>
    </row>
    <row r="3917">
      <c r="A3917" s="3">
        <f>IFERROR(__xludf.DUMMYFUNCTION("""COMPUTED_VALUE"""),43228.64583333333)</f>
        <v>43228.64583</v>
      </c>
      <c r="B3917" s="2">
        <f>IFERROR(__xludf.DUMMYFUNCTION("""COMPUTED_VALUE"""),968.29)</f>
        <v>968.29</v>
      </c>
      <c r="C3917" s="2">
        <f>IFERROR(__xludf.DUMMYFUNCTION("""COMPUTED_VALUE"""),972.74)</f>
        <v>972.74</v>
      </c>
      <c r="D3917" s="2">
        <f>IFERROR(__xludf.DUMMYFUNCTION("""COMPUTED_VALUE"""),956.1)</f>
        <v>956.1</v>
      </c>
      <c r="E3917" s="2">
        <f>IFERROR(__xludf.DUMMYFUNCTION("""COMPUTED_VALUE"""),957.98)</f>
        <v>957.98</v>
      </c>
      <c r="F3917" s="2">
        <f>IFERROR(__xludf.DUMMYFUNCTION("""COMPUTED_VALUE"""),4934036.0)</f>
        <v>4934036</v>
      </c>
    </row>
    <row r="3918">
      <c r="A3918" s="3">
        <f>IFERROR(__xludf.DUMMYFUNCTION("""COMPUTED_VALUE"""),43229.64583333333)</f>
        <v>43229.64583</v>
      </c>
      <c r="B3918" s="2">
        <f>IFERROR(__xludf.DUMMYFUNCTION("""COMPUTED_VALUE"""),956.8)</f>
        <v>956.8</v>
      </c>
      <c r="C3918" s="2">
        <f>IFERROR(__xludf.DUMMYFUNCTION("""COMPUTED_VALUE"""),975.02)</f>
        <v>975.02</v>
      </c>
      <c r="D3918" s="2">
        <f>IFERROR(__xludf.DUMMYFUNCTION("""COMPUTED_VALUE"""),953.18)</f>
        <v>953.18</v>
      </c>
      <c r="E3918" s="2">
        <f>IFERROR(__xludf.DUMMYFUNCTION("""COMPUTED_VALUE"""),967.49)</f>
        <v>967.49</v>
      </c>
      <c r="F3918" s="2">
        <f>IFERROR(__xludf.DUMMYFUNCTION("""COMPUTED_VALUE"""),4494423.0)</f>
        <v>4494423</v>
      </c>
    </row>
    <row r="3919">
      <c r="A3919" s="3">
        <f>IFERROR(__xludf.DUMMYFUNCTION("""COMPUTED_VALUE"""),43230.64583333333)</f>
        <v>43230.64583</v>
      </c>
      <c r="B3919" s="2">
        <f>IFERROR(__xludf.DUMMYFUNCTION("""COMPUTED_VALUE"""),970.76)</f>
        <v>970.76</v>
      </c>
      <c r="C3919" s="2">
        <f>IFERROR(__xludf.DUMMYFUNCTION("""COMPUTED_VALUE"""),975.32)</f>
        <v>975.32</v>
      </c>
      <c r="D3919" s="2">
        <f>IFERROR(__xludf.DUMMYFUNCTION("""COMPUTED_VALUE"""),965.07)</f>
        <v>965.07</v>
      </c>
      <c r="E3919" s="2">
        <f>IFERROR(__xludf.DUMMYFUNCTION("""COMPUTED_VALUE"""),971.9)</f>
        <v>971.9</v>
      </c>
      <c r="F3919" s="2">
        <f>IFERROR(__xludf.DUMMYFUNCTION("""COMPUTED_VALUE"""),4014645.0)</f>
        <v>4014645</v>
      </c>
    </row>
    <row r="3920">
      <c r="A3920" s="3">
        <f>IFERROR(__xludf.DUMMYFUNCTION("""COMPUTED_VALUE"""),43231.64583333333)</f>
        <v>43231.64583</v>
      </c>
      <c r="B3920" s="2">
        <f>IFERROR(__xludf.DUMMYFUNCTION("""COMPUTED_VALUE"""),972.0)</f>
        <v>972</v>
      </c>
      <c r="C3920" s="2">
        <f>IFERROR(__xludf.DUMMYFUNCTION("""COMPUTED_VALUE"""),981.96)</f>
        <v>981.96</v>
      </c>
      <c r="D3920" s="2">
        <f>IFERROR(__xludf.DUMMYFUNCTION("""COMPUTED_VALUE"""),968.53)</f>
        <v>968.53</v>
      </c>
      <c r="E3920" s="2">
        <f>IFERROR(__xludf.DUMMYFUNCTION("""COMPUTED_VALUE"""),979.93)</f>
        <v>979.93</v>
      </c>
      <c r="F3920" s="2">
        <f>IFERROR(__xludf.DUMMYFUNCTION("""COMPUTED_VALUE"""),4011516.0)</f>
        <v>4011516</v>
      </c>
    </row>
    <row r="3921">
      <c r="A3921" s="3">
        <f>IFERROR(__xludf.DUMMYFUNCTION("""COMPUTED_VALUE"""),43234.64583333333)</f>
        <v>43234.64583</v>
      </c>
      <c r="B3921" s="2">
        <f>IFERROR(__xludf.DUMMYFUNCTION("""COMPUTED_VALUE"""),982.6)</f>
        <v>982.6</v>
      </c>
      <c r="C3921" s="2">
        <f>IFERROR(__xludf.DUMMYFUNCTION("""COMPUTED_VALUE"""),982.6)</f>
        <v>982.6</v>
      </c>
      <c r="D3921" s="2">
        <f>IFERROR(__xludf.DUMMYFUNCTION("""COMPUTED_VALUE"""),967.49)</f>
        <v>967.49</v>
      </c>
      <c r="E3921" s="2">
        <f>IFERROR(__xludf.DUMMYFUNCTION("""COMPUTED_VALUE"""),977.3)</f>
        <v>977.3</v>
      </c>
      <c r="F3921" s="2">
        <f>IFERROR(__xludf.DUMMYFUNCTION("""COMPUTED_VALUE"""),2579561.0)</f>
        <v>2579561</v>
      </c>
    </row>
    <row r="3922">
      <c r="A3922" s="3">
        <f>IFERROR(__xludf.DUMMYFUNCTION("""COMPUTED_VALUE"""),43235.64583333333)</f>
        <v>43235.64583</v>
      </c>
      <c r="B3922" s="2">
        <f>IFERROR(__xludf.DUMMYFUNCTION("""COMPUTED_VALUE"""),973.78)</f>
        <v>973.78</v>
      </c>
      <c r="C3922" s="2">
        <f>IFERROR(__xludf.DUMMYFUNCTION("""COMPUTED_VALUE"""),990.57)</f>
        <v>990.57</v>
      </c>
      <c r="D3922" s="2">
        <f>IFERROR(__xludf.DUMMYFUNCTION("""COMPUTED_VALUE"""),967.44)</f>
        <v>967.44</v>
      </c>
      <c r="E3922" s="2">
        <f>IFERROR(__xludf.DUMMYFUNCTION("""COMPUTED_VALUE"""),969.72)</f>
        <v>969.72</v>
      </c>
      <c r="F3922" s="2">
        <f>IFERROR(__xludf.DUMMYFUNCTION("""COMPUTED_VALUE"""),4800923.0)</f>
        <v>4800923</v>
      </c>
    </row>
    <row r="3923">
      <c r="A3923" s="3">
        <f>IFERROR(__xludf.DUMMYFUNCTION("""COMPUTED_VALUE"""),43236.64583333333)</f>
        <v>43236.64583</v>
      </c>
      <c r="B3923" s="2">
        <f>IFERROR(__xludf.DUMMYFUNCTION("""COMPUTED_VALUE"""),964.82)</f>
        <v>964.82</v>
      </c>
      <c r="C3923" s="2">
        <f>IFERROR(__xludf.DUMMYFUNCTION("""COMPUTED_VALUE"""),964.82)</f>
        <v>964.82</v>
      </c>
      <c r="D3923" s="2">
        <f>IFERROR(__xludf.DUMMYFUNCTION("""COMPUTED_VALUE"""),943.47)</f>
        <v>943.47</v>
      </c>
      <c r="E3923" s="2">
        <f>IFERROR(__xludf.DUMMYFUNCTION("""COMPUTED_VALUE"""),947.14)</f>
        <v>947.14</v>
      </c>
      <c r="F3923" s="2">
        <f>IFERROR(__xludf.DUMMYFUNCTION("""COMPUTED_VALUE"""),8613363.0)</f>
        <v>8613363</v>
      </c>
    </row>
    <row r="3924">
      <c r="A3924" s="3">
        <f>IFERROR(__xludf.DUMMYFUNCTION("""COMPUTED_VALUE"""),43237.64583333333)</f>
        <v>43237.64583</v>
      </c>
      <c r="B3924" s="2">
        <f>IFERROR(__xludf.DUMMYFUNCTION("""COMPUTED_VALUE"""),950.31)</f>
        <v>950.31</v>
      </c>
      <c r="C3924" s="2">
        <f>IFERROR(__xludf.DUMMYFUNCTION("""COMPUTED_VALUE"""),950.95)</f>
        <v>950.95</v>
      </c>
      <c r="D3924" s="2">
        <f>IFERROR(__xludf.DUMMYFUNCTION("""COMPUTED_VALUE"""),932.63)</f>
        <v>932.63</v>
      </c>
      <c r="E3924" s="2">
        <f>IFERROR(__xludf.DUMMYFUNCTION("""COMPUTED_VALUE"""),936.44)</f>
        <v>936.44</v>
      </c>
      <c r="F3924" s="2">
        <f>IFERROR(__xludf.DUMMYFUNCTION("""COMPUTED_VALUE"""),4733477.0)</f>
        <v>4733477</v>
      </c>
    </row>
    <row r="3925">
      <c r="A3925" s="3">
        <f>IFERROR(__xludf.DUMMYFUNCTION("""COMPUTED_VALUE"""),43238.64583333333)</f>
        <v>43238.64583</v>
      </c>
      <c r="B3925" s="2">
        <f>IFERROR(__xludf.DUMMYFUNCTION("""COMPUTED_VALUE"""),936.69)</f>
        <v>936.69</v>
      </c>
      <c r="C3925" s="2">
        <f>IFERROR(__xludf.DUMMYFUNCTION("""COMPUTED_VALUE"""),944.51)</f>
        <v>944.51</v>
      </c>
      <c r="D3925" s="2">
        <f>IFERROR(__xludf.DUMMYFUNCTION("""COMPUTED_VALUE"""),923.21)</f>
        <v>923.21</v>
      </c>
      <c r="E3925" s="2">
        <f>IFERROR(__xludf.DUMMYFUNCTION("""COMPUTED_VALUE"""),925.05)</f>
        <v>925.05</v>
      </c>
      <c r="F3925" s="2">
        <f>IFERROR(__xludf.DUMMYFUNCTION("""COMPUTED_VALUE"""),5230037.0)</f>
        <v>5230037</v>
      </c>
    </row>
    <row r="3926">
      <c r="A3926" s="3">
        <f>IFERROR(__xludf.DUMMYFUNCTION("""COMPUTED_VALUE"""),43241.64583333333)</f>
        <v>43241.64583</v>
      </c>
      <c r="B3926" s="2">
        <f>IFERROR(__xludf.DUMMYFUNCTION("""COMPUTED_VALUE"""),921.98)</f>
        <v>921.98</v>
      </c>
      <c r="C3926" s="2">
        <f>IFERROR(__xludf.DUMMYFUNCTION("""COMPUTED_VALUE"""),926.88)</f>
        <v>926.88</v>
      </c>
      <c r="D3926" s="2">
        <f>IFERROR(__xludf.DUMMYFUNCTION("""COMPUTED_VALUE"""),913.41)</f>
        <v>913.41</v>
      </c>
      <c r="E3926" s="2">
        <f>IFERROR(__xludf.DUMMYFUNCTION("""COMPUTED_VALUE"""),922.57)</f>
        <v>922.57</v>
      </c>
      <c r="F3926" s="2">
        <f>IFERROR(__xludf.DUMMYFUNCTION("""COMPUTED_VALUE"""),6624893.0)</f>
        <v>6624893</v>
      </c>
    </row>
    <row r="3927">
      <c r="A3927" s="3">
        <f>IFERROR(__xludf.DUMMYFUNCTION("""COMPUTED_VALUE"""),43242.64583333333)</f>
        <v>43242.64583</v>
      </c>
      <c r="B3927" s="2">
        <f>IFERROR(__xludf.DUMMYFUNCTION("""COMPUTED_VALUE"""),924.35)</f>
        <v>924.35</v>
      </c>
      <c r="C3927" s="2">
        <f>IFERROR(__xludf.DUMMYFUNCTION("""COMPUTED_VALUE"""),925.2)</f>
        <v>925.2</v>
      </c>
      <c r="D3927" s="2">
        <f>IFERROR(__xludf.DUMMYFUNCTION("""COMPUTED_VALUE"""),916.28)</f>
        <v>916.28</v>
      </c>
      <c r="E3927" s="2">
        <f>IFERROR(__xludf.DUMMYFUNCTION("""COMPUTED_VALUE"""),918.01)</f>
        <v>918.01</v>
      </c>
      <c r="F3927" s="2">
        <f>IFERROR(__xludf.DUMMYFUNCTION("""COMPUTED_VALUE"""),5170585.0)</f>
        <v>5170585</v>
      </c>
    </row>
    <row r="3928">
      <c r="A3928" s="3">
        <f>IFERROR(__xludf.DUMMYFUNCTION("""COMPUTED_VALUE"""),43243.64583333333)</f>
        <v>43243.64583</v>
      </c>
      <c r="B3928" s="2">
        <f>IFERROR(__xludf.DUMMYFUNCTION("""COMPUTED_VALUE"""),917.27)</f>
        <v>917.27</v>
      </c>
      <c r="C3928" s="2">
        <f>IFERROR(__xludf.DUMMYFUNCTION("""COMPUTED_VALUE"""),917.27)</f>
        <v>917.27</v>
      </c>
      <c r="D3928" s="2">
        <f>IFERROR(__xludf.DUMMYFUNCTION("""COMPUTED_VALUE"""),900.58)</f>
        <v>900.58</v>
      </c>
      <c r="E3928" s="2">
        <f>IFERROR(__xludf.DUMMYFUNCTION("""COMPUTED_VALUE"""),903.65)</f>
        <v>903.65</v>
      </c>
      <c r="F3928" s="2">
        <f>IFERROR(__xludf.DUMMYFUNCTION("""COMPUTED_VALUE"""),4567562.0)</f>
        <v>4567562</v>
      </c>
    </row>
    <row r="3929">
      <c r="A3929" s="3">
        <f>IFERROR(__xludf.DUMMYFUNCTION("""COMPUTED_VALUE"""),43244.64583333333)</f>
        <v>43244.64583</v>
      </c>
      <c r="B3929" s="2">
        <f>IFERROR(__xludf.DUMMYFUNCTION("""COMPUTED_VALUE"""),905.38)</f>
        <v>905.38</v>
      </c>
      <c r="C3929" s="2">
        <f>IFERROR(__xludf.DUMMYFUNCTION("""COMPUTED_VALUE"""),912.32)</f>
        <v>912.32</v>
      </c>
      <c r="D3929" s="2">
        <f>IFERROR(__xludf.DUMMYFUNCTION("""COMPUTED_VALUE"""),901.57)</f>
        <v>901.57</v>
      </c>
      <c r="E3929" s="2">
        <f>IFERROR(__xludf.DUMMYFUNCTION("""COMPUTED_VALUE"""),907.22)</f>
        <v>907.22</v>
      </c>
      <c r="F3929" s="2">
        <f>IFERROR(__xludf.DUMMYFUNCTION("""COMPUTED_VALUE"""),5317983.0)</f>
        <v>5317983</v>
      </c>
    </row>
    <row r="3930">
      <c r="A3930" s="3">
        <f>IFERROR(__xludf.DUMMYFUNCTION("""COMPUTED_VALUE"""),43245.64583333333)</f>
        <v>43245.64583</v>
      </c>
      <c r="B3930" s="2">
        <f>IFERROR(__xludf.DUMMYFUNCTION("""COMPUTED_VALUE"""),907.37)</f>
        <v>907.37</v>
      </c>
      <c r="C3930" s="2">
        <f>IFERROR(__xludf.DUMMYFUNCTION("""COMPUTED_VALUE"""),914.7)</f>
        <v>914.7</v>
      </c>
      <c r="D3930" s="2">
        <f>IFERROR(__xludf.DUMMYFUNCTION("""COMPUTED_VALUE"""),905.83)</f>
        <v>905.83</v>
      </c>
      <c r="E3930" s="2">
        <f>IFERROR(__xludf.DUMMYFUNCTION("""COMPUTED_VALUE"""),912.12)</f>
        <v>912.12</v>
      </c>
      <c r="F3930" s="2">
        <f>IFERROR(__xludf.DUMMYFUNCTION("""COMPUTED_VALUE"""),8129520.0)</f>
        <v>8129520</v>
      </c>
    </row>
    <row r="3931">
      <c r="A3931" s="3">
        <f>IFERROR(__xludf.DUMMYFUNCTION("""COMPUTED_VALUE"""),43248.64583333333)</f>
        <v>43248.64583</v>
      </c>
      <c r="B3931" s="2">
        <f>IFERROR(__xludf.DUMMYFUNCTION("""COMPUTED_VALUE"""),916.18)</f>
        <v>916.18</v>
      </c>
      <c r="C3931" s="2">
        <f>IFERROR(__xludf.DUMMYFUNCTION("""COMPUTED_VALUE"""),918.26)</f>
        <v>918.26</v>
      </c>
      <c r="D3931" s="2">
        <f>IFERROR(__xludf.DUMMYFUNCTION("""COMPUTED_VALUE"""),909.45)</f>
        <v>909.45</v>
      </c>
      <c r="E3931" s="2">
        <f>IFERROR(__xludf.DUMMYFUNCTION("""COMPUTED_VALUE"""),911.72)</f>
        <v>911.72</v>
      </c>
      <c r="F3931" s="2">
        <f>IFERROR(__xludf.DUMMYFUNCTION("""COMPUTED_VALUE"""),5197835.0)</f>
        <v>5197835</v>
      </c>
    </row>
    <row r="3932">
      <c r="A3932" s="3">
        <f>IFERROR(__xludf.DUMMYFUNCTION("""COMPUTED_VALUE"""),43249.64583333333)</f>
        <v>43249.64583</v>
      </c>
      <c r="B3932" s="2">
        <f>IFERROR(__xludf.DUMMYFUNCTION("""COMPUTED_VALUE"""),912.81)</f>
        <v>912.81</v>
      </c>
      <c r="C3932" s="2">
        <f>IFERROR(__xludf.DUMMYFUNCTION("""COMPUTED_VALUE"""),919.25)</f>
        <v>919.25</v>
      </c>
      <c r="D3932" s="2">
        <f>IFERROR(__xludf.DUMMYFUNCTION("""COMPUTED_VALUE"""),905.78)</f>
        <v>905.78</v>
      </c>
      <c r="E3932" s="2">
        <f>IFERROR(__xludf.DUMMYFUNCTION("""COMPUTED_VALUE"""),908.8)</f>
        <v>908.8</v>
      </c>
      <c r="F3932" s="2">
        <f>IFERROR(__xludf.DUMMYFUNCTION("""COMPUTED_VALUE"""),8173396.0)</f>
        <v>8173396</v>
      </c>
    </row>
    <row r="3933">
      <c r="A3933" s="3">
        <f>IFERROR(__xludf.DUMMYFUNCTION("""COMPUTED_VALUE"""),43250.64583333333)</f>
        <v>43250.64583</v>
      </c>
      <c r="B3933" s="2">
        <f>IFERROR(__xludf.DUMMYFUNCTION("""COMPUTED_VALUE"""),906.23)</f>
        <v>906.23</v>
      </c>
      <c r="C3933" s="2">
        <f>IFERROR(__xludf.DUMMYFUNCTION("""COMPUTED_VALUE"""),914.5)</f>
        <v>914.5</v>
      </c>
      <c r="D3933" s="2">
        <f>IFERROR(__xludf.DUMMYFUNCTION("""COMPUTED_VALUE"""),898.05)</f>
        <v>898.05</v>
      </c>
      <c r="E3933" s="2">
        <f>IFERROR(__xludf.DUMMYFUNCTION("""COMPUTED_VALUE"""),907.46)</f>
        <v>907.46</v>
      </c>
      <c r="F3933" s="2">
        <f>IFERROR(__xludf.DUMMYFUNCTION("""COMPUTED_VALUE"""),5991222.0)</f>
        <v>5991222</v>
      </c>
    </row>
    <row r="3934">
      <c r="A3934" s="3">
        <f>IFERROR(__xludf.DUMMYFUNCTION("""COMPUTED_VALUE"""),43251.64583333333)</f>
        <v>43251.64583</v>
      </c>
      <c r="B3934" s="2">
        <f>IFERROR(__xludf.DUMMYFUNCTION("""COMPUTED_VALUE"""),912.32)</f>
        <v>912.32</v>
      </c>
      <c r="C3934" s="2">
        <f>IFERROR(__xludf.DUMMYFUNCTION("""COMPUTED_VALUE"""),913.61)</f>
        <v>913.61</v>
      </c>
      <c r="D3934" s="2">
        <f>IFERROR(__xludf.DUMMYFUNCTION("""COMPUTED_VALUE"""),905.93)</f>
        <v>905.93</v>
      </c>
      <c r="E3934" s="2">
        <f>IFERROR(__xludf.DUMMYFUNCTION("""COMPUTED_VALUE"""),912.67)</f>
        <v>912.67</v>
      </c>
      <c r="F3934" s="2">
        <f>IFERROR(__xludf.DUMMYFUNCTION("""COMPUTED_VALUE"""),1.6951801E7)</f>
        <v>16951801</v>
      </c>
    </row>
    <row r="3935">
      <c r="A3935" s="3">
        <f>IFERROR(__xludf.DUMMYFUNCTION("""COMPUTED_VALUE"""),43252.64583333333)</f>
        <v>43252.64583</v>
      </c>
      <c r="B3935" s="2">
        <f>IFERROR(__xludf.DUMMYFUNCTION("""COMPUTED_VALUE"""),911.33)</f>
        <v>911.33</v>
      </c>
      <c r="C3935" s="2">
        <f>IFERROR(__xludf.DUMMYFUNCTION("""COMPUTED_VALUE"""),926.93)</f>
        <v>926.93</v>
      </c>
      <c r="D3935" s="2">
        <f>IFERROR(__xludf.DUMMYFUNCTION("""COMPUTED_VALUE"""),909.79)</f>
        <v>909.79</v>
      </c>
      <c r="E3935" s="2">
        <f>IFERROR(__xludf.DUMMYFUNCTION("""COMPUTED_VALUE"""),921.78)</f>
        <v>921.78</v>
      </c>
      <c r="F3935" s="2">
        <f>IFERROR(__xludf.DUMMYFUNCTION("""COMPUTED_VALUE"""),8765835.0)</f>
        <v>8765835</v>
      </c>
    </row>
    <row r="3936">
      <c r="A3936" s="3">
        <f>IFERROR(__xludf.DUMMYFUNCTION("""COMPUTED_VALUE"""),43255.64583333333)</f>
        <v>43255.64583</v>
      </c>
      <c r="B3936" s="2">
        <f>IFERROR(__xludf.DUMMYFUNCTION("""COMPUTED_VALUE"""),924.6)</f>
        <v>924.6</v>
      </c>
      <c r="C3936" s="2">
        <f>IFERROR(__xludf.DUMMYFUNCTION("""COMPUTED_VALUE"""),935.1)</f>
        <v>935.1</v>
      </c>
      <c r="D3936" s="2">
        <f>IFERROR(__xludf.DUMMYFUNCTION("""COMPUTED_VALUE"""),921.78)</f>
        <v>921.78</v>
      </c>
      <c r="E3936" s="2">
        <f>IFERROR(__xludf.DUMMYFUNCTION("""COMPUTED_VALUE"""),931.98)</f>
        <v>931.98</v>
      </c>
      <c r="F3936" s="2">
        <f>IFERROR(__xludf.DUMMYFUNCTION("""COMPUTED_VALUE"""),5600357.0)</f>
        <v>5600357</v>
      </c>
    </row>
    <row r="3937">
      <c r="A3937" s="3">
        <f>IFERROR(__xludf.DUMMYFUNCTION("""COMPUTED_VALUE"""),43256.64583333333)</f>
        <v>43256.64583</v>
      </c>
      <c r="B3937" s="2">
        <f>IFERROR(__xludf.DUMMYFUNCTION("""COMPUTED_VALUE"""),933.91)</f>
        <v>933.91</v>
      </c>
      <c r="C3937" s="2">
        <f>IFERROR(__xludf.DUMMYFUNCTION("""COMPUTED_VALUE"""),946.0)</f>
        <v>946</v>
      </c>
      <c r="D3937" s="2">
        <f>IFERROR(__xludf.DUMMYFUNCTION("""COMPUTED_VALUE"""),932.13)</f>
        <v>932.13</v>
      </c>
      <c r="E3937" s="2">
        <f>IFERROR(__xludf.DUMMYFUNCTION("""COMPUTED_VALUE"""),938.72)</f>
        <v>938.72</v>
      </c>
      <c r="F3937" s="2">
        <f>IFERROR(__xludf.DUMMYFUNCTION("""COMPUTED_VALUE"""),7971524.0)</f>
        <v>7971524</v>
      </c>
    </row>
    <row r="3938">
      <c r="A3938" s="3">
        <f>IFERROR(__xludf.DUMMYFUNCTION("""COMPUTED_VALUE"""),43257.64583333333)</f>
        <v>43257.64583</v>
      </c>
      <c r="B3938" s="2">
        <f>IFERROR(__xludf.DUMMYFUNCTION("""COMPUTED_VALUE"""),938.07)</f>
        <v>938.07</v>
      </c>
      <c r="C3938" s="2">
        <f>IFERROR(__xludf.DUMMYFUNCTION("""COMPUTED_VALUE"""),946.99)</f>
        <v>946.99</v>
      </c>
      <c r="D3938" s="2">
        <f>IFERROR(__xludf.DUMMYFUNCTION("""COMPUTED_VALUE"""),933.76)</f>
        <v>933.76</v>
      </c>
      <c r="E3938" s="2">
        <f>IFERROR(__xludf.DUMMYFUNCTION("""COMPUTED_VALUE"""),945.4)</f>
        <v>945.4</v>
      </c>
      <c r="F3938" s="2">
        <f>IFERROR(__xludf.DUMMYFUNCTION("""COMPUTED_VALUE"""),4189483.0)</f>
        <v>4189483</v>
      </c>
    </row>
    <row r="3939">
      <c r="A3939" s="3">
        <f>IFERROR(__xludf.DUMMYFUNCTION("""COMPUTED_VALUE"""),43258.64583333333)</f>
        <v>43258.64583</v>
      </c>
      <c r="B3939" s="2">
        <f>IFERROR(__xludf.DUMMYFUNCTION("""COMPUTED_VALUE"""),945.9)</f>
        <v>945.9</v>
      </c>
      <c r="C3939" s="2">
        <f>IFERROR(__xludf.DUMMYFUNCTION("""COMPUTED_VALUE"""),966.8)</f>
        <v>966.8</v>
      </c>
      <c r="D3939" s="2">
        <f>IFERROR(__xludf.DUMMYFUNCTION("""COMPUTED_VALUE"""),945.45)</f>
        <v>945.45</v>
      </c>
      <c r="E3939" s="2">
        <f>IFERROR(__xludf.DUMMYFUNCTION("""COMPUTED_VALUE"""),962.19)</f>
        <v>962.19</v>
      </c>
      <c r="F3939" s="2">
        <f>IFERROR(__xludf.DUMMYFUNCTION("""COMPUTED_VALUE"""),6857300.0)</f>
        <v>6857300</v>
      </c>
    </row>
    <row r="3940">
      <c r="A3940" s="3">
        <f>IFERROR(__xludf.DUMMYFUNCTION("""COMPUTED_VALUE"""),43259.64583333333)</f>
        <v>43259.64583</v>
      </c>
      <c r="B3940" s="2">
        <f>IFERROR(__xludf.DUMMYFUNCTION("""COMPUTED_VALUE"""),957.24)</f>
        <v>957.24</v>
      </c>
      <c r="C3940" s="2">
        <f>IFERROR(__xludf.DUMMYFUNCTION("""COMPUTED_VALUE"""),977.25)</f>
        <v>977.25</v>
      </c>
      <c r="D3940" s="2">
        <f>IFERROR(__xludf.DUMMYFUNCTION("""COMPUTED_VALUE"""),951.55)</f>
        <v>951.55</v>
      </c>
      <c r="E3940" s="2">
        <f>IFERROR(__xludf.DUMMYFUNCTION("""COMPUTED_VALUE"""),975.07)</f>
        <v>975.07</v>
      </c>
      <c r="F3940" s="2">
        <f>IFERROR(__xludf.DUMMYFUNCTION("""COMPUTED_VALUE"""),6532599.0)</f>
        <v>6532599</v>
      </c>
    </row>
    <row r="3941">
      <c r="A3941" s="3">
        <f>IFERROR(__xludf.DUMMYFUNCTION("""COMPUTED_VALUE"""),43262.64583333333)</f>
        <v>43262.64583</v>
      </c>
      <c r="B3941" s="2">
        <f>IFERROR(__xludf.DUMMYFUNCTION("""COMPUTED_VALUE"""),977.8)</f>
        <v>977.8</v>
      </c>
      <c r="C3941" s="2">
        <f>IFERROR(__xludf.DUMMYFUNCTION("""COMPUTED_VALUE"""),990.52)</f>
        <v>990.52</v>
      </c>
      <c r="D3941" s="2">
        <f>IFERROR(__xludf.DUMMYFUNCTION("""COMPUTED_VALUE"""),969.82)</f>
        <v>969.82</v>
      </c>
      <c r="E3941" s="2">
        <f>IFERROR(__xludf.DUMMYFUNCTION("""COMPUTED_VALUE"""),973.39)</f>
        <v>973.39</v>
      </c>
      <c r="F3941" s="2">
        <f>IFERROR(__xludf.DUMMYFUNCTION("""COMPUTED_VALUE"""),6866053.0)</f>
        <v>6866053</v>
      </c>
    </row>
    <row r="3942">
      <c r="A3942" s="3">
        <f>IFERROR(__xludf.DUMMYFUNCTION("""COMPUTED_VALUE"""),43263.64583333333)</f>
        <v>43263.64583</v>
      </c>
      <c r="B3942" s="2">
        <f>IFERROR(__xludf.DUMMYFUNCTION("""COMPUTED_VALUE"""),974.13)</f>
        <v>974.13</v>
      </c>
      <c r="C3942" s="2">
        <f>IFERROR(__xludf.DUMMYFUNCTION("""COMPUTED_VALUE"""),990.57)</f>
        <v>990.57</v>
      </c>
      <c r="D3942" s="2">
        <f>IFERROR(__xludf.DUMMYFUNCTION("""COMPUTED_VALUE"""),971.06)</f>
        <v>971.06</v>
      </c>
      <c r="E3942" s="2">
        <f>IFERROR(__xludf.DUMMYFUNCTION("""COMPUTED_VALUE"""),987.75)</f>
        <v>987.75</v>
      </c>
      <c r="F3942" s="2">
        <f>IFERROR(__xludf.DUMMYFUNCTION("""COMPUTED_VALUE"""),7445221.0)</f>
        <v>7445221</v>
      </c>
    </row>
    <row r="3943">
      <c r="A3943" s="3">
        <f>IFERROR(__xludf.DUMMYFUNCTION("""COMPUTED_VALUE"""),43264.64583333333)</f>
        <v>43264.64583</v>
      </c>
      <c r="B3943" s="2">
        <f>IFERROR(__xludf.DUMMYFUNCTION("""COMPUTED_VALUE"""),990.57)</f>
        <v>990.57</v>
      </c>
      <c r="C3943" s="2">
        <f>IFERROR(__xludf.DUMMYFUNCTION("""COMPUTED_VALUE"""),996.42)</f>
        <v>996.42</v>
      </c>
      <c r="D3943" s="2">
        <f>IFERROR(__xludf.DUMMYFUNCTION("""COMPUTED_VALUE"""),980.17)</f>
        <v>980.17</v>
      </c>
      <c r="E3943" s="2">
        <f>IFERROR(__xludf.DUMMYFUNCTION("""COMPUTED_VALUE"""),993.05)</f>
        <v>993.05</v>
      </c>
      <c r="F3943" s="2">
        <f>IFERROR(__xludf.DUMMYFUNCTION("""COMPUTED_VALUE"""),5926020.0)</f>
        <v>5926020</v>
      </c>
    </row>
    <row r="3944">
      <c r="A3944" s="3">
        <f>IFERROR(__xludf.DUMMYFUNCTION("""COMPUTED_VALUE"""),43265.64583333333)</f>
        <v>43265.64583</v>
      </c>
      <c r="B3944" s="2">
        <f>IFERROR(__xludf.DUMMYFUNCTION("""COMPUTED_VALUE"""),988.05)</f>
        <v>988.05</v>
      </c>
      <c r="C3944" s="2">
        <f>IFERROR(__xludf.DUMMYFUNCTION("""COMPUTED_VALUE"""),1002.26)</f>
        <v>1002.26</v>
      </c>
      <c r="D3944" s="2">
        <f>IFERROR(__xludf.DUMMYFUNCTION("""COMPUTED_VALUE"""),978.09)</f>
        <v>978.09</v>
      </c>
      <c r="E3944" s="2">
        <f>IFERROR(__xludf.DUMMYFUNCTION("""COMPUTED_VALUE"""),998.45)</f>
        <v>998.45</v>
      </c>
      <c r="F3944" s="2">
        <f>IFERROR(__xludf.DUMMYFUNCTION("""COMPUTED_VALUE"""),5484867.0)</f>
        <v>5484867</v>
      </c>
    </row>
    <row r="3945">
      <c r="A3945" s="3">
        <f>IFERROR(__xludf.DUMMYFUNCTION("""COMPUTED_VALUE"""),43266.64583333333)</f>
        <v>43266.64583</v>
      </c>
      <c r="B3945" s="2">
        <f>IFERROR(__xludf.DUMMYFUNCTION("""COMPUTED_VALUE"""),996.52)</f>
        <v>996.52</v>
      </c>
      <c r="C3945" s="2">
        <f>IFERROR(__xludf.DUMMYFUNCTION("""COMPUTED_VALUE"""),1013.85)</f>
        <v>1013.85</v>
      </c>
      <c r="D3945" s="2">
        <f>IFERROR(__xludf.DUMMYFUNCTION("""COMPUTED_VALUE"""),989.83)</f>
        <v>989.83</v>
      </c>
      <c r="E3945" s="2">
        <f>IFERROR(__xludf.DUMMYFUNCTION("""COMPUTED_VALUE"""),1004.64)</f>
        <v>1004.64</v>
      </c>
      <c r="F3945" s="2">
        <f>IFERROR(__xludf.DUMMYFUNCTION("""COMPUTED_VALUE"""),1.1294702E7)</f>
        <v>11294702</v>
      </c>
    </row>
    <row r="3946">
      <c r="A3946" s="3">
        <f>IFERROR(__xludf.DUMMYFUNCTION("""COMPUTED_VALUE"""),43269.64583333333)</f>
        <v>43269.64583</v>
      </c>
      <c r="B3946" s="2">
        <f>IFERROR(__xludf.DUMMYFUNCTION("""COMPUTED_VALUE"""),999.29)</f>
        <v>999.29</v>
      </c>
      <c r="C3946" s="2">
        <f>IFERROR(__xludf.DUMMYFUNCTION("""COMPUTED_VALUE"""),1010.83)</f>
        <v>1010.83</v>
      </c>
      <c r="D3946" s="2">
        <f>IFERROR(__xludf.DUMMYFUNCTION("""COMPUTED_VALUE"""),997.51)</f>
        <v>997.51</v>
      </c>
      <c r="E3946" s="2">
        <f>IFERROR(__xludf.DUMMYFUNCTION("""COMPUTED_VALUE"""),1005.98)</f>
        <v>1005.98</v>
      </c>
      <c r="F3946" s="2">
        <f>IFERROR(__xludf.DUMMYFUNCTION("""COMPUTED_VALUE"""),5652374.0)</f>
        <v>5652374</v>
      </c>
    </row>
    <row r="3947">
      <c r="A3947" s="3">
        <f>IFERROR(__xludf.DUMMYFUNCTION("""COMPUTED_VALUE"""),43270.64583333333)</f>
        <v>43270.64583</v>
      </c>
      <c r="B3947" s="2">
        <f>IFERROR(__xludf.DUMMYFUNCTION("""COMPUTED_VALUE"""),1004.34)</f>
        <v>1004.34</v>
      </c>
      <c r="C3947" s="2">
        <f>IFERROR(__xludf.DUMMYFUNCTION("""COMPUTED_VALUE"""),1005.23)</f>
        <v>1005.23</v>
      </c>
      <c r="D3947" s="2">
        <f>IFERROR(__xludf.DUMMYFUNCTION("""COMPUTED_VALUE"""),984.28)</f>
        <v>984.28</v>
      </c>
      <c r="E3947" s="2">
        <f>IFERROR(__xludf.DUMMYFUNCTION("""COMPUTED_VALUE"""),986.66)</f>
        <v>986.66</v>
      </c>
      <c r="F3947" s="2">
        <f>IFERROR(__xludf.DUMMYFUNCTION("""COMPUTED_VALUE"""),6346101.0)</f>
        <v>6346101</v>
      </c>
    </row>
    <row r="3948">
      <c r="A3948" s="3">
        <f>IFERROR(__xludf.DUMMYFUNCTION("""COMPUTED_VALUE"""),43271.64583333333)</f>
        <v>43271.64583</v>
      </c>
      <c r="B3948" s="2">
        <f>IFERROR(__xludf.DUMMYFUNCTION("""COMPUTED_VALUE"""),986.61)</f>
        <v>986.61</v>
      </c>
      <c r="C3948" s="2">
        <f>IFERROR(__xludf.DUMMYFUNCTION("""COMPUTED_VALUE"""),1013.26)</f>
        <v>1013.26</v>
      </c>
      <c r="D3948" s="2">
        <f>IFERROR(__xludf.DUMMYFUNCTION("""COMPUTED_VALUE"""),985.47)</f>
        <v>985.47</v>
      </c>
      <c r="E3948" s="2">
        <f>IFERROR(__xludf.DUMMYFUNCTION("""COMPUTED_VALUE"""),1009.64)</f>
        <v>1009.64</v>
      </c>
      <c r="F3948" s="2">
        <f>IFERROR(__xludf.DUMMYFUNCTION("""COMPUTED_VALUE"""),7193824.0)</f>
        <v>7193824</v>
      </c>
    </row>
    <row r="3949">
      <c r="A3949" s="3">
        <f>IFERROR(__xludf.DUMMYFUNCTION("""COMPUTED_VALUE"""),43272.64583333333)</f>
        <v>43272.64583</v>
      </c>
      <c r="B3949" s="2">
        <f>IFERROR(__xludf.DUMMYFUNCTION("""COMPUTED_VALUE"""),1013.8)</f>
        <v>1013.8</v>
      </c>
      <c r="C3949" s="2">
        <f>IFERROR(__xludf.DUMMYFUNCTION("""COMPUTED_VALUE"""),1026.23)</f>
        <v>1026.23</v>
      </c>
      <c r="D3949" s="2">
        <f>IFERROR(__xludf.DUMMYFUNCTION("""COMPUTED_VALUE"""),1011.67)</f>
        <v>1011.67</v>
      </c>
      <c r="E3949" s="2">
        <f>IFERROR(__xludf.DUMMYFUNCTION("""COMPUTED_VALUE"""),1022.22)</f>
        <v>1022.22</v>
      </c>
      <c r="F3949" s="2">
        <f>IFERROR(__xludf.DUMMYFUNCTION("""COMPUTED_VALUE"""),1.0509756E7)</f>
        <v>10509756</v>
      </c>
    </row>
    <row r="3950">
      <c r="A3950" s="3">
        <f>IFERROR(__xludf.DUMMYFUNCTION("""COMPUTED_VALUE"""),43273.64583333333)</f>
        <v>43273.64583</v>
      </c>
      <c r="B3950" s="2">
        <f>IFERROR(__xludf.DUMMYFUNCTION("""COMPUTED_VALUE"""),1018.71)</f>
        <v>1018.71</v>
      </c>
      <c r="C3950" s="2">
        <f>IFERROR(__xludf.DUMMYFUNCTION("""COMPUTED_VALUE"""),1019.5)</f>
        <v>1019.5</v>
      </c>
      <c r="D3950" s="2">
        <f>IFERROR(__xludf.DUMMYFUNCTION("""COMPUTED_VALUE"""),998.94)</f>
        <v>998.94</v>
      </c>
      <c r="E3950" s="2">
        <f>IFERROR(__xludf.DUMMYFUNCTION("""COMPUTED_VALUE"""),1002.96)</f>
        <v>1002.96</v>
      </c>
      <c r="F3950" s="2">
        <f>IFERROR(__xludf.DUMMYFUNCTION("""COMPUTED_VALUE"""),1.6169978E7)</f>
        <v>16169978</v>
      </c>
    </row>
    <row r="3951">
      <c r="A3951" s="3">
        <f>IFERROR(__xludf.DUMMYFUNCTION("""COMPUTED_VALUE"""),43276.64583333333)</f>
        <v>43276.64583</v>
      </c>
      <c r="B3951" s="2">
        <f>IFERROR(__xludf.DUMMYFUNCTION("""COMPUTED_VALUE"""),1001.87)</f>
        <v>1001.87</v>
      </c>
      <c r="C3951" s="2">
        <f>IFERROR(__xludf.DUMMYFUNCTION("""COMPUTED_VALUE"""),1006.92)</f>
        <v>1006.92</v>
      </c>
      <c r="D3951" s="2">
        <f>IFERROR(__xludf.DUMMYFUNCTION("""COMPUTED_VALUE"""),992.85)</f>
        <v>992.85</v>
      </c>
      <c r="E3951" s="2">
        <f>IFERROR(__xludf.DUMMYFUNCTION("""COMPUTED_VALUE"""),994.98)</f>
        <v>994.98</v>
      </c>
      <c r="F3951" s="2">
        <f>IFERROR(__xludf.DUMMYFUNCTION("""COMPUTED_VALUE"""),5197694.0)</f>
        <v>5197694</v>
      </c>
    </row>
    <row r="3952">
      <c r="A3952" s="3">
        <f>IFERROR(__xludf.DUMMYFUNCTION("""COMPUTED_VALUE"""),43277.64583333333)</f>
        <v>43277.64583</v>
      </c>
      <c r="B3952" s="2">
        <f>IFERROR(__xludf.DUMMYFUNCTION("""COMPUTED_VALUE"""),996.52)</f>
        <v>996.52</v>
      </c>
      <c r="C3952" s="2">
        <f>IFERROR(__xludf.DUMMYFUNCTION("""COMPUTED_VALUE"""),996.52)</f>
        <v>996.52</v>
      </c>
      <c r="D3952" s="2">
        <f>IFERROR(__xludf.DUMMYFUNCTION("""COMPUTED_VALUE"""),966.06)</f>
        <v>966.06</v>
      </c>
      <c r="E3952" s="2">
        <f>IFERROR(__xludf.DUMMYFUNCTION("""COMPUTED_VALUE"""),969.72)</f>
        <v>969.72</v>
      </c>
      <c r="F3952" s="2">
        <f>IFERROR(__xludf.DUMMYFUNCTION("""COMPUTED_VALUE"""),8068585.0)</f>
        <v>8068585</v>
      </c>
    </row>
    <row r="3953">
      <c r="A3953" s="3">
        <f>IFERROR(__xludf.DUMMYFUNCTION("""COMPUTED_VALUE"""),43278.64583333333)</f>
        <v>43278.64583</v>
      </c>
      <c r="B3953" s="2">
        <f>IFERROR(__xludf.DUMMYFUNCTION("""COMPUTED_VALUE"""),969.28)</f>
        <v>969.28</v>
      </c>
      <c r="C3953" s="2">
        <f>IFERROR(__xludf.DUMMYFUNCTION("""COMPUTED_VALUE"""),976.11)</f>
        <v>976.11</v>
      </c>
      <c r="D3953" s="2">
        <f>IFERROR(__xludf.DUMMYFUNCTION("""COMPUTED_VALUE"""),953.63)</f>
        <v>953.63</v>
      </c>
      <c r="E3953" s="2">
        <f>IFERROR(__xludf.DUMMYFUNCTION("""COMPUTED_VALUE"""),956.75)</f>
        <v>956.75</v>
      </c>
      <c r="F3953" s="2">
        <f>IFERROR(__xludf.DUMMYFUNCTION("""COMPUTED_VALUE"""),8958555.0)</f>
        <v>8958555</v>
      </c>
    </row>
    <row r="3954">
      <c r="A3954" s="3">
        <f>IFERROR(__xludf.DUMMYFUNCTION("""COMPUTED_VALUE"""),43279.64583333333)</f>
        <v>43279.64583</v>
      </c>
      <c r="B3954" s="2">
        <f>IFERROR(__xludf.DUMMYFUNCTION("""COMPUTED_VALUE"""),952.93)</f>
        <v>952.93</v>
      </c>
      <c r="C3954" s="2">
        <f>IFERROR(__xludf.DUMMYFUNCTION("""COMPUTED_VALUE"""),959.37)</f>
        <v>959.37</v>
      </c>
      <c r="D3954" s="2">
        <f>IFERROR(__xludf.DUMMYFUNCTION("""COMPUTED_VALUE"""),931.44)</f>
        <v>931.44</v>
      </c>
      <c r="E3954" s="2">
        <f>IFERROR(__xludf.DUMMYFUNCTION("""COMPUTED_VALUE"""),936.04)</f>
        <v>936.04</v>
      </c>
      <c r="F3954" s="2">
        <f>IFERROR(__xludf.DUMMYFUNCTION("""COMPUTED_VALUE"""),8581234.0)</f>
        <v>8581234</v>
      </c>
    </row>
    <row r="3955">
      <c r="A3955" s="3">
        <f>IFERROR(__xludf.DUMMYFUNCTION("""COMPUTED_VALUE"""),43280.64583333333)</f>
        <v>43280.64583</v>
      </c>
      <c r="B3955" s="2">
        <f>IFERROR(__xludf.DUMMYFUNCTION("""COMPUTED_VALUE"""),940.15)</f>
        <v>940.15</v>
      </c>
      <c r="C3955" s="2">
        <f>IFERROR(__xludf.DUMMYFUNCTION("""COMPUTED_VALUE"""),966.3)</f>
        <v>966.3</v>
      </c>
      <c r="D3955" s="2">
        <f>IFERROR(__xludf.DUMMYFUNCTION("""COMPUTED_VALUE"""),940.05)</f>
        <v>940.05</v>
      </c>
      <c r="E3955" s="2">
        <f>IFERROR(__xludf.DUMMYFUNCTION("""COMPUTED_VALUE"""),963.28)</f>
        <v>963.28</v>
      </c>
      <c r="F3955" s="2">
        <f>IFERROR(__xludf.DUMMYFUNCTION("""COMPUTED_VALUE"""),7966401.0)</f>
        <v>7966401</v>
      </c>
    </row>
    <row r="3956">
      <c r="A3956" s="3">
        <f>IFERROR(__xludf.DUMMYFUNCTION("""COMPUTED_VALUE"""),43283.64583333333)</f>
        <v>43283.64583</v>
      </c>
      <c r="B3956" s="2">
        <f>IFERROR(__xludf.DUMMYFUNCTION("""COMPUTED_VALUE"""),963.18)</f>
        <v>963.18</v>
      </c>
      <c r="C3956" s="2">
        <f>IFERROR(__xludf.DUMMYFUNCTION("""COMPUTED_VALUE"""),963.18)</f>
        <v>963.18</v>
      </c>
      <c r="D3956" s="2">
        <f>IFERROR(__xludf.DUMMYFUNCTION("""COMPUTED_VALUE"""),947.98)</f>
        <v>947.98</v>
      </c>
      <c r="E3956" s="2">
        <f>IFERROR(__xludf.DUMMYFUNCTION("""COMPUTED_VALUE"""),951.55)</f>
        <v>951.55</v>
      </c>
      <c r="F3956" s="2">
        <f>IFERROR(__xludf.DUMMYFUNCTION("""COMPUTED_VALUE"""),6660916.0)</f>
        <v>6660916</v>
      </c>
    </row>
    <row r="3957">
      <c r="A3957" s="3">
        <f>IFERROR(__xludf.DUMMYFUNCTION("""COMPUTED_VALUE"""),43284.64583333333)</f>
        <v>43284.64583</v>
      </c>
      <c r="B3957" s="2">
        <f>IFERROR(__xludf.DUMMYFUNCTION("""COMPUTED_VALUE"""),955.9)</f>
        <v>955.9</v>
      </c>
      <c r="C3957" s="2">
        <f>IFERROR(__xludf.DUMMYFUNCTION("""COMPUTED_VALUE"""),969.23)</f>
        <v>969.23</v>
      </c>
      <c r="D3957" s="2">
        <f>IFERROR(__xludf.DUMMYFUNCTION("""COMPUTED_VALUE"""),951.3)</f>
        <v>951.3</v>
      </c>
      <c r="E3957" s="2">
        <f>IFERROR(__xludf.DUMMYFUNCTION("""COMPUTED_VALUE"""),962.14)</f>
        <v>962.14</v>
      </c>
      <c r="F3957" s="2">
        <f>IFERROR(__xludf.DUMMYFUNCTION("""COMPUTED_VALUE"""),5067261.0)</f>
        <v>5067261</v>
      </c>
    </row>
    <row r="3958">
      <c r="A3958" s="3">
        <f>IFERROR(__xludf.DUMMYFUNCTION("""COMPUTED_VALUE"""),43285.64583333333)</f>
        <v>43285.64583</v>
      </c>
      <c r="B3958" s="2">
        <f>IFERROR(__xludf.DUMMYFUNCTION("""COMPUTED_VALUE"""),962.64)</f>
        <v>962.64</v>
      </c>
      <c r="C3958" s="2">
        <f>IFERROR(__xludf.DUMMYFUNCTION("""COMPUTED_VALUE"""),982.65)</f>
        <v>982.65</v>
      </c>
      <c r="D3958" s="2">
        <f>IFERROR(__xludf.DUMMYFUNCTION("""COMPUTED_VALUE"""),961.85)</f>
        <v>961.85</v>
      </c>
      <c r="E3958" s="2">
        <f>IFERROR(__xludf.DUMMYFUNCTION("""COMPUTED_VALUE"""),980.77)</f>
        <v>980.77</v>
      </c>
      <c r="F3958" s="2">
        <f>IFERROR(__xludf.DUMMYFUNCTION("""COMPUTED_VALUE"""),5000724.0)</f>
        <v>5000724</v>
      </c>
    </row>
    <row r="3959">
      <c r="A3959" s="3">
        <f>IFERROR(__xludf.DUMMYFUNCTION("""COMPUTED_VALUE"""),43286.64583333333)</f>
        <v>43286.64583</v>
      </c>
      <c r="B3959" s="2">
        <f>IFERROR(__xludf.DUMMYFUNCTION("""COMPUTED_VALUE"""),987.6)</f>
        <v>987.6</v>
      </c>
      <c r="C3959" s="2">
        <f>IFERROR(__xludf.DUMMYFUNCTION("""COMPUTED_VALUE"""),998.89)</f>
        <v>998.89</v>
      </c>
      <c r="D3959" s="2">
        <f>IFERROR(__xludf.DUMMYFUNCTION("""COMPUTED_VALUE"""),949.56)</f>
        <v>949.56</v>
      </c>
      <c r="E3959" s="2">
        <f>IFERROR(__xludf.DUMMYFUNCTION("""COMPUTED_VALUE"""),955.41)</f>
        <v>955.41</v>
      </c>
      <c r="F3959" s="2">
        <f>IFERROR(__xludf.DUMMYFUNCTION("""COMPUTED_VALUE"""),1.8719353E7)</f>
        <v>18719353</v>
      </c>
    </row>
    <row r="3960">
      <c r="A3960" s="3">
        <f>IFERROR(__xludf.DUMMYFUNCTION("""COMPUTED_VALUE"""),43287.64583333333)</f>
        <v>43287.64583</v>
      </c>
      <c r="B3960" s="2">
        <f>IFERROR(__xludf.DUMMYFUNCTION("""COMPUTED_VALUE"""),955.66)</f>
        <v>955.66</v>
      </c>
      <c r="C3960" s="2">
        <f>IFERROR(__xludf.DUMMYFUNCTION("""COMPUTED_VALUE"""),973.73)</f>
        <v>973.73</v>
      </c>
      <c r="D3960" s="2">
        <f>IFERROR(__xludf.DUMMYFUNCTION("""COMPUTED_VALUE"""),955.41)</f>
        <v>955.41</v>
      </c>
      <c r="E3960" s="2">
        <f>IFERROR(__xludf.DUMMYFUNCTION("""COMPUTED_VALUE"""),968.34)</f>
        <v>968.34</v>
      </c>
      <c r="F3960" s="2">
        <f>IFERROR(__xludf.DUMMYFUNCTION("""COMPUTED_VALUE"""),9161266.0)</f>
        <v>9161266</v>
      </c>
    </row>
    <row r="3961">
      <c r="A3961" s="3">
        <f>IFERROR(__xludf.DUMMYFUNCTION("""COMPUTED_VALUE"""),43290.64583333333)</f>
        <v>43290.64583</v>
      </c>
      <c r="B3961" s="2">
        <f>IFERROR(__xludf.DUMMYFUNCTION("""COMPUTED_VALUE"""),977.8)</f>
        <v>977.8</v>
      </c>
      <c r="C3961" s="2">
        <f>IFERROR(__xludf.DUMMYFUNCTION("""COMPUTED_VALUE"""),990.57)</f>
        <v>990.57</v>
      </c>
      <c r="D3961" s="2">
        <f>IFERROR(__xludf.DUMMYFUNCTION("""COMPUTED_VALUE"""),974.23)</f>
        <v>974.23</v>
      </c>
      <c r="E3961" s="2">
        <f>IFERROR(__xludf.DUMMYFUNCTION("""COMPUTED_VALUE"""),987.7)</f>
        <v>987.7</v>
      </c>
      <c r="F3961" s="2">
        <f>IFERROR(__xludf.DUMMYFUNCTION("""COMPUTED_VALUE"""),5170189.0)</f>
        <v>5170189</v>
      </c>
    </row>
    <row r="3962">
      <c r="A3962" s="3">
        <f>IFERROR(__xludf.DUMMYFUNCTION("""COMPUTED_VALUE"""),43291.64583333333)</f>
        <v>43291.64583</v>
      </c>
      <c r="B3962" s="2">
        <f>IFERROR(__xludf.DUMMYFUNCTION("""COMPUTED_VALUE"""),993.3)</f>
        <v>993.3</v>
      </c>
      <c r="C3962" s="2">
        <f>IFERROR(__xludf.DUMMYFUNCTION("""COMPUTED_VALUE"""),1018.81)</f>
        <v>1018.81</v>
      </c>
      <c r="D3962" s="2">
        <f>IFERROR(__xludf.DUMMYFUNCTION("""COMPUTED_VALUE"""),990.57)</f>
        <v>990.57</v>
      </c>
      <c r="E3962" s="2">
        <f>IFERROR(__xludf.DUMMYFUNCTION("""COMPUTED_VALUE"""),1016.03)</f>
        <v>1016.03</v>
      </c>
      <c r="F3962" s="2">
        <f>IFERROR(__xludf.DUMMYFUNCTION("""COMPUTED_VALUE"""),1.0444513E7)</f>
        <v>10444513</v>
      </c>
    </row>
    <row r="3963">
      <c r="A3963" s="3">
        <f>IFERROR(__xludf.DUMMYFUNCTION("""COMPUTED_VALUE"""),43292.64583333333)</f>
        <v>43292.64583</v>
      </c>
      <c r="B3963" s="2">
        <f>IFERROR(__xludf.DUMMYFUNCTION("""COMPUTED_VALUE"""),1015.34)</f>
        <v>1015.34</v>
      </c>
      <c r="C3963" s="2">
        <f>IFERROR(__xludf.DUMMYFUNCTION("""COMPUTED_VALUE"""),1031.09)</f>
        <v>1031.09</v>
      </c>
      <c r="D3963" s="2">
        <f>IFERROR(__xludf.DUMMYFUNCTION("""COMPUTED_VALUE"""),1008.26)</f>
        <v>1008.26</v>
      </c>
      <c r="E3963" s="2">
        <f>IFERROR(__xludf.DUMMYFUNCTION("""COMPUTED_VALUE"""),1029.01)</f>
        <v>1029.01</v>
      </c>
      <c r="F3963" s="2">
        <f>IFERROR(__xludf.DUMMYFUNCTION("""COMPUTED_VALUE"""),8665072.0)</f>
        <v>8665072</v>
      </c>
    </row>
    <row r="3964">
      <c r="A3964" s="3">
        <f>IFERROR(__xludf.DUMMYFUNCTION("""COMPUTED_VALUE"""),43293.64583333333)</f>
        <v>43293.64583</v>
      </c>
      <c r="B3964" s="2">
        <f>IFERROR(__xludf.DUMMYFUNCTION("""COMPUTED_VALUE"""),1034.51)</f>
        <v>1034.51</v>
      </c>
      <c r="C3964" s="2">
        <f>IFERROR(__xludf.DUMMYFUNCTION("""COMPUTED_VALUE"""),1088.64)</f>
        <v>1088.64</v>
      </c>
      <c r="D3964" s="2">
        <f>IFERROR(__xludf.DUMMYFUNCTION("""COMPUTED_VALUE"""),1032.77)</f>
        <v>1032.77</v>
      </c>
      <c r="E3964" s="2">
        <f>IFERROR(__xludf.DUMMYFUNCTION("""COMPUTED_VALUE"""),1072.15)</f>
        <v>1072.15</v>
      </c>
      <c r="F3964" s="2">
        <f>IFERROR(__xludf.DUMMYFUNCTION("""COMPUTED_VALUE"""),2.4109297E7)</f>
        <v>24109297</v>
      </c>
    </row>
    <row r="3965">
      <c r="A3965" s="3">
        <f>IFERROR(__xludf.DUMMYFUNCTION("""COMPUTED_VALUE"""),43294.64583333333)</f>
        <v>43294.64583</v>
      </c>
      <c r="B3965" s="2">
        <f>IFERROR(__xludf.DUMMYFUNCTION("""COMPUTED_VALUE"""),1070.31)</f>
        <v>1070.31</v>
      </c>
      <c r="C3965" s="2">
        <f>IFERROR(__xludf.DUMMYFUNCTION("""COMPUTED_VALUE"""),1098.55)</f>
        <v>1098.55</v>
      </c>
      <c r="D3965" s="2">
        <f>IFERROR(__xludf.DUMMYFUNCTION("""COMPUTED_VALUE"""),1069.82)</f>
        <v>1069.82</v>
      </c>
      <c r="E3965" s="2">
        <f>IFERROR(__xludf.DUMMYFUNCTION("""COMPUTED_VALUE"""),1089.43)</f>
        <v>1089.43</v>
      </c>
      <c r="F3965" s="2">
        <f>IFERROR(__xludf.DUMMYFUNCTION("""COMPUTED_VALUE"""),1.7967282E7)</f>
        <v>17967282</v>
      </c>
    </row>
    <row r="3966">
      <c r="A3966" s="3">
        <f>IFERROR(__xludf.DUMMYFUNCTION("""COMPUTED_VALUE"""),43297.64583333333)</f>
        <v>43297.64583</v>
      </c>
      <c r="B3966" s="2">
        <f>IFERROR(__xludf.DUMMYFUNCTION("""COMPUTED_VALUE"""),1089.43)</f>
        <v>1089.43</v>
      </c>
      <c r="C3966" s="2">
        <f>IFERROR(__xludf.DUMMYFUNCTION("""COMPUTED_VALUE"""),1098.45)</f>
        <v>1098.45</v>
      </c>
      <c r="D3966" s="2">
        <f>IFERROR(__xludf.DUMMYFUNCTION("""COMPUTED_VALUE"""),1062.94)</f>
        <v>1062.94</v>
      </c>
      <c r="E3966" s="2">
        <f>IFERROR(__xludf.DUMMYFUNCTION("""COMPUTED_VALUE"""),1066.06)</f>
        <v>1066.06</v>
      </c>
      <c r="F3966" s="2">
        <f>IFERROR(__xludf.DUMMYFUNCTION("""COMPUTED_VALUE"""),6595781.0)</f>
        <v>6595781</v>
      </c>
    </row>
    <row r="3967">
      <c r="A3967" s="3">
        <f>IFERROR(__xludf.DUMMYFUNCTION("""COMPUTED_VALUE"""),43298.64583333333)</f>
        <v>43298.64583</v>
      </c>
      <c r="B3967" s="2">
        <f>IFERROR(__xludf.DUMMYFUNCTION("""COMPUTED_VALUE"""),1068.14)</f>
        <v>1068.14</v>
      </c>
      <c r="C3967" s="2">
        <f>IFERROR(__xludf.DUMMYFUNCTION("""COMPUTED_VALUE"""),1085.62)</f>
        <v>1085.62</v>
      </c>
      <c r="D3967" s="2">
        <f>IFERROR(__xludf.DUMMYFUNCTION("""COMPUTED_VALUE"""),1059.52)</f>
        <v>1059.52</v>
      </c>
      <c r="E3967" s="2">
        <f>IFERROR(__xludf.DUMMYFUNCTION("""COMPUTED_VALUE"""),1082.05)</f>
        <v>1082.05</v>
      </c>
      <c r="F3967" s="2">
        <f>IFERROR(__xludf.DUMMYFUNCTION("""COMPUTED_VALUE"""),6469256.0)</f>
        <v>6469256</v>
      </c>
    </row>
    <row r="3968">
      <c r="A3968" s="3">
        <f>IFERROR(__xludf.DUMMYFUNCTION("""COMPUTED_VALUE"""),43299.64583333333)</f>
        <v>43299.64583</v>
      </c>
      <c r="B3968" s="2">
        <f>IFERROR(__xludf.DUMMYFUNCTION("""COMPUTED_VALUE"""),1088.05)</f>
        <v>1088.05</v>
      </c>
      <c r="C3968" s="2">
        <f>IFERROR(__xludf.DUMMYFUNCTION("""COMPUTED_VALUE"""),1094.19)</f>
        <v>1094.19</v>
      </c>
      <c r="D3968" s="2">
        <f>IFERROR(__xludf.DUMMYFUNCTION("""COMPUTED_VALUE"""),1067.15)</f>
        <v>1067.15</v>
      </c>
      <c r="E3968" s="2">
        <f>IFERROR(__xludf.DUMMYFUNCTION("""COMPUTED_VALUE"""),1082.25)</f>
        <v>1082.25</v>
      </c>
      <c r="F3968" s="2">
        <f>IFERROR(__xludf.DUMMYFUNCTION("""COMPUTED_VALUE"""),4682099.0)</f>
        <v>4682099</v>
      </c>
    </row>
    <row r="3969">
      <c r="A3969" s="3">
        <f>IFERROR(__xludf.DUMMYFUNCTION("""COMPUTED_VALUE"""),43300.64583333333)</f>
        <v>43300.64583</v>
      </c>
      <c r="B3969" s="2">
        <f>IFERROR(__xludf.DUMMYFUNCTION("""COMPUTED_VALUE"""),1082.99)</f>
        <v>1082.99</v>
      </c>
      <c r="C3969" s="2">
        <f>IFERROR(__xludf.DUMMYFUNCTION("""COMPUTED_VALUE"""),1104.49)</f>
        <v>1104.49</v>
      </c>
      <c r="D3969" s="2">
        <f>IFERROR(__xludf.DUMMYFUNCTION("""COMPUTED_VALUE"""),1076.11)</f>
        <v>1076.11</v>
      </c>
      <c r="E3969" s="2">
        <f>IFERROR(__xludf.DUMMYFUNCTION("""COMPUTED_VALUE"""),1094.44)</f>
        <v>1094.44</v>
      </c>
      <c r="F3969" s="2">
        <f>IFERROR(__xludf.DUMMYFUNCTION("""COMPUTED_VALUE"""),5433617.0)</f>
        <v>5433617</v>
      </c>
    </row>
    <row r="3970">
      <c r="A3970" s="3">
        <f>IFERROR(__xludf.DUMMYFUNCTION("""COMPUTED_VALUE"""),43301.64583333333)</f>
        <v>43301.64583</v>
      </c>
      <c r="B3970" s="2">
        <f>IFERROR(__xludf.DUMMYFUNCTION("""COMPUTED_VALUE"""),1102.9)</f>
        <v>1102.9</v>
      </c>
      <c r="C3970" s="2">
        <f>IFERROR(__xludf.DUMMYFUNCTION("""COMPUTED_VALUE"""),1127.77)</f>
        <v>1127.77</v>
      </c>
      <c r="D3970" s="2">
        <f>IFERROR(__xludf.DUMMYFUNCTION("""COMPUTED_VALUE"""),1101.42)</f>
        <v>1101.42</v>
      </c>
      <c r="E3970" s="2">
        <f>IFERROR(__xludf.DUMMYFUNCTION("""COMPUTED_VALUE"""),1118.01)</f>
        <v>1118.01</v>
      </c>
      <c r="F3970" s="2">
        <f>IFERROR(__xludf.DUMMYFUNCTION("""COMPUTED_VALUE"""),8018150.0)</f>
        <v>8018150</v>
      </c>
    </row>
    <row r="3971">
      <c r="A3971" s="3">
        <f>IFERROR(__xludf.DUMMYFUNCTION("""COMPUTED_VALUE"""),43304.64583333333)</f>
        <v>43304.64583</v>
      </c>
      <c r="B3971" s="2">
        <f>IFERROR(__xludf.DUMMYFUNCTION("""COMPUTED_VALUE"""),1119.15)</f>
        <v>1119.15</v>
      </c>
      <c r="C3971" s="2">
        <f>IFERROR(__xludf.DUMMYFUNCTION("""COMPUTED_VALUE"""),1119.15)</f>
        <v>1119.15</v>
      </c>
      <c r="D3971" s="2">
        <f>IFERROR(__xludf.DUMMYFUNCTION("""COMPUTED_VALUE"""),1102.61)</f>
        <v>1102.61</v>
      </c>
      <c r="E3971" s="2">
        <f>IFERROR(__xludf.DUMMYFUNCTION("""COMPUTED_VALUE"""),1109.74)</f>
        <v>1109.74</v>
      </c>
      <c r="F3971" s="2">
        <f>IFERROR(__xludf.DUMMYFUNCTION("""COMPUTED_VALUE"""),5842496.0)</f>
        <v>5842496</v>
      </c>
    </row>
    <row r="3972">
      <c r="A3972" s="3">
        <f>IFERROR(__xludf.DUMMYFUNCTION("""COMPUTED_VALUE"""),43305.64583333333)</f>
        <v>43305.64583</v>
      </c>
      <c r="B3972" s="2">
        <f>IFERROR(__xludf.DUMMYFUNCTION("""COMPUTED_VALUE"""),1111.42)</f>
        <v>1111.42</v>
      </c>
      <c r="C3972" s="2">
        <f>IFERROR(__xludf.DUMMYFUNCTION("""COMPUTED_VALUE"""),1116.13)</f>
        <v>1116.13</v>
      </c>
      <c r="D3972" s="2">
        <f>IFERROR(__xludf.DUMMYFUNCTION("""COMPUTED_VALUE"""),1096.96)</f>
        <v>1096.96</v>
      </c>
      <c r="E3972" s="2">
        <f>IFERROR(__xludf.DUMMYFUNCTION("""COMPUTED_VALUE"""),1100.48)</f>
        <v>1100.48</v>
      </c>
      <c r="F3972" s="2">
        <f>IFERROR(__xludf.DUMMYFUNCTION("""COMPUTED_VALUE"""),4469144.0)</f>
        <v>4469144</v>
      </c>
    </row>
    <row r="3973">
      <c r="A3973" s="3">
        <f>IFERROR(__xludf.DUMMYFUNCTION("""COMPUTED_VALUE"""),43306.64583333333)</f>
        <v>43306.64583</v>
      </c>
      <c r="B3973" s="2">
        <f>IFERROR(__xludf.DUMMYFUNCTION("""COMPUTED_VALUE"""),1099.54)</f>
        <v>1099.54</v>
      </c>
      <c r="C3973" s="2">
        <f>IFERROR(__xludf.DUMMYFUNCTION("""COMPUTED_VALUE"""),1112.41)</f>
        <v>1112.41</v>
      </c>
      <c r="D3973" s="2">
        <f>IFERROR(__xludf.DUMMYFUNCTION("""COMPUTED_VALUE"""),1093.79)</f>
        <v>1093.79</v>
      </c>
      <c r="E3973" s="2">
        <f>IFERROR(__xludf.DUMMYFUNCTION("""COMPUTED_VALUE"""),1104.64)</f>
        <v>1104.64</v>
      </c>
      <c r="F3973" s="2">
        <f>IFERROR(__xludf.DUMMYFUNCTION("""COMPUTED_VALUE"""),5949680.0)</f>
        <v>5949680</v>
      </c>
    </row>
    <row r="3974">
      <c r="A3974" s="3">
        <f>IFERROR(__xludf.DUMMYFUNCTION("""COMPUTED_VALUE"""),43307.64583333333)</f>
        <v>43307.64583</v>
      </c>
      <c r="B3974" s="2">
        <f>IFERROR(__xludf.DUMMYFUNCTION("""COMPUTED_VALUE"""),1099.64)</f>
        <v>1099.64</v>
      </c>
      <c r="C3974" s="2">
        <f>IFERROR(__xludf.DUMMYFUNCTION("""COMPUTED_VALUE"""),1110.93)</f>
        <v>1110.93</v>
      </c>
      <c r="D3974" s="2">
        <f>IFERROR(__xludf.DUMMYFUNCTION("""COMPUTED_VALUE"""),1097.36)</f>
        <v>1097.36</v>
      </c>
      <c r="E3974" s="2">
        <f>IFERROR(__xludf.DUMMYFUNCTION("""COMPUTED_VALUE"""),1100.18)</f>
        <v>1100.18</v>
      </c>
      <c r="F3974" s="2">
        <f>IFERROR(__xludf.DUMMYFUNCTION("""COMPUTED_VALUE"""),6424867.0)</f>
        <v>6424867</v>
      </c>
    </row>
    <row r="3975">
      <c r="A3975" s="3">
        <f>IFERROR(__xludf.DUMMYFUNCTION("""COMPUTED_VALUE"""),43308.64583333333)</f>
        <v>43308.64583</v>
      </c>
      <c r="B3975" s="2">
        <f>IFERROR(__xludf.DUMMYFUNCTION("""COMPUTED_VALUE"""),1108.95)</f>
        <v>1108.95</v>
      </c>
      <c r="C3975" s="2">
        <f>IFERROR(__xludf.DUMMYFUNCTION("""COMPUTED_VALUE"""),1126.68)</f>
        <v>1126.68</v>
      </c>
      <c r="D3975" s="2">
        <f>IFERROR(__xludf.DUMMYFUNCTION("""COMPUTED_VALUE"""),1101.67)</f>
        <v>1101.67</v>
      </c>
      <c r="E3975" s="2">
        <f>IFERROR(__xludf.DUMMYFUNCTION("""COMPUTED_VALUE"""),1119.2)</f>
        <v>1119.2</v>
      </c>
      <c r="F3975" s="2">
        <f>IFERROR(__xludf.DUMMYFUNCTION("""COMPUTED_VALUE"""),6679468.0)</f>
        <v>6679468</v>
      </c>
    </row>
    <row r="3976">
      <c r="A3976" s="3">
        <f>IFERROR(__xludf.DUMMYFUNCTION("""COMPUTED_VALUE"""),43311.64583333333)</f>
        <v>43311.64583</v>
      </c>
      <c r="B3976" s="2">
        <f>IFERROR(__xludf.DUMMYFUNCTION("""COMPUTED_VALUE"""),1119.35)</f>
        <v>1119.35</v>
      </c>
      <c r="C3976" s="2">
        <f>IFERROR(__xludf.DUMMYFUNCTION("""COMPUTED_VALUE"""),1146.39)</f>
        <v>1146.39</v>
      </c>
      <c r="D3976" s="2">
        <f>IFERROR(__xludf.DUMMYFUNCTION("""COMPUTED_VALUE"""),1117.37)</f>
        <v>1117.37</v>
      </c>
      <c r="E3976" s="2">
        <f>IFERROR(__xludf.DUMMYFUNCTION("""COMPUTED_VALUE"""),1140.55)</f>
        <v>1140.55</v>
      </c>
      <c r="F3976" s="2">
        <f>IFERROR(__xludf.DUMMYFUNCTION("""COMPUTED_VALUE"""),1.3872467E7)</f>
        <v>13872467</v>
      </c>
    </row>
    <row r="3977">
      <c r="A3977" s="3">
        <f>IFERROR(__xludf.DUMMYFUNCTION("""COMPUTED_VALUE"""),43312.64583333333)</f>
        <v>43312.64583</v>
      </c>
      <c r="B3977" s="2">
        <f>IFERROR(__xludf.DUMMYFUNCTION("""COMPUTED_VALUE"""),1140.15)</f>
        <v>1140.15</v>
      </c>
      <c r="C3977" s="2">
        <f>IFERROR(__xludf.DUMMYFUNCTION("""COMPUTED_VALUE"""),1179.18)</f>
        <v>1179.18</v>
      </c>
      <c r="D3977" s="2">
        <f>IFERROR(__xludf.DUMMYFUNCTION("""COMPUTED_VALUE"""),1136.34)</f>
        <v>1136.34</v>
      </c>
      <c r="E3977" s="2">
        <f>IFERROR(__xludf.DUMMYFUNCTION("""COMPUTED_VALUE"""),1174.82)</f>
        <v>1174.82</v>
      </c>
      <c r="F3977" s="2">
        <f>IFERROR(__xludf.DUMMYFUNCTION("""COMPUTED_VALUE"""),1.3875377E7)</f>
        <v>13875377</v>
      </c>
    </row>
    <row r="3978">
      <c r="A3978" s="3">
        <f>IFERROR(__xludf.DUMMYFUNCTION("""COMPUTED_VALUE"""),43313.64583333333)</f>
        <v>43313.64583</v>
      </c>
      <c r="B3978" s="2">
        <f>IFERROR(__xludf.DUMMYFUNCTION("""COMPUTED_VALUE"""),1179.18)</f>
        <v>1179.18</v>
      </c>
      <c r="C3978" s="2">
        <f>IFERROR(__xludf.DUMMYFUNCTION("""COMPUTED_VALUE"""),1191.56)</f>
        <v>1191.56</v>
      </c>
      <c r="D3978" s="2">
        <f>IFERROR(__xludf.DUMMYFUNCTION("""COMPUTED_VALUE"""),1174.23)</f>
        <v>1174.23</v>
      </c>
      <c r="E3978" s="2">
        <f>IFERROR(__xludf.DUMMYFUNCTION("""COMPUTED_VALUE"""),1181.11)</f>
        <v>1181.11</v>
      </c>
      <c r="F3978" s="2">
        <f>IFERROR(__xludf.DUMMYFUNCTION("""COMPUTED_VALUE"""),9704295.0)</f>
        <v>9704295</v>
      </c>
    </row>
    <row r="3979">
      <c r="A3979" s="3">
        <f>IFERROR(__xludf.DUMMYFUNCTION("""COMPUTED_VALUE"""),43314.64583333333)</f>
        <v>43314.64583</v>
      </c>
      <c r="B3979" s="2">
        <f>IFERROR(__xludf.DUMMYFUNCTION("""COMPUTED_VALUE"""),1180.27)</f>
        <v>1180.27</v>
      </c>
      <c r="C3979" s="2">
        <f>IFERROR(__xludf.DUMMYFUNCTION("""COMPUTED_VALUE"""),1180.27)</f>
        <v>1180.27</v>
      </c>
      <c r="D3979" s="2">
        <f>IFERROR(__xludf.DUMMYFUNCTION("""COMPUTED_VALUE"""),1154.96)</f>
        <v>1154.96</v>
      </c>
      <c r="E3979" s="2">
        <f>IFERROR(__xludf.DUMMYFUNCTION("""COMPUTED_VALUE"""),1157.34)</f>
        <v>1157.34</v>
      </c>
      <c r="F3979" s="2">
        <f>IFERROR(__xludf.DUMMYFUNCTION("""COMPUTED_VALUE"""),6248975.0)</f>
        <v>6248975</v>
      </c>
    </row>
    <row r="3980">
      <c r="A3980" s="3">
        <f>IFERROR(__xludf.DUMMYFUNCTION("""COMPUTED_VALUE"""),43315.64583333333)</f>
        <v>43315.64583</v>
      </c>
      <c r="B3980" s="2">
        <f>IFERROR(__xludf.DUMMYFUNCTION("""COMPUTED_VALUE"""),1163.92)</f>
        <v>1163.92</v>
      </c>
      <c r="C3980" s="2">
        <f>IFERROR(__xludf.DUMMYFUNCTION("""COMPUTED_VALUE"""),1172.34)</f>
        <v>1172.34</v>
      </c>
      <c r="D3980" s="2">
        <f>IFERROR(__xludf.DUMMYFUNCTION("""COMPUTED_VALUE"""),1158.53)</f>
        <v>1158.53</v>
      </c>
      <c r="E3980" s="2">
        <f>IFERROR(__xludf.DUMMYFUNCTION("""COMPUTED_VALUE"""),1165.86)</f>
        <v>1165.86</v>
      </c>
      <c r="F3980" s="2">
        <f>IFERROR(__xludf.DUMMYFUNCTION("""COMPUTED_VALUE"""),6645397.0)</f>
        <v>6645397</v>
      </c>
    </row>
    <row r="3981">
      <c r="A3981" s="3">
        <f>IFERROR(__xludf.DUMMYFUNCTION("""COMPUTED_VALUE"""),43318.64583333333)</f>
        <v>43318.64583</v>
      </c>
      <c r="B3981" s="2">
        <f>IFERROR(__xludf.DUMMYFUNCTION("""COMPUTED_VALUE"""),1165.61)</f>
        <v>1165.61</v>
      </c>
      <c r="C3981" s="2">
        <f>IFERROR(__xludf.DUMMYFUNCTION("""COMPUTED_VALUE"""),1184.73)</f>
        <v>1184.73</v>
      </c>
      <c r="D3981" s="2">
        <f>IFERROR(__xludf.DUMMYFUNCTION("""COMPUTED_VALUE"""),1164.27)</f>
        <v>1164.27</v>
      </c>
      <c r="E3981" s="2">
        <f>IFERROR(__xludf.DUMMYFUNCTION("""COMPUTED_VALUE"""),1181.36)</f>
        <v>1181.36</v>
      </c>
      <c r="F3981" s="2">
        <f>IFERROR(__xludf.DUMMYFUNCTION("""COMPUTED_VALUE"""),4016418.0)</f>
        <v>4016418</v>
      </c>
    </row>
    <row r="3982">
      <c r="A3982" s="3">
        <f>IFERROR(__xludf.DUMMYFUNCTION("""COMPUTED_VALUE"""),43319.64583333333)</f>
        <v>43319.64583</v>
      </c>
      <c r="B3982" s="2">
        <f>IFERROR(__xludf.DUMMYFUNCTION("""COMPUTED_VALUE"""),1183.64)</f>
        <v>1183.64</v>
      </c>
      <c r="C3982" s="2">
        <f>IFERROR(__xludf.DUMMYFUNCTION("""COMPUTED_VALUE"""),1190.08)</f>
        <v>1190.08</v>
      </c>
      <c r="D3982" s="2">
        <f>IFERROR(__xludf.DUMMYFUNCTION("""COMPUTED_VALUE"""),1165.91)</f>
        <v>1165.91</v>
      </c>
      <c r="E3982" s="2">
        <f>IFERROR(__xludf.DUMMYFUNCTION("""COMPUTED_VALUE"""),1173.04)</f>
        <v>1173.04</v>
      </c>
      <c r="F3982" s="2">
        <f>IFERROR(__xludf.DUMMYFUNCTION("""COMPUTED_VALUE"""),4059460.0)</f>
        <v>4059460</v>
      </c>
    </row>
    <row r="3983">
      <c r="A3983" s="3">
        <f>IFERROR(__xludf.DUMMYFUNCTION("""COMPUTED_VALUE"""),43320.64583333333)</f>
        <v>43320.64583</v>
      </c>
      <c r="B3983" s="2">
        <f>IFERROR(__xludf.DUMMYFUNCTION("""COMPUTED_VALUE"""),1173.83)</f>
        <v>1173.83</v>
      </c>
      <c r="C3983" s="2">
        <f>IFERROR(__xludf.DUMMYFUNCTION("""COMPUTED_VALUE"""),1210.98)</f>
        <v>1210.98</v>
      </c>
      <c r="D3983" s="2">
        <f>IFERROR(__xludf.DUMMYFUNCTION("""COMPUTED_VALUE"""),1173.83)</f>
        <v>1173.83</v>
      </c>
      <c r="E3983" s="2">
        <f>IFERROR(__xludf.DUMMYFUNCTION("""COMPUTED_VALUE"""),1206.22)</f>
        <v>1206.22</v>
      </c>
      <c r="F3983" s="2">
        <f>IFERROR(__xludf.DUMMYFUNCTION("""COMPUTED_VALUE"""),7912437.0)</f>
        <v>7912437</v>
      </c>
    </row>
    <row r="3984">
      <c r="A3984" s="3">
        <f>IFERROR(__xludf.DUMMYFUNCTION("""COMPUTED_VALUE"""),43321.64583333333)</f>
        <v>43321.64583</v>
      </c>
      <c r="B3984" s="2">
        <f>IFERROR(__xludf.DUMMYFUNCTION("""COMPUTED_VALUE"""),1209.99)</f>
        <v>1209.99</v>
      </c>
      <c r="C3984" s="2">
        <f>IFERROR(__xludf.DUMMYFUNCTION("""COMPUTED_VALUE"""),1220.09)</f>
        <v>1220.09</v>
      </c>
      <c r="D3984" s="2">
        <f>IFERROR(__xludf.DUMMYFUNCTION("""COMPUTED_VALUE"""),1200.58)</f>
        <v>1200.58</v>
      </c>
      <c r="E3984" s="2">
        <f>IFERROR(__xludf.DUMMYFUNCTION("""COMPUTED_VALUE"""),1206.47)</f>
        <v>1206.47</v>
      </c>
      <c r="F3984" s="2">
        <f>IFERROR(__xludf.DUMMYFUNCTION("""COMPUTED_VALUE"""),6846928.0)</f>
        <v>6846928</v>
      </c>
    </row>
    <row r="3985">
      <c r="A3985" s="3">
        <f>IFERROR(__xludf.DUMMYFUNCTION("""COMPUTED_VALUE"""),43322.64583333333)</f>
        <v>43322.64583</v>
      </c>
      <c r="B3985" s="2">
        <f>IFERROR(__xludf.DUMMYFUNCTION("""COMPUTED_VALUE"""),1199.58)</f>
        <v>1199.58</v>
      </c>
      <c r="C3985" s="2">
        <f>IFERROR(__xludf.DUMMYFUNCTION("""COMPUTED_VALUE"""),1203.55)</f>
        <v>1203.55</v>
      </c>
      <c r="D3985" s="2">
        <f>IFERROR(__xludf.DUMMYFUNCTION("""COMPUTED_VALUE"""),1190.97)</f>
        <v>1190.97</v>
      </c>
      <c r="E3985" s="2">
        <f>IFERROR(__xludf.DUMMYFUNCTION("""COMPUTED_VALUE"""),1192.85)</f>
        <v>1192.85</v>
      </c>
      <c r="F3985" s="2">
        <f>IFERROR(__xludf.DUMMYFUNCTION("""COMPUTED_VALUE"""),3581210.0)</f>
        <v>3581210</v>
      </c>
    </row>
    <row r="3986">
      <c r="A3986" s="3">
        <f>IFERROR(__xludf.DUMMYFUNCTION("""COMPUTED_VALUE"""),43325.64583333333)</f>
        <v>43325.64583</v>
      </c>
      <c r="B3986" s="2">
        <f>IFERROR(__xludf.DUMMYFUNCTION("""COMPUTED_VALUE"""),1186.26)</f>
        <v>1186.26</v>
      </c>
      <c r="C3986" s="2">
        <f>IFERROR(__xludf.DUMMYFUNCTION("""COMPUTED_VALUE"""),1188.64)</f>
        <v>1188.64</v>
      </c>
      <c r="D3986" s="2">
        <f>IFERROR(__xludf.DUMMYFUNCTION("""COMPUTED_VALUE"""),1171.55)</f>
        <v>1171.55</v>
      </c>
      <c r="E3986" s="2">
        <f>IFERROR(__xludf.DUMMYFUNCTION("""COMPUTED_VALUE"""),1176.5)</f>
        <v>1176.5</v>
      </c>
      <c r="F3986" s="2">
        <f>IFERROR(__xludf.DUMMYFUNCTION("""COMPUTED_VALUE"""),4668159.0)</f>
        <v>4668159</v>
      </c>
    </row>
    <row r="3987">
      <c r="A3987" s="3">
        <f>IFERROR(__xludf.DUMMYFUNCTION("""COMPUTED_VALUE"""),43326.64583333333)</f>
        <v>43326.64583</v>
      </c>
      <c r="B3987" s="2">
        <f>IFERROR(__xludf.DUMMYFUNCTION("""COMPUTED_VALUE"""),1178.78)</f>
        <v>1178.78</v>
      </c>
      <c r="C3987" s="2">
        <f>IFERROR(__xludf.DUMMYFUNCTION("""COMPUTED_VALUE"""),1205.73)</f>
        <v>1205.73</v>
      </c>
      <c r="D3987" s="2">
        <f>IFERROR(__xludf.DUMMYFUNCTION("""COMPUTED_VALUE"""),1173.14)</f>
        <v>1173.14</v>
      </c>
      <c r="E3987" s="2">
        <f>IFERROR(__xludf.DUMMYFUNCTION("""COMPUTED_VALUE"""),1199.19)</f>
        <v>1199.19</v>
      </c>
      <c r="F3987" s="2">
        <f>IFERROR(__xludf.DUMMYFUNCTION("""COMPUTED_VALUE"""),5299536.0)</f>
        <v>5299536</v>
      </c>
    </row>
    <row r="3988">
      <c r="A3988" s="3">
        <f>IFERROR(__xludf.DUMMYFUNCTION("""COMPUTED_VALUE"""),43328.64583333333)</f>
        <v>43328.64583</v>
      </c>
      <c r="B3988" s="2">
        <f>IFERROR(__xludf.DUMMYFUNCTION("""COMPUTED_VALUE"""),1191.91)</f>
        <v>1191.91</v>
      </c>
      <c r="C3988" s="2">
        <f>IFERROR(__xludf.DUMMYFUNCTION("""COMPUTED_VALUE"""),1204.54)</f>
        <v>1204.54</v>
      </c>
      <c r="D3988" s="2">
        <f>IFERROR(__xludf.DUMMYFUNCTION("""COMPUTED_VALUE"""),1184.23)</f>
        <v>1184.23</v>
      </c>
      <c r="E3988" s="2">
        <f>IFERROR(__xludf.DUMMYFUNCTION("""COMPUTED_VALUE"""),1189.48)</f>
        <v>1189.48</v>
      </c>
      <c r="F3988" s="2">
        <f>IFERROR(__xludf.DUMMYFUNCTION("""COMPUTED_VALUE"""),5982490.0)</f>
        <v>5982490</v>
      </c>
    </row>
    <row r="3989">
      <c r="A3989" s="3">
        <f>IFERROR(__xludf.DUMMYFUNCTION("""COMPUTED_VALUE"""),43329.64583333333)</f>
        <v>43329.64583</v>
      </c>
      <c r="B3989" s="2">
        <f>IFERROR(__xludf.DUMMYFUNCTION("""COMPUTED_VALUE"""),1197.6)</f>
        <v>1197.6</v>
      </c>
      <c r="C3989" s="2">
        <f>IFERROR(__xludf.DUMMYFUNCTION("""COMPUTED_VALUE"""),1203.94)</f>
        <v>1203.94</v>
      </c>
      <c r="D3989" s="2">
        <f>IFERROR(__xludf.DUMMYFUNCTION("""COMPUTED_VALUE"""),1188.74)</f>
        <v>1188.74</v>
      </c>
      <c r="E3989" s="2">
        <f>IFERROR(__xludf.DUMMYFUNCTION("""COMPUTED_VALUE"""),1192.4)</f>
        <v>1192.4</v>
      </c>
      <c r="F3989" s="2">
        <f>IFERROR(__xludf.DUMMYFUNCTION("""COMPUTED_VALUE"""),3830992.0)</f>
        <v>3830992</v>
      </c>
    </row>
    <row r="3990">
      <c r="A3990" s="3">
        <f>IFERROR(__xludf.DUMMYFUNCTION("""COMPUTED_VALUE"""),43332.64583333333)</f>
        <v>43332.64583</v>
      </c>
      <c r="B3990" s="2">
        <f>IFERROR(__xludf.DUMMYFUNCTION("""COMPUTED_VALUE"""),1196.51)</f>
        <v>1196.51</v>
      </c>
      <c r="C3990" s="2">
        <f>IFERROR(__xludf.DUMMYFUNCTION("""COMPUTED_VALUE"""),1225.14)</f>
        <v>1225.14</v>
      </c>
      <c r="D3990" s="2">
        <f>IFERROR(__xludf.DUMMYFUNCTION("""COMPUTED_VALUE"""),1196.27)</f>
        <v>1196.27</v>
      </c>
      <c r="E3990" s="2">
        <f>IFERROR(__xludf.DUMMYFUNCTION("""COMPUTED_VALUE"""),1223.26)</f>
        <v>1223.26</v>
      </c>
      <c r="F3990" s="2">
        <f>IFERROR(__xludf.DUMMYFUNCTION("""COMPUTED_VALUE"""),7607036.0)</f>
        <v>7607036</v>
      </c>
    </row>
    <row r="3991">
      <c r="A3991" s="3">
        <f>IFERROR(__xludf.DUMMYFUNCTION("""COMPUTED_VALUE"""),43333.64583333333)</f>
        <v>43333.64583</v>
      </c>
      <c r="B3991" s="2">
        <f>IFERROR(__xludf.DUMMYFUNCTION("""COMPUTED_VALUE"""),1225.59)</f>
        <v>1225.59</v>
      </c>
      <c r="C3991" s="2">
        <f>IFERROR(__xludf.DUMMYFUNCTION("""COMPUTED_VALUE"""),1239.7)</f>
        <v>1239.7</v>
      </c>
      <c r="D3991" s="2">
        <f>IFERROR(__xludf.DUMMYFUNCTION("""COMPUTED_VALUE"""),1215.43)</f>
        <v>1215.43</v>
      </c>
      <c r="E3991" s="2">
        <f>IFERROR(__xludf.DUMMYFUNCTION("""COMPUTED_VALUE"""),1235.44)</f>
        <v>1235.44</v>
      </c>
      <c r="F3991" s="2">
        <f>IFERROR(__xludf.DUMMYFUNCTION("""COMPUTED_VALUE"""),7279641.0)</f>
        <v>7279641</v>
      </c>
    </row>
    <row r="3992">
      <c r="A3992" s="3">
        <f>IFERROR(__xludf.DUMMYFUNCTION("""COMPUTED_VALUE"""),43335.64583333333)</f>
        <v>43335.64583</v>
      </c>
      <c r="B3992" s="2">
        <f>IFERROR(__xludf.DUMMYFUNCTION("""COMPUTED_VALUE"""),1234.55)</f>
        <v>1234.55</v>
      </c>
      <c r="C3992" s="2">
        <f>IFERROR(__xludf.DUMMYFUNCTION("""COMPUTED_VALUE"""),1261.99)</f>
        <v>1261.99</v>
      </c>
      <c r="D3992" s="2">
        <f>IFERROR(__xludf.DUMMYFUNCTION("""COMPUTED_VALUE"""),1226.73)</f>
        <v>1226.73</v>
      </c>
      <c r="E3992" s="2">
        <f>IFERROR(__xludf.DUMMYFUNCTION("""COMPUTED_VALUE"""),1257.48)</f>
        <v>1257.48</v>
      </c>
      <c r="F3992" s="2">
        <f>IFERROR(__xludf.DUMMYFUNCTION("""COMPUTED_VALUE"""),7968123.0)</f>
        <v>7968123</v>
      </c>
    </row>
    <row r="3993">
      <c r="A3993" s="3">
        <f>IFERROR(__xludf.DUMMYFUNCTION("""COMPUTED_VALUE"""),43336.64583333333)</f>
        <v>43336.64583</v>
      </c>
      <c r="B3993" s="2">
        <f>IFERROR(__xludf.DUMMYFUNCTION("""COMPUTED_VALUE"""),1253.32)</f>
        <v>1253.32</v>
      </c>
      <c r="C3993" s="2">
        <f>IFERROR(__xludf.DUMMYFUNCTION("""COMPUTED_VALUE"""),1267.88)</f>
        <v>1267.88</v>
      </c>
      <c r="D3993" s="2">
        <f>IFERROR(__xludf.DUMMYFUNCTION("""COMPUTED_VALUE"""),1248.17)</f>
        <v>1248.17</v>
      </c>
      <c r="E3993" s="2">
        <f>IFERROR(__xludf.DUMMYFUNCTION("""COMPUTED_VALUE"""),1265.46)</f>
        <v>1265.46</v>
      </c>
      <c r="F3993" s="2">
        <f>IFERROR(__xludf.DUMMYFUNCTION("""COMPUTED_VALUE"""),6652005.0)</f>
        <v>6652005</v>
      </c>
    </row>
    <row r="3994">
      <c r="A3994" s="3">
        <f>IFERROR(__xludf.DUMMYFUNCTION("""COMPUTED_VALUE"""),43339.64583333333)</f>
        <v>43339.64583</v>
      </c>
      <c r="B3994" s="2">
        <f>IFERROR(__xludf.DUMMYFUNCTION("""COMPUTED_VALUE"""),1267.34)</f>
        <v>1267.34</v>
      </c>
      <c r="C3994" s="2">
        <f>IFERROR(__xludf.DUMMYFUNCTION("""COMPUTED_VALUE"""),1283.64)</f>
        <v>1283.64</v>
      </c>
      <c r="D3994" s="2">
        <f>IFERROR(__xludf.DUMMYFUNCTION("""COMPUTED_VALUE"""),1266.7)</f>
        <v>1266.7</v>
      </c>
      <c r="E3994" s="2">
        <f>IFERROR(__xludf.DUMMYFUNCTION("""COMPUTED_VALUE"""),1279.33)</f>
        <v>1279.33</v>
      </c>
      <c r="F3994" s="2">
        <f>IFERROR(__xludf.DUMMYFUNCTION("""COMPUTED_VALUE"""),5572177.0)</f>
        <v>5572177</v>
      </c>
    </row>
    <row r="3995">
      <c r="A3995" s="3">
        <f>IFERROR(__xludf.DUMMYFUNCTION("""COMPUTED_VALUE"""),43340.64583333333)</f>
        <v>43340.64583</v>
      </c>
      <c r="B3995" s="2">
        <f>IFERROR(__xludf.DUMMYFUNCTION("""COMPUTED_VALUE"""),1283.78)</f>
        <v>1283.78</v>
      </c>
      <c r="C3995" s="2">
        <f>IFERROR(__xludf.DUMMYFUNCTION("""COMPUTED_VALUE"""),1310.53)</f>
        <v>1310.53</v>
      </c>
      <c r="D3995" s="2">
        <f>IFERROR(__xludf.DUMMYFUNCTION("""COMPUTED_VALUE"""),1282.79)</f>
        <v>1282.79</v>
      </c>
      <c r="E3995" s="2">
        <f>IFERROR(__xludf.DUMMYFUNCTION("""COMPUTED_VALUE"""),1306.57)</f>
        <v>1306.57</v>
      </c>
      <c r="F3995" s="2">
        <f>IFERROR(__xludf.DUMMYFUNCTION("""COMPUTED_VALUE"""),8694751.0)</f>
        <v>8694751</v>
      </c>
    </row>
    <row r="3996">
      <c r="A3996" s="3">
        <f>IFERROR(__xludf.DUMMYFUNCTION("""COMPUTED_VALUE"""),43341.64583333333)</f>
        <v>43341.64583</v>
      </c>
      <c r="B3996" s="2">
        <f>IFERROR(__xludf.DUMMYFUNCTION("""COMPUTED_VALUE"""),1303.89)</f>
        <v>1303.89</v>
      </c>
      <c r="C3996" s="2">
        <f>IFERROR(__xludf.DUMMYFUNCTION("""COMPUTED_VALUE"""),1316.47)</f>
        <v>1316.47</v>
      </c>
      <c r="D3996" s="2">
        <f>IFERROR(__xludf.DUMMYFUNCTION("""COMPUTED_VALUE"""),1278.04)</f>
        <v>1278.04</v>
      </c>
      <c r="E3996" s="2">
        <f>IFERROR(__xludf.DUMMYFUNCTION("""COMPUTED_VALUE"""),1282.0)</f>
        <v>1282</v>
      </c>
      <c r="F3996" s="2">
        <f>IFERROR(__xludf.DUMMYFUNCTION("""COMPUTED_VALUE"""),1.1077203E7)</f>
        <v>11077203</v>
      </c>
    </row>
    <row r="3997">
      <c r="A3997" s="3">
        <f>IFERROR(__xludf.DUMMYFUNCTION("""COMPUTED_VALUE"""),43342.64583333333)</f>
        <v>43342.64583</v>
      </c>
      <c r="B3997" s="2">
        <f>IFERROR(__xludf.DUMMYFUNCTION("""COMPUTED_VALUE"""),1281.41)</f>
        <v>1281.41</v>
      </c>
      <c r="C3997" s="2">
        <f>IFERROR(__xludf.DUMMYFUNCTION("""COMPUTED_VALUE"""),1284.92)</f>
        <v>1284.92</v>
      </c>
      <c r="D3997" s="2">
        <f>IFERROR(__xludf.DUMMYFUNCTION("""COMPUTED_VALUE"""),1258.47)</f>
        <v>1258.47</v>
      </c>
      <c r="E3997" s="2">
        <f>IFERROR(__xludf.DUMMYFUNCTION("""COMPUTED_VALUE"""),1262.44)</f>
        <v>1262.44</v>
      </c>
      <c r="F3997" s="2">
        <f>IFERROR(__xludf.DUMMYFUNCTION("""COMPUTED_VALUE"""),9850042.0)</f>
        <v>9850042</v>
      </c>
    </row>
    <row r="3998">
      <c r="A3998" s="3">
        <f>IFERROR(__xludf.DUMMYFUNCTION("""COMPUTED_VALUE"""),43343.64583333333)</f>
        <v>43343.64583</v>
      </c>
      <c r="B3998" s="2">
        <f>IFERROR(__xludf.DUMMYFUNCTION("""COMPUTED_VALUE"""),1258.03)</f>
        <v>1258.03</v>
      </c>
      <c r="C3998" s="2">
        <f>IFERROR(__xludf.DUMMYFUNCTION("""COMPUTED_VALUE"""),1258.03)</f>
        <v>1258.03</v>
      </c>
      <c r="D3998" s="2">
        <f>IFERROR(__xludf.DUMMYFUNCTION("""COMPUTED_VALUE"""),1224.94)</f>
        <v>1224.94</v>
      </c>
      <c r="E3998" s="2">
        <f>IFERROR(__xludf.DUMMYFUNCTION("""COMPUTED_VALUE"""),1229.95)</f>
        <v>1229.95</v>
      </c>
      <c r="F3998" s="2">
        <f>IFERROR(__xludf.DUMMYFUNCTION("""COMPUTED_VALUE"""),1.5305857E7)</f>
        <v>15305857</v>
      </c>
    </row>
    <row r="3999">
      <c r="A3999" s="3">
        <f>IFERROR(__xludf.DUMMYFUNCTION("""COMPUTED_VALUE"""),43346.64583333333)</f>
        <v>43346.64583</v>
      </c>
      <c r="B3999" s="2">
        <f>IFERROR(__xludf.DUMMYFUNCTION("""COMPUTED_VALUE"""),1233.26)</f>
        <v>1233.26</v>
      </c>
      <c r="C3999" s="2">
        <f>IFERROR(__xludf.DUMMYFUNCTION("""COMPUTED_VALUE"""),1246.04)</f>
        <v>1246.04</v>
      </c>
      <c r="D3999" s="2">
        <f>IFERROR(__xludf.DUMMYFUNCTION("""COMPUTED_VALUE"""),1214.49)</f>
        <v>1214.49</v>
      </c>
      <c r="E3999" s="2">
        <f>IFERROR(__xludf.DUMMYFUNCTION("""COMPUTED_VALUE"""),1217.56)</f>
        <v>1217.56</v>
      </c>
      <c r="F3999" s="2">
        <f>IFERROR(__xludf.DUMMYFUNCTION("""COMPUTED_VALUE"""),1.2200022E7)</f>
        <v>12200022</v>
      </c>
    </row>
    <row r="4000">
      <c r="A4000" s="3">
        <f>IFERROR(__xludf.DUMMYFUNCTION("""COMPUTED_VALUE"""),43347.64583333333)</f>
        <v>43347.64583</v>
      </c>
      <c r="B4000" s="2">
        <f>IFERROR(__xludf.DUMMYFUNCTION("""COMPUTED_VALUE"""),1223.51)</f>
        <v>1223.51</v>
      </c>
      <c r="C4000" s="2">
        <f>IFERROR(__xludf.DUMMYFUNCTION("""COMPUTED_VALUE"""),1242.97)</f>
        <v>1242.97</v>
      </c>
      <c r="D4000" s="2">
        <f>IFERROR(__xludf.DUMMYFUNCTION("""COMPUTED_VALUE"""),1217.42)</f>
        <v>1217.42</v>
      </c>
      <c r="E4000" s="2">
        <f>IFERROR(__xludf.DUMMYFUNCTION("""COMPUTED_VALUE"""),1230.24)</f>
        <v>1230.24</v>
      </c>
      <c r="F4000" s="2">
        <f>IFERROR(__xludf.DUMMYFUNCTION("""COMPUTED_VALUE"""),8838770.0)</f>
        <v>8838770</v>
      </c>
    </row>
    <row r="4001">
      <c r="A4001" s="3">
        <f>IFERROR(__xludf.DUMMYFUNCTION("""COMPUTED_VALUE"""),43348.64583333333)</f>
        <v>43348.64583</v>
      </c>
      <c r="B4001" s="2">
        <f>IFERROR(__xludf.DUMMYFUNCTION("""COMPUTED_VALUE"""),1230.79)</f>
        <v>1230.79</v>
      </c>
      <c r="C4001" s="2">
        <f>IFERROR(__xludf.DUMMYFUNCTION("""COMPUTED_VALUE"""),1240.84)</f>
        <v>1240.84</v>
      </c>
      <c r="D4001" s="2">
        <f>IFERROR(__xludf.DUMMYFUNCTION("""COMPUTED_VALUE"""),1197.11)</f>
        <v>1197.11</v>
      </c>
      <c r="E4001" s="2">
        <f>IFERROR(__xludf.DUMMYFUNCTION("""COMPUTED_VALUE"""),1215.43)</f>
        <v>1215.43</v>
      </c>
      <c r="F4001" s="2">
        <f>IFERROR(__xludf.DUMMYFUNCTION("""COMPUTED_VALUE"""),1.0324923E7)</f>
        <v>10324923</v>
      </c>
    </row>
    <row r="4002">
      <c r="A4002" s="3">
        <f>IFERROR(__xludf.DUMMYFUNCTION("""COMPUTED_VALUE"""),43349.64583333333)</f>
        <v>43349.64583</v>
      </c>
      <c r="B4002" s="2">
        <f>IFERROR(__xludf.DUMMYFUNCTION("""COMPUTED_VALUE"""),1218.55)</f>
        <v>1218.55</v>
      </c>
      <c r="C4002" s="2">
        <f>IFERROR(__xludf.DUMMYFUNCTION("""COMPUTED_VALUE"""),1253.77)</f>
        <v>1253.77</v>
      </c>
      <c r="D4002" s="2">
        <f>IFERROR(__xludf.DUMMYFUNCTION("""COMPUTED_VALUE"""),1213.8)</f>
        <v>1213.8</v>
      </c>
      <c r="E4002" s="2">
        <f>IFERROR(__xludf.DUMMYFUNCTION("""COMPUTED_VALUE"""),1249.51)</f>
        <v>1249.51</v>
      </c>
      <c r="F4002" s="2">
        <f>IFERROR(__xludf.DUMMYFUNCTION("""COMPUTED_VALUE"""),1.1195043E7)</f>
        <v>11195043</v>
      </c>
    </row>
    <row r="4003">
      <c r="A4003" s="3">
        <f>IFERROR(__xludf.DUMMYFUNCTION("""COMPUTED_VALUE"""),43350.64583333333)</f>
        <v>43350.64583</v>
      </c>
      <c r="B4003" s="2">
        <f>IFERROR(__xludf.DUMMYFUNCTION("""COMPUTED_VALUE"""),1252.98)</f>
        <v>1252.98</v>
      </c>
      <c r="C4003" s="2">
        <f>IFERROR(__xludf.DUMMYFUNCTION("""COMPUTED_VALUE"""),1269.27)</f>
        <v>1269.27</v>
      </c>
      <c r="D4003" s="2">
        <f>IFERROR(__xludf.DUMMYFUNCTION("""COMPUTED_VALUE"""),1242.67)</f>
        <v>1242.67</v>
      </c>
      <c r="E4003" s="2">
        <f>IFERROR(__xludf.DUMMYFUNCTION("""COMPUTED_VALUE"""),1266.55)</f>
        <v>1266.55</v>
      </c>
      <c r="F4003" s="2">
        <f>IFERROR(__xludf.DUMMYFUNCTION("""COMPUTED_VALUE"""),1.0692787E7)</f>
        <v>10692787</v>
      </c>
    </row>
    <row r="4004">
      <c r="A4004" s="3">
        <f>IFERROR(__xludf.DUMMYFUNCTION("""COMPUTED_VALUE"""),43353.64583333333)</f>
        <v>43353.64583</v>
      </c>
      <c r="B4004" s="2">
        <f>IFERROR(__xludf.DUMMYFUNCTION("""COMPUTED_VALUE"""),1262.98)</f>
        <v>1262.98</v>
      </c>
      <c r="C4004" s="2">
        <f>IFERROR(__xludf.DUMMYFUNCTION("""COMPUTED_VALUE"""),1264.96)</f>
        <v>1264.96</v>
      </c>
      <c r="D4004" s="2">
        <f>IFERROR(__xludf.DUMMYFUNCTION("""COMPUTED_VALUE"""),1238.32)</f>
        <v>1238.32</v>
      </c>
      <c r="E4004" s="2">
        <f>IFERROR(__xludf.DUMMYFUNCTION("""COMPUTED_VALUE"""),1244.01)</f>
        <v>1244.01</v>
      </c>
      <c r="F4004" s="2">
        <f>IFERROR(__xludf.DUMMYFUNCTION("""COMPUTED_VALUE"""),7059008.0)</f>
        <v>7059008</v>
      </c>
    </row>
    <row r="4005">
      <c r="A4005" s="3">
        <f>IFERROR(__xludf.DUMMYFUNCTION("""COMPUTED_VALUE"""),43354.64583333333)</f>
        <v>43354.64583</v>
      </c>
      <c r="B4005" s="2">
        <f>IFERROR(__xludf.DUMMYFUNCTION("""COMPUTED_VALUE"""),1247.13)</f>
        <v>1247.13</v>
      </c>
      <c r="C4005" s="2">
        <f>IFERROR(__xludf.DUMMYFUNCTION("""COMPUTED_VALUE"""),1256.44)</f>
        <v>1256.44</v>
      </c>
      <c r="D4005" s="2">
        <f>IFERROR(__xludf.DUMMYFUNCTION("""COMPUTED_VALUE"""),1222.62)</f>
        <v>1222.62</v>
      </c>
      <c r="E4005" s="2">
        <f>IFERROR(__xludf.DUMMYFUNCTION("""COMPUTED_VALUE"""),1226.03)</f>
        <v>1226.03</v>
      </c>
      <c r="F4005" s="2">
        <f>IFERROR(__xludf.DUMMYFUNCTION("""COMPUTED_VALUE"""),1.0874768E7)</f>
        <v>10874768</v>
      </c>
    </row>
    <row r="4006">
      <c r="A4006" s="3">
        <f>IFERROR(__xludf.DUMMYFUNCTION("""COMPUTED_VALUE"""),43355.64583333333)</f>
        <v>43355.64583</v>
      </c>
      <c r="B4006" s="2">
        <f>IFERROR(__xludf.DUMMYFUNCTION("""COMPUTED_VALUE"""),1240.0)</f>
        <v>1240</v>
      </c>
      <c r="C4006" s="2">
        <f>IFERROR(__xludf.DUMMYFUNCTION("""COMPUTED_VALUE"""),1246.84)</f>
        <v>1246.84</v>
      </c>
      <c r="D4006" s="2">
        <f>IFERROR(__xludf.DUMMYFUNCTION("""COMPUTED_VALUE"""),1217.27)</f>
        <v>1217.27</v>
      </c>
      <c r="E4006" s="2">
        <f>IFERROR(__xludf.DUMMYFUNCTION("""COMPUTED_VALUE"""),1240.69)</f>
        <v>1240.69</v>
      </c>
      <c r="F4006" s="2">
        <f>IFERROR(__xludf.DUMMYFUNCTION("""COMPUTED_VALUE"""),8065553.0)</f>
        <v>8065553</v>
      </c>
    </row>
    <row r="4007">
      <c r="A4007" s="3">
        <f>IFERROR(__xludf.DUMMYFUNCTION("""COMPUTED_VALUE"""),43357.64583333333)</f>
        <v>43357.64583</v>
      </c>
      <c r="B4007" s="2">
        <f>IFERROR(__xludf.DUMMYFUNCTION("""COMPUTED_VALUE"""),1247.53)</f>
        <v>1247.53</v>
      </c>
      <c r="C4007" s="2">
        <f>IFERROR(__xludf.DUMMYFUNCTION("""COMPUTED_VALUE"""),1263.58)</f>
        <v>1263.58</v>
      </c>
      <c r="D4007" s="2">
        <f>IFERROR(__xludf.DUMMYFUNCTION("""COMPUTED_VALUE"""),1235.89)</f>
        <v>1235.89</v>
      </c>
      <c r="E4007" s="2">
        <f>IFERROR(__xludf.DUMMYFUNCTION("""COMPUTED_VALUE"""),1241.34)</f>
        <v>1241.34</v>
      </c>
      <c r="F4007" s="2">
        <f>IFERROR(__xludf.DUMMYFUNCTION("""COMPUTED_VALUE"""),7878583.0)</f>
        <v>7878583</v>
      </c>
    </row>
    <row r="4008">
      <c r="A4008" s="3">
        <f>IFERROR(__xludf.DUMMYFUNCTION("""COMPUTED_VALUE"""),43360.64583333333)</f>
        <v>43360.64583</v>
      </c>
      <c r="B4008" s="2">
        <f>IFERROR(__xludf.DUMMYFUNCTION("""COMPUTED_VALUE"""),1238.96)</f>
        <v>1238.96</v>
      </c>
      <c r="C4008" s="2">
        <f>IFERROR(__xludf.DUMMYFUNCTION("""COMPUTED_VALUE"""),1238.96)</f>
        <v>1238.96</v>
      </c>
      <c r="D4008" s="2">
        <f>IFERROR(__xludf.DUMMYFUNCTION("""COMPUTED_VALUE"""),1210.08)</f>
        <v>1210.08</v>
      </c>
      <c r="E4008" s="2">
        <f>IFERROR(__xludf.DUMMYFUNCTION("""COMPUTED_VALUE"""),1214.34)</f>
        <v>1214.34</v>
      </c>
      <c r="F4008" s="2">
        <f>IFERROR(__xludf.DUMMYFUNCTION("""COMPUTED_VALUE"""),6754086.0)</f>
        <v>6754086</v>
      </c>
    </row>
    <row r="4009">
      <c r="A4009" s="3">
        <f>IFERROR(__xludf.DUMMYFUNCTION("""COMPUTED_VALUE"""),43361.64583333333)</f>
        <v>43361.64583</v>
      </c>
      <c r="B4009" s="2">
        <f>IFERROR(__xludf.DUMMYFUNCTION("""COMPUTED_VALUE"""),1214.44)</f>
        <v>1214.44</v>
      </c>
      <c r="C4009" s="2">
        <f>IFERROR(__xludf.DUMMYFUNCTION("""COMPUTED_VALUE"""),1227.72)</f>
        <v>1227.72</v>
      </c>
      <c r="D4009" s="2">
        <f>IFERROR(__xludf.DUMMYFUNCTION("""COMPUTED_VALUE"""),1202.9)</f>
        <v>1202.9</v>
      </c>
      <c r="E4009" s="2">
        <f>IFERROR(__xludf.DUMMYFUNCTION("""COMPUTED_VALUE"""),1205.68)</f>
        <v>1205.68</v>
      </c>
      <c r="F4009" s="2">
        <f>IFERROR(__xludf.DUMMYFUNCTION("""COMPUTED_VALUE"""),7616412.0)</f>
        <v>7616412</v>
      </c>
    </row>
    <row r="4010">
      <c r="A4010" s="3">
        <f>IFERROR(__xludf.DUMMYFUNCTION("""COMPUTED_VALUE"""),43362.64583333333)</f>
        <v>43362.64583</v>
      </c>
      <c r="B4010" s="2">
        <f>IFERROR(__xludf.DUMMYFUNCTION("""COMPUTED_VALUE"""),1212.46)</f>
        <v>1212.46</v>
      </c>
      <c r="C4010" s="2">
        <f>IFERROR(__xludf.DUMMYFUNCTION("""COMPUTED_VALUE"""),1212.46)</f>
        <v>1212.46</v>
      </c>
      <c r="D4010" s="2">
        <f>IFERROR(__xludf.DUMMYFUNCTION("""COMPUTED_VALUE"""),1189.68)</f>
        <v>1189.68</v>
      </c>
      <c r="E4010" s="2">
        <f>IFERROR(__xludf.DUMMYFUNCTION("""COMPUTED_VALUE"""),1199.34)</f>
        <v>1199.34</v>
      </c>
      <c r="F4010" s="2">
        <f>IFERROR(__xludf.DUMMYFUNCTION("""COMPUTED_VALUE"""),1.1265786E7)</f>
        <v>11265786</v>
      </c>
    </row>
    <row r="4011">
      <c r="A4011" s="3">
        <f>IFERROR(__xludf.DUMMYFUNCTION("""COMPUTED_VALUE"""),43364.64583333333)</f>
        <v>43364.64583</v>
      </c>
      <c r="B4011" s="2">
        <f>IFERROR(__xludf.DUMMYFUNCTION("""COMPUTED_VALUE"""),1207.51)</f>
        <v>1207.51</v>
      </c>
      <c r="C4011" s="2">
        <f>IFERROR(__xludf.DUMMYFUNCTION("""COMPUTED_VALUE"""),1225.74)</f>
        <v>1225.74</v>
      </c>
      <c r="D4011" s="2">
        <f>IFERROR(__xludf.DUMMYFUNCTION("""COMPUTED_VALUE"""),1172.34)</f>
        <v>1172.34</v>
      </c>
      <c r="E4011" s="2">
        <f>IFERROR(__xludf.DUMMYFUNCTION("""COMPUTED_VALUE"""),1206.02)</f>
        <v>1206.02</v>
      </c>
      <c r="F4011" s="2">
        <f>IFERROR(__xludf.DUMMYFUNCTION("""COMPUTED_VALUE"""),1.9070172E7)</f>
        <v>19070172</v>
      </c>
    </row>
    <row r="4012">
      <c r="A4012" s="3">
        <f>IFERROR(__xludf.DUMMYFUNCTION("""COMPUTED_VALUE"""),43367.64583333333)</f>
        <v>43367.64583</v>
      </c>
      <c r="B4012" s="2">
        <f>IFERROR(__xludf.DUMMYFUNCTION("""COMPUTED_VALUE"""),1203.0)</f>
        <v>1203</v>
      </c>
      <c r="C4012" s="2">
        <f>IFERROR(__xludf.DUMMYFUNCTION("""COMPUTED_VALUE"""),1228.21)</f>
        <v>1228.21</v>
      </c>
      <c r="D4012" s="2">
        <f>IFERROR(__xludf.DUMMYFUNCTION("""COMPUTED_VALUE"""),1193.15)</f>
        <v>1193.15</v>
      </c>
      <c r="E4012" s="2">
        <f>IFERROR(__xludf.DUMMYFUNCTION("""COMPUTED_VALUE"""),1220.44)</f>
        <v>1220.44</v>
      </c>
      <c r="F4012" s="2">
        <f>IFERROR(__xludf.DUMMYFUNCTION("""COMPUTED_VALUE"""),1.0102589E7)</f>
        <v>10102589</v>
      </c>
    </row>
    <row r="4013">
      <c r="A4013" s="3">
        <f>IFERROR(__xludf.DUMMYFUNCTION("""COMPUTED_VALUE"""),43368.64583333333)</f>
        <v>43368.64583</v>
      </c>
      <c r="B4013" s="2">
        <f>IFERROR(__xludf.DUMMYFUNCTION("""COMPUTED_VALUE"""),1223.85)</f>
        <v>1223.85</v>
      </c>
      <c r="C4013" s="2">
        <f>IFERROR(__xludf.DUMMYFUNCTION("""COMPUTED_VALUE"""),1233.26)</f>
        <v>1233.26</v>
      </c>
      <c r="D4013" s="2">
        <f>IFERROR(__xludf.DUMMYFUNCTION("""COMPUTED_VALUE"""),1183.74)</f>
        <v>1183.74</v>
      </c>
      <c r="E4013" s="2">
        <f>IFERROR(__xludf.DUMMYFUNCTION("""COMPUTED_VALUE"""),1219.0)</f>
        <v>1219</v>
      </c>
      <c r="F4013" s="2">
        <f>IFERROR(__xludf.DUMMYFUNCTION("""COMPUTED_VALUE"""),9715020.0)</f>
        <v>9715020</v>
      </c>
    </row>
    <row r="4014">
      <c r="A4014" s="3">
        <f>IFERROR(__xludf.DUMMYFUNCTION("""COMPUTED_VALUE"""),43369.64583333333)</f>
        <v>43369.64583</v>
      </c>
      <c r="B4014" s="2">
        <f>IFERROR(__xludf.DUMMYFUNCTION("""COMPUTED_VALUE"""),1227.32)</f>
        <v>1227.32</v>
      </c>
      <c r="C4014" s="2">
        <f>IFERROR(__xludf.DUMMYFUNCTION("""COMPUTED_VALUE"""),1242.13)</f>
        <v>1242.13</v>
      </c>
      <c r="D4014" s="2">
        <f>IFERROR(__xludf.DUMMYFUNCTION("""COMPUTED_VALUE"""),1215.58)</f>
        <v>1215.58</v>
      </c>
      <c r="E4014" s="2">
        <f>IFERROR(__xludf.DUMMYFUNCTION("""COMPUTED_VALUE"""),1239.6)</f>
        <v>1239.6</v>
      </c>
      <c r="F4014" s="2">
        <f>IFERROR(__xludf.DUMMYFUNCTION("""COMPUTED_VALUE"""),6396828.0)</f>
        <v>6396828</v>
      </c>
    </row>
    <row r="4015">
      <c r="A4015" s="3">
        <f>IFERROR(__xludf.DUMMYFUNCTION("""COMPUTED_VALUE"""),43370.64583333333)</f>
        <v>43370.64583</v>
      </c>
      <c r="B4015" s="2">
        <f>IFERROR(__xludf.DUMMYFUNCTION("""COMPUTED_VALUE"""),1243.17)</f>
        <v>1243.17</v>
      </c>
      <c r="C4015" s="2">
        <f>IFERROR(__xludf.DUMMYFUNCTION("""COMPUTED_VALUE"""),1251.09)</f>
        <v>1251.09</v>
      </c>
      <c r="D4015" s="2">
        <f>IFERROR(__xludf.DUMMYFUNCTION("""COMPUTED_VALUE"""),1225.84)</f>
        <v>1225.84</v>
      </c>
      <c r="E4015" s="2">
        <f>IFERROR(__xludf.DUMMYFUNCTION("""COMPUTED_VALUE"""),1241.93)</f>
        <v>1241.93</v>
      </c>
      <c r="F4015" s="2">
        <f>IFERROR(__xludf.DUMMYFUNCTION("""COMPUTED_VALUE"""),1.0808749E7)</f>
        <v>10808749</v>
      </c>
    </row>
    <row r="4016">
      <c r="A4016" s="3">
        <f>IFERROR(__xludf.DUMMYFUNCTION("""COMPUTED_VALUE"""),43371.64583333333)</f>
        <v>43371.64583</v>
      </c>
      <c r="B4016" s="2">
        <f>IFERROR(__xludf.DUMMYFUNCTION("""COMPUTED_VALUE"""),1248.02)</f>
        <v>1248.02</v>
      </c>
      <c r="C4016" s="2">
        <f>IFERROR(__xludf.DUMMYFUNCTION("""COMPUTED_VALUE"""),1259.71)</f>
        <v>1259.71</v>
      </c>
      <c r="D4016" s="2">
        <f>IFERROR(__xludf.DUMMYFUNCTION("""COMPUTED_VALUE"""),1235.54)</f>
        <v>1235.54</v>
      </c>
      <c r="E4016" s="2">
        <f>IFERROR(__xludf.DUMMYFUNCTION("""COMPUTED_VALUE"""),1246.09)</f>
        <v>1246.09</v>
      </c>
      <c r="F4016" s="2">
        <f>IFERROR(__xludf.DUMMYFUNCTION("""COMPUTED_VALUE"""),1.1073023E7)</f>
        <v>11073023</v>
      </c>
    </row>
    <row r="4017">
      <c r="A4017" s="3">
        <f>IFERROR(__xludf.DUMMYFUNCTION("""COMPUTED_VALUE"""),43374.64583333333)</f>
        <v>43374.64583</v>
      </c>
      <c r="B4017" s="2">
        <f>IFERROR(__xludf.DUMMYFUNCTION("""COMPUTED_VALUE"""),1245.84)</f>
        <v>1245.84</v>
      </c>
      <c r="C4017" s="2">
        <f>IFERROR(__xludf.DUMMYFUNCTION("""COMPUTED_VALUE"""),1245.84)</f>
        <v>1245.84</v>
      </c>
      <c r="D4017" s="2">
        <f>IFERROR(__xludf.DUMMYFUNCTION("""COMPUTED_VALUE"""),1192.65)</f>
        <v>1192.65</v>
      </c>
      <c r="E4017" s="2">
        <f>IFERROR(__xludf.DUMMYFUNCTION("""COMPUTED_VALUE"""),1220.09)</f>
        <v>1220.09</v>
      </c>
      <c r="F4017" s="2">
        <f>IFERROR(__xludf.DUMMYFUNCTION("""COMPUTED_VALUE"""),7332693.0)</f>
        <v>7332693</v>
      </c>
    </row>
    <row r="4018">
      <c r="A4018" s="3">
        <f>IFERROR(__xludf.DUMMYFUNCTION("""COMPUTED_VALUE"""),43376.64583333333)</f>
        <v>43376.64583</v>
      </c>
      <c r="B4018" s="2">
        <f>IFERROR(__xludf.DUMMYFUNCTION("""COMPUTED_VALUE"""),1217.91)</f>
        <v>1217.91</v>
      </c>
      <c r="C4018" s="2">
        <f>IFERROR(__xludf.DUMMYFUNCTION("""COMPUTED_VALUE"""),1227.92)</f>
        <v>1227.92</v>
      </c>
      <c r="D4018" s="2">
        <f>IFERROR(__xludf.DUMMYFUNCTION("""COMPUTED_VALUE"""),1188.74)</f>
        <v>1188.74</v>
      </c>
      <c r="E4018" s="2">
        <f>IFERROR(__xludf.DUMMYFUNCTION("""COMPUTED_VALUE"""),1193.74)</f>
        <v>1193.74</v>
      </c>
      <c r="F4018" s="2">
        <f>IFERROR(__xludf.DUMMYFUNCTION("""COMPUTED_VALUE"""),7376575.0)</f>
        <v>7376575</v>
      </c>
    </row>
    <row r="4019">
      <c r="A4019" s="3">
        <f>IFERROR(__xludf.DUMMYFUNCTION("""COMPUTED_VALUE"""),43377.64583333333)</f>
        <v>43377.64583</v>
      </c>
      <c r="B4019" s="2">
        <f>IFERROR(__xludf.DUMMYFUNCTION("""COMPUTED_VALUE"""),1178.29)</f>
        <v>1178.29</v>
      </c>
      <c r="C4019" s="2">
        <f>IFERROR(__xludf.DUMMYFUNCTION("""COMPUTED_VALUE"""),1179.18)</f>
        <v>1179.18</v>
      </c>
      <c r="D4019" s="2">
        <f>IFERROR(__xludf.DUMMYFUNCTION("""COMPUTED_VALUE"""),1095.57)</f>
        <v>1095.57</v>
      </c>
      <c r="E4019" s="2">
        <f>IFERROR(__xludf.DUMMYFUNCTION("""COMPUTED_VALUE"""),1111.67)</f>
        <v>1111.67</v>
      </c>
      <c r="F4019" s="2">
        <f>IFERROR(__xludf.DUMMYFUNCTION("""COMPUTED_VALUE"""),2.3212443E7)</f>
        <v>23212443</v>
      </c>
    </row>
    <row r="4020">
      <c r="A4020" s="3">
        <f>IFERROR(__xludf.DUMMYFUNCTION("""COMPUTED_VALUE"""),43378.64583333333)</f>
        <v>43378.64583</v>
      </c>
      <c r="B4020" s="2">
        <f>IFERROR(__xludf.DUMMYFUNCTION("""COMPUTED_VALUE"""),1089.14)</f>
        <v>1089.14</v>
      </c>
      <c r="C4020" s="2">
        <f>IFERROR(__xludf.DUMMYFUNCTION("""COMPUTED_VALUE"""),1104.79)</f>
        <v>1104.79</v>
      </c>
      <c r="D4020" s="2">
        <f>IFERROR(__xludf.DUMMYFUNCTION("""COMPUTED_VALUE"""),1028.36)</f>
        <v>1028.36</v>
      </c>
      <c r="E4020" s="2">
        <f>IFERROR(__xludf.DUMMYFUNCTION("""COMPUTED_VALUE"""),1038.96)</f>
        <v>1038.96</v>
      </c>
      <c r="F4020" s="2">
        <f>IFERROR(__xludf.DUMMYFUNCTION("""COMPUTED_VALUE"""),2.194319E7)</f>
        <v>21943190</v>
      </c>
    </row>
    <row r="4021">
      <c r="A4021" s="3">
        <f>IFERROR(__xludf.DUMMYFUNCTION("""COMPUTED_VALUE"""),43381.64583333333)</f>
        <v>43381.64583</v>
      </c>
      <c r="B4021" s="2">
        <f>IFERROR(__xludf.DUMMYFUNCTION("""COMPUTED_VALUE"""),1040.1)</f>
        <v>1040.1</v>
      </c>
      <c r="C4021" s="2">
        <f>IFERROR(__xludf.DUMMYFUNCTION("""COMPUTED_VALUE"""),1106.47)</f>
        <v>1106.47</v>
      </c>
      <c r="D4021" s="2">
        <f>IFERROR(__xludf.DUMMYFUNCTION("""COMPUTED_VALUE"""),1015.88)</f>
        <v>1015.88</v>
      </c>
      <c r="E4021" s="2">
        <f>IFERROR(__xludf.DUMMYFUNCTION("""COMPUTED_VALUE"""),1098.94)</f>
        <v>1098.94</v>
      </c>
      <c r="F4021" s="2">
        <f>IFERROR(__xludf.DUMMYFUNCTION("""COMPUTED_VALUE"""),2.4679428E7)</f>
        <v>24679428</v>
      </c>
    </row>
    <row r="4022">
      <c r="A4022" s="3">
        <f>IFERROR(__xludf.DUMMYFUNCTION("""COMPUTED_VALUE"""),43382.64583333333)</f>
        <v>43382.64583</v>
      </c>
      <c r="B4022" s="2">
        <f>IFERROR(__xludf.DUMMYFUNCTION("""COMPUTED_VALUE"""),1111.08)</f>
        <v>1111.08</v>
      </c>
      <c r="C4022" s="2">
        <f>IFERROR(__xludf.DUMMYFUNCTION("""COMPUTED_VALUE"""),1112.71)</f>
        <v>1112.71</v>
      </c>
      <c r="D4022" s="2">
        <f>IFERROR(__xludf.DUMMYFUNCTION("""COMPUTED_VALUE"""),1071.01)</f>
        <v>1071.01</v>
      </c>
      <c r="E4022" s="2">
        <f>IFERROR(__xludf.DUMMYFUNCTION("""COMPUTED_VALUE"""),1079.77)</f>
        <v>1079.77</v>
      </c>
      <c r="F4022" s="2">
        <f>IFERROR(__xludf.DUMMYFUNCTION("""COMPUTED_VALUE"""),1.0991196E7)</f>
        <v>10991196</v>
      </c>
    </row>
    <row r="4023">
      <c r="A4023" s="3">
        <f>IFERROR(__xludf.DUMMYFUNCTION("""COMPUTED_VALUE"""),43383.64583333333)</f>
        <v>43383.64583</v>
      </c>
      <c r="B4023" s="2">
        <f>IFERROR(__xludf.DUMMYFUNCTION("""COMPUTED_VALUE"""),1083.59)</f>
        <v>1083.59</v>
      </c>
      <c r="C4023" s="2">
        <f>IFERROR(__xludf.DUMMYFUNCTION("""COMPUTED_VALUE"""),1105.33)</f>
        <v>1105.33</v>
      </c>
      <c r="D4023" s="2">
        <f>IFERROR(__xludf.DUMMYFUNCTION("""COMPUTED_VALUE"""),1074.08)</f>
        <v>1074.08</v>
      </c>
      <c r="E4023" s="2">
        <f>IFERROR(__xludf.DUMMYFUNCTION("""COMPUTED_VALUE"""),1091.71)</f>
        <v>1091.71</v>
      </c>
      <c r="F4023" s="2">
        <f>IFERROR(__xludf.DUMMYFUNCTION("""COMPUTED_VALUE"""),9502176.0)</f>
        <v>9502176</v>
      </c>
    </row>
    <row r="4024">
      <c r="A4024" s="3">
        <f>IFERROR(__xludf.DUMMYFUNCTION("""COMPUTED_VALUE"""),43384.64583333333)</f>
        <v>43384.64583</v>
      </c>
      <c r="B4024" s="2">
        <f>IFERROR(__xludf.DUMMYFUNCTION("""COMPUTED_VALUE"""),1053.97)</f>
        <v>1053.97</v>
      </c>
      <c r="C4024" s="2">
        <f>IFERROR(__xludf.DUMMYFUNCTION("""COMPUTED_VALUE"""),1104.24)</f>
        <v>1104.24</v>
      </c>
      <c r="D4024" s="2">
        <f>IFERROR(__xludf.DUMMYFUNCTION("""COMPUTED_VALUE"""),1033.17)</f>
        <v>1033.17</v>
      </c>
      <c r="E4024" s="2">
        <f>IFERROR(__xludf.DUMMYFUNCTION("""COMPUTED_VALUE"""),1077.55)</f>
        <v>1077.55</v>
      </c>
      <c r="F4024" s="2">
        <f>IFERROR(__xludf.DUMMYFUNCTION("""COMPUTED_VALUE"""),1.3224172E7)</f>
        <v>13224172</v>
      </c>
    </row>
    <row r="4025">
      <c r="A4025" s="3">
        <f>IFERROR(__xludf.DUMMYFUNCTION("""COMPUTED_VALUE"""),43385.64583333333)</f>
        <v>43385.64583</v>
      </c>
      <c r="B4025" s="2">
        <f>IFERROR(__xludf.DUMMYFUNCTION("""COMPUTED_VALUE"""),1094.53)</f>
        <v>1094.53</v>
      </c>
      <c r="C4025" s="2">
        <f>IFERROR(__xludf.DUMMYFUNCTION("""COMPUTED_VALUE"""),1118.36)</f>
        <v>1118.36</v>
      </c>
      <c r="D4025" s="2">
        <f>IFERROR(__xludf.DUMMYFUNCTION("""COMPUTED_VALUE"""),1091.51)</f>
        <v>1091.51</v>
      </c>
      <c r="E4025" s="2">
        <f>IFERROR(__xludf.DUMMYFUNCTION("""COMPUTED_VALUE"""),1115.93)</f>
        <v>1115.93</v>
      </c>
      <c r="F4025" s="2">
        <f>IFERROR(__xludf.DUMMYFUNCTION("""COMPUTED_VALUE"""),9058536.0)</f>
        <v>9058536</v>
      </c>
    </row>
    <row r="4026">
      <c r="A4026" s="3">
        <f>IFERROR(__xludf.DUMMYFUNCTION("""COMPUTED_VALUE"""),43388.64583333333)</f>
        <v>43388.64583</v>
      </c>
      <c r="B4026" s="2">
        <f>IFERROR(__xludf.DUMMYFUNCTION("""COMPUTED_VALUE"""),1119.25)</f>
        <v>1119.25</v>
      </c>
      <c r="C4026" s="2">
        <f>IFERROR(__xludf.DUMMYFUNCTION("""COMPUTED_VALUE"""),1136.09)</f>
        <v>1136.09</v>
      </c>
      <c r="D4026" s="2">
        <f>IFERROR(__xludf.DUMMYFUNCTION("""COMPUTED_VALUE"""),1107.61)</f>
        <v>1107.61</v>
      </c>
      <c r="E4026" s="2">
        <f>IFERROR(__xludf.DUMMYFUNCTION("""COMPUTED_VALUE"""),1129.01)</f>
        <v>1129.01</v>
      </c>
      <c r="F4026" s="2">
        <f>IFERROR(__xludf.DUMMYFUNCTION("""COMPUTED_VALUE"""),8871776.0)</f>
        <v>8871776</v>
      </c>
    </row>
    <row r="4027">
      <c r="A4027" s="3">
        <f>IFERROR(__xludf.DUMMYFUNCTION("""COMPUTED_VALUE"""),43389.64583333333)</f>
        <v>43389.64583</v>
      </c>
      <c r="B4027" s="2">
        <f>IFERROR(__xludf.DUMMYFUNCTION("""COMPUTED_VALUE"""),1135.2)</f>
        <v>1135.2</v>
      </c>
      <c r="C4027" s="2">
        <f>IFERROR(__xludf.DUMMYFUNCTION("""COMPUTED_VALUE"""),1156.4)</f>
        <v>1156.4</v>
      </c>
      <c r="D4027" s="2">
        <f>IFERROR(__xludf.DUMMYFUNCTION("""COMPUTED_VALUE"""),1129.25)</f>
        <v>1129.25</v>
      </c>
      <c r="E4027" s="2">
        <f>IFERROR(__xludf.DUMMYFUNCTION("""COMPUTED_VALUE"""),1152.83)</f>
        <v>1152.83</v>
      </c>
      <c r="F4027" s="2">
        <f>IFERROR(__xludf.DUMMYFUNCTION("""COMPUTED_VALUE"""),7478601.0)</f>
        <v>7478601</v>
      </c>
    </row>
    <row r="4028">
      <c r="A4028" s="3">
        <f>IFERROR(__xludf.DUMMYFUNCTION("""COMPUTED_VALUE"""),43390.64583333333)</f>
        <v>43390.64583</v>
      </c>
      <c r="B4028" s="2">
        <f>IFERROR(__xludf.DUMMYFUNCTION("""COMPUTED_VALUE"""),1167.89)</f>
        <v>1167.89</v>
      </c>
      <c r="C4028" s="2">
        <f>IFERROR(__xludf.DUMMYFUNCTION("""COMPUTED_VALUE"""),1168.23)</f>
        <v>1168.23</v>
      </c>
      <c r="D4028" s="2">
        <f>IFERROR(__xludf.DUMMYFUNCTION("""COMPUTED_VALUE"""),1129.25)</f>
        <v>1129.25</v>
      </c>
      <c r="E4028" s="2">
        <f>IFERROR(__xludf.DUMMYFUNCTION("""COMPUTED_VALUE"""),1140.45)</f>
        <v>1140.45</v>
      </c>
      <c r="F4028" s="2">
        <f>IFERROR(__xludf.DUMMYFUNCTION("""COMPUTED_VALUE"""),1.2785646E7)</f>
        <v>12785646</v>
      </c>
    </row>
    <row r="4029">
      <c r="A4029" s="3">
        <f>IFERROR(__xludf.DUMMYFUNCTION("""COMPUTED_VALUE"""),43392.64583333333)</f>
        <v>43392.64583</v>
      </c>
      <c r="B4029" s="2">
        <f>IFERROR(__xludf.DUMMYFUNCTION("""COMPUTED_VALUE"""),1089.63)</f>
        <v>1089.63</v>
      </c>
      <c r="C4029" s="2">
        <f>IFERROR(__xludf.DUMMYFUNCTION("""COMPUTED_VALUE"""),1100.53)</f>
        <v>1100.53</v>
      </c>
      <c r="D4029" s="2">
        <f>IFERROR(__xludf.DUMMYFUNCTION("""COMPUTED_VALUE"""),1060.16)</f>
        <v>1060.16</v>
      </c>
      <c r="E4029" s="2">
        <f>IFERROR(__xludf.DUMMYFUNCTION("""COMPUTED_VALUE"""),1090.92)</f>
        <v>1090.92</v>
      </c>
      <c r="F4029" s="2">
        <f>IFERROR(__xludf.DUMMYFUNCTION("""COMPUTED_VALUE"""),2.5421229E7)</f>
        <v>25421229</v>
      </c>
    </row>
    <row r="4030">
      <c r="A4030" s="3">
        <f>IFERROR(__xludf.DUMMYFUNCTION("""COMPUTED_VALUE"""),43395.64583333333)</f>
        <v>43395.64583</v>
      </c>
      <c r="B4030" s="2">
        <f>IFERROR(__xludf.DUMMYFUNCTION("""COMPUTED_VALUE"""),1099.54)</f>
        <v>1099.54</v>
      </c>
      <c r="C4030" s="2">
        <f>IFERROR(__xludf.DUMMYFUNCTION("""COMPUTED_VALUE"""),1104.29)</f>
        <v>1104.29</v>
      </c>
      <c r="D4030" s="2">
        <f>IFERROR(__xludf.DUMMYFUNCTION("""COMPUTED_VALUE"""),1047.38)</f>
        <v>1047.38</v>
      </c>
      <c r="E4030" s="2">
        <f>IFERROR(__xludf.DUMMYFUNCTION("""COMPUTED_VALUE"""),1052.63)</f>
        <v>1052.63</v>
      </c>
      <c r="F4030" s="2">
        <f>IFERROR(__xludf.DUMMYFUNCTION("""COMPUTED_VALUE"""),1.3165542E7)</f>
        <v>13165542</v>
      </c>
    </row>
    <row r="4031">
      <c r="A4031" s="3">
        <f>IFERROR(__xludf.DUMMYFUNCTION("""COMPUTED_VALUE"""),43396.64583333333)</f>
        <v>43396.64583</v>
      </c>
      <c r="B4031" s="2">
        <f>IFERROR(__xludf.DUMMYFUNCTION("""COMPUTED_VALUE"""),1042.83)</f>
        <v>1042.83</v>
      </c>
      <c r="C4031" s="2">
        <f>IFERROR(__xludf.DUMMYFUNCTION("""COMPUTED_VALUE"""),1054.66)</f>
        <v>1054.66</v>
      </c>
      <c r="D4031" s="2">
        <f>IFERROR(__xludf.DUMMYFUNCTION("""COMPUTED_VALUE"""),1033.81)</f>
        <v>1033.81</v>
      </c>
      <c r="E4031" s="2">
        <f>IFERROR(__xludf.DUMMYFUNCTION("""COMPUTED_VALUE"""),1044.76)</f>
        <v>1044.76</v>
      </c>
      <c r="F4031" s="2">
        <f>IFERROR(__xludf.DUMMYFUNCTION("""COMPUTED_VALUE"""),1.057373E7)</f>
        <v>10573730</v>
      </c>
    </row>
    <row r="4032">
      <c r="A4032" s="3">
        <f>IFERROR(__xludf.DUMMYFUNCTION("""COMPUTED_VALUE"""),43397.64583333333)</f>
        <v>43397.64583</v>
      </c>
      <c r="B4032" s="2">
        <f>IFERROR(__xludf.DUMMYFUNCTION("""COMPUTED_VALUE"""),1064.77)</f>
        <v>1064.77</v>
      </c>
      <c r="C4032" s="2">
        <f>IFERROR(__xludf.DUMMYFUNCTION("""COMPUTED_VALUE"""),1065.81)</f>
        <v>1065.81</v>
      </c>
      <c r="D4032" s="2">
        <f>IFERROR(__xludf.DUMMYFUNCTION("""COMPUTED_VALUE"""),1021.68)</f>
        <v>1021.68</v>
      </c>
      <c r="E4032" s="2">
        <f>IFERROR(__xludf.DUMMYFUNCTION("""COMPUTED_VALUE"""),1035.89)</f>
        <v>1035.89</v>
      </c>
      <c r="F4032" s="2">
        <f>IFERROR(__xludf.DUMMYFUNCTION("""COMPUTED_VALUE"""),1.3655337E7)</f>
        <v>13655337</v>
      </c>
    </row>
    <row r="4033">
      <c r="A4033" s="3">
        <f>IFERROR(__xludf.DUMMYFUNCTION("""COMPUTED_VALUE"""),43398.64583333333)</f>
        <v>43398.64583</v>
      </c>
      <c r="B4033" s="2">
        <f>IFERROR(__xludf.DUMMYFUNCTION("""COMPUTED_VALUE"""),1026.23)</f>
        <v>1026.23</v>
      </c>
      <c r="C4033" s="2">
        <f>IFERROR(__xludf.DUMMYFUNCTION("""COMPUTED_VALUE"""),1030.84)</f>
        <v>1030.84</v>
      </c>
      <c r="D4033" s="2">
        <f>IFERROR(__xludf.DUMMYFUNCTION("""COMPUTED_VALUE"""),1006.82)</f>
        <v>1006.82</v>
      </c>
      <c r="E4033" s="2">
        <f>IFERROR(__xludf.DUMMYFUNCTION("""COMPUTED_VALUE"""),1021.08)</f>
        <v>1021.08</v>
      </c>
      <c r="F4033" s="2">
        <f>IFERROR(__xludf.DUMMYFUNCTION("""COMPUTED_VALUE"""),1.4096237E7)</f>
        <v>14096237</v>
      </c>
    </row>
    <row r="4034">
      <c r="A4034" s="3">
        <f>IFERROR(__xludf.DUMMYFUNCTION("""COMPUTED_VALUE"""),43399.64583333333)</f>
        <v>43399.64583</v>
      </c>
      <c r="B4034" s="2">
        <f>IFERROR(__xludf.DUMMYFUNCTION("""COMPUTED_VALUE"""),1023.16)</f>
        <v>1023.16</v>
      </c>
      <c r="C4034" s="2">
        <f>IFERROR(__xludf.DUMMYFUNCTION("""COMPUTED_VALUE"""),1047.04)</f>
        <v>1047.04</v>
      </c>
      <c r="D4034" s="2">
        <f>IFERROR(__xludf.DUMMYFUNCTION("""COMPUTED_VALUE"""),1012.37)</f>
        <v>1012.37</v>
      </c>
      <c r="E4034" s="2">
        <f>IFERROR(__xludf.DUMMYFUNCTION("""COMPUTED_VALUE"""),1035.05)</f>
        <v>1035.05</v>
      </c>
      <c r="F4034" s="2">
        <f>IFERROR(__xludf.DUMMYFUNCTION("""COMPUTED_VALUE"""),9182613.0)</f>
        <v>9182613</v>
      </c>
    </row>
    <row r="4035">
      <c r="A4035" s="3">
        <f>IFERROR(__xludf.DUMMYFUNCTION("""COMPUTED_VALUE"""),43402.64583333333)</f>
        <v>43402.64583</v>
      </c>
      <c r="B4035" s="2">
        <f>IFERROR(__xludf.DUMMYFUNCTION("""COMPUTED_VALUE"""),1036.14)</f>
        <v>1036.14</v>
      </c>
      <c r="C4035" s="2">
        <f>IFERROR(__xludf.DUMMYFUNCTION("""COMPUTED_VALUE"""),1083.54)</f>
        <v>1083.54</v>
      </c>
      <c r="D4035" s="2">
        <f>IFERROR(__xludf.DUMMYFUNCTION("""COMPUTED_VALUE"""),1036.14)</f>
        <v>1036.14</v>
      </c>
      <c r="E4035" s="2">
        <f>IFERROR(__xludf.DUMMYFUNCTION("""COMPUTED_VALUE"""),1077.55)</f>
        <v>1077.55</v>
      </c>
      <c r="F4035" s="2">
        <f>IFERROR(__xludf.DUMMYFUNCTION("""COMPUTED_VALUE"""),7671807.0)</f>
        <v>7671807</v>
      </c>
    </row>
    <row r="4036">
      <c r="A4036" s="3">
        <f>IFERROR(__xludf.DUMMYFUNCTION("""COMPUTED_VALUE"""),43403.64583333333)</f>
        <v>43403.64583</v>
      </c>
      <c r="B4036" s="2">
        <f>IFERROR(__xludf.DUMMYFUNCTION("""COMPUTED_VALUE"""),1075.27)</f>
        <v>1075.27</v>
      </c>
      <c r="C4036" s="2">
        <f>IFERROR(__xludf.DUMMYFUNCTION("""COMPUTED_VALUE"""),1075.27)</f>
        <v>1075.27</v>
      </c>
      <c r="D4036" s="2">
        <f>IFERROR(__xludf.DUMMYFUNCTION("""COMPUTED_VALUE"""),1042.18)</f>
        <v>1042.18</v>
      </c>
      <c r="E4036" s="2">
        <f>IFERROR(__xludf.DUMMYFUNCTION("""COMPUTED_VALUE"""),1047.04)</f>
        <v>1047.04</v>
      </c>
      <c r="F4036" s="2">
        <f>IFERROR(__xludf.DUMMYFUNCTION("""COMPUTED_VALUE"""),8806701.0)</f>
        <v>8806701</v>
      </c>
    </row>
    <row r="4037">
      <c r="A4037" s="3">
        <f>IFERROR(__xludf.DUMMYFUNCTION("""COMPUTED_VALUE"""),43404.64583333333)</f>
        <v>43404.64583</v>
      </c>
      <c r="B4037" s="2">
        <f>IFERROR(__xludf.DUMMYFUNCTION("""COMPUTED_VALUE"""),1049.02)</f>
        <v>1049.02</v>
      </c>
      <c r="C4037" s="2">
        <f>IFERROR(__xludf.DUMMYFUNCTION("""COMPUTED_VALUE"""),1055.8)</f>
        <v>1055.8</v>
      </c>
      <c r="D4037" s="2">
        <f>IFERROR(__xludf.DUMMYFUNCTION("""COMPUTED_VALUE"""),1037.13)</f>
        <v>1037.13</v>
      </c>
      <c r="E4037" s="2">
        <f>IFERROR(__xludf.DUMMYFUNCTION("""COMPUTED_VALUE"""),1051.25)</f>
        <v>1051.25</v>
      </c>
      <c r="F4037" s="2">
        <f>IFERROR(__xludf.DUMMYFUNCTION("""COMPUTED_VALUE"""),1.6457691E7)</f>
        <v>16457691</v>
      </c>
    </row>
    <row r="4038">
      <c r="A4038" s="3">
        <f>IFERROR(__xludf.DUMMYFUNCTION("""COMPUTED_VALUE"""),43405.64583333333)</f>
        <v>43405.64583</v>
      </c>
      <c r="B4038" s="2">
        <f>IFERROR(__xludf.DUMMYFUNCTION("""COMPUTED_VALUE"""),1057.83)</f>
        <v>1057.83</v>
      </c>
      <c r="C4038" s="2">
        <f>IFERROR(__xludf.DUMMYFUNCTION("""COMPUTED_VALUE"""),1057.83)</f>
        <v>1057.83</v>
      </c>
      <c r="D4038" s="2">
        <f>IFERROR(__xludf.DUMMYFUNCTION("""COMPUTED_VALUE"""),1040.1)</f>
        <v>1040.1</v>
      </c>
      <c r="E4038" s="2">
        <f>IFERROR(__xludf.DUMMYFUNCTION("""COMPUTED_VALUE"""),1046.29)</f>
        <v>1046.29</v>
      </c>
      <c r="F4038" s="2">
        <f>IFERROR(__xludf.DUMMYFUNCTION("""COMPUTED_VALUE"""),9396027.0)</f>
        <v>9396027</v>
      </c>
    </row>
    <row r="4039">
      <c r="A4039" s="3">
        <f>IFERROR(__xludf.DUMMYFUNCTION("""COMPUTED_VALUE"""),43406.64583333333)</f>
        <v>43406.64583</v>
      </c>
      <c r="B4039" s="2">
        <f>IFERROR(__xludf.DUMMYFUNCTION("""COMPUTED_VALUE"""),1056.94)</f>
        <v>1056.94</v>
      </c>
      <c r="C4039" s="2">
        <f>IFERROR(__xludf.DUMMYFUNCTION("""COMPUTED_VALUE"""),1070.81)</f>
        <v>1070.81</v>
      </c>
      <c r="D4039" s="2">
        <f>IFERROR(__xludf.DUMMYFUNCTION("""COMPUTED_VALUE"""),1053.13)</f>
        <v>1053.13</v>
      </c>
      <c r="E4039" s="2">
        <f>IFERROR(__xludf.DUMMYFUNCTION("""COMPUTED_VALUE"""),1064.77)</f>
        <v>1064.77</v>
      </c>
      <c r="F4039" s="2">
        <f>IFERROR(__xludf.DUMMYFUNCTION("""COMPUTED_VALUE"""),1.67962E7)</f>
        <v>16796200</v>
      </c>
    </row>
    <row r="4040">
      <c r="A4040" s="3">
        <f>IFERROR(__xludf.DUMMYFUNCTION("""COMPUTED_VALUE"""),43409.79166666667)</f>
        <v>43409.79167</v>
      </c>
      <c r="B4040" s="2">
        <f>IFERROR(__xludf.DUMMYFUNCTION("""COMPUTED_VALUE"""),1063.33)</f>
        <v>1063.33</v>
      </c>
      <c r="C4040" s="2">
        <f>IFERROR(__xludf.DUMMYFUNCTION("""COMPUTED_VALUE"""),1082.4)</f>
        <v>1082.4</v>
      </c>
      <c r="D4040" s="2">
        <f>IFERROR(__xludf.DUMMYFUNCTION("""COMPUTED_VALUE"""),1054.96)</f>
        <v>1054.96</v>
      </c>
      <c r="E4040" s="2">
        <f>IFERROR(__xludf.DUMMYFUNCTION("""COMPUTED_VALUE"""),1080.02)</f>
        <v>1080.02</v>
      </c>
      <c r="F4040" s="2">
        <f>IFERROR(__xludf.DUMMYFUNCTION("""COMPUTED_VALUE"""),7582518.0)</f>
        <v>7582518</v>
      </c>
    </row>
    <row r="4041">
      <c r="A4041" s="3">
        <f>IFERROR(__xludf.DUMMYFUNCTION("""COMPUTED_VALUE"""),43410.64583333333)</f>
        <v>43410.64583</v>
      </c>
      <c r="B4041" s="2">
        <f>IFERROR(__xludf.DUMMYFUNCTION("""COMPUTED_VALUE"""),1083.69)</f>
        <v>1083.69</v>
      </c>
      <c r="C4041" s="2">
        <f>IFERROR(__xludf.DUMMYFUNCTION("""COMPUTED_VALUE"""),1101.52)</f>
        <v>1101.52</v>
      </c>
      <c r="D4041" s="2">
        <f>IFERROR(__xludf.DUMMYFUNCTION("""COMPUTED_VALUE"""),1081.31)</f>
        <v>1081.31</v>
      </c>
      <c r="E4041" s="2">
        <f>IFERROR(__xludf.DUMMYFUNCTION("""COMPUTED_VALUE"""),1093.69)</f>
        <v>1093.69</v>
      </c>
      <c r="F4041" s="2">
        <f>IFERROR(__xludf.DUMMYFUNCTION("""COMPUTED_VALUE"""),8634266.0)</f>
        <v>8634266</v>
      </c>
    </row>
    <row r="4042">
      <c r="A4042" s="3">
        <f>IFERROR(__xludf.DUMMYFUNCTION("""COMPUTED_VALUE"""),43413.64583333333)</f>
        <v>43413.64583</v>
      </c>
      <c r="B4042" s="2">
        <f>IFERROR(__xludf.DUMMYFUNCTION("""COMPUTED_VALUE"""),1095.82)</f>
        <v>1095.82</v>
      </c>
      <c r="C4042" s="2">
        <f>IFERROR(__xludf.DUMMYFUNCTION("""COMPUTED_VALUE"""),1103.3)</f>
        <v>1103.3</v>
      </c>
      <c r="D4042" s="2">
        <f>IFERROR(__xludf.DUMMYFUNCTION("""COMPUTED_VALUE"""),1074.77)</f>
        <v>1074.77</v>
      </c>
      <c r="E4042" s="2">
        <f>IFERROR(__xludf.DUMMYFUNCTION("""COMPUTED_VALUE"""),1083.14)</f>
        <v>1083.14</v>
      </c>
      <c r="F4042" s="2">
        <f>IFERROR(__xludf.DUMMYFUNCTION("""COMPUTED_VALUE"""),1.0840462E7)</f>
        <v>10840462</v>
      </c>
    </row>
    <row r="4043">
      <c r="A4043" s="3">
        <f>IFERROR(__xludf.DUMMYFUNCTION("""COMPUTED_VALUE"""),43416.64583333333)</f>
        <v>43416.64583</v>
      </c>
      <c r="B4043" s="2">
        <f>IFERROR(__xludf.DUMMYFUNCTION("""COMPUTED_VALUE"""),1087.35)</f>
        <v>1087.35</v>
      </c>
      <c r="C4043" s="2">
        <f>IFERROR(__xludf.DUMMYFUNCTION("""COMPUTED_VALUE"""),1088.44)</f>
        <v>1088.44</v>
      </c>
      <c r="D4043" s="2">
        <f>IFERROR(__xludf.DUMMYFUNCTION("""COMPUTED_VALUE"""),1064.42)</f>
        <v>1064.42</v>
      </c>
      <c r="E4043" s="2">
        <f>IFERROR(__xludf.DUMMYFUNCTION("""COMPUTED_VALUE"""),1069.82)</f>
        <v>1069.82</v>
      </c>
      <c r="F4043" s="2">
        <f>IFERROR(__xludf.DUMMYFUNCTION("""COMPUTED_VALUE"""),5801720.0)</f>
        <v>5801720</v>
      </c>
    </row>
    <row r="4044">
      <c r="A4044" s="3">
        <f>IFERROR(__xludf.DUMMYFUNCTION("""COMPUTED_VALUE"""),43417.64583333333)</f>
        <v>43417.64583</v>
      </c>
      <c r="B4044" s="2">
        <f>IFERROR(__xludf.DUMMYFUNCTION("""COMPUTED_VALUE"""),1063.88)</f>
        <v>1063.88</v>
      </c>
      <c r="C4044" s="2">
        <f>IFERROR(__xludf.DUMMYFUNCTION("""COMPUTED_VALUE"""),1092.6)</f>
        <v>1092.6</v>
      </c>
      <c r="D4044" s="2">
        <f>IFERROR(__xludf.DUMMYFUNCTION("""COMPUTED_VALUE"""),1059.96)</f>
        <v>1059.96</v>
      </c>
      <c r="E4044" s="2">
        <f>IFERROR(__xludf.DUMMYFUNCTION("""COMPUTED_VALUE"""),1089.09)</f>
        <v>1089.09</v>
      </c>
      <c r="F4044" s="2">
        <f>IFERROR(__xludf.DUMMYFUNCTION("""COMPUTED_VALUE"""),6811598.0)</f>
        <v>6811598</v>
      </c>
    </row>
    <row r="4045">
      <c r="A4045" s="3">
        <f>IFERROR(__xludf.DUMMYFUNCTION("""COMPUTED_VALUE"""),43418.64583333333)</f>
        <v>43418.64583</v>
      </c>
      <c r="B4045" s="2">
        <f>IFERROR(__xludf.DUMMYFUNCTION("""COMPUTED_VALUE"""),1094.63)</f>
        <v>1094.63</v>
      </c>
      <c r="C4045" s="2">
        <f>IFERROR(__xludf.DUMMYFUNCTION("""COMPUTED_VALUE"""),1102.16)</f>
        <v>1102.16</v>
      </c>
      <c r="D4045" s="2">
        <f>IFERROR(__xludf.DUMMYFUNCTION("""COMPUTED_VALUE"""),1075.27)</f>
        <v>1075.27</v>
      </c>
      <c r="E4045" s="2">
        <f>IFERROR(__xludf.DUMMYFUNCTION("""COMPUTED_VALUE"""),1087.6)</f>
        <v>1087.6</v>
      </c>
      <c r="F4045" s="2">
        <f>IFERROR(__xludf.DUMMYFUNCTION("""COMPUTED_VALUE"""),7787530.0)</f>
        <v>7787530</v>
      </c>
    </row>
    <row r="4046">
      <c r="A4046" s="3">
        <f>IFERROR(__xludf.DUMMYFUNCTION("""COMPUTED_VALUE"""),43419.64583333333)</f>
        <v>43419.64583</v>
      </c>
      <c r="B4046" s="2">
        <f>IFERROR(__xludf.DUMMYFUNCTION("""COMPUTED_VALUE"""),1086.61)</f>
        <v>1086.61</v>
      </c>
      <c r="C4046" s="2">
        <f>IFERROR(__xludf.DUMMYFUNCTION("""COMPUTED_VALUE"""),1092.6)</f>
        <v>1092.6</v>
      </c>
      <c r="D4046" s="2">
        <f>IFERROR(__xludf.DUMMYFUNCTION("""COMPUTED_VALUE"""),1076.26)</f>
        <v>1076.26</v>
      </c>
      <c r="E4046" s="2">
        <f>IFERROR(__xludf.DUMMYFUNCTION("""COMPUTED_VALUE"""),1086.51)</f>
        <v>1086.51</v>
      </c>
      <c r="F4046" s="2">
        <f>IFERROR(__xludf.DUMMYFUNCTION("""COMPUTED_VALUE"""),6831740.0)</f>
        <v>6831740</v>
      </c>
    </row>
    <row r="4047">
      <c r="A4047" s="3">
        <f>IFERROR(__xludf.DUMMYFUNCTION("""COMPUTED_VALUE"""),43420.64583333333)</f>
        <v>43420.64583</v>
      </c>
      <c r="B4047" s="2">
        <f>IFERROR(__xludf.DUMMYFUNCTION("""COMPUTED_VALUE"""),1087.6)</f>
        <v>1087.6</v>
      </c>
      <c r="C4047" s="2">
        <f>IFERROR(__xludf.DUMMYFUNCTION("""COMPUTED_VALUE"""),1119.3)</f>
        <v>1119.3</v>
      </c>
      <c r="D4047" s="2">
        <f>IFERROR(__xludf.DUMMYFUNCTION("""COMPUTED_VALUE"""),1086.76)</f>
        <v>1086.76</v>
      </c>
      <c r="E4047" s="2">
        <f>IFERROR(__xludf.DUMMYFUNCTION("""COMPUTED_VALUE"""),1116.77)</f>
        <v>1116.77</v>
      </c>
      <c r="F4047" s="2">
        <f>IFERROR(__xludf.DUMMYFUNCTION("""COMPUTED_VALUE"""),1.1031889E7)</f>
        <v>11031889</v>
      </c>
    </row>
    <row r="4048">
      <c r="A4048" s="3">
        <f>IFERROR(__xludf.DUMMYFUNCTION("""COMPUTED_VALUE"""),43423.64583333333)</f>
        <v>43423.64583</v>
      </c>
      <c r="B4048" s="2">
        <f>IFERROR(__xludf.DUMMYFUNCTION("""COMPUTED_VALUE"""),1122.22)</f>
        <v>1122.22</v>
      </c>
      <c r="C4048" s="2">
        <f>IFERROR(__xludf.DUMMYFUNCTION("""COMPUTED_VALUE"""),1140.84)</f>
        <v>1140.84</v>
      </c>
      <c r="D4048" s="2">
        <f>IFERROR(__xludf.DUMMYFUNCTION("""COMPUTED_VALUE"""),1120.34)</f>
        <v>1120.34</v>
      </c>
      <c r="E4048" s="2">
        <f>IFERROR(__xludf.DUMMYFUNCTION("""COMPUTED_VALUE"""),1139.16)</f>
        <v>1139.16</v>
      </c>
      <c r="F4048" s="2">
        <f>IFERROR(__xludf.DUMMYFUNCTION("""COMPUTED_VALUE"""),7308981.0)</f>
        <v>7308981</v>
      </c>
    </row>
    <row r="4049">
      <c r="A4049" s="3">
        <f>IFERROR(__xludf.DUMMYFUNCTION("""COMPUTED_VALUE"""),43424.64583333333)</f>
        <v>43424.64583</v>
      </c>
      <c r="B4049" s="2">
        <f>IFERROR(__xludf.DUMMYFUNCTION("""COMPUTED_VALUE"""),1134.21)</f>
        <v>1134.21</v>
      </c>
      <c r="C4049" s="2">
        <f>IFERROR(__xludf.DUMMYFUNCTION("""COMPUTED_VALUE"""),1145.0)</f>
        <v>1145</v>
      </c>
      <c r="D4049" s="2">
        <f>IFERROR(__xludf.DUMMYFUNCTION("""COMPUTED_VALUE"""),1119.35)</f>
        <v>1119.35</v>
      </c>
      <c r="E4049" s="2">
        <f>IFERROR(__xludf.DUMMYFUNCTION("""COMPUTED_VALUE"""),1126.68)</f>
        <v>1126.68</v>
      </c>
      <c r="F4049" s="2">
        <f>IFERROR(__xludf.DUMMYFUNCTION("""COMPUTED_VALUE"""),5719901.0)</f>
        <v>5719901</v>
      </c>
    </row>
    <row r="4050">
      <c r="A4050" s="3">
        <f>IFERROR(__xludf.DUMMYFUNCTION("""COMPUTED_VALUE"""),43425.64583333333)</f>
        <v>43425.64583</v>
      </c>
      <c r="B4050" s="2">
        <f>IFERROR(__xludf.DUMMYFUNCTION("""COMPUTED_VALUE"""),1126.78)</f>
        <v>1126.78</v>
      </c>
      <c r="C4050" s="2">
        <f>IFERROR(__xludf.DUMMYFUNCTION("""COMPUTED_VALUE"""),1134.7)</f>
        <v>1134.7</v>
      </c>
      <c r="D4050" s="2">
        <f>IFERROR(__xludf.DUMMYFUNCTION("""COMPUTED_VALUE"""),1096.61)</f>
        <v>1096.61</v>
      </c>
      <c r="E4050" s="2">
        <f>IFERROR(__xludf.DUMMYFUNCTION("""COMPUTED_VALUE"""),1102.41)</f>
        <v>1102.41</v>
      </c>
      <c r="F4050" s="2">
        <f>IFERROR(__xludf.DUMMYFUNCTION("""COMPUTED_VALUE"""),7507812.0)</f>
        <v>7507812</v>
      </c>
    </row>
    <row r="4051">
      <c r="A4051" s="3">
        <f>IFERROR(__xludf.DUMMYFUNCTION("""COMPUTED_VALUE"""),43426.64583333333)</f>
        <v>43426.64583</v>
      </c>
      <c r="B4051" s="2">
        <f>IFERROR(__xludf.DUMMYFUNCTION("""COMPUTED_VALUE"""),1103.99)</f>
        <v>1103.99</v>
      </c>
      <c r="C4051" s="2">
        <f>IFERROR(__xludf.DUMMYFUNCTION("""COMPUTED_VALUE"""),1114.74)</f>
        <v>1114.74</v>
      </c>
      <c r="D4051" s="2">
        <f>IFERROR(__xludf.DUMMYFUNCTION("""COMPUTED_VALUE"""),1089.73)</f>
        <v>1089.73</v>
      </c>
      <c r="E4051" s="2">
        <f>IFERROR(__xludf.DUMMYFUNCTION("""COMPUTED_VALUE"""),1092.45)</f>
        <v>1092.45</v>
      </c>
      <c r="F4051" s="2">
        <f>IFERROR(__xludf.DUMMYFUNCTION("""COMPUTED_VALUE"""),5792568.0)</f>
        <v>5792568</v>
      </c>
    </row>
    <row r="4052">
      <c r="A4052" s="3">
        <f>IFERROR(__xludf.DUMMYFUNCTION("""COMPUTED_VALUE"""),43430.64583333333)</f>
        <v>43430.64583</v>
      </c>
      <c r="B4052" s="2">
        <f>IFERROR(__xludf.DUMMYFUNCTION("""COMPUTED_VALUE"""),1098.55)</f>
        <v>1098.55</v>
      </c>
      <c r="C4052" s="2">
        <f>IFERROR(__xludf.DUMMYFUNCTION("""COMPUTED_VALUE"""),1106.97)</f>
        <v>1106.97</v>
      </c>
      <c r="D4052" s="2">
        <f>IFERROR(__xludf.DUMMYFUNCTION("""COMPUTED_VALUE"""),1087.06)</f>
        <v>1087.06</v>
      </c>
      <c r="E4052" s="2">
        <f>IFERROR(__xludf.DUMMYFUNCTION("""COMPUTED_VALUE"""),1099.29)</f>
        <v>1099.29</v>
      </c>
      <c r="F4052" s="2">
        <f>IFERROR(__xludf.DUMMYFUNCTION("""COMPUTED_VALUE"""),6386556.0)</f>
        <v>6386556</v>
      </c>
    </row>
    <row r="4053">
      <c r="A4053" s="3">
        <f>IFERROR(__xludf.DUMMYFUNCTION("""COMPUTED_VALUE"""),43431.64583333333)</f>
        <v>43431.64583</v>
      </c>
      <c r="B4053" s="2">
        <f>IFERROR(__xludf.DUMMYFUNCTION("""COMPUTED_VALUE"""),1097.46)</f>
        <v>1097.46</v>
      </c>
      <c r="C4053" s="2">
        <f>IFERROR(__xludf.DUMMYFUNCTION("""COMPUTED_VALUE"""),1119.35)</f>
        <v>1119.35</v>
      </c>
      <c r="D4053" s="2">
        <f>IFERROR(__xludf.DUMMYFUNCTION("""COMPUTED_VALUE"""),1095.03)</f>
        <v>1095.03</v>
      </c>
      <c r="E4053" s="2">
        <f>IFERROR(__xludf.DUMMYFUNCTION("""COMPUTED_VALUE"""),1117.57)</f>
        <v>1117.57</v>
      </c>
      <c r="F4053" s="2">
        <f>IFERROR(__xludf.DUMMYFUNCTION("""COMPUTED_VALUE"""),6810228.0)</f>
        <v>6810228</v>
      </c>
    </row>
    <row r="4054">
      <c r="A4054" s="3">
        <f>IFERROR(__xludf.DUMMYFUNCTION("""COMPUTED_VALUE"""),43432.64583333333)</f>
        <v>43432.64583</v>
      </c>
      <c r="B4054" s="2">
        <f>IFERROR(__xludf.DUMMYFUNCTION("""COMPUTED_VALUE"""),1121.78)</f>
        <v>1121.78</v>
      </c>
      <c r="C4054" s="2">
        <f>IFERROR(__xludf.DUMMYFUNCTION("""COMPUTED_VALUE"""),1146.84)</f>
        <v>1146.84</v>
      </c>
      <c r="D4054" s="2">
        <f>IFERROR(__xludf.DUMMYFUNCTION("""COMPUTED_VALUE"""),1115.68)</f>
        <v>1115.68</v>
      </c>
      <c r="E4054" s="2">
        <f>IFERROR(__xludf.DUMMYFUNCTION("""COMPUTED_VALUE"""),1141.78)</f>
        <v>1141.78</v>
      </c>
      <c r="F4054" s="2">
        <f>IFERROR(__xludf.DUMMYFUNCTION("""COMPUTED_VALUE"""),8003964.0)</f>
        <v>8003964</v>
      </c>
    </row>
    <row r="4055">
      <c r="A4055" s="3">
        <f>IFERROR(__xludf.DUMMYFUNCTION("""COMPUTED_VALUE"""),43433.64583333333)</f>
        <v>43433.64583</v>
      </c>
      <c r="B4055" s="2">
        <f>IFERROR(__xludf.DUMMYFUNCTION("""COMPUTED_VALUE"""),1150.06)</f>
        <v>1150.06</v>
      </c>
      <c r="C4055" s="2">
        <f>IFERROR(__xludf.DUMMYFUNCTION("""COMPUTED_VALUE"""),1168.78)</f>
        <v>1168.78</v>
      </c>
      <c r="D4055" s="2">
        <f>IFERROR(__xludf.DUMMYFUNCTION("""COMPUTED_VALUE"""),1149.07)</f>
        <v>1149.07</v>
      </c>
      <c r="E4055" s="2">
        <f>IFERROR(__xludf.DUMMYFUNCTION("""COMPUTED_VALUE"""),1157.49)</f>
        <v>1157.49</v>
      </c>
      <c r="F4055" s="2">
        <f>IFERROR(__xludf.DUMMYFUNCTION("""COMPUTED_VALUE"""),1.2636169E7)</f>
        <v>12636169</v>
      </c>
    </row>
    <row r="4056">
      <c r="A4056" s="3">
        <f>IFERROR(__xludf.DUMMYFUNCTION("""COMPUTED_VALUE"""),43434.64583333333)</f>
        <v>43434.64583</v>
      </c>
      <c r="B4056" s="2">
        <f>IFERROR(__xludf.DUMMYFUNCTION("""COMPUTED_VALUE"""),1161.25)</f>
        <v>1161.25</v>
      </c>
      <c r="C4056" s="2">
        <f>IFERROR(__xludf.DUMMYFUNCTION("""COMPUTED_VALUE"""),1174.82)</f>
        <v>1174.82</v>
      </c>
      <c r="D4056" s="2">
        <f>IFERROR(__xludf.DUMMYFUNCTION("""COMPUTED_VALUE"""),1151.34)</f>
        <v>1151.34</v>
      </c>
      <c r="E4056" s="2">
        <f>IFERROR(__xludf.DUMMYFUNCTION("""COMPUTED_VALUE"""),1156.54)</f>
        <v>1156.54</v>
      </c>
      <c r="F4056" s="2">
        <f>IFERROR(__xludf.DUMMYFUNCTION("""COMPUTED_VALUE"""),1.0717448E7)</f>
        <v>10717448</v>
      </c>
    </row>
    <row r="4057">
      <c r="A4057" s="3">
        <f>IFERROR(__xludf.DUMMYFUNCTION("""COMPUTED_VALUE"""),43437.64583333333)</f>
        <v>43437.64583</v>
      </c>
      <c r="B4057" s="2">
        <f>IFERROR(__xludf.DUMMYFUNCTION("""COMPUTED_VALUE"""),1163.83)</f>
        <v>1163.83</v>
      </c>
      <c r="C4057" s="2">
        <f>IFERROR(__xludf.DUMMYFUNCTION("""COMPUTED_VALUE"""),1163.83)</f>
        <v>1163.83</v>
      </c>
      <c r="D4057" s="2">
        <f>IFERROR(__xludf.DUMMYFUNCTION("""COMPUTED_VALUE"""),1137.67)</f>
        <v>1137.67</v>
      </c>
      <c r="E4057" s="2">
        <f>IFERROR(__xludf.DUMMYFUNCTION("""COMPUTED_VALUE"""),1145.55)</f>
        <v>1145.55</v>
      </c>
      <c r="F4057" s="2">
        <f>IFERROR(__xludf.DUMMYFUNCTION("""COMPUTED_VALUE"""),5569578.0)</f>
        <v>5569578</v>
      </c>
    </row>
    <row r="4058">
      <c r="A4058" s="3">
        <f>IFERROR(__xludf.DUMMYFUNCTION("""COMPUTED_VALUE"""),43438.64583333333)</f>
        <v>43438.64583</v>
      </c>
      <c r="B4058" s="2">
        <f>IFERROR(__xludf.DUMMYFUNCTION("""COMPUTED_VALUE"""),1147.08)</f>
        <v>1147.08</v>
      </c>
      <c r="C4058" s="2">
        <f>IFERROR(__xludf.DUMMYFUNCTION("""COMPUTED_VALUE"""),1147.08)</f>
        <v>1147.08</v>
      </c>
      <c r="D4058" s="2">
        <f>IFERROR(__xludf.DUMMYFUNCTION("""COMPUTED_VALUE"""),1131.43)</f>
        <v>1131.43</v>
      </c>
      <c r="E4058" s="2">
        <f>IFERROR(__xludf.DUMMYFUNCTION("""COMPUTED_VALUE"""),1141.44)</f>
        <v>1141.44</v>
      </c>
      <c r="F4058" s="2">
        <f>IFERROR(__xludf.DUMMYFUNCTION("""COMPUTED_VALUE"""),5192825.0)</f>
        <v>5192825</v>
      </c>
    </row>
    <row r="4059">
      <c r="A4059" s="3">
        <f>IFERROR(__xludf.DUMMYFUNCTION("""COMPUTED_VALUE"""),43439.64583333333)</f>
        <v>43439.64583</v>
      </c>
      <c r="B4059" s="2">
        <f>IFERROR(__xludf.DUMMYFUNCTION("""COMPUTED_VALUE"""),1132.97)</f>
        <v>1132.97</v>
      </c>
      <c r="C4059" s="2">
        <f>IFERROR(__xludf.DUMMYFUNCTION("""COMPUTED_VALUE"""),1147.88)</f>
        <v>1147.88</v>
      </c>
      <c r="D4059" s="2">
        <f>IFERROR(__xludf.DUMMYFUNCTION("""COMPUTED_VALUE"""),1128.56)</f>
        <v>1128.56</v>
      </c>
      <c r="E4059" s="2">
        <f>IFERROR(__xludf.DUMMYFUNCTION("""COMPUTED_VALUE"""),1144.26)</f>
        <v>1144.26</v>
      </c>
      <c r="F4059" s="2">
        <f>IFERROR(__xludf.DUMMYFUNCTION("""COMPUTED_VALUE"""),5819618.0)</f>
        <v>5819618</v>
      </c>
    </row>
    <row r="4060">
      <c r="A4060" s="3">
        <f>IFERROR(__xludf.DUMMYFUNCTION("""COMPUTED_VALUE"""),43440.64583333333)</f>
        <v>43440.64583</v>
      </c>
      <c r="B4060" s="2">
        <f>IFERROR(__xludf.DUMMYFUNCTION("""COMPUTED_VALUE"""),1138.17)</f>
        <v>1138.17</v>
      </c>
      <c r="C4060" s="2">
        <f>IFERROR(__xludf.DUMMYFUNCTION("""COMPUTED_VALUE"""),1138.17)</f>
        <v>1138.17</v>
      </c>
      <c r="D4060" s="2">
        <f>IFERROR(__xludf.DUMMYFUNCTION("""COMPUTED_VALUE"""),1107.71)</f>
        <v>1107.71</v>
      </c>
      <c r="E4060" s="2">
        <f>IFERROR(__xludf.DUMMYFUNCTION("""COMPUTED_VALUE"""),1113.06)</f>
        <v>1113.06</v>
      </c>
      <c r="F4060" s="2">
        <f>IFERROR(__xludf.DUMMYFUNCTION("""COMPUTED_VALUE"""),5866108.0)</f>
        <v>5866108</v>
      </c>
    </row>
    <row r="4061">
      <c r="A4061" s="3">
        <f>IFERROR(__xludf.DUMMYFUNCTION("""COMPUTED_VALUE"""),43441.64583333333)</f>
        <v>43441.64583</v>
      </c>
      <c r="B4061" s="2">
        <f>IFERROR(__xludf.DUMMYFUNCTION("""COMPUTED_VALUE"""),1118.8)</f>
        <v>1118.8</v>
      </c>
      <c r="C4061" s="2">
        <f>IFERROR(__xludf.DUMMYFUNCTION("""COMPUTED_VALUE"""),1126.23)</f>
        <v>1126.23</v>
      </c>
      <c r="D4061" s="2">
        <f>IFERROR(__xludf.DUMMYFUNCTION("""COMPUTED_VALUE"""),1097.9)</f>
        <v>1097.9</v>
      </c>
      <c r="E4061" s="2">
        <f>IFERROR(__xludf.DUMMYFUNCTION("""COMPUTED_VALUE"""),1123.11)</f>
        <v>1123.11</v>
      </c>
      <c r="F4061" s="2">
        <f>IFERROR(__xludf.DUMMYFUNCTION("""COMPUTED_VALUE"""),7214078.0)</f>
        <v>7214078</v>
      </c>
    </row>
    <row r="4062">
      <c r="A4062" s="3">
        <f>IFERROR(__xludf.DUMMYFUNCTION("""COMPUTED_VALUE"""),43444.64583333333)</f>
        <v>43444.64583</v>
      </c>
      <c r="B4062" s="2">
        <f>IFERROR(__xludf.DUMMYFUNCTION("""COMPUTED_VALUE"""),1099.54)</f>
        <v>1099.54</v>
      </c>
      <c r="C4062" s="2">
        <f>IFERROR(__xludf.DUMMYFUNCTION("""COMPUTED_VALUE"""),1103.8)</f>
        <v>1103.8</v>
      </c>
      <c r="D4062" s="2">
        <f>IFERROR(__xludf.DUMMYFUNCTION("""COMPUTED_VALUE"""),1072.89)</f>
        <v>1072.89</v>
      </c>
      <c r="E4062" s="2">
        <f>IFERROR(__xludf.DUMMYFUNCTION("""COMPUTED_VALUE"""),1079.97)</f>
        <v>1079.97</v>
      </c>
      <c r="F4062" s="2">
        <f>IFERROR(__xludf.DUMMYFUNCTION("""COMPUTED_VALUE"""),9381544.0)</f>
        <v>9381544</v>
      </c>
    </row>
    <row r="4063">
      <c r="A4063" s="3">
        <f>IFERROR(__xludf.DUMMYFUNCTION("""COMPUTED_VALUE"""),43445.64583333333)</f>
        <v>43445.64583</v>
      </c>
      <c r="B4063" s="2">
        <f>IFERROR(__xludf.DUMMYFUNCTION("""COMPUTED_VALUE"""),1055.95)</f>
        <v>1055.95</v>
      </c>
      <c r="C4063" s="2">
        <f>IFERROR(__xludf.DUMMYFUNCTION("""COMPUTED_VALUE"""),1091.71)</f>
        <v>1091.71</v>
      </c>
      <c r="D4063" s="2">
        <f>IFERROR(__xludf.DUMMYFUNCTION("""COMPUTED_VALUE"""),1045.06)</f>
        <v>1045.06</v>
      </c>
      <c r="E4063" s="2">
        <f>IFERROR(__xludf.DUMMYFUNCTION("""COMPUTED_VALUE"""),1087.2)</f>
        <v>1087.2</v>
      </c>
      <c r="F4063" s="2">
        <f>IFERROR(__xludf.DUMMYFUNCTION("""COMPUTED_VALUE"""),1.3494665E7)</f>
        <v>13494665</v>
      </c>
    </row>
    <row r="4064">
      <c r="A4064" s="3">
        <f>IFERROR(__xludf.DUMMYFUNCTION("""COMPUTED_VALUE"""),43446.64583333333)</f>
        <v>43446.64583</v>
      </c>
      <c r="B4064" s="2">
        <f>IFERROR(__xludf.DUMMYFUNCTION("""COMPUTED_VALUE"""),1088.64)</f>
        <v>1088.64</v>
      </c>
      <c r="C4064" s="2">
        <f>IFERROR(__xludf.DUMMYFUNCTION("""COMPUTED_VALUE"""),1103.0)</f>
        <v>1103</v>
      </c>
      <c r="D4064" s="2">
        <f>IFERROR(__xludf.DUMMYFUNCTION("""COMPUTED_VALUE"""),1077.5)</f>
        <v>1077.5</v>
      </c>
      <c r="E4064" s="2">
        <f>IFERROR(__xludf.DUMMYFUNCTION("""COMPUTED_VALUE"""),1100.03)</f>
        <v>1100.03</v>
      </c>
      <c r="F4064" s="2">
        <f>IFERROR(__xludf.DUMMYFUNCTION("""COMPUTED_VALUE"""),1.2605431E7)</f>
        <v>12605431</v>
      </c>
    </row>
    <row r="4065">
      <c r="A4065" s="3">
        <f>IFERROR(__xludf.DUMMYFUNCTION("""COMPUTED_VALUE"""),43447.64583333333)</f>
        <v>43447.64583</v>
      </c>
      <c r="B4065" s="2">
        <f>IFERROR(__xludf.DUMMYFUNCTION("""COMPUTED_VALUE"""),1117.37)</f>
        <v>1117.37</v>
      </c>
      <c r="C4065" s="2">
        <f>IFERROR(__xludf.DUMMYFUNCTION("""COMPUTED_VALUE"""),1117.37)</f>
        <v>1117.37</v>
      </c>
      <c r="D4065" s="2">
        <f>IFERROR(__xludf.DUMMYFUNCTION("""COMPUTED_VALUE"""),1084.73)</f>
        <v>1084.73</v>
      </c>
      <c r="E4065" s="2">
        <f>IFERROR(__xludf.DUMMYFUNCTION("""COMPUTED_VALUE"""),1096.61)</f>
        <v>1096.61</v>
      </c>
      <c r="F4065" s="2">
        <f>IFERROR(__xludf.DUMMYFUNCTION("""COMPUTED_VALUE"""),9297518.0)</f>
        <v>9297518</v>
      </c>
    </row>
    <row r="4066">
      <c r="A4066" s="3">
        <f>IFERROR(__xludf.DUMMYFUNCTION("""COMPUTED_VALUE"""),43448.64583333333)</f>
        <v>43448.64583</v>
      </c>
      <c r="B4066" s="2">
        <f>IFERROR(__xludf.DUMMYFUNCTION("""COMPUTED_VALUE"""),1092.7)</f>
        <v>1092.7</v>
      </c>
      <c r="C4066" s="2">
        <f>IFERROR(__xludf.DUMMYFUNCTION("""COMPUTED_VALUE"""),1104.39)</f>
        <v>1104.39</v>
      </c>
      <c r="D4066" s="2">
        <f>IFERROR(__xludf.DUMMYFUNCTION("""COMPUTED_VALUE"""),1081.51)</f>
        <v>1081.51</v>
      </c>
      <c r="E4066" s="2">
        <f>IFERROR(__xludf.DUMMYFUNCTION("""COMPUTED_VALUE"""),1101.72)</f>
        <v>1101.72</v>
      </c>
      <c r="F4066" s="2">
        <f>IFERROR(__xludf.DUMMYFUNCTION("""COMPUTED_VALUE"""),7221324.0)</f>
        <v>7221324</v>
      </c>
    </row>
    <row r="4067">
      <c r="A4067" s="3">
        <f>IFERROR(__xludf.DUMMYFUNCTION("""COMPUTED_VALUE"""),43451.64583333333)</f>
        <v>43451.64583</v>
      </c>
      <c r="B4067" s="2">
        <f>IFERROR(__xludf.DUMMYFUNCTION("""COMPUTED_VALUE"""),1105.43)</f>
        <v>1105.43</v>
      </c>
      <c r="C4067" s="2">
        <f>IFERROR(__xludf.DUMMYFUNCTION("""COMPUTED_VALUE"""),1122.32)</f>
        <v>1122.32</v>
      </c>
      <c r="D4067" s="2">
        <f>IFERROR(__xludf.DUMMYFUNCTION("""COMPUTED_VALUE"""),1101.02)</f>
        <v>1101.02</v>
      </c>
      <c r="E4067" s="2">
        <f>IFERROR(__xludf.DUMMYFUNCTION("""COMPUTED_VALUE"""),1119.25)</f>
        <v>1119.25</v>
      </c>
      <c r="F4067" s="2">
        <f>IFERROR(__xludf.DUMMYFUNCTION("""COMPUTED_VALUE"""),5064357.0)</f>
        <v>5064357</v>
      </c>
    </row>
    <row r="4068">
      <c r="A4068" s="3">
        <f>IFERROR(__xludf.DUMMYFUNCTION("""COMPUTED_VALUE"""),43452.64583333333)</f>
        <v>43452.64583</v>
      </c>
      <c r="B4068" s="2">
        <f>IFERROR(__xludf.DUMMYFUNCTION("""COMPUTED_VALUE"""),1112.71)</f>
        <v>1112.71</v>
      </c>
      <c r="C4068" s="2">
        <f>IFERROR(__xludf.DUMMYFUNCTION("""COMPUTED_VALUE"""),1128.26)</f>
        <v>1128.26</v>
      </c>
      <c r="D4068" s="2">
        <f>IFERROR(__xludf.DUMMYFUNCTION("""COMPUTED_VALUE"""),1109.94)</f>
        <v>1109.94</v>
      </c>
      <c r="E4068" s="2">
        <f>IFERROR(__xludf.DUMMYFUNCTION("""COMPUTED_VALUE"""),1125.69)</f>
        <v>1125.69</v>
      </c>
      <c r="F4068" s="2">
        <f>IFERROR(__xludf.DUMMYFUNCTION("""COMPUTED_VALUE"""),5870928.0)</f>
        <v>5870928</v>
      </c>
    </row>
    <row r="4069">
      <c r="A4069" s="3">
        <f>IFERROR(__xludf.DUMMYFUNCTION("""COMPUTED_VALUE"""),43453.64583333333)</f>
        <v>43453.64583</v>
      </c>
      <c r="B4069" s="2">
        <f>IFERROR(__xludf.DUMMYFUNCTION("""COMPUTED_VALUE"""),1130.74)</f>
        <v>1130.74</v>
      </c>
      <c r="C4069" s="2">
        <f>IFERROR(__xludf.DUMMYFUNCTION("""COMPUTED_VALUE"""),1136.49)</f>
        <v>1136.49</v>
      </c>
      <c r="D4069" s="2">
        <f>IFERROR(__xludf.DUMMYFUNCTION("""COMPUTED_VALUE"""),1122.52)</f>
        <v>1122.52</v>
      </c>
      <c r="E4069" s="2">
        <f>IFERROR(__xludf.DUMMYFUNCTION("""COMPUTED_VALUE"""),1126.08)</f>
        <v>1126.08</v>
      </c>
      <c r="F4069" s="2">
        <f>IFERROR(__xludf.DUMMYFUNCTION("""COMPUTED_VALUE"""),7368799.0)</f>
        <v>7368799</v>
      </c>
    </row>
    <row r="4070">
      <c r="A4070" s="3">
        <f>IFERROR(__xludf.DUMMYFUNCTION("""COMPUTED_VALUE"""),43454.64583333333)</f>
        <v>43454.64583</v>
      </c>
      <c r="B4070" s="2">
        <f>IFERROR(__xludf.DUMMYFUNCTION("""COMPUTED_VALUE"""),1110.43)</f>
        <v>1110.43</v>
      </c>
      <c r="C4070" s="2">
        <f>IFERROR(__xludf.DUMMYFUNCTION("""COMPUTED_VALUE"""),1121.82)</f>
        <v>1121.82</v>
      </c>
      <c r="D4070" s="2">
        <f>IFERROR(__xludf.DUMMYFUNCTION("""COMPUTED_VALUE"""),1105.63)</f>
        <v>1105.63</v>
      </c>
      <c r="E4070" s="2">
        <f>IFERROR(__xludf.DUMMYFUNCTION("""COMPUTED_VALUE"""),1117.81)</f>
        <v>1117.81</v>
      </c>
      <c r="F4070" s="2">
        <f>IFERROR(__xludf.DUMMYFUNCTION("""COMPUTED_VALUE"""),5764731.0)</f>
        <v>5764731</v>
      </c>
    </row>
    <row r="4071">
      <c r="A4071" s="3">
        <f>IFERROR(__xludf.DUMMYFUNCTION("""COMPUTED_VALUE"""),43455.64583333333)</f>
        <v>43455.64583</v>
      </c>
      <c r="B4071" s="2">
        <f>IFERROR(__xludf.DUMMYFUNCTION("""COMPUTED_VALUE"""),1114.4)</f>
        <v>1114.4</v>
      </c>
      <c r="C4071" s="2">
        <f>IFERROR(__xludf.DUMMYFUNCTION("""COMPUTED_VALUE"""),1120.59)</f>
        <v>1120.59</v>
      </c>
      <c r="D4071" s="2">
        <f>IFERROR(__xludf.DUMMYFUNCTION("""COMPUTED_VALUE"""),1085.67)</f>
        <v>1085.67</v>
      </c>
      <c r="E4071" s="2">
        <f>IFERROR(__xludf.DUMMYFUNCTION("""COMPUTED_VALUE"""),1089.83)</f>
        <v>1089.83</v>
      </c>
      <c r="F4071" s="2">
        <f>IFERROR(__xludf.DUMMYFUNCTION("""COMPUTED_VALUE"""),8281941.0)</f>
        <v>8281941</v>
      </c>
    </row>
    <row r="4072">
      <c r="A4072" s="3">
        <f>IFERROR(__xludf.DUMMYFUNCTION("""COMPUTED_VALUE"""),43458.64583333333)</f>
        <v>43458.64583</v>
      </c>
      <c r="B4072" s="2">
        <f>IFERROR(__xludf.DUMMYFUNCTION("""COMPUTED_VALUE"""),1090.52)</f>
        <v>1090.52</v>
      </c>
      <c r="C4072" s="2">
        <f>IFERROR(__xludf.DUMMYFUNCTION("""COMPUTED_VALUE"""),1092.8)</f>
        <v>1092.8</v>
      </c>
      <c r="D4072" s="2">
        <f>IFERROR(__xludf.DUMMYFUNCTION("""COMPUTED_VALUE"""),1076.31)</f>
        <v>1076.31</v>
      </c>
      <c r="E4072" s="2">
        <f>IFERROR(__xludf.DUMMYFUNCTION("""COMPUTED_VALUE"""),1078.88)</f>
        <v>1078.88</v>
      </c>
      <c r="F4072" s="2">
        <f>IFERROR(__xludf.DUMMYFUNCTION("""COMPUTED_VALUE"""),4144535.0)</f>
        <v>4144535</v>
      </c>
    </row>
    <row r="4073">
      <c r="A4073" s="3">
        <f>IFERROR(__xludf.DUMMYFUNCTION("""COMPUTED_VALUE"""),43460.64583333333)</f>
        <v>43460.64583</v>
      </c>
      <c r="B4073" s="2">
        <f>IFERROR(__xludf.DUMMYFUNCTION("""COMPUTED_VALUE"""),1075.57)</f>
        <v>1075.57</v>
      </c>
      <c r="C4073" s="2">
        <f>IFERROR(__xludf.DUMMYFUNCTION("""COMPUTED_VALUE"""),1089.63)</f>
        <v>1089.63</v>
      </c>
      <c r="D4073" s="2">
        <f>IFERROR(__xludf.DUMMYFUNCTION("""COMPUTED_VALUE"""),1055.6)</f>
        <v>1055.6</v>
      </c>
      <c r="E4073" s="2">
        <f>IFERROR(__xludf.DUMMYFUNCTION("""COMPUTED_VALUE"""),1088.0)</f>
        <v>1088</v>
      </c>
      <c r="F4073" s="2">
        <f>IFERROR(__xludf.DUMMYFUNCTION("""COMPUTED_VALUE"""),7210059.0)</f>
        <v>7210059</v>
      </c>
    </row>
    <row r="4074">
      <c r="A4074" s="3">
        <f>IFERROR(__xludf.DUMMYFUNCTION("""COMPUTED_VALUE"""),43461.64583333333)</f>
        <v>43461.64583</v>
      </c>
      <c r="B4074" s="2">
        <f>IFERROR(__xludf.DUMMYFUNCTION("""COMPUTED_VALUE"""),1096.76)</f>
        <v>1096.76</v>
      </c>
      <c r="C4074" s="2">
        <f>IFERROR(__xludf.DUMMYFUNCTION("""COMPUTED_VALUE"""),1116.38)</f>
        <v>1116.38</v>
      </c>
      <c r="D4074" s="2">
        <f>IFERROR(__xludf.DUMMYFUNCTION("""COMPUTED_VALUE"""),1093.59)</f>
        <v>1093.59</v>
      </c>
      <c r="E4074" s="2">
        <f>IFERROR(__xludf.DUMMYFUNCTION("""COMPUTED_VALUE"""),1109.64)</f>
        <v>1109.64</v>
      </c>
      <c r="F4074" s="2">
        <f>IFERROR(__xludf.DUMMYFUNCTION("""COMPUTED_VALUE"""),1.2478E7)</f>
        <v>12478000</v>
      </c>
    </row>
    <row r="4075">
      <c r="A4075" s="3">
        <f>IFERROR(__xludf.DUMMYFUNCTION("""COMPUTED_VALUE"""),43462.64583333333)</f>
        <v>43462.64583</v>
      </c>
      <c r="B4075" s="2">
        <f>IFERROR(__xludf.DUMMYFUNCTION("""COMPUTED_VALUE"""),1114.89)</f>
        <v>1114.89</v>
      </c>
      <c r="C4075" s="2">
        <f>IFERROR(__xludf.DUMMYFUNCTION("""COMPUTED_VALUE"""),1124.55)</f>
        <v>1124.55</v>
      </c>
      <c r="D4075" s="2">
        <f>IFERROR(__xludf.DUMMYFUNCTION("""COMPUTED_VALUE"""),1110.63)</f>
        <v>1110.63</v>
      </c>
      <c r="E4075" s="2">
        <f>IFERROR(__xludf.DUMMYFUNCTION("""COMPUTED_VALUE"""),1114.94)</f>
        <v>1114.94</v>
      </c>
      <c r="F4075" s="2">
        <f>IFERROR(__xludf.DUMMYFUNCTION("""COMPUTED_VALUE"""),7666016.0)</f>
        <v>7666016</v>
      </c>
    </row>
    <row r="4076">
      <c r="A4076" s="3">
        <f>IFERROR(__xludf.DUMMYFUNCTION("""COMPUTED_VALUE"""),43465.64583333333)</f>
        <v>43465.64583</v>
      </c>
      <c r="B4076" s="2">
        <f>IFERROR(__xludf.DUMMYFUNCTION("""COMPUTED_VALUE"""),1120.29)</f>
        <v>1120.29</v>
      </c>
      <c r="C4076" s="2">
        <f>IFERROR(__xludf.DUMMYFUNCTION("""COMPUTED_VALUE"""),1123.16)</f>
        <v>1123.16</v>
      </c>
      <c r="D4076" s="2">
        <f>IFERROR(__xludf.DUMMYFUNCTION("""COMPUTED_VALUE"""),1105.68)</f>
        <v>1105.68</v>
      </c>
      <c r="E4076" s="2">
        <f>IFERROR(__xludf.DUMMYFUNCTION("""COMPUTED_VALUE"""),1110.68)</f>
        <v>1110.68</v>
      </c>
      <c r="F4076" s="2">
        <f>IFERROR(__xludf.DUMMYFUNCTION("""COMPUTED_VALUE"""),7222817.0)</f>
        <v>7222817</v>
      </c>
    </row>
    <row r="4077">
      <c r="A4077" s="3">
        <f>IFERROR(__xludf.DUMMYFUNCTION("""COMPUTED_VALUE"""),43466.64583333333)</f>
        <v>43466.64583</v>
      </c>
      <c r="B4077" s="2">
        <f>IFERROR(__xludf.DUMMYFUNCTION("""COMPUTED_VALUE"""),1114.64)</f>
        <v>1114.64</v>
      </c>
      <c r="C4077" s="2">
        <f>IFERROR(__xludf.DUMMYFUNCTION("""COMPUTED_VALUE"""),1116.67)</f>
        <v>1116.67</v>
      </c>
      <c r="D4077" s="2">
        <f>IFERROR(__xludf.DUMMYFUNCTION("""COMPUTED_VALUE"""),1099.64)</f>
        <v>1099.64</v>
      </c>
      <c r="E4077" s="2">
        <f>IFERROR(__xludf.DUMMYFUNCTION("""COMPUTED_VALUE"""),1110.43)</f>
        <v>1110.43</v>
      </c>
      <c r="F4077" s="2">
        <f>IFERROR(__xludf.DUMMYFUNCTION("""COMPUTED_VALUE"""),4455850.0)</f>
        <v>4455850</v>
      </c>
    </row>
    <row r="4078">
      <c r="A4078" s="3">
        <f>IFERROR(__xludf.DUMMYFUNCTION("""COMPUTED_VALUE"""),43467.64583333333)</f>
        <v>43467.64583</v>
      </c>
      <c r="B4078" s="2">
        <f>IFERROR(__xludf.DUMMYFUNCTION("""COMPUTED_VALUE"""),1103.99)</f>
        <v>1103.99</v>
      </c>
      <c r="C4078" s="2">
        <f>IFERROR(__xludf.DUMMYFUNCTION("""COMPUTED_VALUE"""),1116.38)</f>
        <v>1116.38</v>
      </c>
      <c r="D4078" s="2">
        <f>IFERROR(__xludf.DUMMYFUNCTION("""COMPUTED_VALUE"""),1090.62)</f>
        <v>1090.62</v>
      </c>
      <c r="E4078" s="2">
        <f>IFERROR(__xludf.DUMMYFUNCTION("""COMPUTED_VALUE"""),1095.97)</f>
        <v>1095.97</v>
      </c>
      <c r="F4078" s="2">
        <f>IFERROR(__xludf.DUMMYFUNCTION("""COMPUTED_VALUE"""),7144970.0)</f>
        <v>7144970</v>
      </c>
    </row>
    <row r="4079">
      <c r="A4079" s="3">
        <f>IFERROR(__xludf.DUMMYFUNCTION("""COMPUTED_VALUE"""),43468.64583333333)</f>
        <v>43468.64583</v>
      </c>
      <c r="B4079" s="2">
        <f>IFERROR(__xludf.DUMMYFUNCTION("""COMPUTED_VALUE"""),1097.06)</f>
        <v>1097.06</v>
      </c>
      <c r="C4079" s="2">
        <f>IFERROR(__xludf.DUMMYFUNCTION("""COMPUTED_VALUE"""),1104.09)</f>
        <v>1104.09</v>
      </c>
      <c r="D4079" s="2">
        <f>IFERROR(__xludf.DUMMYFUNCTION("""COMPUTED_VALUE"""),1079.82)</f>
        <v>1079.82</v>
      </c>
      <c r="E4079" s="2">
        <f>IFERROR(__xludf.DUMMYFUNCTION("""COMPUTED_VALUE"""),1082.45)</f>
        <v>1082.45</v>
      </c>
      <c r="F4079" s="2">
        <f>IFERROR(__xludf.DUMMYFUNCTION("""COMPUTED_VALUE"""),7446457.0)</f>
        <v>7446457</v>
      </c>
    </row>
    <row r="4080">
      <c r="A4080" s="3">
        <f>IFERROR(__xludf.DUMMYFUNCTION("""COMPUTED_VALUE"""),43469.64583333333)</f>
        <v>43469.64583</v>
      </c>
      <c r="B4080" s="2">
        <f>IFERROR(__xludf.DUMMYFUNCTION("""COMPUTED_VALUE"""),1087.06)</f>
        <v>1087.06</v>
      </c>
      <c r="C4080" s="2">
        <f>IFERROR(__xludf.DUMMYFUNCTION("""COMPUTED_VALUE"""),1094.04)</f>
        <v>1094.04</v>
      </c>
      <c r="D4080" s="2">
        <f>IFERROR(__xludf.DUMMYFUNCTION("""COMPUTED_VALUE"""),1070.91)</f>
        <v>1070.91</v>
      </c>
      <c r="E4080" s="2">
        <f>IFERROR(__xludf.DUMMYFUNCTION("""COMPUTED_VALUE"""),1088.29)</f>
        <v>1088.29</v>
      </c>
      <c r="F4080" s="2">
        <f>IFERROR(__xludf.DUMMYFUNCTION("""COMPUTED_VALUE"""),8465141.0)</f>
        <v>8465141</v>
      </c>
    </row>
    <row r="4081">
      <c r="A4081" s="3">
        <f>IFERROR(__xludf.DUMMYFUNCTION("""COMPUTED_VALUE"""),43472.64583333333)</f>
        <v>43472.64583</v>
      </c>
      <c r="B4081" s="2">
        <f>IFERROR(__xludf.DUMMYFUNCTION("""COMPUTED_VALUE"""),1096.57)</f>
        <v>1096.57</v>
      </c>
      <c r="C4081" s="2">
        <f>IFERROR(__xludf.DUMMYFUNCTION("""COMPUTED_VALUE"""),1107.91)</f>
        <v>1107.91</v>
      </c>
      <c r="D4081" s="2">
        <f>IFERROR(__xludf.DUMMYFUNCTION("""COMPUTED_VALUE"""),1090.62)</f>
        <v>1090.62</v>
      </c>
      <c r="E4081" s="2">
        <f>IFERROR(__xludf.DUMMYFUNCTION("""COMPUTED_VALUE"""),1094.34)</f>
        <v>1094.34</v>
      </c>
      <c r="F4081" s="2">
        <f>IFERROR(__xludf.DUMMYFUNCTION("""COMPUTED_VALUE"""),5513559.0)</f>
        <v>5513559</v>
      </c>
    </row>
    <row r="4082">
      <c r="A4082" s="3">
        <f>IFERROR(__xludf.DUMMYFUNCTION("""COMPUTED_VALUE"""),43473.64583333333)</f>
        <v>43473.64583</v>
      </c>
      <c r="B4082" s="2">
        <f>IFERROR(__xludf.DUMMYFUNCTION("""COMPUTED_VALUE"""),1094.68)</f>
        <v>1094.68</v>
      </c>
      <c r="C4082" s="2">
        <f>IFERROR(__xludf.DUMMYFUNCTION("""COMPUTED_VALUE"""),1099.49)</f>
        <v>1099.49</v>
      </c>
      <c r="D4082" s="2">
        <f>IFERROR(__xludf.DUMMYFUNCTION("""COMPUTED_VALUE"""),1085.67)</f>
        <v>1085.67</v>
      </c>
      <c r="E4082" s="2">
        <f>IFERROR(__xludf.DUMMYFUNCTION("""COMPUTED_VALUE"""),1094.24)</f>
        <v>1094.24</v>
      </c>
      <c r="F4082" s="2">
        <f>IFERROR(__xludf.DUMMYFUNCTION("""COMPUTED_VALUE"""),5625153.0)</f>
        <v>5625153</v>
      </c>
    </row>
    <row r="4083">
      <c r="A4083" s="3">
        <f>IFERROR(__xludf.DUMMYFUNCTION("""COMPUTED_VALUE"""),43474.64583333333)</f>
        <v>43474.64583</v>
      </c>
      <c r="B4083" s="2">
        <f>IFERROR(__xludf.DUMMYFUNCTION("""COMPUTED_VALUE"""),1101.52)</f>
        <v>1101.52</v>
      </c>
      <c r="C4083" s="2">
        <f>IFERROR(__xludf.DUMMYFUNCTION("""COMPUTED_VALUE"""),1106.47)</f>
        <v>1106.47</v>
      </c>
      <c r="D4083" s="2">
        <f>IFERROR(__xludf.DUMMYFUNCTION("""COMPUTED_VALUE"""),1088.34)</f>
        <v>1088.34</v>
      </c>
      <c r="E4083" s="2">
        <f>IFERROR(__xludf.DUMMYFUNCTION("""COMPUTED_VALUE"""),1100.28)</f>
        <v>1100.28</v>
      </c>
      <c r="F4083" s="2">
        <f>IFERROR(__xludf.DUMMYFUNCTION("""COMPUTED_VALUE"""),5766805.0)</f>
        <v>5766805</v>
      </c>
    </row>
    <row r="4084">
      <c r="A4084" s="3">
        <f>IFERROR(__xludf.DUMMYFUNCTION("""COMPUTED_VALUE"""),43475.64583333333)</f>
        <v>43475.64583</v>
      </c>
      <c r="B4084" s="2">
        <f>IFERROR(__xludf.DUMMYFUNCTION("""COMPUTED_VALUE"""),1097.31)</f>
        <v>1097.31</v>
      </c>
      <c r="C4084" s="2">
        <f>IFERROR(__xludf.DUMMYFUNCTION("""COMPUTED_VALUE"""),1100.53)</f>
        <v>1100.53</v>
      </c>
      <c r="D4084" s="2">
        <f>IFERROR(__xludf.DUMMYFUNCTION("""COMPUTED_VALUE"""),1092.6)</f>
        <v>1092.6</v>
      </c>
      <c r="E4084" s="2">
        <f>IFERROR(__xludf.DUMMYFUNCTION("""COMPUTED_VALUE"""),1097.06)</f>
        <v>1097.06</v>
      </c>
      <c r="F4084" s="2">
        <f>IFERROR(__xludf.DUMMYFUNCTION("""COMPUTED_VALUE"""),4080283.0)</f>
        <v>4080283</v>
      </c>
    </row>
    <row r="4085">
      <c r="A4085" s="3">
        <f>IFERROR(__xludf.DUMMYFUNCTION("""COMPUTED_VALUE"""),43476.64583333333)</f>
        <v>43476.64583</v>
      </c>
      <c r="B4085" s="2">
        <f>IFERROR(__xludf.DUMMYFUNCTION("""COMPUTED_VALUE"""),1097.16)</f>
        <v>1097.16</v>
      </c>
      <c r="C4085" s="2">
        <f>IFERROR(__xludf.DUMMYFUNCTION("""COMPUTED_VALUE"""),1103.3)</f>
        <v>1103.3</v>
      </c>
      <c r="D4085" s="2">
        <f>IFERROR(__xludf.DUMMYFUNCTION("""COMPUTED_VALUE"""),1078.34)</f>
        <v>1078.34</v>
      </c>
      <c r="E4085" s="2">
        <f>IFERROR(__xludf.DUMMYFUNCTION("""COMPUTED_VALUE"""),1087.7)</f>
        <v>1087.7</v>
      </c>
      <c r="F4085" s="2">
        <f>IFERROR(__xludf.DUMMYFUNCTION("""COMPUTED_VALUE"""),6463903.0)</f>
        <v>6463903</v>
      </c>
    </row>
    <row r="4086">
      <c r="A4086" s="3">
        <f>IFERROR(__xludf.DUMMYFUNCTION("""COMPUTED_VALUE"""),43479.64583333333)</f>
        <v>43479.64583</v>
      </c>
      <c r="B4086" s="2">
        <f>IFERROR(__xludf.DUMMYFUNCTION("""COMPUTED_VALUE"""),1084.68)</f>
        <v>1084.68</v>
      </c>
      <c r="C4086" s="2">
        <f>IFERROR(__xludf.DUMMYFUNCTION("""COMPUTED_VALUE"""),1090.13)</f>
        <v>1090.13</v>
      </c>
      <c r="D4086" s="2">
        <f>IFERROR(__xludf.DUMMYFUNCTION("""COMPUTED_VALUE"""),1076.16)</f>
        <v>1076.16</v>
      </c>
      <c r="E4086" s="2">
        <f>IFERROR(__xludf.DUMMYFUNCTION("""COMPUTED_VALUE"""),1086.46)</f>
        <v>1086.46</v>
      </c>
      <c r="F4086" s="2">
        <f>IFERROR(__xludf.DUMMYFUNCTION("""COMPUTED_VALUE"""),4111782.0)</f>
        <v>4111782</v>
      </c>
    </row>
    <row r="4087">
      <c r="A4087" s="3">
        <f>IFERROR(__xludf.DUMMYFUNCTION("""COMPUTED_VALUE"""),43480.64583333333)</f>
        <v>43480.64583</v>
      </c>
      <c r="B4087" s="2">
        <f>IFERROR(__xludf.DUMMYFUNCTION("""COMPUTED_VALUE"""),1094.58)</f>
        <v>1094.58</v>
      </c>
      <c r="C4087" s="2">
        <f>IFERROR(__xludf.DUMMYFUNCTION("""COMPUTED_VALUE"""),1121.33)</f>
        <v>1121.33</v>
      </c>
      <c r="D4087" s="2">
        <f>IFERROR(__xludf.DUMMYFUNCTION("""COMPUTED_VALUE"""),1094.58)</f>
        <v>1094.58</v>
      </c>
      <c r="E4087" s="2">
        <f>IFERROR(__xludf.DUMMYFUNCTION("""COMPUTED_VALUE"""),1119.0)</f>
        <v>1119</v>
      </c>
      <c r="F4087" s="2">
        <f>IFERROR(__xludf.DUMMYFUNCTION("""COMPUTED_VALUE"""),1.0062875E7)</f>
        <v>10062875</v>
      </c>
    </row>
    <row r="4088">
      <c r="A4088" s="3">
        <f>IFERROR(__xludf.DUMMYFUNCTION("""COMPUTED_VALUE"""),43481.64583333333)</f>
        <v>43481.64583</v>
      </c>
      <c r="B4088" s="2">
        <f>IFERROR(__xludf.DUMMYFUNCTION("""COMPUTED_VALUE"""),1124.3)</f>
        <v>1124.3</v>
      </c>
      <c r="C4088" s="2">
        <f>IFERROR(__xludf.DUMMYFUNCTION("""COMPUTED_VALUE"""),1134.21)</f>
        <v>1134.21</v>
      </c>
      <c r="D4088" s="2">
        <f>IFERROR(__xludf.DUMMYFUNCTION("""COMPUTED_VALUE"""),1119.7)</f>
        <v>1119.7</v>
      </c>
      <c r="E4088" s="2">
        <f>IFERROR(__xludf.DUMMYFUNCTION("""COMPUTED_VALUE"""),1125.19)</f>
        <v>1125.19</v>
      </c>
      <c r="F4088" s="2">
        <f>IFERROR(__xludf.DUMMYFUNCTION("""COMPUTED_VALUE"""),6382777.0)</f>
        <v>6382777</v>
      </c>
    </row>
    <row r="4089">
      <c r="A4089" s="3">
        <f>IFERROR(__xludf.DUMMYFUNCTION("""COMPUTED_VALUE"""),43482.64583333333)</f>
        <v>43482.64583</v>
      </c>
      <c r="B4089" s="2">
        <f>IFERROR(__xludf.DUMMYFUNCTION("""COMPUTED_VALUE"""),1133.66)</f>
        <v>1133.66</v>
      </c>
      <c r="C4089" s="2">
        <f>IFERROR(__xludf.DUMMYFUNCTION("""COMPUTED_VALUE"""),1137.08)</f>
        <v>1137.08</v>
      </c>
      <c r="D4089" s="2">
        <f>IFERROR(__xludf.DUMMYFUNCTION("""COMPUTED_VALUE"""),1119.35)</f>
        <v>1119.35</v>
      </c>
      <c r="E4089" s="2">
        <f>IFERROR(__xludf.DUMMYFUNCTION("""COMPUTED_VALUE"""),1123.76)</f>
        <v>1123.76</v>
      </c>
      <c r="F4089" s="2">
        <f>IFERROR(__xludf.DUMMYFUNCTION("""COMPUTED_VALUE"""),7487963.0)</f>
        <v>7487963</v>
      </c>
    </row>
    <row r="4090">
      <c r="A4090" s="3">
        <f>IFERROR(__xludf.DUMMYFUNCTION("""COMPUTED_VALUE"""),43483.64583333333)</f>
        <v>43483.64583</v>
      </c>
      <c r="B4090" s="2">
        <f>IFERROR(__xludf.DUMMYFUNCTION("""COMPUTED_VALUE"""),1137.97)</f>
        <v>1137.97</v>
      </c>
      <c r="C4090" s="2">
        <f>IFERROR(__xludf.DUMMYFUNCTION("""COMPUTED_VALUE"""),1178.68)</f>
        <v>1178.68</v>
      </c>
      <c r="D4090" s="2">
        <f>IFERROR(__xludf.DUMMYFUNCTION("""COMPUTED_VALUE"""),1124.55)</f>
        <v>1124.55</v>
      </c>
      <c r="E4090" s="2">
        <f>IFERROR(__xludf.DUMMYFUNCTION("""COMPUTED_VALUE"""),1173.19)</f>
        <v>1173.19</v>
      </c>
      <c r="F4090" s="2">
        <f>IFERROR(__xludf.DUMMYFUNCTION("""COMPUTED_VALUE"""),2.5684142E7)</f>
        <v>25684142</v>
      </c>
    </row>
    <row r="4091">
      <c r="A4091" s="3">
        <f>IFERROR(__xludf.DUMMYFUNCTION("""COMPUTED_VALUE"""),43486.64583333333)</f>
        <v>43486.64583</v>
      </c>
      <c r="B4091" s="2">
        <f>IFERROR(__xludf.DUMMYFUNCTION("""COMPUTED_VALUE"""),1182.75)</f>
        <v>1182.75</v>
      </c>
      <c r="C4091" s="2">
        <f>IFERROR(__xludf.DUMMYFUNCTION("""COMPUTED_VALUE"""),1228.26)</f>
        <v>1228.26</v>
      </c>
      <c r="D4091" s="2">
        <f>IFERROR(__xludf.DUMMYFUNCTION("""COMPUTED_VALUE"""),1177.45)</f>
        <v>1177.45</v>
      </c>
      <c r="E4091" s="2">
        <f>IFERROR(__xludf.DUMMYFUNCTION("""COMPUTED_VALUE"""),1226.03)</f>
        <v>1226.03</v>
      </c>
      <c r="F4091" s="2">
        <f>IFERROR(__xludf.DUMMYFUNCTION("""COMPUTED_VALUE"""),2.2038534E7)</f>
        <v>22038534</v>
      </c>
    </row>
    <row r="4092">
      <c r="A4092" s="3">
        <f>IFERROR(__xludf.DUMMYFUNCTION("""COMPUTED_VALUE"""),43487.64583333333)</f>
        <v>43487.64583</v>
      </c>
      <c r="B4092" s="2">
        <f>IFERROR(__xludf.DUMMYFUNCTION("""COMPUTED_VALUE"""),1221.23)</f>
        <v>1221.23</v>
      </c>
      <c r="C4092" s="2">
        <f>IFERROR(__xludf.DUMMYFUNCTION("""COMPUTED_VALUE"""),1235.2)</f>
        <v>1235.2</v>
      </c>
      <c r="D4092" s="2">
        <f>IFERROR(__xludf.DUMMYFUNCTION("""COMPUTED_VALUE"""),1208.1)</f>
        <v>1208.1</v>
      </c>
      <c r="E4092" s="2">
        <f>IFERROR(__xludf.DUMMYFUNCTION("""COMPUTED_VALUE"""),1223.51)</f>
        <v>1223.51</v>
      </c>
      <c r="F4092" s="2">
        <f>IFERROR(__xludf.DUMMYFUNCTION("""COMPUTED_VALUE"""),1.6552819E7)</f>
        <v>16552819</v>
      </c>
    </row>
    <row r="4093">
      <c r="A4093" s="3">
        <f>IFERROR(__xludf.DUMMYFUNCTION("""COMPUTED_VALUE"""),43488.64583333333)</f>
        <v>43488.64583</v>
      </c>
      <c r="B4093" s="2">
        <f>IFERROR(__xludf.DUMMYFUNCTION("""COMPUTED_VALUE"""),1221.67)</f>
        <v>1221.67</v>
      </c>
      <c r="C4093" s="2">
        <f>IFERROR(__xludf.DUMMYFUNCTION("""COMPUTED_VALUE"""),1232.47)</f>
        <v>1232.47</v>
      </c>
      <c r="D4093" s="2">
        <f>IFERROR(__xludf.DUMMYFUNCTION("""COMPUTED_VALUE"""),1210.48)</f>
        <v>1210.48</v>
      </c>
      <c r="E4093" s="2">
        <f>IFERROR(__xludf.DUMMYFUNCTION("""COMPUTED_VALUE"""),1214.74)</f>
        <v>1214.74</v>
      </c>
      <c r="F4093" s="2">
        <f>IFERROR(__xludf.DUMMYFUNCTION("""COMPUTED_VALUE"""),8829502.0)</f>
        <v>8829502</v>
      </c>
    </row>
    <row r="4094">
      <c r="A4094" s="3">
        <f>IFERROR(__xludf.DUMMYFUNCTION("""COMPUTED_VALUE"""),43489.64583333333)</f>
        <v>43489.64583</v>
      </c>
      <c r="B4094" s="2">
        <f>IFERROR(__xludf.DUMMYFUNCTION("""COMPUTED_VALUE"""),1213.45)</f>
        <v>1213.45</v>
      </c>
      <c r="C4094" s="2">
        <f>IFERROR(__xludf.DUMMYFUNCTION("""COMPUTED_VALUE"""),1241.39)</f>
        <v>1241.39</v>
      </c>
      <c r="D4094" s="2">
        <f>IFERROR(__xludf.DUMMYFUNCTION("""COMPUTED_VALUE"""),1208.6)</f>
        <v>1208.6</v>
      </c>
      <c r="E4094" s="2">
        <f>IFERROR(__xludf.DUMMYFUNCTION("""COMPUTED_VALUE"""),1235.69)</f>
        <v>1235.69</v>
      </c>
      <c r="F4094" s="2">
        <f>IFERROR(__xludf.DUMMYFUNCTION("""COMPUTED_VALUE"""),1.3155185E7)</f>
        <v>13155185</v>
      </c>
    </row>
    <row r="4095">
      <c r="A4095" s="3">
        <f>IFERROR(__xludf.DUMMYFUNCTION("""COMPUTED_VALUE"""),43490.64583333333)</f>
        <v>43490.64583</v>
      </c>
      <c r="B4095" s="2">
        <f>IFERROR(__xludf.DUMMYFUNCTION("""COMPUTED_VALUE"""),1238.66)</f>
        <v>1238.66</v>
      </c>
      <c r="C4095" s="2">
        <f>IFERROR(__xludf.DUMMYFUNCTION("""COMPUTED_VALUE"""),1252.78)</f>
        <v>1252.78</v>
      </c>
      <c r="D4095" s="2">
        <f>IFERROR(__xludf.DUMMYFUNCTION("""COMPUTED_VALUE"""),1223.75)</f>
        <v>1223.75</v>
      </c>
      <c r="E4095" s="2">
        <f>IFERROR(__xludf.DUMMYFUNCTION("""COMPUTED_VALUE"""),1234.25)</f>
        <v>1234.25</v>
      </c>
      <c r="F4095" s="2">
        <f>IFERROR(__xludf.DUMMYFUNCTION("""COMPUTED_VALUE"""),8550836.0)</f>
        <v>8550836</v>
      </c>
    </row>
    <row r="4096">
      <c r="A4096" s="3">
        <f>IFERROR(__xludf.DUMMYFUNCTION("""COMPUTED_VALUE"""),43493.64583333333)</f>
        <v>43493.64583</v>
      </c>
      <c r="B4096" s="2">
        <f>IFERROR(__xludf.DUMMYFUNCTION("""COMPUTED_VALUE"""),1238.71)</f>
        <v>1238.71</v>
      </c>
      <c r="C4096" s="2">
        <f>IFERROR(__xludf.DUMMYFUNCTION("""COMPUTED_VALUE"""),1244.11)</f>
        <v>1244.11</v>
      </c>
      <c r="D4096" s="2">
        <f>IFERROR(__xludf.DUMMYFUNCTION("""COMPUTED_VALUE"""),1210.88)</f>
        <v>1210.88</v>
      </c>
      <c r="E4096" s="2">
        <f>IFERROR(__xludf.DUMMYFUNCTION("""COMPUTED_VALUE"""),1217.96)</f>
        <v>1217.96</v>
      </c>
      <c r="F4096" s="2">
        <f>IFERROR(__xludf.DUMMYFUNCTION("""COMPUTED_VALUE"""),8569265.0)</f>
        <v>8569265</v>
      </c>
    </row>
    <row r="4097">
      <c r="A4097" s="3">
        <f>IFERROR(__xludf.DUMMYFUNCTION("""COMPUTED_VALUE"""),43494.64583333333)</f>
        <v>43494.64583</v>
      </c>
      <c r="B4097" s="2">
        <f>IFERROR(__xludf.DUMMYFUNCTION("""COMPUTED_VALUE"""),1219.4)</f>
        <v>1219.4</v>
      </c>
      <c r="C4097" s="2">
        <f>IFERROR(__xludf.DUMMYFUNCTION("""COMPUTED_VALUE"""),1220.04)</f>
        <v>1220.04</v>
      </c>
      <c r="D4097" s="2">
        <f>IFERROR(__xludf.DUMMYFUNCTION("""COMPUTED_VALUE"""),1190.03)</f>
        <v>1190.03</v>
      </c>
      <c r="E4097" s="2">
        <f>IFERROR(__xludf.DUMMYFUNCTION("""COMPUTED_VALUE"""),1199.24)</f>
        <v>1199.24</v>
      </c>
      <c r="F4097" s="2">
        <f>IFERROR(__xludf.DUMMYFUNCTION("""COMPUTED_VALUE"""),9328866.0)</f>
        <v>9328866</v>
      </c>
    </row>
    <row r="4098">
      <c r="A4098" s="3">
        <f>IFERROR(__xludf.DUMMYFUNCTION("""COMPUTED_VALUE"""),43495.64583333333)</f>
        <v>43495.64583</v>
      </c>
      <c r="B4098" s="2">
        <f>IFERROR(__xludf.DUMMYFUNCTION("""COMPUTED_VALUE"""),1203.55)</f>
        <v>1203.55</v>
      </c>
      <c r="C4098" s="2">
        <f>IFERROR(__xludf.DUMMYFUNCTION("""COMPUTED_VALUE"""),1213.45)</f>
        <v>1213.45</v>
      </c>
      <c r="D4098" s="2">
        <f>IFERROR(__xludf.DUMMYFUNCTION("""COMPUTED_VALUE"""),1179.87)</f>
        <v>1179.87</v>
      </c>
      <c r="E4098" s="2">
        <f>IFERROR(__xludf.DUMMYFUNCTION("""COMPUTED_VALUE"""),1184.43)</f>
        <v>1184.43</v>
      </c>
      <c r="F4098" s="2">
        <f>IFERROR(__xludf.DUMMYFUNCTION("""COMPUTED_VALUE"""),7846940.0)</f>
        <v>7846940</v>
      </c>
    </row>
    <row r="4099">
      <c r="A4099" s="3">
        <f>IFERROR(__xludf.DUMMYFUNCTION("""COMPUTED_VALUE"""),43496.64583333333)</f>
        <v>43496.64583</v>
      </c>
      <c r="B4099" s="2">
        <f>IFERROR(__xludf.DUMMYFUNCTION("""COMPUTED_VALUE"""),1190.67)</f>
        <v>1190.67</v>
      </c>
      <c r="C4099" s="2">
        <f>IFERROR(__xludf.DUMMYFUNCTION("""COMPUTED_VALUE"""),1218.11)</f>
        <v>1218.11</v>
      </c>
      <c r="D4099" s="2">
        <f>IFERROR(__xludf.DUMMYFUNCTION("""COMPUTED_VALUE"""),1189.68)</f>
        <v>1189.68</v>
      </c>
      <c r="E4099" s="2">
        <f>IFERROR(__xludf.DUMMYFUNCTION("""COMPUTED_VALUE"""),1215.58)</f>
        <v>1215.58</v>
      </c>
      <c r="F4099" s="2">
        <f>IFERROR(__xludf.DUMMYFUNCTION("""COMPUTED_VALUE"""),1.0185347E7)</f>
        <v>10185347</v>
      </c>
    </row>
    <row r="4100">
      <c r="A4100" s="3">
        <f>IFERROR(__xludf.DUMMYFUNCTION("""COMPUTED_VALUE"""),43497.64583333333)</f>
        <v>43497.64583</v>
      </c>
      <c r="B4100" s="2">
        <f>IFERROR(__xludf.DUMMYFUNCTION("""COMPUTED_VALUE"""),1222.37)</f>
        <v>1222.37</v>
      </c>
      <c r="C4100" s="2">
        <f>IFERROR(__xludf.DUMMYFUNCTION("""COMPUTED_VALUE"""),1243.17)</f>
        <v>1243.17</v>
      </c>
      <c r="D4100" s="2">
        <f>IFERROR(__xludf.DUMMYFUNCTION("""COMPUTED_VALUE"""),1215.48)</f>
        <v>1215.48</v>
      </c>
      <c r="E4100" s="2">
        <f>IFERROR(__xludf.DUMMYFUNCTION("""COMPUTED_VALUE"""),1238.17)</f>
        <v>1238.17</v>
      </c>
      <c r="F4100" s="2">
        <f>IFERROR(__xludf.DUMMYFUNCTION("""COMPUTED_VALUE"""),9228965.0)</f>
        <v>9228965</v>
      </c>
    </row>
    <row r="4101">
      <c r="A4101" s="3">
        <f>IFERROR(__xludf.DUMMYFUNCTION("""COMPUTED_VALUE"""),43500.64583333333)</f>
        <v>43500.64583</v>
      </c>
      <c r="B4101" s="2">
        <f>IFERROR(__xludf.DUMMYFUNCTION("""COMPUTED_VALUE"""),1235.25)</f>
        <v>1235.25</v>
      </c>
      <c r="C4101" s="2">
        <f>IFERROR(__xludf.DUMMYFUNCTION("""COMPUTED_VALUE"""),1284.72)</f>
        <v>1284.72</v>
      </c>
      <c r="D4101" s="2">
        <f>IFERROR(__xludf.DUMMYFUNCTION("""COMPUTED_VALUE"""),1230.34)</f>
        <v>1230.34</v>
      </c>
      <c r="E4101" s="2">
        <f>IFERROR(__xludf.DUMMYFUNCTION("""COMPUTED_VALUE"""),1278.73)</f>
        <v>1278.73</v>
      </c>
      <c r="F4101" s="2">
        <f>IFERROR(__xludf.DUMMYFUNCTION("""COMPUTED_VALUE"""),1.167057E7)</f>
        <v>11670570</v>
      </c>
    </row>
    <row r="4102">
      <c r="A4102" s="3">
        <f>IFERROR(__xludf.DUMMYFUNCTION("""COMPUTED_VALUE"""),43501.64583333333)</f>
        <v>43501.64583</v>
      </c>
      <c r="B4102" s="2">
        <f>IFERROR(__xludf.DUMMYFUNCTION("""COMPUTED_VALUE"""),1279.82)</f>
        <v>1279.82</v>
      </c>
      <c r="C4102" s="2">
        <f>IFERROR(__xludf.DUMMYFUNCTION("""COMPUTED_VALUE"""),1292.1)</f>
        <v>1292.1</v>
      </c>
      <c r="D4102" s="2">
        <f>IFERROR(__xludf.DUMMYFUNCTION("""COMPUTED_VALUE"""),1266.55)</f>
        <v>1266.55</v>
      </c>
      <c r="E4102" s="2">
        <f>IFERROR(__xludf.DUMMYFUNCTION("""COMPUTED_VALUE"""),1279.38)</f>
        <v>1279.38</v>
      </c>
      <c r="F4102" s="2">
        <f>IFERROR(__xludf.DUMMYFUNCTION("""COMPUTED_VALUE"""),9362406.0)</f>
        <v>9362406</v>
      </c>
    </row>
    <row r="4103">
      <c r="A4103" s="3">
        <f>IFERROR(__xludf.DUMMYFUNCTION("""COMPUTED_VALUE"""),43502.64583333333)</f>
        <v>43502.64583</v>
      </c>
      <c r="B4103" s="2">
        <f>IFERROR(__xludf.DUMMYFUNCTION("""COMPUTED_VALUE"""),1284.03)</f>
        <v>1284.03</v>
      </c>
      <c r="C4103" s="2">
        <f>IFERROR(__xludf.DUMMYFUNCTION("""COMPUTED_VALUE"""),1305.23)</f>
        <v>1305.23</v>
      </c>
      <c r="D4103" s="2">
        <f>IFERROR(__xludf.DUMMYFUNCTION("""COMPUTED_VALUE"""),1282.05)</f>
        <v>1282.05</v>
      </c>
      <c r="E4103" s="2">
        <f>IFERROR(__xludf.DUMMYFUNCTION("""COMPUTED_VALUE"""),1297.9)</f>
        <v>1297.9</v>
      </c>
      <c r="F4103" s="2">
        <f>IFERROR(__xludf.DUMMYFUNCTION("""COMPUTED_VALUE"""),9411585.0)</f>
        <v>9411585</v>
      </c>
    </row>
    <row r="4104">
      <c r="A4104" s="3">
        <f>IFERROR(__xludf.DUMMYFUNCTION("""COMPUTED_VALUE"""),43503.64583333333)</f>
        <v>43503.64583</v>
      </c>
      <c r="B4104" s="2">
        <f>IFERROR(__xludf.DUMMYFUNCTION("""COMPUTED_VALUE"""),1297.9)</f>
        <v>1297.9</v>
      </c>
      <c r="C4104" s="2">
        <f>IFERROR(__xludf.DUMMYFUNCTION("""COMPUTED_VALUE"""),1308.75)</f>
        <v>1308.75</v>
      </c>
      <c r="D4104" s="2">
        <f>IFERROR(__xludf.DUMMYFUNCTION("""COMPUTED_VALUE"""),1273.98)</f>
        <v>1273.98</v>
      </c>
      <c r="E4104" s="2">
        <f>IFERROR(__xludf.DUMMYFUNCTION("""COMPUTED_VALUE"""),1278.24)</f>
        <v>1278.24</v>
      </c>
      <c r="F4104" s="2">
        <f>IFERROR(__xludf.DUMMYFUNCTION("""COMPUTED_VALUE"""),9212227.0)</f>
        <v>9212227</v>
      </c>
    </row>
    <row r="4105">
      <c r="A4105" s="3">
        <f>IFERROR(__xludf.DUMMYFUNCTION("""COMPUTED_VALUE"""),43504.64583333333)</f>
        <v>43504.64583</v>
      </c>
      <c r="B4105" s="2">
        <f>IFERROR(__xludf.DUMMYFUNCTION("""COMPUTED_VALUE"""),1272.69)</f>
        <v>1272.69</v>
      </c>
      <c r="C4105" s="2">
        <f>IFERROR(__xludf.DUMMYFUNCTION("""COMPUTED_VALUE"""),1288.24)</f>
        <v>1288.24</v>
      </c>
      <c r="D4105" s="2">
        <f>IFERROR(__xludf.DUMMYFUNCTION("""COMPUTED_VALUE"""),1260.26)</f>
        <v>1260.26</v>
      </c>
      <c r="E4105" s="2">
        <f>IFERROR(__xludf.DUMMYFUNCTION("""COMPUTED_VALUE"""),1265.66)</f>
        <v>1265.66</v>
      </c>
      <c r="F4105" s="2">
        <f>IFERROR(__xludf.DUMMYFUNCTION("""COMPUTED_VALUE"""),6505502.0)</f>
        <v>6505502</v>
      </c>
    </row>
    <row r="4106">
      <c r="A4106" s="3">
        <f>IFERROR(__xludf.DUMMYFUNCTION("""COMPUTED_VALUE"""),43507.64583333333)</f>
        <v>43507.64583</v>
      </c>
      <c r="B4106" s="2">
        <f>IFERROR(__xludf.DUMMYFUNCTION("""COMPUTED_VALUE"""),1263.87)</f>
        <v>1263.87</v>
      </c>
      <c r="C4106" s="2">
        <f>IFERROR(__xludf.DUMMYFUNCTION("""COMPUTED_VALUE"""),1263.97)</f>
        <v>1263.97</v>
      </c>
      <c r="D4106" s="2">
        <f>IFERROR(__xludf.DUMMYFUNCTION("""COMPUTED_VALUE"""),1239.21)</f>
        <v>1239.21</v>
      </c>
      <c r="E4106" s="2">
        <f>IFERROR(__xludf.DUMMYFUNCTION("""COMPUTED_VALUE"""),1241.44)</f>
        <v>1241.44</v>
      </c>
      <c r="F4106" s="2">
        <f>IFERROR(__xludf.DUMMYFUNCTION("""COMPUTED_VALUE"""),7523999.0)</f>
        <v>7523999</v>
      </c>
    </row>
    <row r="4107">
      <c r="A4107" s="3">
        <f>IFERROR(__xludf.DUMMYFUNCTION("""COMPUTED_VALUE"""),43508.64583333333)</f>
        <v>43508.64583</v>
      </c>
      <c r="B4107" s="2">
        <f>IFERROR(__xludf.DUMMYFUNCTION("""COMPUTED_VALUE"""),1239.7)</f>
        <v>1239.7</v>
      </c>
      <c r="C4107" s="2">
        <f>IFERROR(__xludf.DUMMYFUNCTION("""COMPUTED_VALUE"""),1260.36)</f>
        <v>1260.36</v>
      </c>
      <c r="D4107" s="2">
        <f>IFERROR(__xludf.DUMMYFUNCTION("""COMPUTED_VALUE"""),1239.7)</f>
        <v>1239.7</v>
      </c>
      <c r="E4107" s="2">
        <f>IFERROR(__xludf.DUMMYFUNCTION("""COMPUTED_VALUE"""),1244.56)</f>
        <v>1244.56</v>
      </c>
      <c r="F4107" s="2">
        <f>IFERROR(__xludf.DUMMYFUNCTION("""COMPUTED_VALUE"""),6399485.0)</f>
        <v>6399485</v>
      </c>
    </row>
    <row r="4108">
      <c r="A4108" s="3">
        <f>IFERROR(__xludf.DUMMYFUNCTION("""COMPUTED_VALUE"""),43509.64583333333)</f>
        <v>43509.64583</v>
      </c>
      <c r="B4108" s="2">
        <f>IFERROR(__xludf.DUMMYFUNCTION("""COMPUTED_VALUE"""),1249.11)</f>
        <v>1249.11</v>
      </c>
      <c r="C4108" s="2">
        <f>IFERROR(__xludf.DUMMYFUNCTION("""COMPUTED_VALUE"""),1261.94)</f>
        <v>1261.94</v>
      </c>
      <c r="D4108" s="2">
        <f>IFERROR(__xludf.DUMMYFUNCTION("""COMPUTED_VALUE"""),1224.1)</f>
        <v>1224.1</v>
      </c>
      <c r="E4108" s="2">
        <f>IFERROR(__xludf.DUMMYFUNCTION("""COMPUTED_VALUE"""),1234.21)</f>
        <v>1234.21</v>
      </c>
      <c r="F4108" s="2">
        <f>IFERROR(__xludf.DUMMYFUNCTION("""COMPUTED_VALUE"""),6964042.0)</f>
        <v>6964042</v>
      </c>
    </row>
    <row r="4109">
      <c r="A4109" s="3">
        <f>IFERROR(__xludf.DUMMYFUNCTION("""COMPUTED_VALUE"""),43510.64583333333)</f>
        <v>43510.64583</v>
      </c>
      <c r="B4109" s="2">
        <f>IFERROR(__xludf.DUMMYFUNCTION("""COMPUTED_VALUE"""),1229.3)</f>
        <v>1229.3</v>
      </c>
      <c r="C4109" s="2">
        <f>IFERROR(__xludf.DUMMYFUNCTION("""COMPUTED_VALUE"""),1229.3)</f>
        <v>1229.3</v>
      </c>
      <c r="D4109" s="2">
        <f>IFERROR(__xludf.DUMMYFUNCTION("""COMPUTED_VALUE"""),1206.52)</f>
        <v>1206.52</v>
      </c>
      <c r="E4109" s="2">
        <f>IFERROR(__xludf.DUMMYFUNCTION("""COMPUTED_VALUE"""),1212.66)</f>
        <v>1212.66</v>
      </c>
      <c r="F4109" s="2">
        <f>IFERROR(__xludf.DUMMYFUNCTION("""COMPUTED_VALUE"""),6627360.0)</f>
        <v>6627360</v>
      </c>
    </row>
    <row r="4110">
      <c r="A4110" s="3">
        <f>IFERROR(__xludf.DUMMYFUNCTION("""COMPUTED_VALUE"""),43511.64583333333)</f>
        <v>43511.64583</v>
      </c>
      <c r="B4110" s="2">
        <f>IFERROR(__xludf.DUMMYFUNCTION("""COMPUTED_VALUE"""),1218.16)</f>
        <v>1218.16</v>
      </c>
      <c r="C4110" s="2">
        <f>IFERROR(__xludf.DUMMYFUNCTION("""COMPUTED_VALUE"""),1238.12)</f>
        <v>1238.12</v>
      </c>
      <c r="D4110" s="2">
        <f>IFERROR(__xludf.DUMMYFUNCTION("""COMPUTED_VALUE"""),1202.56)</f>
        <v>1202.56</v>
      </c>
      <c r="E4110" s="2">
        <f>IFERROR(__xludf.DUMMYFUNCTION("""COMPUTED_VALUE"""),1232.72)</f>
        <v>1232.72</v>
      </c>
      <c r="F4110" s="2">
        <f>IFERROR(__xludf.DUMMYFUNCTION("""COMPUTED_VALUE"""),9597961.0)</f>
        <v>9597961</v>
      </c>
    </row>
    <row r="4111">
      <c r="A4111" s="3">
        <f>IFERROR(__xludf.DUMMYFUNCTION("""COMPUTED_VALUE"""),43514.64583333333)</f>
        <v>43514.64583</v>
      </c>
      <c r="B4111" s="2">
        <f>IFERROR(__xludf.DUMMYFUNCTION("""COMPUTED_VALUE"""),1238.22)</f>
        <v>1238.22</v>
      </c>
      <c r="C4111" s="2">
        <f>IFERROR(__xludf.DUMMYFUNCTION("""COMPUTED_VALUE"""),1240.69)</f>
        <v>1240.69</v>
      </c>
      <c r="D4111" s="2">
        <f>IFERROR(__xludf.DUMMYFUNCTION("""COMPUTED_VALUE"""),1203.55)</f>
        <v>1203.55</v>
      </c>
      <c r="E4111" s="2">
        <f>IFERROR(__xludf.DUMMYFUNCTION("""COMPUTED_VALUE"""),1208.6)</f>
        <v>1208.6</v>
      </c>
      <c r="F4111" s="2">
        <f>IFERROR(__xludf.DUMMYFUNCTION("""COMPUTED_VALUE"""),9649017.0)</f>
        <v>9649017</v>
      </c>
    </row>
    <row r="4112">
      <c r="A4112" s="3">
        <f>IFERROR(__xludf.DUMMYFUNCTION("""COMPUTED_VALUE"""),43515.64583333333)</f>
        <v>43515.64583</v>
      </c>
      <c r="B4112" s="2">
        <f>IFERROR(__xludf.DUMMYFUNCTION("""COMPUTED_VALUE"""),1206.52)</f>
        <v>1206.52</v>
      </c>
      <c r="C4112" s="2">
        <f>IFERROR(__xludf.DUMMYFUNCTION("""COMPUTED_VALUE"""),1228.01)</f>
        <v>1228.01</v>
      </c>
      <c r="D4112" s="2">
        <f>IFERROR(__xludf.DUMMYFUNCTION("""COMPUTED_VALUE"""),1199.78)</f>
        <v>1199.78</v>
      </c>
      <c r="E4112" s="2">
        <f>IFERROR(__xludf.DUMMYFUNCTION("""COMPUTED_VALUE"""),1204.64)</f>
        <v>1204.64</v>
      </c>
      <c r="F4112" s="2">
        <f>IFERROR(__xludf.DUMMYFUNCTION("""COMPUTED_VALUE"""),6244189.0)</f>
        <v>6244189</v>
      </c>
    </row>
    <row r="4113">
      <c r="A4113" s="3">
        <f>IFERROR(__xludf.DUMMYFUNCTION("""COMPUTED_VALUE"""),43516.64583333333)</f>
        <v>43516.64583</v>
      </c>
      <c r="B4113" s="2">
        <f>IFERROR(__xludf.DUMMYFUNCTION("""COMPUTED_VALUE"""),1212.31)</f>
        <v>1212.31</v>
      </c>
      <c r="C4113" s="2">
        <f>IFERROR(__xludf.DUMMYFUNCTION("""COMPUTED_VALUE"""),1228.31)</f>
        <v>1228.31</v>
      </c>
      <c r="D4113" s="2">
        <f>IFERROR(__xludf.DUMMYFUNCTION("""COMPUTED_VALUE"""),1207.51)</f>
        <v>1207.51</v>
      </c>
      <c r="E4113" s="2">
        <f>IFERROR(__xludf.DUMMYFUNCTION("""COMPUTED_VALUE"""),1222.71)</f>
        <v>1222.71</v>
      </c>
      <c r="F4113" s="2">
        <f>IFERROR(__xludf.DUMMYFUNCTION("""COMPUTED_VALUE"""),6298179.0)</f>
        <v>6298179</v>
      </c>
    </row>
    <row r="4114">
      <c r="A4114" s="3">
        <f>IFERROR(__xludf.DUMMYFUNCTION("""COMPUTED_VALUE"""),43517.64583333333)</f>
        <v>43517.64583</v>
      </c>
      <c r="B4114" s="2">
        <f>IFERROR(__xludf.DUMMYFUNCTION("""COMPUTED_VALUE"""),1224.35)</f>
        <v>1224.35</v>
      </c>
      <c r="C4114" s="2">
        <f>IFERROR(__xludf.DUMMYFUNCTION("""COMPUTED_VALUE"""),1245.94)</f>
        <v>1245.94</v>
      </c>
      <c r="D4114" s="2">
        <f>IFERROR(__xludf.DUMMYFUNCTION("""COMPUTED_VALUE"""),1217.76)</f>
        <v>1217.76</v>
      </c>
      <c r="E4114" s="2">
        <f>IFERROR(__xludf.DUMMYFUNCTION("""COMPUTED_VALUE"""),1235.15)</f>
        <v>1235.15</v>
      </c>
      <c r="F4114" s="2">
        <f>IFERROR(__xludf.DUMMYFUNCTION("""COMPUTED_VALUE"""),1.0580178E7)</f>
        <v>10580178</v>
      </c>
    </row>
    <row r="4115">
      <c r="A4115" s="3">
        <f>IFERROR(__xludf.DUMMYFUNCTION("""COMPUTED_VALUE"""),43518.64583333333)</f>
        <v>43518.64583</v>
      </c>
      <c r="B4115" s="2">
        <f>IFERROR(__xludf.DUMMYFUNCTION("""COMPUTED_VALUE"""),1232.87)</f>
        <v>1232.87</v>
      </c>
      <c r="C4115" s="2">
        <f>IFERROR(__xludf.DUMMYFUNCTION("""COMPUTED_VALUE"""),1233.56)</f>
        <v>1233.56</v>
      </c>
      <c r="D4115" s="2">
        <f>IFERROR(__xludf.DUMMYFUNCTION("""COMPUTED_VALUE"""),1214.44)</f>
        <v>1214.44</v>
      </c>
      <c r="E4115" s="2">
        <f>IFERROR(__xludf.DUMMYFUNCTION("""COMPUTED_VALUE"""),1220.73)</f>
        <v>1220.73</v>
      </c>
      <c r="F4115" s="2">
        <f>IFERROR(__xludf.DUMMYFUNCTION("""COMPUTED_VALUE"""),8755865.0)</f>
        <v>8755865</v>
      </c>
    </row>
    <row r="4116">
      <c r="A4116" s="3">
        <f>IFERROR(__xludf.DUMMYFUNCTION("""COMPUTED_VALUE"""),43521.64583333333)</f>
        <v>43521.64583</v>
      </c>
      <c r="B4116" s="2">
        <f>IFERROR(__xludf.DUMMYFUNCTION("""COMPUTED_VALUE"""),1224.35)</f>
        <v>1224.35</v>
      </c>
      <c r="C4116" s="2">
        <f>IFERROR(__xludf.DUMMYFUNCTION("""COMPUTED_VALUE"""),1231.28)</f>
        <v>1231.28</v>
      </c>
      <c r="D4116" s="2">
        <f>IFERROR(__xludf.DUMMYFUNCTION("""COMPUTED_VALUE"""),1209.14)</f>
        <v>1209.14</v>
      </c>
      <c r="E4116" s="2">
        <f>IFERROR(__xludf.DUMMYFUNCTION("""COMPUTED_VALUE"""),1220.68)</f>
        <v>1220.68</v>
      </c>
      <c r="F4116" s="2">
        <f>IFERROR(__xludf.DUMMYFUNCTION("""COMPUTED_VALUE"""),7852528.0)</f>
        <v>7852528</v>
      </c>
    </row>
    <row r="4117">
      <c r="A4117" s="3">
        <f>IFERROR(__xludf.DUMMYFUNCTION("""COMPUTED_VALUE"""),43522.64583333333)</f>
        <v>43522.64583</v>
      </c>
      <c r="B4117" s="2">
        <f>IFERROR(__xludf.DUMMYFUNCTION("""COMPUTED_VALUE"""),1198.1)</f>
        <v>1198.1</v>
      </c>
      <c r="C4117" s="2">
        <f>IFERROR(__xludf.DUMMYFUNCTION("""COMPUTED_VALUE"""),1223.16)</f>
        <v>1223.16</v>
      </c>
      <c r="D4117" s="2">
        <f>IFERROR(__xludf.DUMMYFUNCTION("""COMPUTED_VALUE"""),1194.63)</f>
        <v>1194.63</v>
      </c>
      <c r="E4117" s="2">
        <f>IFERROR(__xludf.DUMMYFUNCTION("""COMPUTED_VALUE"""),1208.75)</f>
        <v>1208.75</v>
      </c>
      <c r="F4117" s="2">
        <f>IFERROR(__xludf.DUMMYFUNCTION("""COMPUTED_VALUE"""),1.013105E7)</f>
        <v>10131050</v>
      </c>
    </row>
    <row r="4118">
      <c r="A4118" s="3">
        <f>IFERROR(__xludf.DUMMYFUNCTION("""COMPUTED_VALUE"""),43523.64583333333)</f>
        <v>43523.64583</v>
      </c>
      <c r="B4118" s="2">
        <f>IFERROR(__xludf.DUMMYFUNCTION("""COMPUTED_VALUE"""),1216.47)</f>
        <v>1216.47</v>
      </c>
      <c r="C4118" s="2">
        <f>IFERROR(__xludf.DUMMYFUNCTION("""COMPUTED_VALUE"""),1233.17)</f>
        <v>1233.17</v>
      </c>
      <c r="D4118" s="2">
        <f>IFERROR(__xludf.DUMMYFUNCTION("""COMPUTED_VALUE"""),1197.6)</f>
        <v>1197.6</v>
      </c>
      <c r="E4118" s="2">
        <f>IFERROR(__xludf.DUMMYFUNCTION("""COMPUTED_VALUE"""),1211.97)</f>
        <v>1211.97</v>
      </c>
      <c r="F4118" s="2">
        <f>IFERROR(__xludf.DUMMYFUNCTION("""COMPUTED_VALUE"""),1.1113182E7)</f>
        <v>11113182</v>
      </c>
    </row>
    <row r="4119">
      <c r="A4119" s="3">
        <f>IFERROR(__xludf.DUMMYFUNCTION("""COMPUTED_VALUE"""),43524.64583333333)</f>
        <v>43524.64583</v>
      </c>
      <c r="B4119" s="2">
        <f>IFERROR(__xludf.DUMMYFUNCTION("""COMPUTED_VALUE"""),1222.12)</f>
        <v>1222.12</v>
      </c>
      <c r="C4119" s="2">
        <f>IFERROR(__xludf.DUMMYFUNCTION("""COMPUTED_VALUE"""),1228.16)</f>
        <v>1228.16</v>
      </c>
      <c r="D4119" s="2">
        <f>IFERROR(__xludf.DUMMYFUNCTION("""COMPUTED_VALUE"""),1214.99)</f>
        <v>1214.99</v>
      </c>
      <c r="E4119" s="2">
        <f>IFERROR(__xludf.DUMMYFUNCTION("""COMPUTED_VALUE"""),1219.45)</f>
        <v>1219.45</v>
      </c>
      <c r="F4119" s="2">
        <f>IFERROR(__xludf.DUMMYFUNCTION("""COMPUTED_VALUE"""),1.1286916E7)</f>
        <v>11286916</v>
      </c>
    </row>
    <row r="4120">
      <c r="A4120" s="3">
        <f>IFERROR(__xludf.DUMMYFUNCTION("""COMPUTED_VALUE"""),43525.64583333333)</f>
        <v>43525.64583</v>
      </c>
      <c r="B4120" s="2">
        <f>IFERROR(__xludf.DUMMYFUNCTION("""COMPUTED_VALUE"""),1225.34)</f>
        <v>1225.34</v>
      </c>
      <c r="C4120" s="2">
        <f>IFERROR(__xludf.DUMMYFUNCTION("""COMPUTED_VALUE"""),1230.64)</f>
        <v>1230.64</v>
      </c>
      <c r="D4120" s="2">
        <f>IFERROR(__xludf.DUMMYFUNCTION("""COMPUTED_VALUE"""),1210.73)</f>
        <v>1210.73</v>
      </c>
      <c r="E4120" s="2">
        <f>IFERROR(__xludf.DUMMYFUNCTION("""COMPUTED_VALUE"""),1214.49)</f>
        <v>1214.49</v>
      </c>
      <c r="F4120" s="2">
        <f>IFERROR(__xludf.DUMMYFUNCTION("""COMPUTED_VALUE"""),7922513.0)</f>
        <v>7922513</v>
      </c>
    </row>
    <row r="4121">
      <c r="A4121" s="3">
        <f>IFERROR(__xludf.DUMMYFUNCTION("""COMPUTED_VALUE"""),43529.64583333333)</f>
        <v>43529.64583</v>
      </c>
      <c r="B4121" s="2">
        <f>IFERROR(__xludf.DUMMYFUNCTION("""COMPUTED_VALUE"""),1211.87)</f>
        <v>1211.87</v>
      </c>
      <c r="C4121" s="2">
        <f>IFERROR(__xludf.DUMMYFUNCTION("""COMPUTED_VALUE"""),1228.11)</f>
        <v>1228.11</v>
      </c>
      <c r="D4121" s="2">
        <f>IFERROR(__xludf.DUMMYFUNCTION("""COMPUTED_VALUE"""),1207.11)</f>
        <v>1207.11</v>
      </c>
      <c r="E4121" s="2">
        <f>IFERROR(__xludf.DUMMYFUNCTION("""COMPUTED_VALUE"""),1225.98)</f>
        <v>1225.98</v>
      </c>
      <c r="F4121" s="2">
        <f>IFERROR(__xludf.DUMMYFUNCTION("""COMPUTED_VALUE"""),7121509.0)</f>
        <v>7121509</v>
      </c>
    </row>
    <row r="4122">
      <c r="A4122" s="3">
        <f>IFERROR(__xludf.DUMMYFUNCTION("""COMPUTED_VALUE"""),43530.64583333333)</f>
        <v>43530.64583</v>
      </c>
      <c r="B4122" s="2">
        <f>IFERROR(__xludf.DUMMYFUNCTION("""COMPUTED_VALUE"""),1228.11)</f>
        <v>1228.11</v>
      </c>
      <c r="C4122" s="2">
        <f>IFERROR(__xludf.DUMMYFUNCTION("""COMPUTED_VALUE"""),1261.1)</f>
        <v>1261.1</v>
      </c>
      <c r="D4122" s="2">
        <f>IFERROR(__xludf.DUMMYFUNCTION("""COMPUTED_VALUE"""),1223.46)</f>
        <v>1223.46</v>
      </c>
      <c r="E4122" s="2">
        <f>IFERROR(__xludf.DUMMYFUNCTION("""COMPUTED_VALUE"""),1252.88)</f>
        <v>1252.88</v>
      </c>
      <c r="F4122" s="2">
        <f>IFERROR(__xludf.DUMMYFUNCTION("""COMPUTED_VALUE"""),1.2038231E7)</f>
        <v>12038231</v>
      </c>
    </row>
    <row r="4123">
      <c r="A4123" s="3">
        <f>IFERROR(__xludf.DUMMYFUNCTION("""COMPUTED_VALUE"""),43531.64583333333)</f>
        <v>43531.64583</v>
      </c>
      <c r="B4123" s="2">
        <f>IFERROR(__xludf.DUMMYFUNCTION("""COMPUTED_VALUE"""),1252.09)</f>
        <v>1252.09</v>
      </c>
      <c r="C4123" s="2">
        <f>IFERROR(__xludf.DUMMYFUNCTION("""COMPUTED_VALUE"""),1267.74)</f>
        <v>1267.74</v>
      </c>
      <c r="D4123" s="2">
        <f>IFERROR(__xludf.DUMMYFUNCTION("""COMPUTED_VALUE"""),1246.29)</f>
        <v>1246.29</v>
      </c>
      <c r="E4123" s="2">
        <f>IFERROR(__xludf.DUMMYFUNCTION("""COMPUTED_VALUE"""),1258.28)</f>
        <v>1258.28</v>
      </c>
      <c r="F4123" s="2">
        <f>IFERROR(__xludf.DUMMYFUNCTION("""COMPUTED_VALUE"""),8109259.0)</f>
        <v>8109259</v>
      </c>
    </row>
    <row r="4124">
      <c r="A4124" s="3">
        <f>IFERROR(__xludf.DUMMYFUNCTION("""COMPUTED_VALUE"""),43532.64583333333)</f>
        <v>43532.64583</v>
      </c>
      <c r="B4124" s="2">
        <f>IFERROR(__xludf.DUMMYFUNCTION("""COMPUTED_VALUE"""),1254.12)</f>
        <v>1254.12</v>
      </c>
      <c r="C4124" s="2">
        <f>IFERROR(__xludf.DUMMYFUNCTION("""COMPUTED_VALUE"""),1262.44)</f>
        <v>1262.44</v>
      </c>
      <c r="D4124" s="2">
        <f>IFERROR(__xludf.DUMMYFUNCTION("""COMPUTED_VALUE"""),1250.1)</f>
        <v>1250.1</v>
      </c>
      <c r="E4124" s="2">
        <f>IFERROR(__xludf.DUMMYFUNCTION("""COMPUTED_VALUE"""),1255.16)</f>
        <v>1255.16</v>
      </c>
      <c r="F4124" s="2">
        <f>IFERROR(__xludf.DUMMYFUNCTION("""COMPUTED_VALUE"""),6040052.0)</f>
        <v>6040052</v>
      </c>
    </row>
    <row r="4125">
      <c r="A4125" s="3">
        <f>IFERROR(__xludf.DUMMYFUNCTION("""COMPUTED_VALUE"""),43535.64583333333)</f>
        <v>43535.64583</v>
      </c>
      <c r="B4125" s="2">
        <f>IFERROR(__xludf.DUMMYFUNCTION("""COMPUTED_VALUE"""),1258.08)</f>
        <v>1258.08</v>
      </c>
      <c r="C4125" s="2">
        <f>IFERROR(__xludf.DUMMYFUNCTION("""COMPUTED_VALUE"""),1299.63)</f>
        <v>1299.63</v>
      </c>
      <c r="D4125" s="2">
        <f>IFERROR(__xludf.DUMMYFUNCTION("""COMPUTED_VALUE"""),1256.05)</f>
        <v>1256.05</v>
      </c>
      <c r="E4125" s="2">
        <f>IFERROR(__xludf.DUMMYFUNCTION("""COMPUTED_VALUE"""),1291.81)</f>
        <v>1291.81</v>
      </c>
      <c r="F4125" s="2">
        <f>IFERROR(__xludf.DUMMYFUNCTION("""COMPUTED_VALUE"""),9718840.0)</f>
        <v>9718840</v>
      </c>
    </row>
    <row r="4126">
      <c r="A4126" s="3">
        <f>IFERROR(__xludf.DUMMYFUNCTION("""COMPUTED_VALUE"""),43536.64583333333)</f>
        <v>43536.64583</v>
      </c>
      <c r="B4126" s="2">
        <f>IFERROR(__xludf.DUMMYFUNCTION("""COMPUTED_VALUE"""),1304.49)</f>
        <v>1304.49</v>
      </c>
      <c r="C4126" s="2">
        <f>IFERROR(__xludf.DUMMYFUNCTION("""COMPUTED_VALUE"""),1321.43)</f>
        <v>1321.43</v>
      </c>
      <c r="D4126" s="2">
        <f>IFERROR(__xludf.DUMMYFUNCTION("""COMPUTED_VALUE"""),1301.86)</f>
        <v>1301.86</v>
      </c>
      <c r="E4126" s="2">
        <f>IFERROR(__xludf.DUMMYFUNCTION("""COMPUTED_VALUE"""),1318.8)</f>
        <v>1318.8</v>
      </c>
      <c r="F4126" s="2">
        <f>IFERROR(__xludf.DUMMYFUNCTION("""COMPUTED_VALUE"""),1.1228736E7)</f>
        <v>11228736</v>
      </c>
    </row>
    <row r="4127">
      <c r="A4127" s="3">
        <f>IFERROR(__xludf.DUMMYFUNCTION("""COMPUTED_VALUE"""),43537.64583333333)</f>
        <v>43537.64583</v>
      </c>
      <c r="B4127" s="2">
        <f>IFERROR(__xludf.DUMMYFUNCTION("""COMPUTED_VALUE"""),1324.4)</f>
        <v>1324.4</v>
      </c>
      <c r="C4127" s="2">
        <f>IFERROR(__xludf.DUMMYFUNCTION("""COMPUTED_VALUE"""),1347.18)</f>
        <v>1347.18</v>
      </c>
      <c r="D4127" s="2">
        <f>IFERROR(__xludf.DUMMYFUNCTION("""COMPUTED_VALUE"""),1315.58)</f>
        <v>1315.58</v>
      </c>
      <c r="E4127" s="2">
        <f>IFERROR(__xludf.DUMMYFUNCTION("""COMPUTED_VALUE"""),1334.6)</f>
        <v>1334.6</v>
      </c>
      <c r="F4127" s="2">
        <f>IFERROR(__xludf.DUMMYFUNCTION("""COMPUTED_VALUE"""),1.1236048E7)</f>
        <v>11236048</v>
      </c>
    </row>
    <row r="4128">
      <c r="A4128" s="3">
        <f>IFERROR(__xludf.DUMMYFUNCTION("""COMPUTED_VALUE"""),43538.64583333333)</f>
        <v>43538.64583</v>
      </c>
      <c r="B4128" s="2">
        <f>IFERROR(__xludf.DUMMYFUNCTION("""COMPUTED_VALUE"""),1337.03)</f>
        <v>1337.03</v>
      </c>
      <c r="C4128" s="2">
        <f>IFERROR(__xludf.DUMMYFUNCTION("""COMPUTED_VALUE"""),1349.16)</f>
        <v>1349.16</v>
      </c>
      <c r="D4128" s="2">
        <f>IFERROR(__xludf.DUMMYFUNCTION("""COMPUTED_VALUE"""),1323.51)</f>
        <v>1323.51</v>
      </c>
      <c r="E4128" s="2">
        <f>IFERROR(__xludf.DUMMYFUNCTION("""COMPUTED_VALUE"""),1328.9)</f>
        <v>1328.9</v>
      </c>
      <c r="F4128" s="2">
        <f>IFERROR(__xludf.DUMMYFUNCTION("""COMPUTED_VALUE"""),1.0402048E7)</f>
        <v>10402048</v>
      </c>
    </row>
    <row r="4129">
      <c r="A4129" s="3">
        <f>IFERROR(__xludf.DUMMYFUNCTION("""COMPUTED_VALUE"""),43539.64583333333)</f>
        <v>43539.64583</v>
      </c>
      <c r="B4129" s="2">
        <f>IFERROR(__xludf.DUMMYFUNCTION("""COMPUTED_VALUE"""),1332.32)</f>
        <v>1332.32</v>
      </c>
      <c r="C4129" s="2">
        <f>IFERROR(__xludf.DUMMYFUNCTION("""COMPUTED_VALUE"""),1345.99)</f>
        <v>1345.99</v>
      </c>
      <c r="D4129" s="2">
        <f>IFERROR(__xludf.DUMMYFUNCTION("""COMPUTED_VALUE"""),1298.84)</f>
        <v>1298.84</v>
      </c>
      <c r="E4129" s="2">
        <f>IFERROR(__xludf.DUMMYFUNCTION("""COMPUTED_VALUE"""),1309.19)</f>
        <v>1309.19</v>
      </c>
      <c r="F4129" s="2">
        <f>IFERROR(__xludf.DUMMYFUNCTION("""COMPUTED_VALUE"""),1.5893093E7)</f>
        <v>15893093</v>
      </c>
    </row>
    <row r="4130">
      <c r="A4130" s="3">
        <f>IFERROR(__xludf.DUMMYFUNCTION("""COMPUTED_VALUE"""),43542.64583333333)</f>
        <v>43542.64583</v>
      </c>
      <c r="B4130" s="2">
        <f>IFERROR(__xludf.DUMMYFUNCTION("""COMPUTED_VALUE"""),1318.45)</f>
        <v>1318.45</v>
      </c>
      <c r="C4130" s="2">
        <f>IFERROR(__xludf.DUMMYFUNCTION("""COMPUTED_VALUE"""),1345.15)</f>
        <v>1345.15</v>
      </c>
      <c r="D4130" s="2">
        <f>IFERROR(__xludf.DUMMYFUNCTION("""COMPUTED_VALUE"""),1316.47)</f>
        <v>1316.47</v>
      </c>
      <c r="E4130" s="2">
        <f>IFERROR(__xludf.DUMMYFUNCTION("""COMPUTED_VALUE"""),1337.32)</f>
        <v>1337.32</v>
      </c>
      <c r="F4130" s="2">
        <f>IFERROR(__xludf.DUMMYFUNCTION("""COMPUTED_VALUE"""),1.0105234E7)</f>
        <v>10105234</v>
      </c>
    </row>
    <row r="4131">
      <c r="A4131" s="3">
        <f>IFERROR(__xludf.DUMMYFUNCTION("""COMPUTED_VALUE"""),43543.64583333333)</f>
        <v>43543.64583</v>
      </c>
      <c r="B4131" s="2">
        <f>IFERROR(__xludf.DUMMYFUNCTION("""COMPUTED_VALUE"""),1347.18)</f>
        <v>1347.18</v>
      </c>
      <c r="C4131" s="2">
        <f>IFERROR(__xludf.DUMMYFUNCTION("""COMPUTED_VALUE"""),1366.99)</f>
        <v>1366.99</v>
      </c>
      <c r="D4131" s="2">
        <f>IFERROR(__xludf.DUMMYFUNCTION("""COMPUTED_VALUE"""),1330.44)</f>
        <v>1330.44</v>
      </c>
      <c r="E4131" s="2">
        <f>IFERROR(__xludf.DUMMYFUNCTION("""COMPUTED_VALUE"""),1363.57)</f>
        <v>1363.57</v>
      </c>
      <c r="F4131" s="2">
        <f>IFERROR(__xludf.DUMMYFUNCTION("""COMPUTED_VALUE"""),9805318.0)</f>
        <v>9805318</v>
      </c>
    </row>
    <row r="4132">
      <c r="A4132" s="3">
        <f>IFERROR(__xludf.DUMMYFUNCTION("""COMPUTED_VALUE"""),43544.64583333333)</f>
        <v>43544.64583</v>
      </c>
      <c r="B4132" s="2">
        <f>IFERROR(__xludf.DUMMYFUNCTION("""COMPUTED_VALUE"""),1364.81)</f>
        <v>1364.81</v>
      </c>
      <c r="C4132" s="2">
        <f>IFERROR(__xludf.DUMMYFUNCTION("""COMPUTED_VALUE"""),1374.92)</f>
        <v>1374.92</v>
      </c>
      <c r="D4132" s="2">
        <f>IFERROR(__xludf.DUMMYFUNCTION("""COMPUTED_VALUE"""),1351.14)</f>
        <v>1351.14</v>
      </c>
      <c r="E4132" s="2">
        <f>IFERROR(__xludf.DUMMYFUNCTION("""COMPUTED_VALUE"""),1362.48)</f>
        <v>1362.48</v>
      </c>
      <c r="F4132" s="2">
        <f>IFERROR(__xludf.DUMMYFUNCTION("""COMPUTED_VALUE"""),9892823.0)</f>
        <v>9892823</v>
      </c>
    </row>
    <row r="4133">
      <c r="A4133" s="3">
        <f>IFERROR(__xludf.DUMMYFUNCTION("""COMPUTED_VALUE"""),43546.64583333333)</f>
        <v>43546.64583</v>
      </c>
      <c r="B4133" s="2">
        <f>IFERROR(__xludf.DUMMYFUNCTION("""COMPUTED_VALUE"""),1359.56)</f>
        <v>1359.56</v>
      </c>
      <c r="C4133" s="2">
        <f>IFERROR(__xludf.DUMMYFUNCTION("""COMPUTED_VALUE"""),1367.88)</f>
        <v>1367.88</v>
      </c>
      <c r="D4133" s="2">
        <f>IFERROR(__xludf.DUMMYFUNCTION("""COMPUTED_VALUE"""),1324.1)</f>
        <v>1324.1</v>
      </c>
      <c r="E4133" s="2">
        <f>IFERROR(__xludf.DUMMYFUNCTION("""COMPUTED_VALUE"""),1329.1)</f>
        <v>1329.1</v>
      </c>
      <c r="F4133" s="2">
        <f>IFERROR(__xludf.DUMMYFUNCTION("""COMPUTED_VALUE"""),1.1465112E7)</f>
        <v>11465112</v>
      </c>
    </row>
    <row r="4134">
      <c r="A4134" s="3">
        <f>IFERROR(__xludf.DUMMYFUNCTION("""COMPUTED_VALUE"""),43549.64583333333)</f>
        <v>43549.64583</v>
      </c>
      <c r="B4134" s="2">
        <f>IFERROR(__xludf.DUMMYFUNCTION("""COMPUTED_VALUE"""),1318.06)</f>
        <v>1318.06</v>
      </c>
      <c r="C4134" s="2">
        <f>IFERROR(__xludf.DUMMYFUNCTION("""COMPUTED_VALUE"""),1324.25)</f>
        <v>1324.25</v>
      </c>
      <c r="D4134" s="2">
        <f>IFERROR(__xludf.DUMMYFUNCTION("""COMPUTED_VALUE"""),1304.29)</f>
        <v>1304.29</v>
      </c>
      <c r="E4134" s="2">
        <f>IFERROR(__xludf.DUMMYFUNCTION("""COMPUTED_VALUE"""),1311.97)</f>
        <v>1311.97</v>
      </c>
      <c r="F4134" s="2">
        <f>IFERROR(__xludf.DUMMYFUNCTION("""COMPUTED_VALUE"""),7951992.0)</f>
        <v>7951992</v>
      </c>
    </row>
    <row r="4135">
      <c r="A4135" s="3">
        <f>IFERROR(__xludf.DUMMYFUNCTION("""COMPUTED_VALUE"""),43550.64583333333)</f>
        <v>43550.64583</v>
      </c>
      <c r="B4135" s="2">
        <f>IFERROR(__xludf.DUMMYFUNCTION("""COMPUTED_VALUE"""),1317.76)</f>
        <v>1317.76</v>
      </c>
      <c r="C4135" s="2">
        <f>IFERROR(__xludf.DUMMYFUNCTION("""COMPUTED_VALUE"""),1358.67)</f>
        <v>1358.67</v>
      </c>
      <c r="D4135" s="2">
        <f>IFERROR(__xludf.DUMMYFUNCTION("""COMPUTED_VALUE"""),1317.46)</f>
        <v>1317.46</v>
      </c>
      <c r="E4135" s="2">
        <f>IFERROR(__xludf.DUMMYFUNCTION("""COMPUTED_VALUE"""),1354.36)</f>
        <v>1354.36</v>
      </c>
      <c r="F4135" s="2">
        <f>IFERROR(__xludf.DUMMYFUNCTION("""COMPUTED_VALUE"""),9479288.0)</f>
        <v>9479288</v>
      </c>
    </row>
    <row r="4136">
      <c r="A4136" s="3">
        <f>IFERROR(__xludf.DUMMYFUNCTION("""COMPUTED_VALUE"""),43551.64583333333)</f>
        <v>43551.64583</v>
      </c>
      <c r="B4136" s="2">
        <f>IFERROR(__xludf.DUMMYFUNCTION("""COMPUTED_VALUE"""),1364.96)</f>
        <v>1364.96</v>
      </c>
      <c r="C4136" s="2">
        <f>IFERROR(__xludf.DUMMYFUNCTION("""COMPUTED_VALUE"""),1364.96)</f>
        <v>1364.96</v>
      </c>
      <c r="D4136" s="2">
        <f>IFERROR(__xludf.DUMMYFUNCTION("""COMPUTED_VALUE"""),1331.58)</f>
        <v>1331.58</v>
      </c>
      <c r="E4136" s="2">
        <f>IFERROR(__xludf.DUMMYFUNCTION("""COMPUTED_VALUE"""),1336.53)</f>
        <v>1336.53</v>
      </c>
      <c r="F4136" s="2">
        <f>IFERROR(__xludf.DUMMYFUNCTION("""COMPUTED_VALUE"""),1.0094174E7)</f>
        <v>10094174</v>
      </c>
    </row>
    <row r="4137">
      <c r="A4137" s="3">
        <f>IFERROR(__xludf.DUMMYFUNCTION("""COMPUTED_VALUE"""),43552.64583333333)</f>
        <v>43552.64583</v>
      </c>
      <c r="B4137" s="2">
        <f>IFERROR(__xludf.DUMMYFUNCTION("""COMPUTED_VALUE"""),1337.52)</f>
        <v>1337.52</v>
      </c>
      <c r="C4137" s="2">
        <f>IFERROR(__xludf.DUMMYFUNCTION("""COMPUTED_VALUE"""),1356.89)</f>
        <v>1356.89</v>
      </c>
      <c r="D4137" s="2">
        <f>IFERROR(__xludf.DUMMYFUNCTION("""COMPUTED_VALUE"""),1330.14)</f>
        <v>1330.14</v>
      </c>
      <c r="E4137" s="2">
        <f>IFERROR(__xludf.DUMMYFUNCTION("""COMPUTED_VALUE"""),1347.18)</f>
        <v>1347.18</v>
      </c>
      <c r="F4137" s="2">
        <f>IFERROR(__xludf.DUMMYFUNCTION("""COMPUTED_VALUE"""),1.0482938E7)</f>
        <v>10482938</v>
      </c>
    </row>
    <row r="4138">
      <c r="A4138" s="3">
        <f>IFERROR(__xludf.DUMMYFUNCTION("""COMPUTED_VALUE"""),43553.64583333333)</f>
        <v>43553.64583</v>
      </c>
      <c r="B4138" s="2">
        <f>IFERROR(__xludf.DUMMYFUNCTION("""COMPUTED_VALUE"""),1357.14)</f>
        <v>1357.14</v>
      </c>
      <c r="C4138" s="2">
        <f>IFERROR(__xludf.DUMMYFUNCTION("""COMPUTED_VALUE"""),1363.87)</f>
        <v>1363.87</v>
      </c>
      <c r="D4138" s="2">
        <f>IFERROR(__xludf.DUMMYFUNCTION("""COMPUTED_VALUE"""),1342.33)</f>
        <v>1342.33</v>
      </c>
      <c r="E4138" s="2">
        <f>IFERROR(__xludf.DUMMYFUNCTION("""COMPUTED_VALUE"""),1350.4)</f>
        <v>1350.4</v>
      </c>
      <c r="F4138" s="2">
        <f>IFERROR(__xludf.DUMMYFUNCTION("""COMPUTED_VALUE"""),7699271.0)</f>
        <v>7699271</v>
      </c>
    </row>
    <row r="4139">
      <c r="A4139" s="3">
        <f>IFERROR(__xludf.DUMMYFUNCTION("""COMPUTED_VALUE"""),43556.64583333333)</f>
        <v>43556.64583</v>
      </c>
      <c r="B4139" s="2">
        <f>IFERROR(__xludf.DUMMYFUNCTION("""COMPUTED_VALUE"""),1357.09)</f>
        <v>1357.09</v>
      </c>
      <c r="C4139" s="2">
        <f>IFERROR(__xludf.DUMMYFUNCTION("""COMPUTED_VALUE"""),1393.54)</f>
        <v>1393.54</v>
      </c>
      <c r="D4139" s="2">
        <f>IFERROR(__xludf.DUMMYFUNCTION("""COMPUTED_VALUE"""),1349.71)</f>
        <v>1349.71</v>
      </c>
      <c r="E4139" s="2">
        <f>IFERROR(__xludf.DUMMYFUNCTION("""COMPUTED_VALUE"""),1378.73)</f>
        <v>1378.73</v>
      </c>
      <c r="F4139" s="2">
        <f>IFERROR(__xludf.DUMMYFUNCTION("""COMPUTED_VALUE"""),1.0098281E7)</f>
        <v>10098281</v>
      </c>
    </row>
    <row r="4140">
      <c r="A4140" s="3">
        <f>IFERROR(__xludf.DUMMYFUNCTION("""COMPUTED_VALUE"""),43557.64583333333)</f>
        <v>43557.64583</v>
      </c>
      <c r="B4140" s="2">
        <f>IFERROR(__xludf.DUMMYFUNCTION("""COMPUTED_VALUE"""),1384.82)</f>
        <v>1384.82</v>
      </c>
      <c r="C4140" s="2">
        <f>IFERROR(__xludf.DUMMYFUNCTION("""COMPUTED_VALUE"""),1389.87)</f>
        <v>1389.87</v>
      </c>
      <c r="D4140" s="2">
        <f>IFERROR(__xludf.DUMMYFUNCTION("""COMPUTED_VALUE"""),1367.09)</f>
        <v>1367.09</v>
      </c>
      <c r="E4140" s="2">
        <f>IFERROR(__xludf.DUMMYFUNCTION("""COMPUTED_VALUE"""),1376.6)</f>
        <v>1376.6</v>
      </c>
      <c r="F4140" s="2">
        <f>IFERROR(__xludf.DUMMYFUNCTION("""COMPUTED_VALUE"""),8012636.0)</f>
        <v>8012636</v>
      </c>
    </row>
    <row r="4141">
      <c r="A4141" s="3">
        <f>IFERROR(__xludf.DUMMYFUNCTION("""COMPUTED_VALUE"""),43558.64583333333)</f>
        <v>43558.64583</v>
      </c>
      <c r="B4141" s="2">
        <f>IFERROR(__xludf.DUMMYFUNCTION("""COMPUTED_VALUE"""),1379.62)</f>
        <v>1379.62</v>
      </c>
      <c r="C4141" s="2">
        <f>IFERROR(__xludf.DUMMYFUNCTION("""COMPUTED_VALUE"""),1389.78)</f>
        <v>1389.78</v>
      </c>
      <c r="D4141" s="2">
        <f>IFERROR(__xludf.DUMMYFUNCTION("""COMPUTED_VALUE"""),1359.07)</f>
        <v>1359.07</v>
      </c>
      <c r="E4141" s="2">
        <f>IFERROR(__xludf.DUMMYFUNCTION("""COMPUTED_VALUE"""),1362.24)</f>
        <v>1362.24</v>
      </c>
      <c r="F4141" s="2">
        <f>IFERROR(__xludf.DUMMYFUNCTION("""COMPUTED_VALUE"""),7849461.0)</f>
        <v>7849461</v>
      </c>
    </row>
    <row r="4142">
      <c r="A4142" s="3">
        <f>IFERROR(__xludf.DUMMYFUNCTION("""COMPUTED_VALUE"""),43559.64583333333)</f>
        <v>43559.64583</v>
      </c>
      <c r="B4142" s="2">
        <f>IFERROR(__xludf.DUMMYFUNCTION("""COMPUTED_VALUE"""),1366.0)</f>
        <v>1366</v>
      </c>
      <c r="C4142" s="2">
        <f>IFERROR(__xludf.DUMMYFUNCTION("""COMPUTED_VALUE"""),1370.66)</f>
        <v>1370.66</v>
      </c>
      <c r="D4142" s="2">
        <f>IFERROR(__xludf.DUMMYFUNCTION("""COMPUTED_VALUE"""),1334.55)</f>
        <v>1334.55</v>
      </c>
      <c r="E4142" s="2">
        <f>IFERROR(__xludf.DUMMYFUNCTION("""COMPUTED_VALUE"""),1340.3)</f>
        <v>1340.3</v>
      </c>
      <c r="F4142" s="2">
        <f>IFERROR(__xludf.DUMMYFUNCTION("""COMPUTED_VALUE"""),8375674.0)</f>
        <v>8375674</v>
      </c>
    </row>
    <row r="4143">
      <c r="A4143" s="3">
        <f>IFERROR(__xludf.DUMMYFUNCTION("""COMPUTED_VALUE"""),43560.64583333333)</f>
        <v>43560.64583</v>
      </c>
      <c r="B4143" s="2">
        <f>IFERROR(__xludf.DUMMYFUNCTION("""COMPUTED_VALUE"""),1348.12)</f>
        <v>1348.12</v>
      </c>
      <c r="C4143" s="2">
        <f>IFERROR(__xludf.DUMMYFUNCTION("""COMPUTED_VALUE"""),1351.04)</f>
        <v>1351.04</v>
      </c>
      <c r="D4143" s="2">
        <f>IFERROR(__xludf.DUMMYFUNCTION("""COMPUTED_VALUE"""),1330.34)</f>
        <v>1330.34</v>
      </c>
      <c r="E4143" s="2">
        <f>IFERROR(__xludf.DUMMYFUNCTION("""COMPUTED_VALUE"""),1341.14)</f>
        <v>1341.14</v>
      </c>
      <c r="F4143" s="2">
        <f>IFERROR(__xludf.DUMMYFUNCTION("""COMPUTED_VALUE"""),6728239.0)</f>
        <v>6728239</v>
      </c>
    </row>
    <row r="4144">
      <c r="A4144" s="3">
        <f>IFERROR(__xludf.DUMMYFUNCTION("""COMPUTED_VALUE"""),43563.64583333333)</f>
        <v>43563.64583</v>
      </c>
      <c r="B4144" s="2">
        <f>IFERROR(__xludf.DUMMYFUNCTION("""COMPUTED_VALUE"""),1343.22)</f>
        <v>1343.22</v>
      </c>
      <c r="C4144" s="2">
        <f>IFERROR(__xludf.DUMMYFUNCTION("""COMPUTED_VALUE"""),1344.7)</f>
        <v>1344.7</v>
      </c>
      <c r="D4144" s="2">
        <f>IFERROR(__xludf.DUMMYFUNCTION("""COMPUTED_VALUE"""),1311.22)</f>
        <v>1311.22</v>
      </c>
      <c r="E4144" s="2">
        <f>IFERROR(__xludf.DUMMYFUNCTION("""COMPUTED_VALUE"""),1316.72)</f>
        <v>1316.72</v>
      </c>
      <c r="F4144" s="2">
        <f>IFERROR(__xludf.DUMMYFUNCTION("""COMPUTED_VALUE"""),8723577.0)</f>
        <v>8723577</v>
      </c>
    </row>
    <row r="4145">
      <c r="A4145" s="3">
        <f>IFERROR(__xludf.DUMMYFUNCTION("""COMPUTED_VALUE"""),43564.64583333333)</f>
        <v>43564.64583</v>
      </c>
      <c r="B4145" s="2">
        <f>IFERROR(__xludf.DUMMYFUNCTION("""COMPUTED_VALUE"""),1316.37)</f>
        <v>1316.37</v>
      </c>
      <c r="C4145" s="2">
        <f>IFERROR(__xludf.DUMMYFUNCTION("""COMPUTED_VALUE"""),1328.06)</f>
        <v>1328.06</v>
      </c>
      <c r="D4145" s="2">
        <f>IFERROR(__xludf.DUMMYFUNCTION("""COMPUTED_VALUE"""),1308.55)</f>
        <v>1308.55</v>
      </c>
      <c r="E4145" s="2">
        <f>IFERROR(__xludf.DUMMYFUNCTION("""COMPUTED_VALUE"""),1321.87)</f>
        <v>1321.87</v>
      </c>
      <c r="F4145" s="2">
        <f>IFERROR(__xludf.DUMMYFUNCTION("""COMPUTED_VALUE"""),9497621.0)</f>
        <v>9497621</v>
      </c>
    </row>
    <row r="4146">
      <c r="A4146" s="3">
        <f>IFERROR(__xludf.DUMMYFUNCTION("""COMPUTED_VALUE"""),43565.64583333333)</f>
        <v>43565.64583</v>
      </c>
      <c r="B4146" s="2">
        <f>IFERROR(__xludf.DUMMYFUNCTION("""COMPUTED_VALUE"""),1325.34)</f>
        <v>1325.34</v>
      </c>
      <c r="C4146" s="2">
        <f>IFERROR(__xludf.DUMMYFUNCTION("""COMPUTED_VALUE"""),1335.29)</f>
        <v>1335.29</v>
      </c>
      <c r="D4146" s="2">
        <f>IFERROR(__xludf.DUMMYFUNCTION("""COMPUTED_VALUE"""),1314.0)</f>
        <v>1314</v>
      </c>
      <c r="E4146" s="2">
        <f>IFERROR(__xludf.DUMMYFUNCTION("""COMPUTED_VALUE"""),1318.85)</f>
        <v>1318.85</v>
      </c>
      <c r="F4146" s="2">
        <f>IFERROR(__xludf.DUMMYFUNCTION("""COMPUTED_VALUE"""),7612711.0)</f>
        <v>7612711</v>
      </c>
    </row>
    <row r="4147">
      <c r="A4147" s="3">
        <f>IFERROR(__xludf.DUMMYFUNCTION("""COMPUTED_VALUE"""),43566.64583333333)</f>
        <v>43566.64583</v>
      </c>
      <c r="B4147" s="2">
        <f>IFERROR(__xludf.DUMMYFUNCTION("""COMPUTED_VALUE"""),1320.39)</f>
        <v>1320.39</v>
      </c>
      <c r="C4147" s="2">
        <f>IFERROR(__xludf.DUMMYFUNCTION("""COMPUTED_VALUE"""),1340.25)</f>
        <v>1340.25</v>
      </c>
      <c r="D4147" s="2">
        <f>IFERROR(__xludf.DUMMYFUNCTION("""COMPUTED_VALUE"""),1316.47)</f>
        <v>1316.47</v>
      </c>
      <c r="E4147" s="2">
        <f>IFERROR(__xludf.DUMMYFUNCTION("""COMPUTED_VALUE"""),1334.1)</f>
        <v>1334.1</v>
      </c>
      <c r="F4147" s="2">
        <f>IFERROR(__xludf.DUMMYFUNCTION("""COMPUTED_VALUE"""),5741333.0)</f>
        <v>5741333</v>
      </c>
    </row>
    <row r="4148">
      <c r="A4148" s="3">
        <f>IFERROR(__xludf.DUMMYFUNCTION("""COMPUTED_VALUE"""),43567.64583333333)</f>
        <v>43567.64583</v>
      </c>
      <c r="B4148" s="2">
        <f>IFERROR(__xludf.DUMMYFUNCTION("""COMPUTED_VALUE"""),1337.27)</f>
        <v>1337.27</v>
      </c>
      <c r="C4148" s="2">
        <f>IFERROR(__xludf.DUMMYFUNCTION("""COMPUTED_VALUE"""),1344.11)</f>
        <v>1344.11</v>
      </c>
      <c r="D4148" s="2">
        <f>IFERROR(__xludf.DUMMYFUNCTION("""COMPUTED_VALUE"""),1324.05)</f>
        <v>1324.05</v>
      </c>
      <c r="E4148" s="2">
        <f>IFERROR(__xludf.DUMMYFUNCTION("""COMPUTED_VALUE"""),1330.44)</f>
        <v>1330.44</v>
      </c>
      <c r="F4148" s="2">
        <f>IFERROR(__xludf.DUMMYFUNCTION("""COMPUTED_VALUE"""),5919742.0)</f>
        <v>5919742</v>
      </c>
    </row>
    <row r="4149">
      <c r="A4149" s="3">
        <f>IFERROR(__xludf.DUMMYFUNCTION("""COMPUTED_VALUE"""),43570.64583333333)</f>
        <v>43570.64583</v>
      </c>
      <c r="B4149" s="2">
        <f>IFERROR(__xludf.DUMMYFUNCTION("""COMPUTED_VALUE"""),1332.32)</f>
        <v>1332.32</v>
      </c>
      <c r="C4149" s="2">
        <f>IFERROR(__xludf.DUMMYFUNCTION("""COMPUTED_VALUE"""),1336.23)</f>
        <v>1336.23</v>
      </c>
      <c r="D4149" s="2">
        <f>IFERROR(__xludf.DUMMYFUNCTION("""COMPUTED_VALUE"""),1322.42)</f>
        <v>1322.42</v>
      </c>
      <c r="E4149" s="2">
        <f>IFERROR(__xludf.DUMMYFUNCTION("""COMPUTED_VALUE"""),1327.52)</f>
        <v>1327.52</v>
      </c>
      <c r="F4149" s="2">
        <f>IFERROR(__xludf.DUMMYFUNCTION("""COMPUTED_VALUE"""),4245127.0)</f>
        <v>4245127</v>
      </c>
    </row>
    <row r="4150">
      <c r="A4150" s="3">
        <f>IFERROR(__xludf.DUMMYFUNCTION("""COMPUTED_VALUE"""),43571.64583333333)</f>
        <v>43571.64583</v>
      </c>
      <c r="B4150" s="2">
        <f>IFERROR(__xludf.DUMMYFUNCTION("""COMPUTED_VALUE"""),1332.32)</f>
        <v>1332.32</v>
      </c>
      <c r="C4150" s="2">
        <f>IFERROR(__xludf.DUMMYFUNCTION("""COMPUTED_VALUE"""),1347.18)</f>
        <v>1347.18</v>
      </c>
      <c r="D4150" s="2">
        <f>IFERROR(__xludf.DUMMYFUNCTION("""COMPUTED_VALUE"""),1327.37)</f>
        <v>1327.37</v>
      </c>
      <c r="E4150" s="2">
        <f>IFERROR(__xludf.DUMMYFUNCTION("""COMPUTED_VALUE"""),1331.08)</f>
        <v>1331.08</v>
      </c>
      <c r="F4150" s="2">
        <f>IFERROR(__xludf.DUMMYFUNCTION("""COMPUTED_VALUE"""),7936553.0)</f>
        <v>7936553</v>
      </c>
    </row>
    <row r="4151">
      <c r="A4151" s="3">
        <f>IFERROR(__xludf.DUMMYFUNCTION("""COMPUTED_VALUE"""),43573.64583333333)</f>
        <v>43573.64583</v>
      </c>
      <c r="B4151" s="2">
        <f>IFERROR(__xludf.DUMMYFUNCTION("""COMPUTED_VALUE"""),1362.04)</f>
        <v>1362.04</v>
      </c>
      <c r="C4151" s="2">
        <f>IFERROR(__xludf.DUMMYFUNCTION("""COMPUTED_VALUE"""),1376.65)</f>
        <v>1376.65</v>
      </c>
      <c r="D4151" s="2">
        <f>IFERROR(__xludf.DUMMYFUNCTION("""COMPUTED_VALUE"""),1352.13)</f>
        <v>1352.13</v>
      </c>
      <c r="E4151" s="2">
        <f>IFERROR(__xludf.DUMMYFUNCTION("""COMPUTED_VALUE"""),1372.89)</f>
        <v>1372.89</v>
      </c>
      <c r="F4151" s="2">
        <f>IFERROR(__xludf.DUMMYFUNCTION("""COMPUTED_VALUE"""),1.7960482E7)</f>
        <v>17960482</v>
      </c>
    </row>
    <row r="4152">
      <c r="A4152" s="3">
        <f>IFERROR(__xludf.DUMMYFUNCTION("""COMPUTED_VALUE"""),43577.64583333333)</f>
        <v>43577.64583</v>
      </c>
      <c r="B4152" s="2">
        <f>IFERROR(__xludf.DUMMYFUNCTION("""COMPUTED_VALUE"""),1347.18)</f>
        <v>1347.18</v>
      </c>
      <c r="C4152" s="2">
        <f>IFERROR(__xludf.DUMMYFUNCTION("""COMPUTED_VALUE"""),1354.11)</f>
        <v>1354.11</v>
      </c>
      <c r="D4152" s="2">
        <f>IFERROR(__xludf.DUMMYFUNCTION("""COMPUTED_VALUE"""),1328.66)</f>
        <v>1328.66</v>
      </c>
      <c r="E4152" s="2">
        <f>IFERROR(__xludf.DUMMYFUNCTION("""COMPUTED_VALUE"""),1332.67)</f>
        <v>1332.67</v>
      </c>
      <c r="F4152" s="2">
        <f>IFERROR(__xludf.DUMMYFUNCTION("""COMPUTED_VALUE"""),1.0792748E7)</f>
        <v>10792748</v>
      </c>
    </row>
    <row r="4153">
      <c r="A4153" s="3">
        <f>IFERROR(__xludf.DUMMYFUNCTION("""COMPUTED_VALUE"""),43578.64583333333)</f>
        <v>43578.64583</v>
      </c>
      <c r="B4153" s="2">
        <f>IFERROR(__xludf.DUMMYFUNCTION("""COMPUTED_VALUE"""),1335.29)</f>
        <v>1335.29</v>
      </c>
      <c r="C4153" s="2">
        <f>IFERROR(__xludf.DUMMYFUNCTION("""COMPUTED_VALUE"""),1360.06)</f>
        <v>1360.06</v>
      </c>
      <c r="D4153" s="2">
        <f>IFERROR(__xludf.DUMMYFUNCTION("""COMPUTED_VALUE"""),1333.31)</f>
        <v>1333.31</v>
      </c>
      <c r="E4153" s="2">
        <f>IFERROR(__xludf.DUMMYFUNCTION("""COMPUTED_VALUE"""),1350.99)</f>
        <v>1350.99</v>
      </c>
      <c r="F4153" s="2">
        <f>IFERROR(__xludf.DUMMYFUNCTION("""COMPUTED_VALUE"""),9055300.0)</f>
        <v>9055300</v>
      </c>
    </row>
    <row r="4154">
      <c r="A4154" s="3">
        <f>IFERROR(__xludf.DUMMYFUNCTION("""COMPUTED_VALUE"""),43579.64583333333)</f>
        <v>43579.64583</v>
      </c>
      <c r="B4154" s="2">
        <f>IFERROR(__xludf.DUMMYFUNCTION("""COMPUTED_VALUE"""),1357.38)</f>
        <v>1357.38</v>
      </c>
      <c r="C4154" s="2">
        <f>IFERROR(__xludf.DUMMYFUNCTION("""COMPUTED_VALUE"""),1381.65)</f>
        <v>1381.65</v>
      </c>
      <c r="D4154" s="2">
        <f>IFERROR(__xludf.DUMMYFUNCTION("""COMPUTED_VALUE"""),1353.37)</f>
        <v>1353.37</v>
      </c>
      <c r="E4154" s="2">
        <f>IFERROR(__xludf.DUMMYFUNCTION("""COMPUTED_VALUE"""),1376.4)</f>
        <v>1376.4</v>
      </c>
      <c r="F4154" s="2">
        <f>IFERROR(__xludf.DUMMYFUNCTION("""COMPUTED_VALUE"""),7360887.0)</f>
        <v>7360887</v>
      </c>
    </row>
    <row r="4155">
      <c r="A4155" s="3">
        <f>IFERROR(__xludf.DUMMYFUNCTION("""COMPUTED_VALUE"""),43580.64583333333)</f>
        <v>43580.64583</v>
      </c>
      <c r="B4155" s="2">
        <f>IFERROR(__xludf.DUMMYFUNCTION("""COMPUTED_VALUE"""),1376.01)</f>
        <v>1376.01</v>
      </c>
      <c r="C4155" s="2">
        <f>IFERROR(__xludf.DUMMYFUNCTION("""COMPUTED_VALUE"""),1399.09)</f>
        <v>1399.09</v>
      </c>
      <c r="D4155" s="2">
        <f>IFERROR(__xludf.DUMMYFUNCTION("""COMPUTED_VALUE"""),1349.76)</f>
        <v>1349.76</v>
      </c>
      <c r="E4155" s="2">
        <f>IFERROR(__xludf.DUMMYFUNCTION("""COMPUTED_VALUE"""),1359.46)</f>
        <v>1359.46</v>
      </c>
      <c r="F4155" s="2">
        <f>IFERROR(__xludf.DUMMYFUNCTION("""COMPUTED_VALUE"""),1.392982E7)</f>
        <v>13929820</v>
      </c>
    </row>
    <row r="4156">
      <c r="A4156" s="3">
        <f>IFERROR(__xludf.DUMMYFUNCTION("""COMPUTED_VALUE"""),43581.64583333333)</f>
        <v>43581.64583</v>
      </c>
      <c r="B4156" s="2">
        <f>IFERROR(__xludf.DUMMYFUNCTION("""COMPUTED_VALUE"""),1362.04)</f>
        <v>1362.04</v>
      </c>
      <c r="C4156" s="2">
        <f>IFERROR(__xludf.DUMMYFUNCTION("""COMPUTED_VALUE"""),1382.79)</f>
        <v>1382.79</v>
      </c>
      <c r="D4156" s="2">
        <f>IFERROR(__xludf.DUMMYFUNCTION("""COMPUTED_VALUE"""),1357.78)</f>
        <v>1357.78</v>
      </c>
      <c r="E4156" s="2">
        <f>IFERROR(__xludf.DUMMYFUNCTION("""COMPUTED_VALUE"""),1379.67)</f>
        <v>1379.67</v>
      </c>
      <c r="F4156" s="2">
        <f>IFERROR(__xludf.DUMMYFUNCTION("""COMPUTED_VALUE"""),6889444.0)</f>
        <v>6889444</v>
      </c>
    </row>
    <row r="4157">
      <c r="A4157" s="3">
        <f>IFERROR(__xludf.DUMMYFUNCTION("""COMPUTED_VALUE"""),43585.64583333333)</f>
        <v>43585.64583</v>
      </c>
      <c r="B4157" s="2">
        <f>IFERROR(__xludf.DUMMYFUNCTION("""COMPUTED_VALUE"""),1383.24)</f>
        <v>1383.24</v>
      </c>
      <c r="C4157" s="2">
        <f>IFERROR(__xludf.DUMMYFUNCTION("""COMPUTED_VALUE"""),1383.24)</f>
        <v>1383.24</v>
      </c>
      <c r="D4157" s="2">
        <f>IFERROR(__xludf.DUMMYFUNCTION("""COMPUTED_VALUE"""),1353.92)</f>
        <v>1353.92</v>
      </c>
      <c r="E4157" s="2">
        <f>IFERROR(__xludf.DUMMYFUNCTION("""COMPUTED_VALUE"""),1379.67)</f>
        <v>1379.67</v>
      </c>
      <c r="F4157" s="2">
        <f>IFERROR(__xludf.DUMMYFUNCTION("""COMPUTED_VALUE"""),1.0217019E7)</f>
        <v>10217019</v>
      </c>
    </row>
    <row r="4158">
      <c r="A4158" s="3">
        <f>IFERROR(__xludf.DUMMYFUNCTION("""COMPUTED_VALUE"""),43587.64583333333)</f>
        <v>43587.64583</v>
      </c>
      <c r="B4158" s="2">
        <f>IFERROR(__xludf.DUMMYFUNCTION("""COMPUTED_VALUE"""),1378.88)</f>
        <v>1378.88</v>
      </c>
      <c r="C4158" s="2">
        <f>IFERROR(__xludf.DUMMYFUNCTION("""COMPUTED_VALUE"""),1400.57)</f>
        <v>1400.57</v>
      </c>
      <c r="D4158" s="2">
        <f>IFERROR(__xludf.DUMMYFUNCTION("""COMPUTED_VALUE"""),1369.07)</f>
        <v>1369.07</v>
      </c>
      <c r="E4158" s="2">
        <f>IFERROR(__xludf.DUMMYFUNCTION("""COMPUTED_VALUE"""),1391.81)</f>
        <v>1391.81</v>
      </c>
      <c r="F4158" s="2">
        <f>IFERROR(__xludf.DUMMYFUNCTION("""COMPUTED_VALUE"""),8682505.0)</f>
        <v>8682505</v>
      </c>
    </row>
    <row r="4159">
      <c r="A4159" s="3">
        <f>IFERROR(__xludf.DUMMYFUNCTION("""COMPUTED_VALUE"""),43588.64583333333)</f>
        <v>43588.64583</v>
      </c>
      <c r="B4159" s="2">
        <f>IFERROR(__xludf.DUMMYFUNCTION("""COMPUTED_VALUE"""),1394.68)</f>
        <v>1394.68</v>
      </c>
      <c r="C4159" s="2">
        <f>IFERROR(__xludf.DUMMYFUNCTION("""COMPUTED_VALUE"""),1404.14)</f>
        <v>1404.14</v>
      </c>
      <c r="D4159" s="2">
        <f>IFERROR(__xludf.DUMMYFUNCTION("""COMPUTED_VALUE"""),1389.43)</f>
        <v>1389.43</v>
      </c>
      <c r="E4159" s="2">
        <f>IFERROR(__xludf.DUMMYFUNCTION("""COMPUTED_VALUE"""),1395.57)</f>
        <v>1395.57</v>
      </c>
      <c r="F4159" s="2">
        <f>IFERROR(__xludf.DUMMYFUNCTION("""COMPUTED_VALUE"""),6510169.0)</f>
        <v>6510169</v>
      </c>
    </row>
    <row r="4160">
      <c r="A4160" s="3">
        <f>IFERROR(__xludf.DUMMYFUNCTION("""COMPUTED_VALUE"""),43591.64583333333)</f>
        <v>43591.64583</v>
      </c>
      <c r="B4160" s="2">
        <f>IFERROR(__xludf.DUMMYFUNCTION("""COMPUTED_VALUE"""),1384.82)</f>
        <v>1384.82</v>
      </c>
      <c r="C4160" s="2">
        <f>IFERROR(__xludf.DUMMYFUNCTION("""COMPUTED_VALUE"""),1389.58)</f>
        <v>1389.58</v>
      </c>
      <c r="D4160" s="2">
        <f>IFERROR(__xludf.DUMMYFUNCTION("""COMPUTED_VALUE"""),1365.11)</f>
        <v>1365.11</v>
      </c>
      <c r="E4160" s="2">
        <f>IFERROR(__xludf.DUMMYFUNCTION("""COMPUTED_VALUE"""),1371.85)</f>
        <v>1371.85</v>
      </c>
      <c r="F4160" s="2">
        <f>IFERROR(__xludf.DUMMYFUNCTION("""COMPUTED_VALUE"""),7237910.0)</f>
        <v>7237910</v>
      </c>
    </row>
    <row r="4161">
      <c r="A4161" s="3">
        <f>IFERROR(__xludf.DUMMYFUNCTION("""COMPUTED_VALUE"""),43592.79166666667)</f>
        <v>43592.79167</v>
      </c>
      <c r="B4161" s="2">
        <f>IFERROR(__xludf.DUMMYFUNCTION("""COMPUTED_VALUE"""),1381.65)</f>
        <v>1381.65</v>
      </c>
      <c r="C4161" s="2">
        <f>IFERROR(__xludf.DUMMYFUNCTION("""COMPUTED_VALUE"""),1381.85)</f>
        <v>1381.85</v>
      </c>
      <c r="D4161" s="2">
        <f>IFERROR(__xludf.DUMMYFUNCTION("""COMPUTED_VALUE"""),1327.57)</f>
        <v>1327.57</v>
      </c>
      <c r="E4161" s="2">
        <f>IFERROR(__xludf.DUMMYFUNCTION("""COMPUTED_VALUE"""),1330.84)</f>
        <v>1330.84</v>
      </c>
      <c r="F4161" s="2">
        <f>IFERROR(__xludf.DUMMYFUNCTION("""COMPUTED_VALUE"""),8877095.0)</f>
        <v>8877095</v>
      </c>
    </row>
    <row r="4162">
      <c r="A4162" s="3">
        <f>IFERROR(__xludf.DUMMYFUNCTION("""COMPUTED_VALUE"""),43593.64583333333)</f>
        <v>43593.64583</v>
      </c>
      <c r="B4162" s="2">
        <f>IFERROR(__xludf.DUMMYFUNCTION("""COMPUTED_VALUE"""),1327.37)</f>
        <v>1327.37</v>
      </c>
      <c r="C4162" s="2">
        <f>IFERROR(__xludf.DUMMYFUNCTION("""COMPUTED_VALUE"""),1327.37)</f>
        <v>1327.37</v>
      </c>
      <c r="D4162" s="2">
        <f>IFERROR(__xludf.DUMMYFUNCTION("""COMPUTED_VALUE"""),1280.02)</f>
        <v>1280.02</v>
      </c>
      <c r="E4162" s="2">
        <f>IFERROR(__xludf.DUMMYFUNCTION("""COMPUTED_VALUE"""),1287.2)</f>
        <v>1287.2</v>
      </c>
      <c r="F4162" s="2">
        <f>IFERROR(__xludf.DUMMYFUNCTION("""COMPUTED_VALUE"""),1.4610543E7)</f>
        <v>14610543</v>
      </c>
    </row>
    <row r="4163">
      <c r="A4163" s="3">
        <f>IFERROR(__xludf.DUMMYFUNCTION("""COMPUTED_VALUE"""),43594.64583333333)</f>
        <v>43594.64583</v>
      </c>
      <c r="B4163" s="2">
        <f>IFERROR(__xludf.DUMMYFUNCTION("""COMPUTED_VALUE"""),1276.65)</f>
        <v>1276.65</v>
      </c>
      <c r="C4163" s="2">
        <f>IFERROR(__xludf.DUMMYFUNCTION("""COMPUTED_VALUE"""),1276.65)</f>
        <v>1276.65</v>
      </c>
      <c r="D4163" s="2">
        <f>IFERROR(__xludf.DUMMYFUNCTION("""COMPUTED_VALUE"""),1239.95)</f>
        <v>1239.95</v>
      </c>
      <c r="E4163" s="2">
        <f>IFERROR(__xludf.DUMMYFUNCTION("""COMPUTED_VALUE"""),1244.61)</f>
        <v>1244.61</v>
      </c>
      <c r="F4163" s="2">
        <f>IFERROR(__xludf.DUMMYFUNCTION("""COMPUTED_VALUE"""),1.9507368E7)</f>
        <v>19507368</v>
      </c>
    </row>
    <row r="4164">
      <c r="A4164" s="3">
        <f>IFERROR(__xludf.DUMMYFUNCTION("""COMPUTED_VALUE"""),43595.64583333333)</f>
        <v>43595.64583</v>
      </c>
      <c r="B4164" s="2">
        <f>IFERROR(__xludf.DUMMYFUNCTION("""COMPUTED_VALUE"""),1253.08)</f>
        <v>1253.08</v>
      </c>
      <c r="C4164" s="2">
        <f>IFERROR(__xludf.DUMMYFUNCTION("""COMPUTED_VALUE"""),1265.66)</f>
        <v>1265.66</v>
      </c>
      <c r="D4164" s="2">
        <f>IFERROR(__xludf.DUMMYFUNCTION("""COMPUTED_VALUE"""),1233.26)</f>
        <v>1233.26</v>
      </c>
      <c r="E4164" s="2">
        <f>IFERROR(__xludf.DUMMYFUNCTION("""COMPUTED_VALUE"""),1239.36)</f>
        <v>1239.36</v>
      </c>
      <c r="F4164" s="2">
        <f>IFERROR(__xludf.DUMMYFUNCTION("""COMPUTED_VALUE"""),1.1226831E7)</f>
        <v>11226831</v>
      </c>
    </row>
    <row r="4165">
      <c r="A4165" s="3">
        <f>IFERROR(__xludf.DUMMYFUNCTION("""COMPUTED_VALUE"""),43598.64583333333)</f>
        <v>43598.64583</v>
      </c>
      <c r="B4165" s="2">
        <f>IFERROR(__xludf.DUMMYFUNCTION("""COMPUTED_VALUE"""),1236.14)</f>
        <v>1236.14</v>
      </c>
      <c r="C4165" s="2">
        <f>IFERROR(__xludf.DUMMYFUNCTION("""COMPUTED_VALUE"""),1248.92)</f>
        <v>1248.92</v>
      </c>
      <c r="D4165" s="2">
        <f>IFERROR(__xludf.DUMMYFUNCTION("""COMPUTED_VALUE"""),1215.93)</f>
        <v>1215.93</v>
      </c>
      <c r="E4165" s="2">
        <f>IFERROR(__xludf.DUMMYFUNCTION("""COMPUTED_VALUE"""),1220.44)</f>
        <v>1220.44</v>
      </c>
      <c r="F4165" s="2">
        <f>IFERROR(__xludf.DUMMYFUNCTION("""COMPUTED_VALUE"""),8047801.0)</f>
        <v>8047801</v>
      </c>
    </row>
    <row r="4166">
      <c r="A4166" s="3">
        <f>IFERROR(__xludf.DUMMYFUNCTION("""COMPUTED_VALUE"""),43599.64583333333)</f>
        <v>43599.64583</v>
      </c>
      <c r="B4166" s="2">
        <f>IFERROR(__xludf.DUMMYFUNCTION("""COMPUTED_VALUE"""),1224.84)</f>
        <v>1224.84</v>
      </c>
      <c r="C4166" s="2">
        <f>IFERROR(__xludf.DUMMYFUNCTION("""COMPUTED_VALUE"""),1257.38)</f>
        <v>1257.38</v>
      </c>
      <c r="D4166" s="2">
        <f>IFERROR(__xludf.DUMMYFUNCTION("""COMPUTED_VALUE"""),1219.89)</f>
        <v>1219.89</v>
      </c>
      <c r="E4166" s="2">
        <f>IFERROR(__xludf.DUMMYFUNCTION("""COMPUTED_VALUE"""),1248.57)</f>
        <v>1248.57</v>
      </c>
      <c r="F4166" s="2">
        <f>IFERROR(__xludf.DUMMYFUNCTION("""COMPUTED_VALUE"""),1.3001004E7)</f>
        <v>13001004</v>
      </c>
    </row>
    <row r="4167">
      <c r="A4167" s="3">
        <f>IFERROR(__xludf.DUMMYFUNCTION("""COMPUTED_VALUE"""),43600.64583333333)</f>
        <v>43600.64583</v>
      </c>
      <c r="B4167" s="2">
        <f>IFERROR(__xludf.DUMMYFUNCTION("""COMPUTED_VALUE"""),1261.0)</f>
        <v>1261</v>
      </c>
      <c r="C4167" s="2">
        <f>IFERROR(__xludf.DUMMYFUNCTION("""COMPUTED_VALUE"""),1265.95)</f>
        <v>1265.95</v>
      </c>
      <c r="D4167" s="2">
        <f>IFERROR(__xludf.DUMMYFUNCTION("""COMPUTED_VALUE"""),1238.81)</f>
        <v>1238.81</v>
      </c>
      <c r="E4167" s="2">
        <f>IFERROR(__xludf.DUMMYFUNCTION("""COMPUTED_VALUE"""),1245.05)</f>
        <v>1245.05</v>
      </c>
      <c r="F4167" s="2">
        <f>IFERROR(__xludf.DUMMYFUNCTION("""COMPUTED_VALUE"""),1.1163801E7)</f>
        <v>11163801</v>
      </c>
    </row>
    <row r="4168">
      <c r="A4168" s="3">
        <f>IFERROR(__xludf.DUMMYFUNCTION("""COMPUTED_VALUE"""),43601.64583333333)</f>
        <v>43601.64583</v>
      </c>
      <c r="B4168" s="2">
        <f>IFERROR(__xludf.DUMMYFUNCTION("""COMPUTED_VALUE"""),1248.07)</f>
        <v>1248.07</v>
      </c>
      <c r="C4168" s="2">
        <f>IFERROR(__xludf.DUMMYFUNCTION("""COMPUTED_VALUE"""),1259.91)</f>
        <v>1259.91</v>
      </c>
      <c r="D4168" s="2">
        <f>IFERROR(__xludf.DUMMYFUNCTION("""COMPUTED_VALUE"""),1246.24)</f>
        <v>1246.24</v>
      </c>
      <c r="E4168" s="2">
        <f>IFERROR(__xludf.DUMMYFUNCTION("""COMPUTED_VALUE"""),1253.42)</f>
        <v>1253.42</v>
      </c>
      <c r="F4168" s="2">
        <f>IFERROR(__xludf.DUMMYFUNCTION("""COMPUTED_VALUE"""),6606652.0)</f>
        <v>6606652</v>
      </c>
    </row>
    <row r="4169">
      <c r="A4169" s="3">
        <f>IFERROR(__xludf.DUMMYFUNCTION("""COMPUTED_VALUE"""),43602.64583333333)</f>
        <v>43602.64583</v>
      </c>
      <c r="B4169" s="2">
        <f>IFERROR(__xludf.DUMMYFUNCTION("""COMPUTED_VALUE"""),1255.06)</f>
        <v>1255.06</v>
      </c>
      <c r="C4169" s="2">
        <f>IFERROR(__xludf.DUMMYFUNCTION("""COMPUTED_VALUE"""),1264.91)</f>
        <v>1264.91</v>
      </c>
      <c r="D4169" s="2">
        <f>IFERROR(__xludf.DUMMYFUNCTION("""COMPUTED_VALUE"""),1240.2)</f>
        <v>1240.2</v>
      </c>
      <c r="E4169" s="2">
        <f>IFERROR(__xludf.DUMMYFUNCTION("""COMPUTED_VALUE"""),1255.45)</f>
        <v>1255.45</v>
      </c>
      <c r="F4169" s="2">
        <f>IFERROR(__xludf.DUMMYFUNCTION("""COMPUTED_VALUE"""),7898440.0)</f>
        <v>7898440</v>
      </c>
    </row>
    <row r="4170">
      <c r="A4170" s="3">
        <f>IFERROR(__xludf.DUMMYFUNCTION("""COMPUTED_VALUE"""),43605.64583333333)</f>
        <v>43605.64583</v>
      </c>
      <c r="B4170" s="2">
        <f>IFERROR(__xludf.DUMMYFUNCTION("""COMPUTED_VALUE"""),1301.22)</f>
        <v>1301.22</v>
      </c>
      <c r="C4170" s="2">
        <f>IFERROR(__xludf.DUMMYFUNCTION("""COMPUTED_VALUE"""),1325.09)</f>
        <v>1325.09</v>
      </c>
      <c r="D4170" s="2">
        <f>IFERROR(__xludf.DUMMYFUNCTION("""COMPUTED_VALUE"""),1291.21)</f>
        <v>1291.21</v>
      </c>
      <c r="E4170" s="2">
        <f>IFERROR(__xludf.DUMMYFUNCTION("""COMPUTED_VALUE"""),1313.4)</f>
        <v>1313.4</v>
      </c>
      <c r="F4170" s="2">
        <f>IFERROR(__xludf.DUMMYFUNCTION("""COMPUTED_VALUE"""),1.2333937E7)</f>
        <v>12333937</v>
      </c>
    </row>
    <row r="4171">
      <c r="A4171" s="3">
        <f>IFERROR(__xludf.DUMMYFUNCTION("""COMPUTED_VALUE"""),43606.64583333333)</f>
        <v>43606.64583</v>
      </c>
      <c r="B4171" s="2">
        <f>IFERROR(__xludf.DUMMYFUNCTION("""COMPUTED_VALUE"""),1319.64)</f>
        <v>1319.64</v>
      </c>
      <c r="C4171" s="2">
        <f>IFERROR(__xludf.DUMMYFUNCTION("""COMPUTED_VALUE"""),1354.11)</f>
        <v>1354.11</v>
      </c>
      <c r="D4171" s="2">
        <f>IFERROR(__xludf.DUMMYFUNCTION("""COMPUTED_VALUE"""),1317.51)</f>
        <v>1317.51</v>
      </c>
      <c r="E4171" s="2">
        <f>IFERROR(__xludf.DUMMYFUNCTION("""COMPUTED_VALUE"""),1327.17)</f>
        <v>1327.17</v>
      </c>
      <c r="F4171" s="2">
        <f>IFERROR(__xludf.DUMMYFUNCTION("""COMPUTED_VALUE"""),1.3872055E7)</f>
        <v>13872055</v>
      </c>
    </row>
    <row r="4172">
      <c r="A4172" s="3">
        <f>IFERROR(__xludf.DUMMYFUNCTION("""COMPUTED_VALUE"""),43607.64583333333)</f>
        <v>43607.64583</v>
      </c>
      <c r="B4172" s="2">
        <f>IFERROR(__xludf.DUMMYFUNCTION("""COMPUTED_VALUE"""),1332.97)</f>
        <v>1332.97</v>
      </c>
      <c r="C4172" s="2">
        <f>IFERROR(__xludf.DUMMYFUNCTION("""COMPUTED_VALUE"""),1346.88)</f>
        <v>1346.88</v>
      </c>
      <c r="D4172" s="2">
        <f>IFERROR(__xludf.DUMMYFUNCTION("""COMPUTED_VALUE"""),1322.52)</f>
        <v>1322.52</v>
      </c>
      <c r="E4172" s="2">
        <f>IFERROR(__xludf.DUMMYFUNCTION("""COMPUTED_VALUE"""),1327.77)</f>
        <v>1327.77</v>
      </c>
      <c r="F4172" s="2">
        <f>IFERROR(__xludf.DUMMYFUNCTION("""COMPUTED_VALUE"""),1.12874E7)</f>
        <v>11287400</v>
      </c>
    </row>
    <row r="4173">
      <c r="A4173" s="3">
        <f>IFERROR(__xludf.DUMMYFUNCTION("""COMPUTED_VALUE"""),43608.64583333333)</f>
        <v>43608.64583</v>
      </c>
      <c r="B4173" s="2">
        <f>IFERROR(__xludf.DUMMYFUNCTION("""COMPUTED_VALUE"""),1359.07)</f>
        <v>1359.07</v>
      </c>
      <c r="C4173" s="2">
        <f>IFERROR(__xludf.DUMMYFUNCTION("""COMPUTED_VALUE"""),1378.88)</f>
        <v>1378.88</v>
      </c>
      <c r="D4173" s="2">
        <f>IFERROR(__xludf.DUMMYFUNCTION("""COMPUTED_VALUE"""),1312.51)</f>
        <v>1312.51</v>
      </c>
      <c r="E4173" s="2">
        <f>IFERROR(__xludf.DUMMYFUNCTION("""COMPUTED_VALUE"""),1321.33)</f>
        <v>1321.33</v>
      </c>
      <c r="F4173" s="2">
        <f>IFERROR(__xludf.DUMMYFUNCTION("""COMPUTED_VALUE"""),1.7722514E7)</f>
        <v>17722514</v>
      </c>
    </row>
    <row r="4174">
      <c r="A4174" s="3">
        <f>IFERROR(__xludf.DUMMYFUNCTION("""COMPUTED_VALUE"""),43609.64583333333)</f>
        <v>43609.64583</v>
      </c>
      <c r="B4174" s="2">
        <f>IFERROR(__xludf.DUMMYFUNCTION("""COMPUTED_VALUE"""),1335.29)</f>
        <v>1335.29</v>
      </c>
      <c r="C4174" s="2">
        <f>IFERROR(__xludf.DUMMYFUNCTION("""COMPUTED_VALUE"""),1341.04)</f>
        <v>1341.04</v>
      </c>
      <c r="D4174" s="2">
        <f>IFERROR(__xludf.DUMMYFUNCTION("""COMPUTED_VALUE"""),1304.09)</f>
        <v>1304.09</v>
      </c>
      <c r="E4174" s="2">
        <f>IFERROR(__xludf.DUMMYFUNCTION("""COMPUTED_VALUE"""),1324.25)</f>
        <v>1324.25</v>
      </c>
      <c r="F4174" s="2">
        <f>IFERROR(__xludf.DUMMYFUNCTION("""COMPUTED_VALUE"""),1.0180759E7)</f>
        <v>10180759</v>
      </c>
    </row>
    <row r="4175">
      <c r="A4175" s="3">
        <f>IFERROR(__xludf.DUMMYFUNCTION("""COMPUTED_VALUE"""),43612.64583333333)</f>
        <v>43612.64583</v>
      </c>
      <c r="B4175" s="2">
        <f>IFERROR(__xludf.DUMMYFUNCTION("""COMPUTED_VALUE"""),1324.5)</f>
        <v>1324.5</v>
      </c>
      <c r="C4175" s="2">
        <f>IFERROR(__xludf.DUMMYFUNCTION("""COMPUTED_VALUE"""),1324.89)</f>
        <v>1324.89</v>
      </c>
      <c r="D4175" s="2">
        <f>IFERROR(__xludf.DUMMYFUNCTION("""COMPUTED_VALUE"""),1294.68)</f>
        <v>1294.68</v>
      </c>
      <c r="E4175" s="2">
        <f>IFERROR(__xludf.DUMMYFUNCTION("""COMPUTED_VALUE"""),1298.3)</f>
        <v>1298.3</v>
      </c>
      <c r="F4175" s="2">
        <f>IFERROR(__xludf.DUMMYFUNCTION("""COMPUTED_VALUE"""),7349720.0)</f>
        <v>7349720</v>
      </c>
    </row>
    <row r="4176">
      <c r="A4176" s="3">
        <f>IFERROR(__xludf.DUMMYFUNCTION("""COMPUTED_VALUE"""),43613.64583333333)</f>
        <v>43613.64583</v>
      </c>
      <c r="B4176" s="2">
        <f>IFERROR(__xludf.DUMMYFUNCTION("""COMPUTED_VALUE"""),1307.36)</f>
        <v>1307.36</v>
      </c>
      <c r="C4176" s="2">
        <f>IFERROR(__xludf.DUMMYFUNCTION("""COMPUTED_VALUE"""),1322.22)</f>
        <v>1322.22</v>
      </c>
      <c r="D4176" s="2">
        <f>IFERROR(__xludf.DUMMYFUNCTION("""COMPUTED_VALUE"""),1300.97)</f>
        <v>1300.97</v>
      </c>
      <c r="E4176" s="2">
        <f>IFERROR(__xludf.DUMMYFUNCTION("""COMPUTED_VALUE"""),1311.27)</f>
        <v>1311.27</v>
      </c>
      <c r="F4176" s="2">
        <f>IFERROR(__xludf.DUMMYFUNCTION("""COMPUTED_VALUE"""),1.9472659E7)</f>
        <v>19472659</v>
      </c>
    </row>
    <row r="4177">
      <c r="A4177" s="3">
        <f>IFERROR(__xludf.DUMMYFUNCTION("""COMPUTED_VALUE"""),43614.64583333333)</f>
        <v>43614.64583</v>
      </c>
      <c r="B4177" s="2">
        <f>IFERROR(__xludf.DUMMYFUNCTION("""COMPUTED_VALUE"""),1308.55)</f>
        <v>1308.55</v>
      </c>
      <c r="C4177" s="2">
        <f>IFERROR(__xludf.DUMMYFUNCTION("""COMPUTED_VALUE"""),1320.73)</f>
        <v>1320.73</v>
      </c>
      <c r="D4177" s="2">
        <f>IFERROR(__xludf.DUMMYFUNCTION("""COMPUTED_VALUE"""),1291.86)</f>
        <v>1291.86</v>
      </c>
      <c r="E4177" s="2">
        <f>IFERROR(__xludf.DUMMYFUNCTION("""COMPUTED_VALUE"""),1300.67)</f>
        <v>1300.67</v>
      </c>
      <c r="F4177" s="2">
        <f>IFERROR(__xludf.DUMMYFUNCTION("""COMPUTED_VALUE"""),7112830.0)</f>
        <v>7112830</v>
      </c>
    </row>
    <row r="4178">
      <c r="A4178" s="3">
        <f>IFERROR(__xludf.DUMMYFUNCTION("""COMPUTED_VALUE"""),43615.64583333333)</f>
        <v>43615.64583</v>
      </c>
      <c r="B4178" s="2">
        <f>IFERROR(__xludf.DUMMYFUNCTION("""COMPUTED_VALUE"""),1303.84)</f>
        <v>1303.84</v>
      </c>
      <c r="C4178" s="2">
        <f>IFERROR(__xludf.DUMMYFUNCTION("""COMPUTED_VALUE"""),1329.35)</f>
        <v>1329.35</v>
      </c>
      <c r="D4178" s="2">
        <f>IFERROR(__xludf.DUMMYFUNCTION("""COMPUTED_VALUE"""),1303.84)</f>
        <v>1303.84</v>
      </c>
      <c r="E4178" s="2">
        <f>IFERROR(__xludf.DUMMYFUNCTION("""COMPUTED_VALUE"""),1317.22)</f>
        <v>1317.22</v>
      </c>
      <c r="F4178" s="2">
        <f>IFERROR(__xludf.DUMMYFUNCTION("""COMPUTED_VALUE"""),1.0740841E7)</f>
        <v>10740841</v>
      </c>
    </row>
    <row r="4179">
      <c r="A4179" s="3">
        <f>IFERROR(__xludf.DUMMYFUNCTION("""COMPUTED_VALUE"""),43616.64583333333)</f>
        <v>43616.64583</v>
      </c>
      <c r="B4179" s="2">
        <f>IFERROR(__xludf.DUMMYFUNCTION("""COMPUTED_VALUE"""),1325.29)</f>
        <v>1325.29</v>
      </c>
      <c r="C4179" s="2">
        <f>IFERROR(__xludf.DUMMYFUNCTION("""COMPUTED_VALUE"""),1329.25)</f>
        <v>1329.25</v>
      </c>
      <c r="D4179" s="2">
        <f>IFERROR(__xludf.DUMMYFUNCTION("""COMPUTED_VALUE"""),1307.76)</f>
        <v>1307.76</v>
      </c>
      <c r="E4179" s="2">
        <f>IFERROR(__xludf.DUMMYFUNCTION("""COMPUTED_VALUE"""),1317.61)</f>
        <v>1317.61</v>
      </c>
      <c r="F4179" s="2">
        <f>IFERROR(__xludf.DUMMYFUNCTION("""COMPUTED_VALUE"""),1.1760178E7)</f>
        <v>11760178</v>
      </c>
    </row>
    <row r="4180">
      <c r="A4180" s="3">
        <f>IFERROR(__xludf.DUMMYFUNCTION("""COMPUTED_VALUE"""),43619.64583333333)</f>
        <v>43619.64583</v>
      </c>
      <c r="B4180" s="2">
        <f>IFERROR(__xludf.DUMMYFUNCTION("""COMPUTED_VALUE"""),1322.42)</f>
        <v>1322.42</v>
      </c>
      <c r="C4180" s="2">
        <f>IFERROR(__xludf.DUMMYFUNCTION("""COMPUTED_VALUE"""),1354.36)</f>
        <v>1354.36</v>
      </c>
      <c r="D4180" s="2">
        <f>IFERROR(__xludf.DUMMYFUNCTION("""COMPUTED_VALUE"""),1308.75)</f>
        <v>1308.75</v>
      </c>
      <c r="E4180" s="2">
        <f>IFERROR(__xludf.DUMMYFUNCTION("""COMPUTED_VALUE"""),1347.38)</f>
        <v>1347.38</v>
      </c>
      <c r="F4180" s="2">
        <f>IFERROR(__xludf.DUMMYFUNCTION("""COMPUTED_VALUE"""),8483610.0)</f>
        <v>8483610</v>
      </c>
    </row>
    <row r="4181">
      <c r="A4181" s="3">
        <f>IFERROR(__xludf.DUMMYFUNCTION("""COMPUTED_VALUE"""),43620.64583333333)</f>
        <v>43620.64583</v>
      </c>
      <c r="B4181" s="2">
        <f>IFERROR(__xludf.DUMMYFUNCTION("""COMPUTED_VALUE"""),1344.65)</f>
        <v>1344.65</v>
      </c>
      <c r="C4181" s="2">
        <f>IFERROR(__xludf.DUMMYFUNCTION("""COMPUTED_VALUE"""),1361.3)</f>
        <v>1361.3</v>
      </c>
      <c r="D4181" s="2">
        <f>IFERROR(__xludf.DUMMYFUNCTION("""COMPUTED_VALUE"""),1335.39)</f>
        <v>1335.39</v>
      </c>
      <c r="E4181" s="2">
        <f>IFERROR(__xludf.DUMMYFUNCTION("""COMPUTED_VALUE"""),1338.91)</f>
        <v>1338.91</v>
      </c>
      <c r="F4181" s="2">
        <f>IFERROR(__xludf.DUMMYFUNCTION("""COMPUTED_VALUE"""),7059911.0)</f>
        <v>7059911</v>
      </c>
    </row>
    <row r="4182">
      <c r="A4182" s="3">
        <f>IFERROR(__xludf.DUMMYFUNCTION("""COMPUTED_VALUE"""),43622.64583333333)</f>
        <v>43622.64583</v>
      </c>
      <c r="B4182" s="2">
        <f>IFERROR(__xludf.DUMMYFUNCTION("""COMPUTED_VALUE"""),1349.06)</f>
        <v>1349.06</v>
      </c>
      <c r="C4182" s="2">
        <f>IFERROR(__xludf.DUMMYFUNCTION("""COMPUTED_VALUE"""),1349.06)</f>
        <v>1349.06</v>
      </c>
      <c r="D4182" s="2">
        <f>IFERROR(__xludf.DUMMYFUNCTION("""COMPUTED_VALUE"""),1308.65)</f>
        <v>1308.65</v>
      </c>
      <c r="E4182" s="2">
        <f>IFERROR(__xludf.DUMMYFUNCTION("""COMPUTED_VALUE"""),1314.84)</f>
        <v>1314.84</v>
      </c>
      <c r="F4182" s="2">
        <f>IFERROR(__xludf.DUMMYFUNCTION("""COMPUTED_VALUE"""),7664319.0)</f>
        <v>7664319</v>
      </c>
    </row>
    <row r="4183">
      <c r="A4183" s="3">
        <f>IFERROR(__xludf.DUMMYFUNCTION("""COMPUTED_VALUE"""),43623.64583333333)</f>
        <v>43623.64583</v>
      </c>
      <c r="B4183" s="2">
        <f>IFERROR(__xludf.DUMMYFUNCTION("""COMPUTED_VALUE"""),1313.45)</f>
        <v>1313.45</v>
      </c>
      <c r="C4183" s="2">
        <f>IFERROR(__xludf.DUMMYFUNCTION("""COMPUTED_VALUE"""),1314.74)</f>
        <v>1314.74</v>
      </c>
      <c r="D4183" s="2">
        <f>IFERROR(__xludf.DUMMYFUNCTION("""COMPUTED_VALUE"""),1293.29)</f>
        <v>1293.29</v>
      </c>
      <c r="E4183" s="2">
        <f>IFERROR(__xludf.DUMMYFUNCTION("""COMPUTED_VALUE"""),1302.51)</f>
        <v>1302.51</v>
      </c>
      <c r="F4183" s="2">
        <f>IFERROR(__xludf.DUMMYFUNCTION("""COMPUTED_VALUE"""),6730595.0)</f>
        <v>6730595</v>
      </c>
    </row>
    <row r="4184">
      <c r="A4184" s="3">
        <f>IFERROR(__xludf.DUMMYFUNCTION("""COMPUTED_VALUE"""),43626.64583333333)</f>
        <v>43626.64583</v>
      </c>
      <c r="B4184" s="2">
        <f>IFERROR(__xludf.DUMMYFUNCTION("""COMPUTED_VALUE"""),1308.45)</f>
        <v>1308.45</v>
      </c>
      <c r="C4184" s="2">
        <f>IFERROR(__xludf.DUMMYFUNCTION("""COMPUTED_VALUE"""),1314.49)</f>
        <v>1314.49</v>
      </c>
      <c r="D4184" s="2">
        <f>IFERROR(__xludf.DUMMYFUNCTION("""COMPUTED_VALUE"""),1297.75)</f>
        <v>1297.75</v>
      </c>
      <c r="E4184" s="2">
        <f>IFERROR(__xludf.DUMMYFUNCTION("""COMPUTED_VALUE"""),1306.72)</f>
        <v>1306.72</v>
      </c>
      <c r="F4184" s="2">
        <f>IFERROR(__xludf.DUMMYFUNCTION("""COMPUTED_VALUE"""),5380148.0)</f>
        <v>5380148</v>
      </c>
    </row>
    <row r="4185">
      <c r="A4185" s="3">
        <f>IFERROR(__xludf.DUMMYFUNCTION("""COMPUTED_VALUE"""),43627.64583333333)</f>
        <v>43627.64583</v>
      </c>
      <c r="B4185" s="2">
        <f>IFERROR(__xludf.DUMMYFUNCTION("""COMPUTED_VALUE"""),1309.39)</f>
        <v>1309.39</v>
      </c>
      <c r="C4185" s="2">
        <f>IFERROR(__xludf.DUMMYFUNCTION("""COMPUTED_VALUE"""),1321.92)</f>
        <v>1321.92</v>
      </c>
      <c r="D4185" s="2">
        <f>IFERROR(__xludf.DUMMYFUNCTION("""COMPUTED_VALUE"""),1305.58)</f>
        <v>1305.58</v>
      </c>
      <c r="E4185" s="2">
        <f>IFERROR(__xludf.DUMMYFUNCTION("""COMPUTED_VALUE"""),1316.62)</f>
        <v>1316.62</v>
      </c>
      <c r="F4185" s="2">
        <f>IFERROR(__xludf.DUMMYFUNCTION("""COMPUTED_VALUE"""),5253790.0)</f>
        <v>5253790</v>
      </c>
    </row>
    <row r="4186">
      <c r="A4186" s="3">
        <f>IFERROR(__xludf.DUMMYFUNCTION("""COMPUTED_VALUE"""),43628.64583333333)</f>
        <v>43628.64583</v>
      </c>
      <c r="B4186" s="2">
        <f>IFERROR(__xludf.DUMMYFUNCTION("""COMPUTED_VALUE"""),1322.12)</f>
        <v>1322.12</v>
      </c>
      <c r="C4186" s="2">
        <f>IFERROR(__xludf.DUMMYFUNCTION("""COMPUTED_VALUE"""),1325.78)</f>
        <v>1325.78</v>
      </c>
      <c r="D4186" s="2">
        <f>IFERROR(__xludf.DUMMYFUNCTION("""COMPUTED_VALUE"""),1312.51)</f>
        <v>1312.51</v>
      </c>
      <c r="E4186" s="2">
        <f>IFERROR(__xludf.DUMMYFUNCTION("""COMPUTED_VALUE"""),1319.59)</f>
        <v>1319.59</v>
      </c>
      <c r="F4186" s="2">
        <f>IFERROR(__xludf.DUMMYFUNCTION("""COMPUTED_VALUE"""),4707716.0)</f>
        <v>4707716</v>
      </c>
    </row>
    <row r="4187">
      <c r="A4187" s="3">
        <f>IFERROR(__xludf.DUMMYFUNCTION("""COMPUTED_VALUE"""),43629.64583333333)</f>
        <v>43629.64583</v>
      </c>
      <c r="B4187" s="2">
        <f>IFERROR(__xludf.DUMMYFUNCTION("""COMPUTED_VALUE"""),1317.46)</f>
        <v>1317.46</v>
      </c>
      <c r="C4187" s="2">
        <f>IFERROR(__xludf.DUMMYFUNCTION("""COMPUTED_VALUE"""),1322.12)</f>
        <v>1322.12</v>
      </c>
      <c r="D4187" s="2">
        <f>IFERROR(__xludf.DUMMYFUNCTION("""COMPUTED_VALUE"""),1296.31)</f>
        <v>1296.31</v>
      </c>
      <c r="E4187" s="2">
        <f>IFERROR(__xludf.DUMMYFUNCTION("""COMPUTED_VALUE"""),1314.74)</f>
        <v>1314.74</v>
      </c>
      <c r="F4187" s="2">
        <f>IFERROR(__xludf.DUMMYFUNCTION("""COMPUTED_VALUE"""),7171189.0)</f>
        <v>7171189</v>
      </c>
    </row>
    <row r="4188">
      <c r="A4188" s="3">
        <f>IFERROR(__xludf.DUMMYFUNCTION("""COMPUTED_VALUE"""),43630.64583333333)</f>
        <v>43630.64583</v>
      </c>
      <c r="B4188" s="2">
        <f>IFERROR(__xludf.DUMMYFUNCTION("""COMPUTED_VALUE"""),1309.44)</f>
        <v>1309.44</v>
      </c>
      <c r="C4188" s="2">
        <f>IFERROR(__xludf.DUMMYFUNCTION("""COMPUTED_VALUE"""),1312.51)</f>
        <v>1312.51</v>
      </c>
      <c r="D4188" s="2">
        <f>IFERROR(__xludf.DUMMYFUNCTION("""COMPUTED_VALUE"""),1297.06)</f>
        <v>1297.06</v>
      </c>
      <c r="E4188" s="2">
        <f>IFERROR(__xludf.DUMMYFUNCTION("""COMPUTED_VALUE"""),1305.13)</f>
        <v>1305.13</v>
      </c>
      <c r="F4188" s="2">
        <f>IFERROR(__xludf.DUMMYFUNCTION("""COMPUTED_VALUE"""),6831331.0)</f>
        <v>6831331</v>
      </c>
    </row>
    <row r="4189">
      <c r="A4189" s="3">
        <f>IFERROR(__xludf.DUMMYFUNCTION("""COMPUTED_VALUE"""),43633.64583333333)</f>
        <v>43633.64583</v>
      </c>
      <c r="B4189" s="2">
        <f>IFERROR(__xludf.DUMMYFUNCTION("""COMPUTED_VALUE"""),1307.56)</f>
        <v>1307.56</v>
      </c>
      <c r="C4189" s="2">
        <f>IFERROR(__xludf.DUMMYFUNCTION("""COMPUTED_VALUE"""),1307.56)</f>
        <v>1307.56</v>
      </c>
      <c r="D4189" s="2">
        <f>IFERROR(__xludf.DUMMYFUNCTION("""COMPUTED_VALUE"""),1266.45)</f>
        <v>1266.45</v>
      </c>
      <c r="E4189" s="2">
        <f>IFERROR(__xludf.DUMMYFUNCTION("""COMPUTED_VALUE"""),1270.21)</f>
        <v>1270.21</v>
      </c>
      <c r="F4189" s="2">
        <f>IFERROR(__xludf.DUMMYFUNCTION("""COMPUTED_VALUE"""),6815554.0)</f>
        <v>6815554</v>
      </c>
    </row>
    <row r="4190">
      <c r="A4190" s="3">
        <f>IFERROR(__xludf.DUMMYFUNCTION("""COMPUTED_VALUE"""),43634.64583333333)</f>
        <v>43634.64583</v>
      </c>
      <c r="B4190" s="2">
        <f>IFERROR(__xludf.DUMMYFUNCTION("""COMPUTED_VALUE"""),1266.84)</f>
        <v>1266.84</v>
      </c>
      <c r="C4190" s="2">
        <f>IFERROR(__xludf.DUMMYFUNCTION("""COMPUTED_VALUE"""),1275.81)</f>
        <v>1275.81</v>
      </c>
      <c r="D4190" s="2">
        <f>IFERROR(__xludf.DUMMYFUNCTION("""COMPUTED_VALUE"""),1257.14)</f>
        <v>1257.14</v>
      </c>
      <c r="E4190" s="2">
        <f>IFERROR(__xludf.DUMMYFUNCTION("""COMPUTED_VALUE"""),1268.93)</f>
        <v>1268.93</v>
      </c>
      <c r="F4190" s="2">
        <f>IFERROR(__xludf.DUMMYFUNCTION("""COMPUTED_VALUE"""),7679193.0)</f>
        <v>7679193</v>
      </c>
    </row>
    <row r="4191">
      <c r="A4191" s="3">
        <f>IFERROR(__xludf.DUMMYFUNCTION("""COMPUTED_VALUE"""),43635.64583333333)</f>
        <v>43635.64583</v>
      </c>
      <c r="B4191" s="2">
        <f>IFERROR(__xludf.DUMMYFUNCTION("""COMPUTED_VALUE"""),1274.77)</f>
        <v>1274.77</v>
      </c>
      <c r="C4191" s="2">
        <f>IFERROR(__xludf.DUMMYFUNCTION("""COMPUTED_VALUE"""),1289.73)</f>
        <v>1289.73</v>
      </c>
      <c r="D4191" s="2">
        <f>IFERROR(__xludf.DUMMYFUNCTION("""COMPUTED_VALUE"""),1250.7)</f>
        <v>1250.7</v>
      </c>
      <c r="E4191" s="2">
        <f>IFERROR(__xludf.DUMMYFUNCTION("""COMPUTED_VALUE"""),1265.31)</f>
        <v>1265.31</v>
      </c>
      <c r="F4191" s="2">
        <f>IFERROR(__xludf.DUMMYFUNCTION("""COMPUTED_VALUE"""),6625604.0)</f>
        <v>6625604</v>
      </c>
    </row>
    <row r="4192">
      <c r="A4192" s="3">
        <f>IFERROR(__xludf.DUMMYFUNCTION("""COMPUTED_VALUE"""),43636.64583333333)</f>
        <v>43636.64583</v>
      </c>
      <c r="B4192" s="2">
        <f>IFERROR(__xludf.DUMMYFUNCTION("""COMPUTED_VALUE"""),1267.93)</f>
        <v>1267.93</v>
      </c>
      <c r="C4192" s="2">
        <f>IFERROR(__xludf.DUMMYFUNCTION("""COMPUTED_VALUE"""),1287.75)</f>
        <v>1287.75</v>
      </c>
      <c r="D4192" s="2">
        <f>IFERROR(__xludf.DUMMYFUNCTION("""COMPUTED_VALUE"""),1265.95)</f>
        <v>1265.95</v>
      </c>
      <c r="E4192" s="2">
        <f>IFERROR(__xludf.DUMMYFUNCTION("""COMPUTED_VALUE"""),1284.53)</f>
        <v>1284.53</v>
      </c>
      <c r="F4192" s="2">
        <f>IFERROR(__xludf.DUMMYFUNCTION("""COMPUTED_VALUE"""),4914012.0)</f>
        <v>4914012</v>
      </c>
    </row>
    <row r="4193">
      <c r="A4193" s="3">
        <f>IFERROR(__xludf.DUMMYFUNCTION("""COMPUTED_VALUE"""),43637.64583333333)</f>
        <v>43637.64583</v>
      </c>
      <c r="B4193" s="2">
        <f>IFERROR(__xludf.DUMMYFUNCTION("""COMPUTED_VALUE"""),1283.73)</f>
        <v>1283.73</v>
      </c>
      <c r="C4193" s="2">
        <f>IFERROR(__xludf.DUMMYFUNCTION("""COMPUTED_VALUE"""),1283.78)</f>
        <v>1283.78</v>
      </c>
      <c r="D4193" s="2">
        <f>IFERROR(__xludf.DUMMYFUNCTION("""COMPUTED_VALUE"""),1263.53)</f>
        <v>1263.53</v>
      </c>
      <c r="E4193" s="2">
        <f>IFERROR(__xludf.DUMMYFUNCTION("""COMPUTED_VALUE"""),1267.44)</f>
        <v>1267.44</v>
      </c>
      <c r="F4193" s="2">
        <f>IFERROR(__xludf.DUMMYFUNCTION("""COMPUTED_VALUE"""),1.0623098E7)</f>
        <v>10623098</v>
      </c>
    </row>
    <row r="4194">
      <c r="A4194" s="3">
        <f>IFERROR(__xludf.DUMMYFUNCTION("""COMPUTED_VALUE"""),43640.64583333333)</f>
        <v>43640.64583</v>
      </c>
      <c r="B4194" s="2">
        <f>IFERROR(__xludf.DUMMYFUNCTION("""COMPUTED_VALUE"""),1260.16)</f>
        <v>1260.16</v>
      </c>
      <c r="C4194" s="2">
        <f>IFERROR(__xludf.DUMMYFUNCTION("""COMPUTED_VALUE"""),1264.42)</f>
        <v>1264.42</v>
      </c>
      <c r="D4194" s="2">
        <f>IFERROR(__xludf.DUMMYFUNCTION("""COMPUTED_VALUE"""),1245.25)</f>
        <v>1245.25</v>
      </c>
      <c r="E4194" s="2">
        <f>IFERROR(__xludf.DUMMYFUNCTION("""COMPUTED_VALUE"""),1250.5)</f>
        <v>1250.5</v>
      </c>
      <c r="F4194" s="2">
        <f>IFERROR(__xludf.DUMMYFUNCTION("""COMPUTED_VALUE"""),5150998.0)</f>
        <v>5150998</v>
      </c>
    </row>
    <row r="4195">
      <c r="A4195" s="3">
        <f>IFERROR(__xludf.DUMMYFUNCTION("""COMPUTED_VALUE"""),43641.64583333333)</f>
        <v>43641.64583</v>
      </c>
      <c r="B4195" s="2">
        <f>IFERROR(__xludf.DUMMYFUNCTION("""COMPUTED_VALUE"""),1247.03)</f>
        <v>1247.03</v>
      </c>
      <c r="C4195" s="2">
        <f>IFERROR(__xludf.DUMMYFUNCTION("""COMPUTED_VALUE"""),1285.76)</f>
        <v>1285.76</v>
      </c>
      <c r="D4195" s="2">
        <f>IFERROR(__xludf.DUMMYFUNCTION("""COMPUTED_VALUE"""),1242.43)</f>
        <v>1242.43</v>
      </c>
      <c r="E4195" s="2">
        <f>IFERROR(__xludf.DUMMYFUNCTION("""COMPUTED_VALUE"""),1283.64)</f>
        <v>1283.64</v>
      </c>
      <c r="F4195" s="2">
        <f>IFERROR(__xludf.DUMMYFUNCTION("""COMPUTED_VALUE"""),6842363.0)</f>
        <v>6842363</v>
      </c>
    </row>
    <row r="4196">
      <c r="A4196" s="3">
        <f>IFERROR(__xludf.DUMMYFUNCTION("""COMPUTED_VALUE"""),43642.64583333333)</f>
        <v>43642.64583</v>
      </c>
      <c r="B4196" s="2">
        <f>IFERROR(__xludf.DUMMYFUNCTION("""COMPUTED_VALUE"""),1278.83)</f>
        <v>1278.83</v>
      </c>
      <c r="C4196" s="2">
        <f>IFERROR(__xludf.DUMMYFUNCTION("""COMPUTED_VALUE"""),1292.3)</f>
        <v>1292.3</v>
      </c>
      <c r="D4196" s="2">
        <f>IFERROR(__xludf.DUMMYFUNCTION("""COMPUTED_VALUE"""),1274.22)</f>
        <v>1274.22</v>
      </c>
      <c r="E4196" s="2">
        <f>IFERROR(__xludf.DUMMYFUNCTION("""COMPUTED_VALUE"""),1281.95)</f>
        <v>1281.95</v>
      </c>
      <c r="F4196" s="2">
        <f>IFERROR(__xludf.DUMMYFUNCTION("""COMPUTED_VALUE"""),5299942.0)</f>
        <v>5299942</v>
      </c>
    </row>
    <row r="4197">
      <c r="A4197" s="3">
        <f>IFERROR(__xludf.DUMMYFUNCTION("""COMPUTED_VALUE"""),43643.64583333333)</f>
        <v>43643.64583</v>
      </c>
      <c r="B4197" s="2">
        <f>IFERROR(__xludf.DUMMYFUNCTION("""COMPUTED_VALUE"""),1280.96)</f>
        <v>1280.96</v>
      </c>
      <c r="C4197" s="2">
        <f>IFERROR(__xludf.DUMMYFUNCTION("""COMPUTED_VALUE"""),1284.68)</f>
        <v>1284.68</v>
      </c>
      <c r="D4197" s="2">
        <f>IFERROR(__xludf.DUMMYFUNCTION("""COMPUTED_VALUE"""),1259.02)</f>
        <v>1259.02</v>
      </c>
      <c r="E4197" s="2">
        <f>IFERROR(__xludf.DUMMYFUNCTION("""COMPUTED_VALUE"""),1262.14)</f>
        <v>1262.14</v>
      </c>
      <c r="F4197" s="2">
        <f>IFERROR(__xludf.DUMMYFUNCTION("""COMPUTED_VALUE"""),1.1385972E7)</f>
        <v>11385972</v>
      </c>
    </row>
    <row r="4198">
      <c r="A4198" s="3">
        <f>IFERROR(__xludf.DUMMYFUNCTION("""COMPUTED_VALUE"""),43644.64583333333)</f>
        <v>43644.64583</v>
      </c>
      <c r="B4198" s="2">
        <f>IFERROR(__xludf.DUMMYFUNCTION("""COMPUTED_VALUE"""),1265.06)</f>
        <v>1265.06</v>
      </c>
      <c r="C4198" s="2">
        <f>IFERROR(__xludf.DUMMYFUNCTION("""COMPUTED_VALUE"""),1270.76)</f>
        <v>1270.76</v>
      </c>
      <c r="D4198" s="2">
        <f>IFERROR(__xludf.DUMMYFUNCTION("""COMPUTED_VALUE"""),1236.88)</f>
        <v>1236.88</v>
      </c>
      <c r="E4198" s="2">
        <f>IFERROR(__xludf.DUMMYFUNCTION("""COMPUTED_VALUE"""),1241.29)</f>
        <v>1241.29</v>
      </c>
      <c r="F4198" s="2">
        <f>IFERROR(__xludf.DUMMYFUNCTION("""COMPUTED_VALUE"""),8659721.0)</f>
        <v>8659721</v>
      </c>
    </row>
    <row r="4199">
      <c r="A4199" s="3">
        <f>IFERROR(__xludf.DUMMYFUNCTION("""COMPUTED_VALUE"""),43647.64583333333)</f>
        <v>43647.64583</v>
      </c>
      <c r="B4199" s="2">
        <f>IFERROR(__xludf.DUMMYFUNCTION("""COMPUTED_VALUE"""),1246.19)</f>
        <v>1246.19</v>
      </c>
      <c r="C4199" s="2">
        <f>IFERROR(__xludf.DUMMYFUNCTION("""COMPUTED_VALUE"""),1260.65)</f>
        <v>1260.65</v>
      </c>
      <c r="D4199" s="2">
        <f>IFERROR(__xludf.DUMMYFUNCTION("""COMPUTED_VALUE"""),1234.7)</f>
        <v>1234.7</v>
      </c>
      <c r="E4199" s="2">
        <f>IFERROR(__xludf.DUMMYFUNCTION("""COMPUTED_VALUE"""),1256.89)</f>
        <v>1256.89</v>
      </c>
      <c r="F4199" s="2">
        <f>IFERROR(__xludf.DUMMYFUNCTION("""COMPUTED_VALUE"""),6162080.0)</f>
        <v>6162080</v>
      </c>
    </row>
    <row r="4200">
      <c r="A4200" s="3">
        <f>IFERROR(__xludf.DUMMYFUNCTION("""COMPUTED_VALUE"""),43648.64583333333)</f>
        <v>43648.64583</v>
      </c>
      <c r="B4200" s="2">
        <f>IFERROR(__xludf.DUMMYFUNCTION("""COMPUTED_VALUE"""),1261.94)</f>
        <v>1261.94</v>
      </c>
      <c r="C4200" s="2">
        <f>IFERROR(__xludf.DUMMYFUNCTION("""COMPUTED_VALUE"""),1268.93)</f>
        <v>1268.93</v>
      </c>
      <c r="D4200" s="2">
        <f>IFERROR(__xludf.DUMMYFUNCTION("""COMPUTED_VALUE"""),1251.39)</f>
        <v>1251.39</v>
      </c>
      <c r="E4200" s="2">
        <f>IFERROR(__xludf.DUMMYFUNCTION("""COMPUTED_VALUE"""),1266.45)</f>
        <v>1266.45</v>
      </c>
      <c r="F4200" s="2">
        <f>IFERROR(__xludf.DUMMYFUNCTION("""COMPUTED_VALUE"""),4638751.0)</f>
        <v>4638751</v>
      </c>
    </row>
    <row r="4201">
      <c r="A4201" s="3">
        <f>IFERROR(__xludf.DUMMYFUNCTION("""COMPUTED_VALUE"""),43649.64583333333)</f>
        <v>43649.64583</v>
      </c>
      <c r="B4201" s="2">
        <f>IFERROR(__xludf.DUMMYFUNCTION("""COMPUTED_VALUE"""),1270.81)</f>
        <v>1270.81</v>
      </c>
      <c r="C4201" s="2">
        <f>IFERROR(__xludf.DUMMYFUNCTION("""COMPUTED_VALUE"""),1274.37)</f>
        <v>1274.37</v>
      </c>
      <c r="D4201" s="2">
        <f>IFERROR(__xludf.DUMMYFUNCTION("""COMPUTED_VALUE"""),1263.03)</f>
        <v>1263.03</v>
      </c>
      <c r="E4201" s="2">
        <f>IFERROR(__xludf.DUMMYFUNCTION("""COMPUTED_VALUE"""),1270.46)</f>
        <v>1270.46</v>
      </c>
      <c r="F4201" s="2">
        <f>IFERROR(__xludf.DUMMYFUNCTION("""COMPUTED_VALUE"""),4026032.0)</f>
        <v>4026032</v>
      </c>
    </row>
    <row r="4202">
      <c r="A4202" s="3">
        <f>IFERROR(__xludf.DUMMYFUNCTION("""COMPUTED_VALUE"""),43650.64583333333)</f>
        <v>43650.64583</v>
      </c>
      <c r="B4202" s="2">
        <f>IFERROR(__xludf.DUMMYFUNCTION("""COMPUTED_VALUE"""),1269.32)</f>
        <v>1269.32</v>
      </c>
      <c r="C4202" s="2">
        <f>IFERROR(__xludf.DUMMYFUNCTION("""COMPUTED_VALUE"""),1278.83)</f>
        <v>1278.83</v>
      </c>
      <c r="D4202" s="2">
        <f>IFERROR(__xludf.DUMMYFUNCTION("""COMPUTED_VALUE"""),1267.93)</f>
        <v>1267.93</v>
      </c>
      <c r="E4202" s="2">
        <f>IFERROR(__xludf.DUMMYFUNCTION("""COMPUTED_VALUE"""),1271.9)</f>
        <v>1271.9</v>
      </c>
      <c r="F4202" s="2">
        <f>IFERROR(__xludf.DUMMYFUNCTION("""COMPUTED_VALUE"""),4275148.0)</f>
        <v>4275148</v>
      </c>
    </row>
    <row r="4203">
      <c r="A4203" s="3">
        <f>IFERROR(__xludf.DUMMYFUNCTION("""COMPUTED_VALUE"""),43651.64583333333)</f>
        <v>43651.64583</v>
      </c>
      <c r="B4203" s="2">
        <f>IFERROR(__xludf.DUMMYFUNCTION("""COMPUTED_VALUE"""),1272.99)</f>
        <v>1272.99</v>
      </c>
      <c r="C4203" s="2">
        <f>IFERROR(__xludf.DUMMYFUNCTION("""COMPUTED_VALUE"""),1278.34)</f>
        <v>1278.34</v>
      </c>
      <c r="D4203" s="2">
        <f>IFERROR(__xludf.DUMMYFUNCTION("""COMPUTED_VALUE"""),1248.12)</f>
        <v>1248.12</v>
      </c>
      <c r="E4203" s="2">
        <f>IFERROR(__xludf.DUMMYFUNCTION("""COMPUTED_VALUE"""),1251.44)</f>
        <v>1251.44</v>
      </c>
      <c r="F4203" s="2">
        <f>IFERROR(__xludf.DUMMYFUNCTION("""COMPUTED_VALUE"""),4995344.0)</f>
        <v>4995344</v>
      </c>
    </row>
    <row r="4204">
      <c r="A4204" s="3">
        <f>IFERROR(__xludf.DUMMYFUNCTION("""COMPUTED_VALUE"""),43654.64583333333)</f>
        <v>43654.64583</v>
      </c>
      <c r="B4204" s="2">
        <f>IFERROR(__xludf.DUMMYFUNCTION("""COMPUTED_VALUE"""),1246.14)</f>
        <v>1246.14</v>
      </c>
      <c r="C4204" s="2">
        <f>IFERROR(__xludf.DUMMYFUNCTION("""COMPUTED_VALUE"""),1256.15)</f>
        <v>1256.15</v>
      </c>
      <c r="D4204" s="2">
        <f>IFERROR(__xludf.DUMMYFUNCTION("""COMPUTED_VALUE"""),1236.43)</f>
        <v>1236.43</v>
      </c>
      <c r="E4204" s="2">
        <f>IFERROR(__xludf.DUMMYFUNCTION("""COMPUTED_VALUE"""),1240.25)</f>
        <v>1240.25</v>
      </c>
      <c r="F4204" s="2">
        <f>IFERROR(__xludf.DUMMYFUNCTION("""COMPUTED_VALUE"""),6404544.0)</f>
        <v>6404544</v>
      </c>
    </row>
    <row r="4205">
      <c r="A4205" s="3">
        <f>IFERROR(__xludf.DUMMYFUNCTION("""COMPUTED_VALUE"""),43655.64583333333)</f>
        <v>43655.64583</v>
      </c>
      <c r="B4205" s="2">
        <f>IFERROR(__xludf.DUMMYFUNCTION("""COMPUTED_VALUE"""),1237.18)</f>
        <v>1237.18</v>
      </c>
      <c r="C4205" s="2">
        <f>IFERROR(__xludf.DUMMYFUNCTION("""COMPUTED_VALUE"""),1271.4)</f>
        <v>1271.4</v>
      </c>
      <c r="D4205" s="2">
        <f>IFERROR(__xludf.DUMMYFUNCTION("""COMPUTED_VALUE"""),1233.76)</f>
        <v>1233.76</v>
      </c>
      <c r="E4205" s="2">
        <f>IFERROR(__xludf.DUMMYFUNCTION("""COMPUTED_VALUE"""),1268.03)</f>
        <v>1268.03</v>
      </c>
      <c r="F4205" s="2">
        <f>IFERROR(__xludf.DUMMYFUNCTION("""COMPUTED_VALUE"""),8016757.0)</f>
        <v>8016757</v>
      </c>
    </row>
    <row r="4206">
      <c r="A4206" s="3">
        <f>IFERROR(__xludf.DUMMYFUNCTION("""COMPUTED_VALUE"""),43656.64583333333)</f>
        <v>43656.64583</v>
      </c>
      <c r="B4206" s="2">
        <f>IFERROR(__xludf.DUMMYFUNCTION("""COMPUTED_VALUE"""),1267.98)</f>
        <v>1267.98</v>
      </c>
      <c r="C4206" s="2">
        <f>IFERROR(__xludf.DUMMYFUNCTION("""COMPUTED_VALUE"""),1277.2)</f>
        <v>1277.2</v>
      </c>
      <c r="D4206" s="2">
        <f>IFERROR(__xludf.DUMMYFUNCTION("""COMPUTED_VALUE"""),1256.74)</f>
        <v>1256.74</v>
      </c>
      <c r="E4206" s="2">
        <f>IFERROR(__xludf.DUMMYFUNCTION("""COMPUTED_VALUE"""),1266.8)</f>
        <v>1266.8</v>
      </c>
      <c r="F4206" s="2">
        <f>IFERROR(__xludf.DUMMYFUNCTION("""COMPUTED_VALUE"""),5494315.0)</f>
        <v>5494315</v>
      </c>
    </row>
    <row r="4207">
      <c r="A4207" s="3">
        <f>IFERROR(__xludf.DUMMYFUNCTION("""COMPUTED_VALUE"""),43657.64583333333)</f>
        <v>43657.64583</v>
      </c>
      <c r="B4207" s="2">
        <f>IFERROR(__xludf.DUMMYFUNCTION("""COMPUTED_VALUE"""),1274.87)</f>
        <v>1274.87</v>
      </c>
      <c r="C4207" s="2">
        <f>IFERROR(__xludf.DUMMYFUNCTION("""COMPUTED_VALUE"""),1277.64)</f>
        <v>1277.64</v>
      </c>
      <c r="D4207" s="2">
        <f>IFERROR(__xludf.DUMMYFUNCTION("""COMPUTED_VALUE"""),1267.24)</f>
        <v>1267.24</v>
      </c>
      <c r="E4207" s="2">
        <f>IFERROR(__xludf.DUMMYFUNCTION("""COMPUTED_VALUE"""),1269.47)</f>
        <v>1269.47</v>
      </c>
      <c r="F4207" s="2">
        <f>IFERROR(__xludf.DUMMYFUNCTION("""COMPUTED_VALUE"""),3935460.0)</f>
        <v>3935460</v>
      </c>
    </row>
    <row r="4208">
      <c r="A4208" s="3">
        <f>IFERROR(__xludf.DUMMYFUNCTION("""COMPUTED_VALUE"""),43658.64583333333)</f>
        <v>43658.64583</v>
      </c>
      <c r="B4208" s="2">
        <f>IFERROR(__xludf.DUMMYFUNCTION("""COMPUTED_VALUE"""),1270.91)</f>
        <v>1270.91</v>
      </c>
      <c r="C4208" s="2">
        <f>IFERROR(__xludf.DUMMYFUNCTION("""COMPUTED_VALUE"""),1287.75)</f>
        <v>1287.75</v>
      </c>
      <c r="D4208" s="2">
        <f>IFERROR(__xludf.DUMMYFUNCTION("""COMPUTED_VALUE"""),1266.0)</f>
        <v>1266</v>
      </c>
      <c r="E4208" s="2">
        <f>IFERROR(__xludf.DUMMYFUNCTION("""COMPUTED_VALUE"""),1268.43)</f>
        <v>1268.43</v>
      </c>
      <c r="F4208" s="2">
        <f>IFERROR(__xludf.DUMMYFUNCTION("""COMPUTED_VALUE"""),7174054.0)</f>
        <v>7174054</v>
      </c>
    </row>
    <row r="4209">
      <c r="A4209" s="3">
        <f>IFERROR(__xludf.DUMMYFUNCTION("""COMPUTED_VALUE"""),43661.64583333333)</f>
        <v>43661.64583</v>
      </c>
      <c r="B4209" s="2">
        <f>IFERROR(__xludf.DUMMYFUNCTION("""COMPUTED_VALUE"""),1272.89)</f>
        <v>1272.89</v>
      </c>
      <c r="C4209" s="2">
        <f>IFERROR(__xludf.DUMMYFUNCTION("""COMPUTED_VALUE"""),1277.34)</f>
        <v>1277.34</v>
      </c>
      <c r="D4209" s="2">
        <f>IFERROR(__xludf.DUMMYFUNCTION("""COMPUTED_VALUE"""),1258.38)</f>
        <v>1258.38</v>
      </c>
      <c r="E4209" s="2">
        <f>IFERROR(__xludf.DUMMYFUNCTION("""COMPUTED_VALUE"""),1264.07)</f>
        <v>1264.07</v>
      </c>
      <c r="F4209" s="2">
        <f>IFERROR(__xludf.DUMMYFUNCTION("""COMPUTED_VALUE"""),4873164.0)</f>
        <v>4873164</v>
      </c>
    </row>
    <row r="4210">
      <c r="A4210" s="3">
        <f>IFERROR(__xludf.DUMMYFUNCTION("""COMPUTED_VALUE"""),43662.64583333333)</f>
        <v>43662.64583</v>
      </c>
      <c r="B4210" s="2">
        <f>IFERROR(__xludf.DUMMYFUNCTION("""COMPUTED_VALUE"""),1267.88)</f>
        <v>1267.88</v>
      </c>
      <c r="C4210" s="2">
        <f>IFERROR(__xludf.DUMMYFUNCTION("""COMPUTED_VALUE"""),1282.69)</f>
        <v>1282.69</v>
      </c>
      <c r="D4210" s="2">
        <f>IFERROR(__xludf.DUMMYFUNCTION("""COMPUTED_VALUE"""),1265.01)</f>
        <v>1265.01</v>
      </c>
      <c r="E4210" s="2">
        <f>IFERROR(__xludf.DUMMYFUNCTION("""COMPUTED_VALUE"""),1280.81)</f>
        <v>1280.81</v>
      </c>
      <c r="F4210" s="2">
        <f>IFERROR(__xludf.DUMMYFUNCTION("""COMPUTED_VALUE"""),4604019.0)</f>
        <v>4604019</v>
      </c>
    </row>
    <row r="4211">
      <c r="A4211" s="3">
        <f>IFERROR(__xludf.DUMMYFUNCTION("""COMPUTED_VALUE"""),43663.64583333333)</f>
        <v>43663.64583</v>
      </c>
      <c r="B4211" s="2">
        <f>IFERROR(__xludf.DUMMYFUNCTION("""COMPUTED_VALUE"""),1282.1)</f>
        <v>1282.1</v>
      </c>
      <c r="C4211" s="2">
        <f>IFERROR(__xludf.DUMMYFUNCTION("""COMPUTED_VALUE"""),1284.77)</f>
        <v>1284.77</v>
      </c>
      <c r="D4211" s="2">
        <f>IFERROR(__xludf.DUMMYFUNCTION("""COMPUTED_VALUE"""),1267.93)</f>
        <v>1267.93</v>
      </c>
      <c r="E4211" s="2">
        <f>IFERROR(__xludf.DUMMYFUNCTION("""COMPUTED_VALUE"""),1269.77)</f>
        <v>1269.77</v>
      </c>
      <c r="F4211" s="2">
        <f>IFERROR(__xludf.DUMMYFUNCTION("""COMPUTED_VALUE"""),4334958.0)</f>
        <v>4334958</v>
      </c>
    </row>
    <row r="4212">
      <c r="A4212" s="3">
        <f>IFERROR(__xludf.DUMMYFUNCTION("""COMPUTED_VALUE"""),43664.64583333333)</f>
        <v>43664.64583</v>
      </c>
      <c r="B4212" s="2">
        <f>IFERROR(__xludf.DUMMYFUNCTION("""COMPUTED_VALUE"""),1269.92)</f>
        <v>1269.92</v>
      </c>
      <c r="C4212" s="2">
        <f>IFERROR(__xludf.DUMMYFUNCTION("""COMPUTED_VALUE"""),1274.27)</f>
        <v>1274.27</v>
      </c>
      <c r="D4212" s="2">
        <f>IFERROR(__xludf.DUMMYFUNCTION("""COMPUTED_VALUE"""),1246.14)</f>
        <v>1246.14</v>
      </c>
      <c r="E4212" s="2">
        <f>IFERROR(__xludf.DUMMYFUNCTION("""COMPUTED_VALUE"""),1249.96)</f>
        <v>1249.96</v>
      </c>
      <c r="F4212" s="2">
        <f>IFERROR(__xludf.DUMMYFUNCTION("""COMPUTED_VALUE"""),5459896.0)</f>
        <v>5459896</v>
      </c>
    </row>
    <row r="4213">
      <c r="A4213" s="3">
        <f>IFERROR(__xludf.DUMMYFUNCTION("""COMPUTED_VALUE"""),43665.64583333333)</f>
        <v>43665.64583</v>
      </c>
      <c r="B4213" s="2">
        <f>IFERROR(__xludf.DUMMYFUNCTION("""COMPUTED_VALUE"""),1256.25)</f>
        <v>1256.25</v>
      </c>
      <c r="C4213" s="2">
        <f>IFERROR(__xludf.DUMMYFUNCTION("""COMPUTED_VALUE"""),1260.95)</f>
        <v>1260.95</v>
      </c>
      <c r="D4213" s="2">
        <f>IFERROR(__xludf.DUMMYFUNCTION("""COMPUTED_VALUE"""),1230.99)</f>
        <v>1230.99</v>
      </c>
      <c r="E4213" s="2">
        <f>IFERROR(__xludf.DUMMYFUNCTION("""COMPUTED_VALUE"""),1237.23)</f>
        <v>1237.23</v>
      </c>
      <c r="F4213" s="2">
        <f>IFERROR(__xludf.DUMMYFUNCTION("""COMPUTED_VALUE"""),7468515.0)</f>
        <v>7468515</v>
      </c>
    </row>
    <row r="4214">
      <c r="A4214" s="3">
        <f>IFERROR(__xludf.DUMMYFUNCTION("""COMPUTED_VALUE"""),43668.64583333333)</f>
        <v>43668.64583</v>
      </c>
      <c r="B4214" s="2">
        <f>IFERROR(__xludf.DUMMYFUNCTION("""COMPUTED_VALUE"""),1239.21)</f>
        <v>1239.21</v>
      </c>
      <c r="C4214" s="2">
        <f>IFERROR(__xludf.DUMMYFUNCTION("""COMPUTED_VALUE"""),1272.39)</f>
        <v>1272.39</v>
      </c>
      <c r="D4214" s="2">
        <f>IFERROR(__xludf.DUMMYFUNCTION("""COMPUTED_VALUE"""),1215.73)</f>
        <v>1215.73</v>
      </c>
      <c r="E4214" s="2">
        <f>IFERROR(__xludf.DUMMYFUNCTION("""COMPUTED_VALUE"""),1268.43)</f>
        <v>1268.43</v>
      </c>
      <c r="F4214" s="2">
        <f>IFERROR(__xludf.DUMMYFUNCTION("""COMPUTED_VALUE"""),1.3300153E7)</f>
        <v>13300153</v>
      </c>
    </row>
    <row r="4215">
      <c r="A4215" s="3">
        <f>IFERROR(__xludf.DUMMYFUNCTION("""COMPUTED_VALUE"""),43669.64583333333)</f>
        <v>43669.64583</v>
      </c>
      <c r="B4215" s="2">
        <f>IFERROR(__xludf.DUMMYFUNCTION("""COMPUTED_VALUE"""),1272.89)</f>
        <v>1272.89</v>
      </c>
      <c r="C4215" s="2">
        <f>IFERROR(__xludf.DUMMYFUNCTION("""COMPUTED_VALUE"""),1281.7)</f>
        <v>1281.7</v>
      </c>
      <c r="D4215" s="2">
        <f>IFERROR(__xludf.DUMMYFUNCTION("""COMPUTED_VALUE"""),1248.52)</f>
        <v>1248.52</v>
      </c>
      <c r="E4215" s="2">
        <f>IFERROR(__xludf.DUMMYFUNCTION("""COMPUTED_VALUE"""),1261.55)</f>
        <v>1261.55</v>
      </c>
      <c r="F4215" s="2">
        <f>IFERROR(__xludf.DUMMYFUNCTION("""COMPUTED_VALUE"""),9287951.0)</f>
        <v>9287951</v>
      </c>
    </row>
    <row r="4216">
      <c r="A4216" s="3">
        <f>IFERROR(__xludf.DUMMYFUNCTION("""COMPUTED_VALUE"""),43670.64583333333)</f>
        <v>43670.64583</v>
      </c>
      <c r="B4216" s="2">
        <f>IFERROR(__xludf.DUMMYFUNCTION("""COMPUTED_VALUE"""),1261.5)</f>
        <v>1261.5</v>
      </c>
      <c r="C4216" s="2">
        <f>IFERROR(__xludf.DUMMYFUNCTION("""COMPUTED_VALUE"""),1266.75)</f>
        <v>1266.75</v>
      </c>
      <c r="D4216" s="2">
        <f>IFERROR(__xludf.DUMMYFUNCTION("""COMPUTED_VALUE"""),1241.73)</f>
        <v>1241.73</v>
      </c>
      <c r="E4216" s="2">
        <f>IFERROR(__xludf.DUMMYFUNCTION("""COMPUTED_VALUE"""),1247.23)</f>
        <v>1247.23</v>
      </c>
      <c r="F4216" s="2">
        <f>IFERROR(__xludf.DUMMYFUNCTION("""COMPUTED_VALUE"""),6943982.0)</f>
        <v>6943982</v>
      </c>
    </row>
    <row r="4217">
      <c r="A4217" s="3">
        <f>IFERROR(__xludf.DUMMYFUNCTION("""COMPUTED_VALUE"""),43671.64583333333)</f>
        <v>43671.64583</v>
      </c>
      <c r="B4217" s="2">
        <f>IFERROR(__xludf.DUMMYFUNCTION("""COMPUTED_VALUE"""),1252.09)</f>
        <v>1252.09</v>
      </c>
      <c r="C4217" s="2">
        <f>IFERROR(__xludf.DUMMYFUNCTION("""COMPUTED_VALUE"""),1257.09)</f>
        <v>1257.09</v>
      </c>
      <c r="D4217" s="2">
        <f>IFERROR(__xludf.DUMMYFUNCTION("""COMPUTED_VALUE"""),1215.43)</f>
        <v>1215.43</v>
      </c>
      <c r="E4217" s="2">
        <f>IFERROR(__xludf.DUMMYFUNCTION("""COMPUTED_VALUE"""),1219.89)</f>
        <v>1219.89</v>
      </c>
      <c r="F4217" s="2">
        <f>IFERROR(__xludf.DUMMYFUNCTION("""COMPUTED_VALUE"""),9968545.0)</f>
        <v>9968545</v>
      </c>
    </row>
    <row r="4218">
      <c r="A4218" s="3">
        <f>IFERROR(__xludf.DUMMYFUNCTION("""COMPUTED_VALUE"""),43672.64583333333)</f>
        <v>43672.64583</v>
      </c>
      <c r="B4218" s="2">
        <f>IFERROR(__xludf.DUMMYFUNCTION("""COMPUTED_VALUE"""),1219.89)</f>
        <v>1219.89</v>
      </c>
      <c r="C4218" s="2">
        <f>IFERROR(__xludf.DUMMYFUNCTION("""COMPUTED_VALUE"""),1230.79)</f>
        <v>1230.79</v>
      </c>
      <c r="D4218" s="2">
        <f>IFERROR(__xludf.DUMMYFUNCTION("""COMPUTED_VALUE"""),1198.59)</f>
        <v>1198.59</v>
      </c>
      <c r="E4218" s="2">
        <f>IFERROR(__xludf.DUMMYFUNCTION("""COMPUTED_VALUE"""),1202.36)</f>
        <v>1202.36</v>
      </c>
      <c r="F4218" s="2">
        <f>IFERROR(__xludf.DUMMYFUNCTION("""COMPUTED_VALUE"""),9320481.0)</f>
        <v>9320481</v>
      </c>
    </row>
    <row r="4219">
      <c r="A4219" s="3">
        <f>IFERROR(__xludf.DUMMYFUNCTION("""COMPUTED_VALUE"""),43675.64583333333)</f>
        <v>43675.64583</v>
      </c>
      <c r="B4219" s="2">
        <f>IFERROR(__xludf.DUMMYFUNCTION("""COMPUTED_VALUE"""),1205.43)</f>
        <v>1205.43</v>
      </c>
      <c r="C4219" s="2">
        <f>IFERROR(__xludf.DUMMYFUNCTION("""COMPUTED_VALUE"""),1210.48)</f>
        <v>1210.48</v>
      </c>
      <c r="D4219" s="2">
        <f>IFERROR(__xludf.DUMMYFUNCTION("""COMPUTED_VALUE"""),1193.74)</f>
        <v>1193.74</v>
      </c>
      <c r="E4219" s="2">
        <f>IFERROR(__xludf.DUMMYFUNCTION("""COMPUTED_VALUE"""),1199.54)</f>
        <v>1199.54</v>
      </c>
      <c r="F4219" s="2">
        <f>IFERROR(__xludf.DUMMYFUNCTION("""COMPUTED_VALUE"""),8058035.0)</f>
        <v>8058035</v>
      </c>
    </row>
    <row r="4220">
      <c r="A4220" s="3">
        <f>IFERROR(__xludf.DUMMYFUNCTION("""COMPUTED_VALUE"""),43676.64583333333)</f>
        <v>43676.64583</v>
      </c>
      <c r="B4220" s="2">
        <f>IFERROR(__xludf.DUMMYFUNCTION("""COMPUTED_VALUE"""),1202.51)</f>
        <v>1202.51</v>
      </c>
      <c r="C4220" s="2">
        <f>IFERROR(__xludf.DUMMYFUNCTION("""COMPUTED_VALUE"""),1208.5)</f>
        <v>1208.5</v>
      </c>
      <c r="D4220" s="2">
        <f>IFERROR(__xludf.DUMMYFUNCTION("""COMPUTED_VALUE"""),1164.87)</f>
        <v>1164.87</v>
      </c>
      <c r="E4220" s="2">
        <f>IFERROR(__xludf.DUMMYFUNCTION("""COMPUTED_VALUE"""),1169.77)</f>
        <v>1169.77</v>
      </c>
      <c r="F4220" s="2">
        <f>IFERROR(__xludf.DUMMYFUNCTION("""COMPUTED_VALUE"""),9533344.0)</f>
        <v>9533344</v>
      </c>
    </row>
    <row r="4221">
      <c r="A4221" s="3">
        <f>IFERROR(__xludf.DUMMYFUNCTION("""COMPUTED_VALUE"""),43677.64583333333)</f>
        <v>43677.64583</v>
      </c>
      <c r="B4221" s="2">
        <f>IFERROR(__xludf.DUMMYFUNCTION("""COMPUTED_VALUE"""),1164.67)</f>
        <v>1164.67</v>
      </c>
      <c r="C4221" s="2">
        <f>IFERROR(__xludf.DUMMYFUNCTION("""COMPUTED_VALUE"""),1173.83)</f>
        <v>1173.83</v>
      </c>
      <c r="D4221" s="2">
        <f>IFERROR(__xludf.DUMMYFUNCTION("""COMPUTED_VALUE"""),1151.44)</f>
        <v>1151.44</v>
      </c>
      <c r="E4221" s="2">
        <f>IFERROR(__xludf.DUMMYFUNCTION("""COMPUTED_VALUE"""),1155.26)</f>
        <v>1155.26</v>
      </c>
      <c r="F4221" s="2">
        <f>IFERROR(__xludf.DUMMYFUNCTION("""COMPUTED_VALUE"""),9705619.0)</f>
        <v>9705619</v>
      </c>
    </row>
    <row r="4222">
      <c r="A4222" s="3">
        <f>IFERROR(__xludf.DUMMYFUNCTION("""COMPUTED_VALUE"""),43678.64583333333)</f>
        <v>43678.64583</v>
      </c>
      <c r="B4222" s="2">
        <f>IFERROR(__xludf.DUMMYFUNCTION("""COMPUTED_VALUE"""),1152.43)</f>
        <v>1152.43</v>
      </c>
      <c r="C4222" s="2">
        <f>IFERROR(__xludf.DUMMYFUNCTION("""COMPUTED_VALUE"""),1177.0)</f>
        <v>1177</v>
      </c>
      <c r="D4222" s="2">
        <f>IFERROR(__xludf.DUMMYFUNCTION("""COMPUTED_VALUE"""),1139.51)</f>
        <v>1139.51</v>
      </c>
      <c r="E4222" s="2">
        <f>IFERROR(__xludf.DUMMYFUNCTION("""COMPUTED_VALUE"""),1169.12)</f>
        <v>1169.12</v>
      </c>
      <c r="F4222" s="2">
        <f>IFERROR(__xludf.DUMMYFUNCTION("""COMPUTED_VALUE"""),1.0344862E7)</f>
        <v>10344862</v>
      </c>
    </row>
    <row r="4223">
      <c r="A4223" s="3">
        <f>IFERROR(__xludf.DUMMYFUNCTION("""COMPUTED_VALUE"""),43679.64583333333)</f>
        <v>43679.64583</v>
      </c>
      <c r="B4223" s="2">
        <f>IFERROR(__xludf.DUMMYFUNCTION("""COMPUTED_VALUE"""),1164.62)</f>
        <v>1164.62</v>
      </c>
      <c r="C4223" s="2">
        <f>IFERROR(__xludf.DUMMYFUNCTION("""COMPUTED_VALUE"""),1186.96)</f>
        <v>1186.96</v>
      </c>
      <c r="D4223" s="2">
        <f>IFERROR(__xludf.DUMMYFUNCTION("""COMPUTED_VALUE"""),1151.15)</f>
        <v>1151.15</v>
      </c>
      <c r="E4223" s="2">
        <f>IFERROR(__xludf.DUMMYFUNCTION("""COMPUTED_VALUE"""),1173.19)</f>
        <v>1173.19</v>
      </c>
      <c r="F4223" s="2">
        <f>IFERROR(__xludf.DUMMYFUNCTION("""COMPUTED_VALUE"""),1.0865385E7)</f>
        <v>10865385</v>
      </c>
    </row>
    <row r="4224">
      <c r="A4224" s="3">
        <f>IFERROR(__xludf.DUMMYFUNCTION("""COMPUTED_VALUE"""),43682.64583333333)</f>
        <v>43682.64583</v>
      </c>
      <c r="B4224" s="2">
        <f>IFERROR(__xludf.DUMMYFUNCTION("""COMPUTED_VALUE"""),1156.0)</f>
        <v>1156</v>
      </c>
      <c r="C4224" s="2">
        <f>IFERROR(__xludf.DUMMYFUNCTION("""COMPUTED_VALUE"""),1156.0)</f>
        <v>1156</v>
      </c>
      <c r="D4224" s="2">
        <f>IFERROR(__xludf.DUMMYFUNCTION("""COMPUTED_VALUE"""),1117.37)</f>
        <v>1117.37</v>
      </c>
      <c r="E4224" s="2">
        <f>IFERROR(__xludf.DUMMYFUNCTION("""COMPUTED_VALUE"""),1132.57)</f>
        <v>1132.57</v>
      </c>
      <c r="F4224" s="2">
        <f>IFERROR(__xludf.DUMMYFUNCTION("""COMPUTED_VALUE"""),1.3897461E7)</f>
        <v>13897461</v>
      </c>
    </row>
    <row r="4225">
      <c r="A4225" s="3">
        <f>IFERROR(__xludf.DUMMYFUNCTION("""COMPUTED_VALUE"""),43683.64583333333)</f>
        <v>43683.64583</v>
      </c>
      <c r="B4225" s="2">
        <f>IFERROR(__xludf.DUMMYFUNCTION("""COMPUTED_VALUE"""),1124.05)</f>
        <v>1124.05</v>
      </c>
      <c r="C4225" s="2">
        <f>IFERROR(__xludf.DUMMYFUNCTION("""COMPUTED_VALUE"""),1138.76)</f>
        <v>1138.76</v>
      </c>
      <c r="D4225" s="2">
        <f>IFERROR(__xludf.DUMMYFUNCTION("""COMPUTED_VALUE"""),1111.42)</f>
        <v>1111.42</v>
      </c>
      <c r="E4225" s="2">
        <f>IFERROR(__xludf.DUMMYFUNCTION("""COMPUTED_VALUE"""),1117.66)</f>
        <v>1117.66</v>
      </c>
      <c r="F4225" s="2">
        <f>IFERROR(__xludf.DUMMYFUNCTION("""COMPUTED_VALUE"""),1.3288909E7)</f>
        <v>13288909</v>
      </c>
    </row>
    <row r="4226">
      <c r="A4226" s="3">
        <f>IFERROR(__xludf.DUMMYFUNCTION("""COMPUTED_VALUE"""),43684.64583333333)</f>
        <v>43684.64583</v>
      </c>
      <c r="B4226" s="2">
        <f>IFERROR(__xludf.DUMMYFUNCTION("""COMPUTED_VALUE"""),1115.88)</f>
        <v>1115.88</v>
      </c>
      <c r="C4226" s="2">
        <f>IFERROR(__xludf.DUMMYFUNCTION("""COMPUTED_VALUE"""),1127.82)</f>
        <v>1127.82</v>
      </c>
      <c r="D4226" s="2">
        <f>IFERROR(__xludf.DUMMYFUNCTION("""COMPUTED_VALUE"""),1092.7)</f>
        <v>1092.7</v>
      </c>
      <c r="E4226" s="2">
        <f>IFERROR(__xludf.DUMMYFUNCTION("""COMPUTED_VALUE"""),1098.94)</f>
        <v>1098.94</v>
      </c>
      <c r="F4226" s="2">
        <f>IFERROR(__xludf.DUMMYFUNCTION("""COMPUTED_VALUE"""),1.1588879E7)</f>
        <v>11588879</v>
      </c>
    </row>
    <row r="4227">
      <c r="A4227" s="3">
        <f>IFERROR(__xludf.DUMMYFUNCTION("""COMPUTED_VALUE"""),43685.64583333333)</f>
        <v>43685.64583</v>
      </c>
      <c r="B4227" s="2">
        <f>IFERROR(__xludf.DUMMYFUNCTION("""COMPUTED_VALUE"""),1097.9)</f>
        <v>1097.9</v>
      </c>
      <c r="C4227" s="2">
        <f>IFERROR(__xludf.DUMMYFUNCTION("""COMPUTED_VALUE"""),1147.08)</f>
        <v>1147.08</v>
      </c>
      <c r="D4227" s="2">
        <f>IFERROR(__xludf.DUMMYFUNCTION("""COMPUTED_VALUE"""),1084.98)</f>
        <v>1084.98</v>
      </c>
      <c r="E4227" s="2">
        <f>IFERROR(__xludf.DUMMYFUNCTION("""COMPUTED_VALUE"""),1141.49)</f>
        <v>1141.49</v>
      </c>
      <c r="F4227" s="2">
        <f>IFERROR(__xludf.DUMMYFUNCTION("""COMPUTED_VALUE"""),1.4262936E7)</f>
        <v>14262936</v>
      </c>
    </row>
    <row r="4228">
      <c r="A4228" s="3">
        <f>IFERROR(__xludf.DUMMYFUNCTION("""COMPUTED_VALUE"""),43686.64583333333)</f>
        <v>43686.64583</v>
      </c>
      <c r="B4228" s="2">
        <f>IFERROR(__xludf.DUMMYFUNCTION("""COMPUTED_VALUE"""),1150.9)</f>
        <v>1150.9</v>
      </c>
      <c r="C4228" s="2">
        <f>IFERROR(__xludf.DUMMYFUNCTION("""COMPUTED_VALUE"""),1164.42)</f>
        <v>1164.42</v>
      </c>
      <c r="D4228" s="2">
        <f>IFERROR(__xludf.DUMMYFUNCTION("""COMPUTED_VALUE"""),1141.44)</f>
        <v>1141.44</v>
      </c>
      <c r="E4228" s="2">
        <f>IFERROR(__xludf.DUMMYFUNCTION("""COMPUTED_VALUE"""),1151.15)</f>
        <v>1151.15</v>
      </c>
      <c r="F4228" s="2">
        <f>IFERROR(__xludf.DUMMYFUNCTION("""COMPUTED_VALUE"""),1.0043949E7)</f>
        <v>10043949</v>
      </c>
    </row>
    <row r="4229">
      <c r="A4229" s="3">
        <f>IFERROR(__xludf.DUMMYFUNCTION("""COMPUTED_VALUE"""),43690.64583333333)</f>
        <v>43690.64583</v>
      </c>
      <c r="B4229" s="2">
        <f>IFERROR(__xludf.DUMMYFUNCTION("""COMPUTED_VALUE"""),1221.53)</f>
        <v>1221.53</v>
      </c>
      <c r="C4229" s="2">
        <f>IFERROR(__xludf.DUMMYFUNCTION("""COMPUTED_VALUE"""),1290.52)</f>
        <v>1290.52</v>
      </c>
      <c r="D4229" s="2">
        <f>IFERROR(__xludf.DUMMYFUNCTION("""COMPUTED_VALUE"""),1214.44)</f>
        <v>1214.44</v>
      </c>
      <c r="E4229" s="2">
        <f>IFERROR(__xludf.DUMMYFUNCTION("""COMPUTED_VALUE"""),1262.73)</f>
        <v>1262.73</v>
      </c>
      <c r="F4229" s="2">
        <f>IFERROR(__xludf.DUMMYFUNCTION("""COMPUTED_VALUE"""),4.7923444E7)</f>
        <v>47923444</v>
      </c>
    </row>
    <row r="4230">
      <c r="A4230" s="3">
        <f>IFERROR(__xludf.DUMMYFUNCTION("""COMPUTED_VALUE"""),43691.64583333333)</f>
        <v>43691.64583</v>
      </c>
      <c r="B4230" s="2">
        <f>IFERROR(__xludf.DUMMYFUNCTION("""COMPUTED_VALUE"""),1291.71)</f>
        <v>1291.71</v>
      </c>
      <c r="C4230" s="2">
        <f>IFERROR(__xludf.DUMMYFUNCTION("""COMPUTED_VALUE"""),1292.15)</f>
        <v>1292.15</v>
      </c>
      <c r="D4230" s="2">
        <f>IFERROR(__xludf.DUMMYFUNCTION("""COMPUTED_VALUE"""),1268.28)</f>
        <v>1268.28</v>
      </c>
      <c r="E4230" s="2">
        <f>IFERROR(__xludf.DUMMYFUNCTION("""COMPUTED_VALUE"""),1276.11)</f>
        <v>1276.11</v>
      </c>
      <c r="F4230" s="2">
        <f>IFERROR(__xludf.DUMMYFUNCTION("""COMPUTED_VALUE"""),1.4487137E7)</f>
        <v>14487137</v>
      </c>
    </row>
    <row r="4231">
      <c r="A4231" s="3">
        <f>IFERROR(__xludf.DUMMYFUNCTION("""COMPUTED_VALUE"""),43693.64583333333)</f>
        <v>43693.64583</v>
      </c>
      <c r="B4231" s="2">
        <f>IFERROR(__xludf.DUMMYFUNCTION("""COMPUTED_VALUE"""),1279.03)</f>
        <v>1279.03</v>
      </c>
      <c r="C4231" s="2">
        <f>IFERROR(__xludf.DUMMYFUNCTION("""COMPUTED_VALUE"""),1279.62)</f>
        <v>1279.62</v>
      </c>
      <c r="D4231" s="2">
        <f>IFERROR(__xludf.DUMMYFUNCTION("""COMPUTED_VALUE"""),1261.0)</f>
        <v>1261</v>
      </c>
      <c r="E4231" s="2">
        <f>IFERROR(__xludf.DUMMYFUNCTION("""COMPUTED_VALUE"""),1265.95)</f>
        <v>1265.95</v>
      </c>
      <c r="F4231" s="2">
        <f>IFERROR(__xludf.DUMMYFUNCTION("""COMPUTED_VALUE"""),1.0047496E7)</f>
        <v>10047496</v>
      </c>
    </row>
    <row r="4232">
      <c r="A4232" s="3">
        <f>IFERROR(__xludf.DUMMYFUNCTION("""COMPUTED_VALUE"""),43696.64583333333)</f>
        <v>43696.64583</v>
      </c>
      <c r="B4232" s="2">
        <f>IFERROR(__xludf.DUMMYFUNCTION("""COMPUTED_VALUE"""),1268.97)</f>
        <v>1268.97</v>
      </c>
      <c r="C4232" s="2">
        <f>IFERROR(__xludf.DUMMYFUNCTION("""COMPUTED_VALUE"""),1284.58)</f>
        <v>1284.58</v>
      </c>
      <c r="D4232" s="2">
        <f>IFERROR(__xludf.DUMMYFUNCTION("""COMPUTED_VALUE"""),1267.93)</f>
        <v>1267.93</v>
      </c>
      <c r="E4232" s="2">
        <f>IFERROR(__xludf.DUMMYFUNCTION("""COMPUTED_VALUE"""),1280.42)</f>
        <v>1280.42</v>
      </c>
      <c r="F4232" s="2">
        <f>IFERROR(__xludf.DUMMYFUNCTION("""COMPUTED_VALUE"""),7459859.0)</f>
        <v>7459859</v>
      </c>
    </row>
    <row r="4233">
      <c r="A4233" s="3">
        <f>IFERROR(__xludf.DUMMYFUNCTION("""COMPUTED_VALUE"""),43697.64583333333)</f>
        <v>43697.64583</v>
      </c>
      <c r="B4233" s="2">
        <f>IFERROR(__xludf.DUMMYFUNCTION("""COMPUTED_VALUE"""),1277.64)</f>
        <v>1277.64</v>
      </c>
      <c r="C4233" s="2">
        <f>IFERROR(__xludf.DUMMYFUNCTION("""COMPUTED_VALUE"""),1280.42)</f>
        <v>1280.42</v>
      </c>
      <c r="D4233" s="2">
        <f>IFERROR(__xludf.DUMMYFUNCTION("""COMPUTED_VALUE"""),1260.6)</f>
        <v>1260.6</v>
      </c>
      <c r="E4233" s="2">
        <f>IFERROR(__xludf.DUMMYFUNCTION("""COMPUTED_VALUE"""),1263.92)</f>
        <v>1263.92</v>
      </c>
      <c r="F4233" s="2">
        <f>IFERROR(__xludf.DUMMYFUNCTION("""COMPUTED_VALUE"""),6843460.0)</f>
        <v>6843460</v>
      </c>
    </row>
    <row r="4234">
      <c r="A4234" s="3">
        <f>IFERROR(__xludf.DUMMYFUNCTION("""COMPUTED_VALUE"""),43698.64583333333)</f>
        <v>43698.64583</v>
      </c>
      <c r="B4234" s="2">
        <f>IFERROR(__xludf.DUMMYFUNCTION("""COMPUTED_VALUE"""),1263.63)</f>
        <v>1263.63</v>
      </c>
      <c r="C4234" s="2">
        <f>IFERROR(__xludf.DUMMYFUNCTION("""COMPUTED_VALUE"""),1266.6)</f>
        <v>1266.6</v>
      </c>
      <c r="D4234" s="2">
        <f>IFERROR(__xludf.DUMMYFUNCTION("""COMPUTED_VALUE"""),1254.56)</f>
        <v>1254.56</v>
      </c>
      <c r="E4234" s="2">
        <f>IFERROR(__xludf.DUMMYFUNCTION("""COMPUTED_VALUE"""),1258.97)</f>
        <v>1258.97</v>
      </c>
      <c r="F4234" s="2">
        <f>IFERROR(__xludf.DUMMYFUNCTION("""COMPUTED_VALUE"""),4881553.0)</f>
        <v>4881553</v>
      </c>
    </row>
    <row r="4235">
      <c r="A4235" s="3">
        <f>IFERROR(__xludf.DUMMYFUNCTION("""COMPUTED_VALUE"""),43699.64583333333)</f>
        <v>43699.64583</v>
      </c>
      <c r="B4235" s="2">
        <f>IFERROR(__xludf.DUMMYFUNCTION("""COMPUTED_VALUE"""),1258.97)</f>
        <v>1258.97</v>
      </c>
      <c r="C4235" s="2">
        <f>IFERROR(__xludf.DUMMYFUNCTION("""COMPUTED_VALUE"""),1259.02)</f>
        <v>1259.02</v>
      </c>
      <c r="D4235" s="2">
        <f>IFERROR(__xludf.DUMMYFUNCTION("""COMPUTED_VALUE"""),1227.22)</f>
        <v>1227.22</v>
      </c>
      <c r="E4235" s="2">
        <f>IFERROR(__xludf.DUMMYFUNCTION("""COMPUTED_VALUE"""),1235.0)</f>
        <v>1235</v>
      </c>
      <c r="F4235" s="2">
        <f>IFERROR(__xludf.DUMMYFUNCTION("""COMPUTED_VALUE"""),6414937.0)</f>
        <v>6414937</v>
      </c>
    </row>
    <row r="4236">
      <c r="A4236" s="3">
        <f>IFERROR(__xludf.DUMMYFUNCTION("""COMPUTED_VALUE"""),43700.64583333333)</f>
        <v>43700.64583</v>
      </c>
      <c r="B4236" s="2">
        <f>IFERROR(__xludf.DUMMYFUNCTION("""COMPUTED_VALUE"""),1227.32)</f>
        <v>1227.32</v>
      </c>
      <c r="C4236" s="2">
        <f>IFERROR(__xludf.DUMMYFUNCTION("""COMPUTED_VALUE"""),1271.9)</f>
        <v>1271.9</v>
      </c>
      <c r="D4236" s="2">
        <f>IFERROR(__xludf.DUMMYFUNCTION("""COMPUTED_VALUE"""),1214.94)</f>
        <v>1214.94</v>
      </c>
      <c r="E4236" s="2">
        <f>IFERROR(__xludf.DUMMYFUNCTION("""COMPUTED_VALUE"""),1263.82)</f>
        <v>1263.82</v>
      </c>
      <c r="F4236" s="2">
        <f>IFERROR(__xludf.DUMMYFUNCTION("""COMPUTED_VALUE"""),9741262.0)</f>
        <v>9741262</v>
      </c>
    </row>
    <row r="4237">
      <c r="A4237" s="3">
        <f>IFERROR(__xludf.DUMMYFUNCTION("""COMPUTED_VALUE"""),43703.64583333333)</f>
        <v>43703.64583</v>
      </c>
      <c r="B4237" s="2">
        <f>IFERROR(__xludf.DUMMYFUNCTION("""COMPUTED_VALUE"""),1281.8)</f>
        <v>1281.8</v>
      </c>
      <c r="C4237" s="2">
        <f>IFERROR(__xludf.DUMMYFUNCTION("""COMPUTED_VALUE"""),1281.8)</f>
        <v>1281.8</v>
      </c>
      <c r="D4237" s="2">
        <f>IFERROR(__xludf.DUMMYFUNCTION("""COMPUTED_VALUE"""),1247.13)</f>
        <v>1247.13</v>
      </c>
      <c r="E4237" s="2">
        <f>IFERROR(__xludf.DUMMYFUNCTION("""COMPUTED_VALUE"""),1254.86)</f>
        <v>1254.86</v>
      </c>
      <c r="F4237" s="2">
        <f>IFERROR(__xludf.DUMMYFUNCTION("""COMPUTED_VALUE"""),8778739.0)</f>
        <v>8778739</v>
      </c>
    </row>
    <row r="4238">
      <c r="A4238" s="3">
        <f>IFERROR(__xludf.DUMMYFUNCTION("""COMPUTED_VALUE"""),43704.64583333333)</f>
        <v>43704.64583</v>
      </c>
      <c r="B4238" s="2">
        <f>IFERROR(__xludf.DUMMYFUNCTION("""COMPUTED_VALUE"""),1272.89)</f>
        <v>1272.89</v>
      </c>
      <c r="C4238" s="2">
        <f>IFERROR(__xludf.DUMMYFUNCTION("""COMPUTED_VALUE"""),1272.89)</f>
        <v>1272.89</v>
      </c>
      <c r="D4238" s="2">
        <f>IFERROR(__xludf.DUMMYFUNCTION("""COMPUTED_VALUE"""),1249.31)</f>
        <v>1249.31</v>
      </c>
      <c r="E4238" s="2">
        <f>IFERROR(__xludf.DUMMYFUNCTION("""COMPUTED_VALUE"""),1262.83)</f>
        <v>1262.83</v>
      </c>
      <c r="F4238" s="2">
        <f>IFERROR(__xludf.DUMMYFUNCTION("""COMPUTED_VALUE"""),1.2984396E7)</f>
        <v>12984396</v>
      </c>
    </row>
    <row r="4239">
      <c r="A4239" s="3">
        <f>IFERROR(__xludf.DUMMYFUNCTION("""COMPUTED_VALUE"""),43705.64583333333)</f>
        <v>43705.64583</v>
      </c>
      <c r="B4239" s="2">
        <f>IFERROR(__xludf.DUMMYFUNCTION("""COMPUTED_VALUE"""),1261.74)</f>
        <v>1261.74</v>
      </c>
      <c r="C4239" s="2">
        <f>IFERROR(__xludf.DUMMYFUNCTION("""COMPUTED_VALUE"""),1268.93)</f>
        <v>1268.93</v>
      </c>
      <c r="D4239" s="2">
        <f>IFERROR(__xludf.DUMMYFUNCTION("""COMPUTED_VALUE"""),1244.21)</f>
        <v>1244.21</v>
      </c>
      <c r="E4239" s="2">
        <f>IFERROR(__xludf.DUMMYFUNCTION("""COMPUTED_VALUE"""),1251.39)</f>
        <v>1251.39</v>
      </c>
      <c r="F4239" s="2">
        <f>IFERROR(__xludf.DUMMYFUNCTION("""COMPUTED_VALUE"""),5305639.0)</f>
        <v>5305639</v>
      </c>
    </row>
    <row r="4240">
      <c r="A4240" s="3">
        <f>IFERROR(__xludf.DUMMYFUNCTION("""COMPUTED_VALUE"""),43706.64583333333)</f>
        <v>43706.64583</v>
      </c>
      <c r="B4240" s="2">
        <f>IFERROR(__xludf.DUMMYFUNCTION("""COMPUTED_VALUE"""),1244.61)</f>
        <v>1244.61</v>
      </c>
      <c r="C4240" s="2">
        <f>IFERROR(__xludf.DUMMYFUNCTION("""COMPUTED_VALUE"""),1248.37)</f>
        <v>1248.37</v>
      </c>
      <c r="D4240" s="2">
        <f>IFERROR(__xludf.DUMMYFUNCTION("""COMPUTED_VALUE"""),1223.66)</f>
        <v>1223.66</v>
      </c>
      <c r="E4240" s="2">
        <f>IFERROR(__xludf.DUMMYFUNCTION("""COMPUTED_VALUE"""),1230.05)</f>
        <v>1230.05</v>
      </c>
      <c r="F4240" s="2">
        <f>IFERROR(__xludf.DUMMYFUNCTION("""COMPUTED_VALUE"""),8635974.0)</f>
        <v>8635974</v>
      </c>
    </row>
    <row r="4241">
      <c r="A4241" s="3">
        <f>IFERROR(__xludf.DUMMYFUNCTION("""COMPUTED_VALUE"""),43707.64583333333)</f>
        <v>43707.64583</v>
      </c>
      <c r="B4241" s="2">
        <f>IFERROR(__xludf.DUMMYFUNCTION("""COMPUTED_VALUE"""),1233.76)</f>
        <v>1233.76</v>
      </c>
      <c r="C4241" s="2">
        <f>IFERROR(__xludf.DUMMYFUNCTION("""COMPUTED_VALUE"""),1242.58)</f>
        <v>1242.58</v>
      </c>
      <c r="D4241" s="2">
        <f>IFERROR(__xludf.DUMMYFUNCTION("""COMPUTED_VALUE"""),1209.49)</f>
        <v>1209.49</v>
      </c>
      <c r="E4241" s="2">
        <f>IFERROR(__xludf.DUMMYFUNCTION("""COMPUTED_VALUE"""),1236.78)</f>
        <v>1236.78</v>
      </c>
      <c r="F4241" s="2">
        <f>IFERROR(__xludf.DUMMYFUNCTION("""COMPUTED_VALUE"""),1.130812E7)</f>
        <v>11308120</v>
      </c>
    </row>
    <row r="4242">
      <c r="A4242" s="3">
        <f>IFERROR(__xludf.DUMMYFUNCTION("""COMPUTED_VALUE"""),43711.64583333333)</f>
        <v>43711.64583</v>
      </c>
      <c r="B4242" s="2">
        <f>IFERROR(__xludf.DUMMYFUNCTION("""COMPUTED_VALUE"""),1230.54)</f>
        <v>1230.54</v>
      </c>
      <c r="C4242" s="2">
        <f>IFERROR(__xludf.DUMMYFUNCTION("""COMPUTED_VALUE"""),1231.28)</f>
        <v>1231.28</v>
      </c>
      <c r="D4242" s="2">
        <f>IFERROR(__xludf.DUMMYFUNCTION("""COMPUTED_VALUE"""),1188.69)</f>
        <v>1188.69</v>
      </c>
      <c r="E4242" s="2">
        <f>IFERROR(__xludf.DUMMYFUNCTION("""COMPUTED_VALUE"""),1195.03)</f>
        <v>1195.03</v>
      </c>
      <c r="F4242" s="2">
        <f>IFERROR(__xludf.DUMMYFUNCTION("""COMPUTED_VALUE"""),8563009.0)</f>
        <v>8563009</v>
      </c>
    </row>
    <row r="4243">
      <c r="A4243" s="3">
        <f>IFERROR(__xludf.DUMMYFUNCTION("""COMPUTED_VALUE"""),43712.64583333333)</f>
        <v>43712.64583</v>
      </c>
      <c r="B4243" s="2">
        <f>IFERROR(__xludf.DUMMYFUNCTION("""COMPUTED_VALUE"""),1189.23)</f>
        <v>1189.23</v>
      </c>
      <c r="C4243" s="2">
        <f>IFERROR(__xludf.DUMMYFUNCTION("""COMPUTED_VALUE"""),1193.89)</f>
        <v>1193.89</v>
      </c>
      <c r="D4243" s="2">
        <f>IFERROR(__xludf.DUMMYFUNCTION("""COMPUTED_VALUE"""),1174.87)</f>
        <v>1174.87</v>
      </c>
      <c r="E4243" s="2">
        <f>IFERROR(__xludf.DUMMYFUNCTION("""COMPUTED_VALUE"""),1189.83)</f>
        <v>1189.83</v>
      </c>
      <c r="F4243" s="2">
        <f>IFERROR(__xludf.DUMMYFUNCTION("""COMPUTED_VALUE"""),1.5063355E7)</f>
        <v>15063355</v>
      </c>
    </row>
    <row r="4244">
      <c r="A4244" s="3">
        <f>IFERROR(__xludf.DUMMYFUNCTION("""COMPUTED_VALUE"""),43713.64583333333)</f>
        <v>43713.64583</v>
      </c>
      <c r="B4244" s="2">
        <f>IFERROR(__xludf.DUMMYFUNCTION("""COMPUTED_VALUE"""),1195.42)</f>
        <v>1195.42</v>
      </c>
      <c r="C4244" s="2">
        <f>IFERROR(__xludf.DUMMYFUNCTION("""COMPUTED_VALUE"""),1201.76)</f>
        <v>1201.76</v>
      </c>
      <c r="D4244" s="2">
        <f>IFERROR(__xludf.DUMMYFUNCTION("""COMPUTED_VALUE"""),1182.05)</f>
        <v>1182.05</v>
      </c>
      <c r="E4244" s="2">
        <f>IFERROR(__xludf.DUMMYFUNCTION("""COMPUTED_VALUE"""),1187.3)</f>
        <v>1187.3</v>
      </c>
      <c r="F4244" s="2">
        <f>IFERROR(__xludf.DUMMYFUNCTION("""COMPUTED_VALUE"""),1.0512763E7)</f>
        <v>10512763</v>
      </c>
    </row>
    <row r="4245">
      <c r="A4245" s="3">
        <f>IFERROR(__xludf.DUMMYFUNCTION("""COMPUTED_VALUE"""),43714.64583333333)</f>
        <v>43714.64583</v>
      </c>
      <c r="B4245" s="2">
        <f>IFERROR(__xludf.DUMMYFUNCTION("""COMPUTED_VALUE"""),1191.66)</f>
        <v>1191.66</v>
      </c>
      <c r="C4245" s="2">
        <f>IFERROR(__xludf.DUMMYFUNCTION("""COMPUTED_VALUE"""),1217.42)</f>
        <v>1217.42</v>
      </c>
      <c r="D4245" s="2">
        <f>IFERROR(__xludf.DUMMYFUNCTION("""COMPUTED_VALUE"""),1183.98)</f>
        <v>1183.98</v>
      </c>
      <c r="E4245" s="2">
        <f>IFERROR(__xludf.DUMMYFUNCTION("""COMPUTED_VALUE"""),1210.98)</f>
        <v>1210.98</v>
      </c>
      <c r="F4245" s="2">
        <f>IFERROR(__xludf.DUMMYFUNCTION("""COMPUTED_VALUE"""),1.0600234E7)</f>
        <v>10600234</v>
      </c>
    </row>
    <row r="4246">
      <c r="A4246" s="3">
        <f>IFERROR(__xludf.DUMMYFUNCTION("""COMPUTED_VALUE"""),43717.64583333333)</f>
        <v>43717.64583</v>
      </c>
      <c r="B4246" s="2">
        <f>IFERROR(__xludf.DUMMYFUNCTION("""COMPUTED_VALUE"""),1209.14)</f>
        <v>1209.14</v>
      </c>
      <c r="C4246" s="2">
        <f>IFERROR(__xludf.DUMMYFUNCTION("""COMPUTED_VALUE"""),1221.38)</f>
        <v>1221.38</v>
      </c>
      <c r="D4246" s="2">
        <f>IFERROR(__xludf.DUMMYFUNCTION("""COMPUTED_VALUE"""),1201.71)</f>
        <v>1201.71</v>
      </c>
      <c r="E4246" s="2">
        <f>IFERROR(__xludf.DUMMYFUNCTION("""COMPUTED_VALUE"""),1210.68)</f>
        <v>1210.68</v>
      </c>
      <c r="F4246" s="2">
        <f>IFERROR(__xludf.DUMMYFUNCTION("""COMPUTED_VALUE"""),5370758.0)</f>
        <v>5370758</v>
      </c>
    </row>
    <row r="4247">
      <c r="A4247" s="3">
        <f>IFERROR(__xludf.DUMMYFUNCTION("""COMPUTED_VALUE"""),43719.64583333333)</f>
        <v>43719.64583</v>
      </c>
      <c r="B4247" s="2">
        <f>IFERROR(__xludf.DUMMYFUNCTION("""COMPUTED_VALUE"""),1210.98)</f>
        <v>1210.98</v>
      </c>
      <c r="C4247" s="2">
        <f>IFERROR(__xludf.DUMMYFUNCTION("""COMPUTED_VALUE"""),1228.31)</f>
        <v>1228.31</v>
      </c>
      <c r="D4247" s="2">
        <f>IFERROR(__xludf.DUMMYFUNCTION("""COMPUTED_VALUE"""),1210.98)</f>
        <v>1210.98</v>
      </c>
      <c r="E4247" s="2">
        <f>IFERROR(__xludf.DUMMYFUNCTION("""COMPUTED_VALUE"""),1222.76)</f>
        <v>1222.76</v>
      </c>
      <c r="F4247" s="2">
        <f>IFERROR(__xludf.DUMMYFUNCTION("""COMPUTED_VALUE"""),5544468.0)</f>
        <v>5544468</v>
      </c>
    </row>
    <row r="4248">
      <c r="A4248" s="3">
        <f>IFERROR(__xludf.DUMMYFUNCTION("""COMPUTED_VALUE"""),43720.64583333333)</f>
        <v>43720.64583</v>
      </c>
      <c r="B4248" s="2">
        <f>IFERROR(__xludf.DUMMYFUNCTION("""COMPUTED_VALUE"""),1223.36)</f>
        <v>1223.36</v>
      </c>
      <c r="C4248" s="2">
        <f>IFERROR(__xludf.DUMMYFUNCTION("""COMPUTED_VALUE"""),1228.76)</f>
        <v>1228.76</v>
      </c>
      <c r="D4248" s="2">
        <f>IFERROR(__xludf.DUMMYFUNCTION("""COMPUTED_VALUE"""),1194.33)</f>
        <v>1194.33</v>
      </c>
      <c r="E4248" s="2">
        <f>IFERROR(__xludf.DUMMYFUNCTION("""COMPUTED_VALUE"""),1198.94)</f>
        <v>1198.94</v>
      </c>
      <c r="F4248" s="2">
        <f>IFERROR(__xludf.DUMMYFUNCTION("""COMPUTED_VALUE"""),5431139.0)</f>
        <v>5431139</v>
      </c>
    </row>
    <row r="4249">
      <c r="A4249" s="3">
        <f>IFERROR(__xludf.DUMMYFUNCTION("""COMPUTED_VALUE"""),43721.64583333333)</f>
        <v>43721.64583</v>
      </c>
      <c r="B4249" s="2">
        <f>IFERROR(__xludf.DUMMYFUNCTION("""COMPUTED_VALUE"""),1200.58)</f>
        <v>1200.58</v>
      </c>
      <c r="C4249" s="2">
        <f>IFERROR(__xludf.DUMMYFUNCTION("""COMPUTED_VALUE"""),1216.92)</f>
        <v>1216.92</v>
      </c>
      <c r="D4249" s="2">
        <f>IFERROR(__xludf.DUMMYFUNCTION("""COMPUTED_VALUE"""),1195.52)</f>
        <v>1195.52</v>
      </c>
      <c r="E4249" s="2">
        <f>IFERROR(__xludf.DUMMYFUNCTION("""COMPUTED_VALUE"""),1214.05)</f>
        <v>1214.05</v>
      </c>
      <c r="F4249" s="2">
        <f>IFERROR(__xludf.DUMMYFUNCTION("""COMPUTED_VALUE"""),5919260.0)</f>
        <v>5919260</v>
      </c>
    </row>
    <row r="4250">
      <c r="A4250" s="3">
        <f>IFERROR(__xludf.DUMMYFUNCTION("""COMPUTED_VALUE"""),43724.64583333333)</f>
        <v>43724.64583</v>
      </c>
      <c r="B4250" s="2">
        <f>IFERROR(__xludf.DUMMYFUNCTION("""COMPUTED_VALUE"""),1177.79)</f>
        <v>1177.79</v>
      </c>
      <c r="C4250" s="2">
        <f>IFERROR(__xludf.DUMMYFUNCTION("""COMPUTED_VALUE"""),1207.61)</f>
        <v>1207.61</v>
      </c>
      <c r="D4250" s="2">
        <f>IFERROR(__xludf.DUMMYFUNCTION("""COMPUTED_VALUE"""),1174.92)</f>
        <v>1174.92</v>
      </c>
      <c r="E4250" s="2">
        <f>IFERROR(__xludf.DUMMYFUNCTION("""COMPUTED_VALUE"""),1199.34)</f>
        <v>1199.34</v>
      </c>
      <c r="F4250" s="2">
        <f>IFERROR(__xludf.DUMMYFUNCTION("""COMPUTED_VALUE"""),9393731.0)</f>
        <v>9393731</v>
      </c>
    </row>
    <row r="4251">
      <c r="A4251" s="3">
        <f>IFERROR(__xludf.DUMMYFUNCTION("""COMPUTED_VALUE"""),43725.64583333333)</f>
        <v>43725.64583</v>
      </c>
      <c r="B4251" s="2">
        <f>IFERROR(__xludf.DUMMYFUNCTION("""COMPUTED_VALUE"""),1199.58)</f>
        <v>1199.58</v>
      </c>
      <c r="C4251" s="2">
        <f>IFERROR(__xludf.DUMMYFUNCTION("""COMPUTED_VALUE"""),1199.58)</f>
        <v>1199.58</v>
      </c>
      <c r="D4251" s="2">
        <f>IFERROR(__xludf.DUMMYFUNCTION("""COMPUTED_VALUE"""),1182.25)</f>
        <v>1182.25</v>
      </c>
      <c r="E4251" s="2">
        <f>IFERROR(__xludf.DUMMYFUNCTION("""COMPUTED_VALUE"""),1186.16)</f>
        <v>1186.16</v>
      </c>
      <c r="F4251" s="2">
        <f>IFERROR(__xludf.DUMMYFUNCTION("""COMPUTED_VALUE"""),7150435.0)</f>
        <v>7150435</v>
      </c>
    </row>
    <row r="4252">
      <c r="A4252" s="3">
        <f>IFERROR(__xludf.DUMMYFUNCTION("""COMPUTED_VALUE"""),43726.64583333333)</f>
        <v>43726.64583</v>
      </c>
      <c r="B4252" s="2">
        <f>IFERROR(__xludf.DUMMYFUNCTION("""COMPUTED_VALUE"""),1193.59)</f>
        <v>1193.59</v>
      </c>
      <c r="C4252" s="2">
        <f>IFERROR(__xludf.DUMMYFUNCTION("""COMPUTED_VALUE"""),1204.83)</f>
        <v>1204.83</v>
      </c>
      <c r="D4252" s="2">
        <f>IFERROR(__xludf.DUMMYFUNCTION("""COMPUTED_VALUE"""),1185.91)</f>
        <v>1185.91</v>
      </c>
      <c r="E4252" s="2">
        <f>IFERROR(__xludf.DUMMYFUNCTION("""COMPUTED_VALUE"""),1194.33)</f>
        <v>1194.33</v>
      </c>
      <c r="F4252" s="2">
        <f>IFERROR(__xludf.DUMMYFUNCTION("""COMPUTED_VALUE"""),6827281.0)</f>
        <v>6827281</v>
      </c>
    </row>
    <row r="4253">
      <c r="A4253" s="3">
        <f>IFERROR(__xludf.DUMMYFUNCTION("""COMPUTED_VALUE"""),43727.64583333333)</f>
        <v>43727.64583</v>
      </c>
      <c r="B4253" s="2">
        <f>IFERROR(__xludf.DUMMYFUNCTION("""COMPUTED_VALUE"""),1196.46)</f>
        <v>1196.46</v>
      </c>
      <c r="C4253" s="2">
        <f>IFERROR(__xludf.DUMMYFUNCTION("""COMPUTED_VALUE"""),1198.3)</f>
        <v>1198.3</v>
      </c>
      <c r="D4253" s="2">
        <f>IFERROR(__xludf.DUMMYFUNCTION("""COMPUTED_VALUE"""),1161.6)</f>
        <v>1161.6</v>
      </c>
      <c r="E4253" s="2">
        <f>IFERROR(__xludf.DUMMYFUNCTION("""COMPUTED_VALUE"""),1167.94)</f>
        <v>1167.94</v>
      </c>
      <c r="F4253" s="2">
        <f>IFERROR(__xludf.DUMMYFUNCTION("""COMPUTED_VALUE"""),6293454.0)</f>
        <v>6293454</v>
      </c>
    </row>
    <row r="4254">
      <c r="A4254" s="3">
        <f>IFERROR(__xludf.DUMMYFUNCTION("""COMPUTED_VALUE"""),43728.64583333333)</f>
        <v>43728.64583</v>
      </c>
      <c r="B4254" s="2">
        <f>IFERROR(__xludf.DUMMYFUNCTION("""COMPUTED_VALUE"""),1176.75)</f>
        <v>1176.75</v>
      </c>
      <c r="C4254" s="2">
        <f>IFERROR(__xludf.DUMMYFUNCTION("""COMPUTED_VALUE"""),1257.93)</f>
        <v>1257.93</v>
      </c>
      <c r="D4254" s="2">
        <f>IFERROR(__xludf.DUMMYFUNCTION("""COMPUTED_VALUE"""),1163.23)</f>
        <v>1163.23</v>
      </c>
      <c r="E4254" s="2">
        <f>IFERROR(__xludf.DUMMYFUNCTION("""COMPUTED_VALUE"""),1242.53)</f>
        <v>1242.53</v>
      </c>
      <c r="F4254" s="2">
        <f>IFERROR(__xludf.DUMMYFUNCTION("""COMPUTED_VALUE"""),2.2019674E7)</f>
        <v>22019674</v>
      </c>
    </row>
    <row r="4255">
      <c r="A4255" s="3">
        <f>IFERROR(__xludf.DUMMYFUNCTION("""COMPUTED_VALUE"""),43731.64583333333)</f>
        <v>43731.64583</v>
      </c>
      <c r="B4255" s="2">
        <f>IFERROR(__xludf.DUMMYFUNCTION("""COMPUTED_VALUE"""),1262.14)</f>
        <v>1262.14</v>
      </c>
      <c r="C4255" s="2">
        <f>IFERROR(__xludf.DUMMYFUNCTION("""COMPUTED_VALUE"""),1268.93)</f>
        <v>1268.93</v>
      </c>
      <c r="D4255" s="2">
        <f>IFERROR(__xludf.DUMMYFUNCTION("""COMPUTED_VALUE"""),1223.36)</f>
        <v>1223.36</v>
      </c>
      <c r="E4255" s="2">
        <f>IFERROR(__xludf.DUMMYFUNCTION("""COMPUTED_VALUE"""),1227.52)</f>
        <v>1227.52</v>
      </c>
      <c r="F4255" s="2">
        <f>IFERROR(__xludf.DUMMYFUNCTION("""COMPUTED_VALUE"""),9879751.0)</f>
        <v>9879751</v>
      </c>
    </row>
    <row r="4256">
      <c r="A4256" s="3">
        <f>IFERROR(__xludf.DUMMYFUNCTION("""COMPUTED_VALUE"""),43732.64583333333)</f>
        <v>43732.64583</v>
      </c>
      <c r="B4256" s="2">
        <f>IFERROR(__xludf.DUMMYFUNCTION("""COMPUTED_VALUE"""),1231.88)</f>
        <v>1231.88</v>
      </c>
      <c r="C4256" s="2">
        <f>IFERROR(__xludf.DUMMYFUNCTION("""COMPUTED_VALUE"""),1286.56)</f>
        <v>1286.56</v>
      </c>
      <c r="D4256" s="2">
        <f>IFERROR(__xludf.DUMMYFUNCTION("""COMPUTED_VALUE"""),1231.04)</f>
        <v>1231.04</v>
      </c>
      <c r="E4256" s="2">
        <f>IFERROR(__xludf.DUMMYFUNCTION("""COMPUTED_VALUE"""),1266.65)</f>
        <v>1266.65</v>
      </c>
      <c r="F4256" s="2">
        <f>IFERROR(__xludf.DUMMYFUNCTION("""COMPUTED_VALUE"""),1.5982067E7)</f>
        <v>15982067</v>
      </c>
    </row>
    <row r="4257">
      <c r="A4257" s="3">
        <f>IFERROR(__xludf.DUMMYFUNCTION("""COMPUTED_VALUE"""),43733.64583333333)</f>
        <v>43733.64583</v>
      </c>
      <c r="B4257" s="2">
        <f>IFERROR(__xludf.DUMMYFUNCTION("""COMPUTED_VALUE"""),1271.9)</f>
        <v>1271.9</v>
      </c>
      <c r="C4257" s="2">
        <f>IFERROR(__xludf.DUMMYFUNCTION("""COMPUTED_VALUE"""),1282.79)</f>
        <v>1282.79</v>
      </c>
      <c r="D4257" s="2">
        <f>IFERROR(__xludf.DUMMYFUNCTION("""COMPUTED_VALUE"""),1256.89)</f>
        <v>1256.89</v>
      </c>
      <c r="E4257" s="2">
        <f>IFERROR(__xludf.DUMMYFUNCTION("""COMPUTED_VALUE"""),1267.49)</f>
        <v>1267.49</v>
      </c>
      <c r="F4257" s="2">
        <f>IFERROR(__xludf.DUMMYFUNCTION("""COMPUTED_VALUE"""),8316894.0)</f>
        <v>8316894</v>
      </c>
    </row>
    <row r="4258">
      <c r="A4258" s="3">
        <f>IFERROR(__xludf.DUMMYFUNCTION("""COMPUTED_VALUE"""),43734.64583333333)</f>
        <v>43734.64583</v>
      </c>
      <c r="B4258" s="2">
        <f>IFERROR(__xludf.DUMMYFUNCTION("""COMPUTED_VALUE"""),1279.82)</f>
        <v>1279.82</v>
      </c>
      <c r="C4258" s="2">
        <f>IFERROR(__xludf.DUMMYFUNCTION("""COMPUTED_VALUE"""),1286.56)</f>
        <v>1286.56</v>
      </c>
      <c r="D4258" s="2">
        <f>IFERROR(__xludf.DUMMYFUNCTION("""COMPUTED_VALUE"""),1271.4)</f>
        <v>1271.4</v>
      </c>
      <c r="E4258" s="2">
        <f>IFERROR(__xludf.DUMMYFUNCTION("""COMPUTED_VALUE"""),1284.58)</f>
        <v>1284.58</v>
      </c>
      <c r="F4258" s="2">
        <f>IFERROR(__xludf.DUMMYFUNCTION("""COMPUTED_VALUE"""),8389212.0)</f>
        <v>8389212</v>
      </c>
    </row>
    <row r="4259">
      <c r="A4259" s="3">
        <f>IFERROR(__xludf.DUMMYFUNCTION("""COMPUTED_VALUE"""),43735.64583333333)</f>
        <v>43735.64583</v>
      </c>
      <c r="B4259" s="2">
        <f>IFERROR(__xludf.DUMMYFUNCTION("""COMPUTED_VALUE"""),1280.32)</f>
        <v>1280.32</v>
      </c>
      <c r="C4259" s="2">
        <f>IFERROR(__xludf.DUMMYFUNCTION("""COMPUTED_VALUE"""),1302.6)</f>
        <v>1302.6</v>
      </c>
      <c r="D4259" s="2">
        <f>IFERROR(__xludf.DUMMYFUNCTION("""COMPUTED_VALUE"""),1271.9)</f>
        <v>1271.9</v>
      </c>
      <c r="E4259" s="2">
        <f>IFERROR(__xludf.DUMMYFUNCTION("""COMPUTED_VALUE"""),1296.71)</f>
        <v>1296.71</v>
      </c>
      <c r="F4259" s="2">
        <f>IFERROR(__xludf.DUMMYFUNCTION("""COMPUTED_VALUE"""),8712980.0)</f>
        <v>8712980</v>
      </c>
    </row>
    <row r="4260">
      <c r="A4260" s="3">
        <f>IFERROR(__xludf.DUMMYFUNCTION("""COMPUTED_VALUE"""),43738.64583333333)</f>
        <v>43738.64583</v>
      </c>
      <c r="B4260" s="2">
        <f>IFERROR(__xludf.DUMMYFUNCTION("""COMPUTED_VALUE"""),1297.65)</f>
        <v>1297.65</v>
      </c>
      <c r="C4260" s="2">
        <f>IFERROR(__xludf.DUMMYFUNCTION("""COMPUTED_VALUE"""),1323.16)</f>
        <v>1323.16</v>
      </c>
      <c r="D4260" s="2">
        <f>IFERROR(__xludf.DUMMYFUNCTION("""COMPUTED_VALUE"""),1293.24)</f>
        <v>1293.24</v>
      </c>
      <c r="E4260" s="2">
        <f>IFERROR(__xludf.DUMMYFUNCTION("""COMPUTED_VALUE"""),1319.69)</f>
        <v>1319.69</v>
      </c>
      <c r="F4260" s="2">
        <f>IFERROR(__xludf.DUMMYFUNCTION("""COMPUTED_VALUE"""),1.1549746E7)</f>
        <v>11549746</v>
      </c>
    </row>
    <row r="4261">
      <c r="A4261" s="3">
        <f>IFERROR(__xludf.DUMMYFUNCTION("""COMPUTED_VALUE"""),43739.64583333333)</f>
        <v>43739.64583</v>
      </c>
      <c r="B4261" s="2">
        <f>IFERROR(__xludf.DUMMYFUNCTION("""COMPUTED_VALUE"""),1324.4)</f>
        <v>1324.4</v>
      </c>
      <c r="C4261" s="2">
        <f>IFERROR(__xludf.DUMMYFUNCTION("""COMPUTED_VALUE"""),1329.35)</f>
        <v>1329.35</v>
      </c>
      <c r="D4261" s="2">
        <f>IFERROR(__xludf.DUMMYFUNCTION("""COMPUTED_VALUE"""),1281.11)</f>
        <v>1281.11</v>
      </c>
      <c r="E4261" s="2">
        <f>IFERROR(__xludf.DUMMYFUNCTION("""COMPUTED_VALUE"""),1292.6)</f>
        <v>1292.6</v>
      </c>
      <c r="F4261" s="2">
        <f>IFERROR(__xludf.DUMMYFUNCTION("""COMPUTED_VALUE"""),8192597.0)</f>
        <v>8192597</v>
      </c>
    </row>
    <row r="4262">
      <c r="A4262" s="3">
        <f>IFERROR(__xludf.DUMMYFUNCTION("""COMPUTED_VALUE"""),43741.64583333333)</f>
        <v>43741.64583</v>
      </c>
      <c r="B4262" s="2">
        <f>IFERROR(__xludf.DUMMYFUNCTION("""COMPUTED_VALUE"""),1273.88)</f>
        <v>1273.88</v>
      </c>
      <c r="C4262" s="2">
        <f>IFERROR(__xludf.DUMMYFUNCTION("""COMPUTED_VALUE"""),1302.31)</f>
        <v>1302.31</v>
      </c>
      <c r="D4262" s="2">
        <f>IFERROR(__xludf.DUMMYFUNCTION("""COMPUTED_VALUE"""),1269.22)</f>
        <v>1269.22</v>
      </c>
      <c r="E4262" s="2">
        <f>IFERROR(__xludf.DUMMYFUNCTION("""COMPUTED_VALUE"""),1298.69)</f>
        <v>1298.69</v>
      </c>
      <c r="F4262" s="2">
        <f>IFERROR(__xludf.DUMMYFUNCTION("""COMPUTED_VALUE"""),6183107.0)</f>
        <v>6183107</v>
      </c>
    </row>
    <row r="4263">
      <c r="A4263" s="3">
        <f>IFERROR(__xludf.DUMMYFUNCTION("""COMPUTED_VALUE"""),43742.64583333333)</f>
        <v>43742.64583</v>
      </c>
      <c r="B4263" s="2">
        <f>IFERROR(__xludf.DUMMYFUNCTION("""COMPUTED_VALUE"""),1307.46)</f>
        <v>1307.46</v>
      </c>
      <c r="C4263" s="2">
        <f>IFERROR(__xludf.DUMMYFUNCTION("""COMPUTED_VALUE"""),1316.08)</f>
        <v>1316.08</v>
      </c>
      <c r="D4263" s="2">
        <f>IFERROR(__xludf.DUMMYFUNCTION("""COMPUTED_VALUE"""),1291.56)</f>
        <v>1291.56</v>
      </c>
      <c r="E4263" s="2">
        <f>IFERROR(__xludf.DUMMYFUNCTION("""COMPUTED_VALUE"""),1295.77)</f>
        <v>1295.77</v>
      </c>
      <c r="F4263" s="2">
        <f>IFERROR(__xludf.DUMMYFUNCTION("""COMPUTED_VALUE"""),6853954.0)</f>
        <v>6853954</v>
      </c>
    </row>
    <row r="4264">
      <c r="A4264" s="3">
        <f>IFERROR(__xludf.DUMMYFUNCTION("""COMPUTED_VALUE"""),43745.64583333333)</f>
        <v>43745.64583</v>
      </c>
      <c r="B4264" s="2">
        <f>IFERROR(__xludf.DUMMYFUNCTION("""COMPUTED_VALUE"""),1295.77)</f>
        <v>1295.77</v>
      </c>
      <c r="C4264" s="2">
        <f>IFERROR(__xludf.DUMMYFUNCTION("""COMPUTED_VALUE"""),1308.35)</f>
        <v>1308.35</v>
      </c>
      <c r="D4264" s="2">
        <f>IFERROR(__xludf.DUMMYFUNCTION("""COMPUTED_VALUE"""),1289.43)</f>
        <v>1289.43</v>
      </c>
      <c r="E4264" s="2">
        <f>IFERROR(__xludf.DUMMYFUNCTION("""COMPUTED_VALUE"""),1297.75)</f>
        <v>1297.75</v>
      </c>
      <c r="F4264" s="2">
        <f>IFERROR(__xludf.DUMMYFUNCTION("""COMPUTED_VALUE"""),4599818.0)</f>
        <v>4599818</v>
      </c>
    </row>
    <row r="4265">
      <c r="A4265" s="3">
        <f>IFERROR(__xludf.DUMMYFUNCTION("""COMPUTED_VALUE"""),43747.64583333333)</f>
        <v>43747.64583</v>
      </c>
      <c r="B4265" s="2">
        <f>IFERROR(__xludf.DUMMYFUNCTION("""COMPUTED_VALUE"""),1296.36)</f>
        <v>1296.36</v>
      </c>
      <c r="C4265" s="2">
        <f>IFERROR(__xludf.DUMMYFUNCTION("""COMPUTED_VALUE"""),1317.41)</f>
        <v>1317.41</v>
      </c>
      <c r="D4265" s="2">
        <f>IFERROR(__xludf.DUMMYFUNCTION("""COMPUTED_VALUE"""),1280.32)</f>
        <v>1280.32</v>
      </c>
      <c r="E4265" s="2">
        <f>IFERROR(__xludf.DUMMYFUNCTION("""COMPUTED_VALUE"""),1312.26)</f>
        <v>1312.26</v>
      </c>
      <c r="F4265" s="2">
        <f>IFERROR(__xludf.DUMMYFUNCTION("""COMPUTED_VALUE"""),8040938.0)</f>
        <v>8040938</v>
      </c>
    </row>
    <row r="4266">
      <c r="A4266" s="3">
        <f>IFERROR(__xludf.DUMMYFUNCTION("""COMPUTED_VALUE"""),43748.64583333333)</f>
        <v>43748.64583</v>
      </c>
      <c r="B4266" s="2">
        <f>IFERROR(__xludf.DUMMYFUNCTION("""COMPUTED_VALUE"""),1312.51)</f>
        <v>1312.51</v>
      </c>
      <c r="C4266" s="2">
        <f>IFERROR(__xludf.DUMMYFUNCTION("""COMPUTED_VALUE"""),1356.1)</f>
        <v>1356.1</v>
      </c>
      <c r="D4266" s="2">
        <f>IFERROR(__xludf.DUMMYFUNCTION("""COMPUTED_VALUE"""),1308.55)</f>
        <v>1308.55</v>
      </c>
      <c r="E4266" s="2">
        <f>IFERROR(__xludf.DUMMYFUNCTION("""COMPUTED_VALUE"""),1349.9)</f>
        <v>1349.9</v>
      </c>
      <c r="F4266" s="2">
        <f>IFERROR(__xludf.DUMMYFUNCTION("""COMPUTED_VALUE"""),1.6003744E7)</f>
        <v>16003744</v>
      </c>
    </row>
    <row r="4267">
      <c r="A4267" s="3">
        <f>IFERROR(__xludf.DUMMYFUNCTION("""COMPUTED_VALUE"""),43749.64583333333)</f>
        <v>43749.64583</v>
      </c>
      <c r="B4267" s="2">
        <f>IFERROR(__xludf.DUMMYFUNCTION("""COMPUTED_VALUE"""),1350.85)</f>
        <v>1350.85</v>
      </c>
      <c r="C4267" s="2">
        <f>IFERROR(__xludf.DUMMYFUNCTION("""COMPUTED_VALUE"""),1352.73)</f>
        <v>1352.73</v>
      </c>
      <c r="D4267" s="2">
        <f>IFERROR(__xludf.DUMMYFUNCTION("""COMPUTED_VALUE"""),1323.95)</f>
        <v>1323.95</v>
      </c>
      <c r="E4267" s="2">
        <f>IFERROR(__xludf.DUMMYFUNCTION("""COMPUTED_VALUE"""),1339.85)</f>
        <v>1339.85</v>
      </c>
      <c r="F4267" s="2">
        <f>IFERROR(__xludf.DUMMYFUNCTION("""COMPUTED_VALUE"""),7587648.0)</f>
        <v>7587648</v>
      </c>
    </row>
    <row r="4268">
      <c r="A4268" s="3">
        <f>IFERROR(__xludf.DUMMYFUNCTION("""COMPUTED_VALUE"""),43752.64583333333)</f>
        <v>43752.64583</v>
      </c>
      <c r="B4268" s="2">
        <f>IFERROR(__xludf.DUMMYFUNCTION("""COMPUTED_VALUE"""),1352.08)</f>
        <v>1352.08</v>
      </c>
      <c r="C4268" s="2">
        <f>IFERROR(__xludf.DUMMYFUNCTION("""COMPUTED_VALUE"""),1352.08)</f>
        <v>1352.08</v>
      </c>
      <c r="D4268" s="2">
        <f>IFERROR(__xludf.DUMMYFUNCTION("""COMPUTED_VALUE"""),1338.12)</f>
        <v>1338.12</v>
      </c>
      <c r="E4268" s="2">
        <f>IFERROR(__xludf.DUMMYFUNCTION("""COMPUTED_VALUE"""),1345.2)</f>
        <v>1345.2</v>
      </c>
      <c r="F4268" s="2">
        <f>IFERROR(__xludf.DUMMYFUNCTION("""COMPUTED_VALUE"""),6123412.0)</f>
        <v>6123412</v>
      </c>
    </row>
    <row r="4269">
      <c r="A4269" s="3">
        <f>IFERROR(__xludf.DUMMYFUNCTION("""COMPUTED_VALUE"""),43753.64583333333)</f>
        <v>43753.64583</v>
      </c>
      <c r="B4269" s="2">
        <f>IFERROR(__xludf.DUMMYFUNCTION("""COMPUTED_VALUE"""),1349.66)</f>
        <v>1349.66</v>
      </c>
      <c r="C4269" s="2">
        <f>IFERROR(__xludf.DUMMYFUNCTION("""COMPUTED_VALUE"""),1357.09)</f>
        <v>1357.09</v>
      </c>
      <c r="D4269" s="2">
        <f>IFERROR(__xludf.DUMMYFUNCTION("""COMPUTED_VALUE"""),1341.53)</f>
        <v>1341.53</v>
      </c>
      <c r="E4269" s="2">
        <f>IFERROR(__xludf.DUMMYFUNCTION("""COMPUTED_VALUE"""),1351.29)</f>
        <v>1351.29</v>
      </c>
      <c r="F4269" s="2">
        <f>IFERROR(__xludf.DUMMYFUNCTION("""COMPUTED_VALUE"""),4422075.0)</f>
        <v>4422075</v>
      </c>
    </row>
    <row r="4270">
      <c r="A4270" s="3">
        <f>IFERROR(__xludf.DUMMYFUNCTION("""COMPUTED_VALUE"""),43754.64583333333)</f>
        <v>43754.64583</v>
      </c>
      <c r="B4270" s="2">
        <f>IFERROR(__xludf.DUMMYFUNCTION("""COMPUTED_VALUE"""),1356.99)</f>
        <v>1356.99</v>
      </c>
      <c r="C4270" s="2">
        <f>IFERROR(__xludf.DUMMYFUNCTION("""COMPUTED_VALUE"""),1366.65)</f>
        <v>1366.65</v>
      </c>
      <c r="D4270" s="2">
        <f>IFERROR(__xludf.DUMMYFUNCTION("""COMPUTED_VALUE"""),1350.85)</f>
        <v>1350.85</v>
      </c>
      <c r="E4270" s="2">
        <f>IFERROR(__xludf.DUMMYFUNCTION("""COMPUTED_VALUE"""),1359.41)</f>
        <v>1359.41</v>
      </c>
      <c r="F4270" s="2">
        <f>IFERROR(__xludf.DUMMYFUNCTION("""COMPUTED_VALUE"""),8870701.0)</f>
        <v>8870701</v>
      </c>
    </row>
    <row r="4271">
      <c r="A4271" s="3">
        <f>IFERROR(__xludf.DUMMYFUNCTION("""COMPUTED_VALUE"""),43755.64583333333)</f>
        <v>43755.64583</v>
      </c>
      <c r="B4271" s="2">
        <f>IFERROR(__xludf.DUMMYFUNCTION("""COMPUTED_VALUE"""),1362.04)</f>
        <v>1362.04</v>
      </c>
      <c r="C4271" s="2">
        <f>IFERROR(__xludf.DUMMYFUNCTION("""COMPUTED_VALUE"""),1385.81)</f>
        <v>1385.81</v>
      </c>
      <c r="D4271" s="2">
        <f>IFERROR(__xludf.DUMMYFUNCTION("""COMPUTED_VALUE"""),1359.07)</f>
        <v>1359.07</v>
      </c>
      <c r="E4271" s="2">
        <f>IFERROR(__xludf.DUMMYFUNCTION("""COMPUTED_VALUE"""),1383.34)</f>
        <v>1383.34</v>
      </c>
      <c r="F4271" s="2">
        <f>IFERROR(__xludf.DUMMYFUNCTION("""COMPUTED_VALUE"""),7332464.0)</f>
        <v>7332464</v>
      </c>
    </row>
    <row r="4272">
      <c r="A4272" s="3">
        <f>IFERROR(__xludf.DUMMYFUNCTION("""COMPUTED_VALUE"""),43756.64583333333)</f>
        <v>43756.64583</v>
      </c>
      <c r="B4272" s="2">
        <f>IFERROR(__xludf.DUMMYFUNCTION("""COMPUTED_VALUE"""),1390.77)</f>
        <v>1390.77</v>
      </c>
      <c r="C4272" s="2">
        <f>IFERROR(__xludf.DUMMYFUNCTION("""COMPUTED_VALUE"""),1414.44)</f>
        <v>1414.44</v>
      </c>
      <c r="D4272" s="2">
        <f>IFERROR(__xludf.DUMMYFUNCTION("""COMPUTED_VALUE"""),1385.52)</f>
        <v>1385.52</v>
      </c>
      <c r="E4272" s="2">
        <f>IFERROR(__xludf.DUMMYFUNCTION("""COMPUTED_VALUE"""),1403.0)</f>
        <v>1403</v>
      </c>
      <c r="F4272" s="2">
        <f>IFERROR(__xludf.DUMMYFUNCTION("""COMPUTED_VALUE"""),1.285641E7)</f>
        <v>12856410</v>
      </c>
    </row>
    <row r="4273">
      <c r="A4273" s="3">
        <f>IFERROR(__xludf.DUMMYFUNCTION("""COMPUTED_VALUE"""),43760.64583333333)</f>
        <v>43760.64583</v>
      </c>
      <c r="B4273" s="2">
        <f>IFERROR(__xludf.DUMMYFUNCTION("""COMPUTED_VALUE"""),1411.57)</f>
        <v>1411.57</v>
      </c>
      <c r="C4273" s="2">
        <f>IFERROR(__xludf.DUMMYFUNCTION("""COMPUTED_VALUE"""),1423.31)</f>
        <v>1423.31</v>
      </c>
      <c r="D4273" s="2">
        <f>IFERROR(__xludf.DUMMYFUNCTION("""COMPUTED_VALUE"""),1390.12)</f>
        <v>1390.12</v>
      </c>
      <c r="E4273" s="2">
        <f>IFERROR(__xludf.DUMMYFUNCTION("""COMPUTED_VALUE"""),1400.82)</f>
        <v>1400.82</v>
      </c>
      <c r="F4273" s="2">
        <f>IFERROR(__xludf.DUMMYFUNCTION("""COMPUTED_VALUE"""),1.2703054E7)</f>
        <v>12703054</v>
      </c>
    </row>
    <row r="4274">
      <c r="A4274" s="3">
        <f>IFERROR(__xludf.DUMMYFUNCTION("""COMPUTED_VALUE"""),43761.64583333333)</f>
        <v>43761.64583</v>
      </c>
      <c r="B4274" s="2">
        <f>IFERROR(__xludf.DUMMYFUNCTION("""COMPUTED_VALUE"""),1402.95)</f>
        <v>1402.95</v>
      </c>
      <c r="C4274" s="2">
        <f>IFERROR(__xludf.DUMMYFUNCTION("""COMPUTED_VALUE"""),1412.51)</f>
        <v>1412.51</v>
      </c>
      <c r="D4274" s="2">
        <f>IFERROR(__xludf.DUMMYFUNCTION("""COMPUTED_VALUE"""),1370.11)</f>
        <v>1370.11</v>
      </c>
      <c r="E4274" s="2">
        <f>IFERROR(__xludf.DUMMYFUNCTION("""COMPUTED_VALUE"""),1379.27)</f>
        <v>1379.27</v>
      </c>
      <c r="F4274" s="2">
        <f>IFERROR(__xludf.DUMMYFUNCTION("""COMPUTED_VALUE"""),8432964.0)</f>
        <v>8432964</v>
      </c>
    </row>
    <row r="4275">
      <c r="A4275" s="3">
        <f>IFERROR(__xludf.DUMMYFUNCTION("""COMPUTED_VALUE"""),43762.64583333333)</f>
        <v>43762.64583</v>
      </c>
      <c r="B4275" s="2">
        <f>IFERROR(__xludf.DUMMYFUNCTION("""COMPUTED_VALUE"""),1387.79)</f>
        <v>1387.79</v>
      </c>
      <c r="C4275" s="2">
        <f>IFERROR(__xludf.DUMMYFUNCTION("""COMPUTED_VALUE"""),1427.81)</f>
        <v>1427.81</v>
      </c>
      <c r="D4275" s="2">
        <f>IFERROR(__xludf.DUMMYFUNCTION("""COMPUTED_VALUE"""),1373.48)</f>
        <v>1373.48</v>
      </c>
      <c r="E4275" s="2">
        <f>IFERROR(__xludf.DUMMYFUNCTION("""COMPUTED_VALUE"""),1422.91)</f>
        <v>1422.91</v>
      </c>
      <c r="F4275" s="2">
        <f>IFERROR(__xludf.DUMMYFUNCTION("""COMPUTED_VALUE"""),1.0351384E7)</f>
        <v>10351384</v>
      </c>
    </row>
    <row r="4276">
      <c r="A4276" s="3">
        <f>IFERROR(__xludf.DUMMYFUNCTION("""COMPUTED_VALUE"""),43763.79166666667)</f>
        <v>43763.79167</v>
      </c>
      <c r="B4276" s="2">
        <f>IFERROR(__xludf.DUMMYFUNCTION("""COMPUTED_VALUE"""),1427.52)</f>
        <v>1427.52</v>
      </c>
      <c r="C4276" s="2">
        <f>IFERROR(__xludf.DUMMYFUNCTION("""COMPUTED_VALUE"""),1427.86)</f>
        <v>1427.86</v>
      </c>
      <c r="D4276" s="2">
        <f>IFERROR(__xludf.DUMMYFUNCTION("""COMPUTED_VALUE"""),1397.95)</f>
        <v>1397.95</v>
      </c>
      <c r="E4276" s="2">
        <f>IFERROR(__xludf.DUMMYFUNCTION("""COMPUTED_VALUE"""),1417.71)</f>
        <v>1417.71</v>
      </c>
      <c r="F4276" s="2">
        <f>IFERROR(__xludf.DUMMYFUNCTION("""COMPUTED_VALUE"""),6190013.0)</f>
        <v>6190013</v>
      </c>
    </row>
    <row r="4277">
      <c r="A4277" s="3">
        <f>IFERROR(__xludf.DUMMYFUNCTION("""COMPUTED_VALUE"""),43765.80902777778)</f>
        <v>43765.80903</v>
      </c>
      <c r="B4277" s="2">
        <f>IFERROR(__xludf.DUMMYFUNCTION("""COMPUTED_VALUE"""),1427.42)</f>
        <v>1427.42</v>
      </c>
      <c r="C4277" s="2">
        <f>IFERROR(__xludf.DUMMYFUNCTION("""COMPUTED_VALUE"""),1431.38)</f>
        <v>1431.38</v>
      </c>
      <c r="D4277" s="2">
        <f>IFERROR(__xludf.DUMMYFUNCTION("""COMPUTED_VALUE"""),1416.52)</f>
        <v>1416.52</v>
      </c>
      <c r="E4277" s="2">
        <f>IFERROR(__xludf.DUMMYFUNCTION("""COMPUTED_VALUE"""),1421.97)</f>
        <v>1421.97</v>
      </c>
      <c r="F4277" s="2">
        <f>IFERROR(__xludf.DUMMYFUNCTION("""COMPUTED_VALUE"""),1378284.0)</f>
        <v>1378284</v>
      </c>
    </row>
    <row r="4278">
      <c r="A4278" s="3">
        <f>IFERROR(__xludf.DUMMYFUNCTION("""COMPUTED_VALUE"""),43767.64583333333)</f>
        <v>43767.64583</v>
      </c>
      <c r="B4278" s="2">
        <f>IFERROR(__xludf.DUMMYFUNCTION("""COMPUTED_VALUE"""),1431.87)</f>
        <v>1431.87</v>
      </c>
      <c r="C4278" s="2">
        <f>IFERROR(__xludf.DUMMYFUNCTION("""COMPUTED_VALUE"""),1466.05)</f>
        <v>1466.05</v>
      </c>
      <c r="D4278" s="2">
        <f>IFERROR(__xludf.DUMMYFUNCTION("""COMPUTED_VALUE"""),1428.51)</f>
        <v>1428.51</v>
      </c>
      <c r="E4278" s="2">
        <f>IFERROR(__xludf.DUMMYFUNCTION("""COMPUTED_VALUE"""),1453.22)</f>
        <v>1453.22</v>
      </c>
      <c r="F4278" s="2">
        <f>IFERROR(__xludf.DUMMYFUNCTION("""COMPUTED_VALUE"""),1.1780494E7)</f>
        <v>11780494</v>
      </c>
    </row>
    <row r="4279">
      <c r="A4279" s="3">
        <f>IFERROR(__xludf.DUMMYFUNCTION("""COMPUTED_VALUE"""),43768.64583333333)</f>
        <v>43768.64583</v>
      </c>
      <c r="B4279" s="2">
        <f>IFERROR(__xludf.DUMMYFUNCTION("""COMPUTED_VALUE"""),1466.05)</f>
        <v>1466.05</v>
      </c>
      <c r="C4279" s="2">
        <f>IFERROR(__xludf.DUMMYFUNCTION("""COMPUTED_VALUE"""),1470.56)</f>
        <v>1470.56</v>
      </c>
      <c r="D4279" s="2">
        <f>IFERROR(__xludf.DUMMYFUNCTION("""COMPUTED_VALUE"""),1446.53)</f>
        <v>1446.53</v>
      </c>
      <c r="E4279" s="2">
        <f>IFERROR(__xludf.DUMMYFUNCTION("""COMPUTED_VALUE"""),1465.16)</f>
        <v>1465.16</v>
      </c>
      <c r="F4279" s="2">
        <f>IFERROR(__xludf.DUMMYFUNCTION("""COMPUTED_VALUE"""),7470723.0)</f>
        <v>7470723</v>
      </c>
    </row>
    <row r="4280">
      <c r="A4280" s="3">
        <f>IFERROR(__xludf.DUMMYFUNCTION("""COMPUTED_VALUE"""),43769.64583333333)</f>
        <v>43769.64583</v>
      </c>
      <c r="B4280" s="2">
        <f>IFERROR(__xludf.DUMMYFUNCTION("""COMPUTED_VALUE"""),1470.01)</f>
        <v>1470.01</v>
      </c>
      <c r="C4280" s="2">
        <f>IFERROR(__xludf.DUMMYFUNCTION("""COMPUTED_VALUE"""),1475.61)</f>
        <v>1475.61</v>
      </c>
      <c r="D4280" s="2">
        <f>IFERROR(__xludf.DUMMYFUNCTION("""COMPUTED_VALUE"""),1447.92)</f>
        <v>1447.92</v>
      </c>
      <c r="E4280" s="2">
        <f>IFERROR(__xludf.DUMMYFUNCTION("""COMPUTED_VALUE"""),1450.55)</f>
        <v>1450.55</v>
      </c>
      <c r="F4280" s="2">
        <f>IFERROR(__xludf.DUMMYFUNCTION("""COMPUTED_VALUE"""),8898168.0)</f>
        <v>8898168</v>
      </c>
    </row>
    <row r="4281">
      <c r="A4281" s="3">
        <f>IFERROR(__xludf.DUMMYFUNCTION("""COMPUTED_VALUE"""),43770.64583333333)</f>
        <v>43770.64583</v>
      </c>
      <c r="B4281" s="2">
        <f>IFERROR(__xludf.DUMMYFUNCTION("""COMPUTED_VALUE"""),1441.28)</f>
        <v>1441.28</v>
      </c>
      <c r="C4281" s="2">
        <f>IFERROR(__xludf.DUMMYFUNCTION("""COMPUTED_VALUE"""),1448.02)</f>
        <v>1448.02</v>
      </c>
      <c r="D4281" s="2">
        <f>IFERROR(__xludf.DUMMYFUNCTION("""COMPUTED_VALUE"""),1427.42)</f>
        <v>1427.42</v>
      </c>
      <c r="E4281" s="2">
        <f>IFERROR(__xludf.DUMMYFUNCTION("""COMPUTED_VALUE"""),1443.17)</f>
        <v>1443.17</v>
      </c>
      <c r="F4281" s="2">
        <f>IFERROR(__xludf.DUMMYFUNCTION("""COMPUTED_VALUE"""),6356579.0)</f>
        <v>6356579</v>
      </c>
    </row>
    <row r="4282">
      <c r="A4282" s="3">
        <f>IFERROR(__xludf.DUMMYFUNCTION("""COMPUTED_VALUE"""),43773.64583333333)</f>
        <v>43773.64583</v>
      </c>
      <c r="B4282" s="2">
        <f>IFERROR(__xludf.DUMMYFUNCTION("""COMPUTED_VALUE"""),1452.08)</f>
        <v>1452.08</v>
      </c>
      <c r="C4282" s="2">
        <f>IFERROR(__xludf.DUMMYFUNCTION("""COMPUTED_VALUE"""),1457.13)</f>
        <v>1457.13</v>
      </c>
      <c r="D4282" s="2">
        <f>IFERROR(__xludf.DUMMYFUNCTION("""COMPUTED_VALUE"""),1431.48)</f>
        <v>1431.48</v>
      </c>
      <c r="E4282" s="2">
        <f>IFERROR(__xludf.DUMMYFUNCTION("""COMPUTED_VALUE"""),1443.91)</f>
        <v>1443.91</v>
      </c>
      <c r="F4282" s="2">
        <f>IFERROR(__xludf.DUMMYFUNCTION("""COMPUTED_VALUE"""),6429329.0)</f>
        <v>6429329</v>
      </c>
    </row>
    <row r="4283">
      <c r="A4283" s="3">
        <f>IFERROR(__xludf.DUMMYFUNCTION("""COMPUTED_VALUE"""),43774.64583333333)</f>
        <v>43774.64583</v>
      </c>
      <c r="B4283" s="2">
        <f>IFERROR(__xludf.DUMMYFUNCTION("""COMPUTED_VALUE"""),1449.31)</f>
        <v>1449.31</v>
      </c>
      <c r="C4283" s="2">
        <f>IFERROR(__xludf.DUMMYFUNCTION("""COMPUTED_VALUE"""),1455.1)</f>
        <v>1455.1</v>
      </c>
      <c r="D4283" s="2">
        <f>IFERROR(__xludf.DUMMYFUNCTION("""COMPUTED_VALUE"""),1427.42)</f>
        <v>1427.42</v>
      </c>
      <c r="E4283" s="2">
        <f>IFERROR(__xludf.DUMMYFUNCTION("""COMPUTED_VALUE"""),1433.66)</f>
        <v>1433.66</v>
      </c>
      <c r="F4283" s="2">
        <f>IFERROR(__xludf.DUMMYFUNCTION("""COMPUTED_VALUE"""),5799318.0)</f>
        <v>5799318</v>
      </c>
    </row>
    <row r="4284">
      <c r="A4284" s="3">
        <f>IFERROR(__xludf.DUMMYFUNCTION("""COMPUTED_VALUE"""),43775.64583333333)</f>
        <v>43775.64583</v>
      </c>
      <c r="B4284" s="2">
        <f>IFERROR(__xludf.DUMMYFUNCTION("""COMPUTED_VALUE"""),1429.1)</f>
        <v>1429.1</v>
      </c>
      <c r="C4284" s="2">
        <f>IFERROR(__xludf.DUMMYFUNCTION("""COMPUTED_VALUE"""),1432.82)</f>
        <v>1432.82</v>
      </c>
      <c r="D4284" s="2">
        <f>IFERROR(__xludf.DUMMYFUNCTION("""COMPUTED_VALUE"""),1415.03)</f>
        <v>1415.03</v>
      </c>
      <c r="E4284" s="2">
        <f>IFERROR(__xludf.DUMMYFUNCTION("""COMPUTED_VALUE"""),1421.37)</f>
        <v>1421.37</v>
      </c>
      <c r="F4284" s="2">
        <f>IFERROR(__xludf.DUMMYFUNCTION("""COMPUTED_VALUE"""),6686289.0)</f>
        <v>6686289</v>
      </c>
    </row>
    <row r="4285">
      <c r="A4285" s="3">
        <f>IFERROR(__xludf.DUMMYFUNCTION("""COMPUTED_VALUE"""),43776.64583333333)</f>
        <v>43776.64583</v>
      </c>
      <c r="B4285" s="2">
        <f>IFERROR(__xludf.DUMMYFUNCTION("""COMPUTED_VALUE"""),1421.47)</f>
        <v>1421.47</v>
      </c>
      <c r="C4285" s="2">
        <f>IFERROR(__xludf.DUMMYFUNCTION("""COMPUTED_VALUE"""),1449.21)</f>
        <v>1449.21</v>
      </c>
      <c r="D4285" s="2">
        <f>IFERROR(__xludf.DUMMYFUNCTION("""COMPUTED_VALUE"""),1418.7)</f>
        <v>1418.7</v>
      </c>
      <c r="E4285" s="2">
        <f>IFERROR(__xludf.DUMMYFUNCTION("""COMPUTED_VALUE"""),1444.85)</f>
        <v>1444.85</v>
      </c>
      <c r="F4285" s="2">
        <f>IFERROR(__xludf.DUMMYFUNCTION("""COMPUTED_VALUE"""),6438749.0)</f>
        <v>6438749</v>
      </c>
    </row>
    <row r="4286">
      <c r="A4286" s="3">
        <f>IFERROR(__xludf.DUMMYFUNCTION("""COMPUTED_VALUE"""),43777.64583333333)</f>
        <v>43777.64583</v>
      </c>
      <c r="B4286" s="2">
        <f>IFERROR(__xludf.DUMMYFUNCTION("""COMPUTED_VALUE"""),1435.34)</f>
        <v>1435.34</v>
      </c>
      <c r="C4286" s="2">
        <f>IFERROR(__xludf.DUMMYFUNCTION("""COMPUTED_VALUE"""),1445.89)</f>
        <v>1445.89</v>
      </c>
      <c r="D4286" s="2">
        <f>IFERROR(__xludf.DUMMYFUNCTION("""COMPUTED_VALUE"""),1427.71)</f>
        <v>1427.71</v>
      </c>
      <c r="E4286" s="2">
        <f>IFERROR(__xludf.DUMMYFUNCTION("""COMPUTED_VALUE"""),1431.87)</f>
        <v>1431.87</v>
      </c>
      <c r="F4286" s="2">
        <f>IFERROR(__xludf.DUMMYFUNCTION("""COMPUTED_VALUE"""),5494844.0)</f>
        <v>5494844</v>
      </c>
    </row>
    <row r="4287">
      <c r="A4287" s="3">
        <f>IFERROR(__xludf.DUMMYFUNCTION("""COMPUTED_VALUE"""),43780.64583333333)</f>
        <v>43780.64583</v>
      </c>
      <c r="B4287" s="2">
        <f>IFERROR(__xludf.DUMMYFUNCTION("""COMPUTED_VALUE"""),1425.53)</f>
        <v>1425.53</v>
      </c>
      <c r="C4287" s="2">
        <f>IFERROR(__xludf.DUMMYFUNCTION("""COMPUTED_VALUE"""),1430.64)</f>
        <v>1430.64</v>
      </c>
      <c r="D4287" s="2">
        <f>IFERROR(__xludf.DUMMYFUNCTION("""COMPUTED_VALUE"""),1409.14)</f>
        <v>1409.14</v>
      </c>
      <c r="E4287" s="2">
        <f>IFERROR(__xludf.DUMMYFUNCTION("""COMPUTED_VALUE"""),1414.34)</f>
        <v>1414.34</v>
      </c>
      <c r="F4287" s="2">
        <f>IFERROR(__xludf.DUMMYFUNCTION("""COMPUTED_VALUE"""),5192423.0)</f>
        <v>5192423</v>
      </c>
    </row>
    <row r="4288">
      <c r="A4288" s="3">
        <f>IFERROR(__xludf.DUMMYFUNCTION("""COMPUTED_VALUE"""),43782.64583333333)</f>
        <v>43782.64583</v>
      </c>
      <c r="B4288" s="2">
        <f>IFERROR(__xludf.DUMMYFUNCTION("""COMPUTED_VALUE"""),1416.52)</f>
        <v>1416.52</v>
      </c>
      <c r="C4288" s="2">
        <f>IFERROR(__xludf.DUMMYFUNCTION("""COMPUTED_VALUE"""),1461.99)</f>
        <v>1461.99</v>
      </c>
      <c r="D4288" s="2">
        <f>IFERROR(__xludf.DUMMYFUNCTION("""COMPUTED_VALUE"""),1416.52)</f>
        <v>1416.52</v>
      </c>
      <c r="E4288" s="2">
        <f>IFERROR(__xludf.DUMMYFUNCTION("""COMPUTED_VALUE"""),1458.42)</f>
        <v>1458.42</v>
      </c>
      <c r="F4288" s="2">
        <f>IFERROR(__xludf.DUMMYFUNCTION("""COMPUTED_VALUE"""),1.1532364E7)</f>
        <v>11532364</v>
      </c>
    </row>
    <row r="4289">
      <c r="A4289" s="3">
        <f>IFERROR(__xludf.DUMMYFUNCTION("""COMPUTED_VALUE"""),43783.64583333333)</f>
        <v>43783.64583</v>
      </c>
      <c r="B4289" s="2">
        <f>IFERROR(__xludf.DUMMYFUNCTION("""COMPUTED_VALUE"""),1462.09)</f>
        <v>1462.09</v>
      </c>
      <c r="C4289" s="2">
        <f>IFERROR(__xludf.DUMMYFUNCTION("""COMPUTED_VALUE"""),1467.63)</f>
        <v>1467.63</v>
      </c>
      <c r="D4289" s="2">
        <f>IFERROR(__xludf.DUMMYFUNCTION("""COMPUTED_VALUE"""),1442.08)</f>
        <v>1442.08</v>
      </c>
      <c r="E4289" s="2">
        <f>IFERROR(__xludf.DUMMYFUNCTION("""COMPUTED_VALUE"""),1448.96)</f>
        <v>1448.96</v>
      </c>
      <c r="F4289" s="2">
        <f>IFERROR(__xludf.DUMMYFUNCTION("""COMPUTED_VALUE"""),6518339.0)</f>
        <v>6518339</v>
      </c>
    </row>
    <row r="4290">
      <c r="A4290" s="3">
        <f>IFERROR(__xludf.DUMMYFUNCTION("""COMPUTED_VALUE"""),43784.64583333333)</f>
        <v>43784.64583</v>
      </c>
      <c r="B4290" s="2">
        <f>IFERROR(__xludf.DUMMYFUNCTION("""COMPUTED_VALUE"""),1451.83)</f>
        <v>1451.83</v>
      </c>
      <c r="C4290" s="2">
        <f>IFERROR(__xludf.DUMMYFUNCTION("""COMPUTED_VALUE"""),1472.79)</f>
        <v>1472.79</v>
      </c>
      <c r="D4290" s="2">
        <f>IFERROR(__xludf.DUMMYFUNCTION("""COMPUTED_VALUE"""),1449.36)</f>
        <v>1449.36</v>
      </c>
      <c r="E4290" s="2">
        <f>IFERROR(__xludf.DUMMYFUNCTION("""COMPUTED_VALUE"""),1456.99)</f>
        <v>1456.99</v>
      </c>
      <c r="F4290" s="2">
        <f>IFERROR(__xludf.DUMMYFUNCTION("""COMPUTED_VALUE"""),7173674.0)</f>
        <v>7173674</v>
      </c>
    </row>
    <row r="4291">
      <c r="A4291" s="3">
        <f>IFERROR(__xludf.DUMMYFUNCTION("""COMPUTED_VALUE"""),43787.64583333333)</f>
        <v>43787.64583</v>
      </c>
      <c r="B4291" s="2">
        <f>IFERROR(__xludf.DUMMYFUNCTION("""COMPUTED_VALUE"""),1458.77)</f>
        <v>1458.77</v>
      </c>
      <c r="C4291" s="2">
        <f>IFERROR(__xludf.DUMMYFUNCTION("""COMPUTED_VALUE"""),1471.99)</f>
        <v>1471.99</v>
      </c>
      <c r="D4291" s="2">
        <f>IFERROR(__xludf.DUMMYFUNCTION("""COMPUTED_VALUE"""),1441.68)</f>
        <v>1441.68</v>
      </c>
      <c r="E4291" s="2">
        <f>IFERROR(__xludf.DUMMYFUNCTION("""COMPUTED_VALUE"""),1445.45)</f>
        <v>1445.45</v>
      </c>
      <c r="F4291" s="2">
        <f>IFERROR(__xludf.DUMMYFUNCTION("""COMPUTED_VALUE"""),6435097.0)</f>
        <v>6435097</v>
      </c>
    </row>
    <row r="4292">
      <c r="A4292" s="3">
        <f>IFERROR(__xludf.DUMMYFUNCTION("""COMPUTED_VALUE"""),43788.64583333333)</f>
        <v>43788.64583</v>
      </c>
      <c r="B4292" s="2">
        <f>IFERROR(__xludf.DUMMYFUNCTION("""COMPUTED_VALUE"""),1453.17)</f>
        <v>1453.17</v>
      </c>
      <c r="C4292" s="2">
        <f>IFERROR(__xludf.DUMMYFUNCTION("""COMPUTED_VALUE"""),1500.62)</f>
        <v>1500.62</v>
      </c>
      <c r="D4292" s="2">
        <f>IFERROR(__xludf.DUMMYFUNCTION("""COMPUTED_VALUE"""),1451.19)</f>
        <v>1451.19</v>
      </c>
      <c r="E4292" s="2">
        <f>IFERROR(__xludf.DUMMYFUNCTION("""COMPUTED_VALUE"""),1495.52)</f>
        <v>1495.52</v>
      </c>
      <c r="F4292" s="2">
        <f>IFERROR(__xludf.DUMMYFUNCTION("""COMPUTED_VALUE"""),1.3795569E7)</f>
        <v>13795569</v>
      </c>
    </row>
    <row r="4293">
      <c r="A4293" s="3">
        <f>IFERROR(__xludf.DUMMYFUNCTION("""COMPUTED_VALUE"""),43789.64583333333)</f>
        <v>43789.64583</v>
      </c>
      <c r="B4293" s="2">
        <f>IFERROR(__xludf.DUMMYFUNCTION("""COMPUTED_VALUE"""),1540.39)</f>
        <v>1540.39</v>
      </c>
      <c r="C4293" s="2">
        <f>IFERROR(__xludf.DUMMYFUNCTION("""COMPUTED_VALUE"""),1557.58)</f>
        <v>1557.58</v>
      </c>
      <c r="D4293" s="2">
        <f>IFERROR(__xludf.DUMMYFUNCTION("""COMPUTED_VALUE"""),1528.65)</f>
        <v>1528.65</v>
      </c>
      <c r="E4293" s="2">
        <f>IFERROR(__xludf.DUMMYFUNCTION("""COMPUTED_VALUE"""),1533.06)</f>
        <v>1533.06</v>
      </c>
      <c r="F4293" s="2">
        <f>IFERROR(__xludf.DUMMYFUNCTION("""COMPUTED_VALUE"""),1.9904164E7)</f>
        <v>19904164</v>
      </c>
    </row>
    <row r="4294">
      <c r="A4294" s="3">
        <f>IFERROR(__xludf.DUMMYFUNCTION("""COMPUTED_VALUE"""),43790.64583333333)</f>
        <v>43790.64583</v>
      </c>
      <c r="B4294" s="2">
        <f>IFERROR(__xludf.DUMMYFUNCTION("""COMPUTED_VALUE"""),1530.44)</f>
        <v>1530.44</v>
      </c>
      <c r="C4294" s="2">
        <f>IFERROR(__xludf.DUMMYFUNCTION("""COMPUTED_VALUE"""),1541.33)</f>
        <v>1541.33</v>
      </c>
      <c r="D4294" s="2">
        <f>IFERROR(__xludf.DUMMYFUNCTION("""COMPUTED_VALUE"""),1514.14)</f>
        <v>1514.14</v>
      </c>
      <c r="E4294" s="2">
        <f>IFERROR(__xludf.DUMMYFUNCTION("""COMPUTED_VALUE"""),1523.11)</f>
        <v>1523.11</v>
      </c>
      <c r="F4294" s="2">
        <f>IFERROR(__xludf.DUMMYFUNCTION("""COMPUTED_VALUE"""),6810577.0)</f>
        <v>6810577</v>
      </c>
    </row>
    <row r="4295">
      <c r="A4295" s="3">
        <f>IFERROR(__xludf.DUMMYFUNCTION("""COMPUTED_VALUE"""),43791.64583333333)</f>
        <v>43791.64583</v>
      </c>
      <c r="B4295" s="2">
        <f>IFERROR(__xludf.DUMMYFUNCTION("""COMPUTED_VALUE"""),1527.56)</f>
        <v>1527.56</v>
      </c>
      <c r="C4295" s="2">
        <f>IFERROR(__xludf.DUMMYFUNCTION("""COMPUTED_VALUE"""),1554.71)</f>
        <v>1554.71</v>
      </c>
      <c r="D4295" s="2">
        <f>IFERROR(__xludf.DUMMYFUNCTION("""COMPUTED_VALUE"""),1523.11)</f>
        <v>1523.11</v>
      </c>
      <c r="E4295" s="2">
        <f>IFERROR(__xludf.DUMMYFUNCTION("""COMPUTED_VALUE"""),1531.92)</f>
        <v>1531.92</v>
      </c>
      <c r="F4295" s="2">
        <f>IFERROR(__xludf.DUMMYFUNCTION("""COMPUTED_VALUE"""),1.0218978E7)</f>
        <v>10218978</v>
      </c>
    </row>
    <row r="4296">
      <c r="A4296" s="3">
        <f>IFERROR(__xludf.DUMMYFUNCTION("""COMPUTED_VALUE"""),43794.64583333333)</f>
        <v>43794.64583</v>
      </c>
      <c r="B4296" s="2">
        <f>IFERROR(__xludf.DUMMYFUNCTION("""COMPUTED_VALUE"""),1536.53)</f>
        <v>1536.53</v>
      </c>
      <c r="C4296" s="2">
        <f>IFERROR(__xludf.DUMMYFUNCTION("""COMPUTED_VALUE"""),1550.05)</f>
        <v>1550.05</v>
      </c>
      <c r="D4296" s="2">
        <f>IFERROR(__xludf.DUMMYFUNCTION("""COMPUTED_VALUE"""),1536.38)</f>
        <v>1536.38</v>
      </c>
      <c r="E4296" s="2">
        <f>IFERROR(__xludf.DUMMYFUNCTION("""COMPUTED_VALUE"""),1546.83)</f>
        <v>1546.83</v>
      </c>
      <c r="F4296" s="2">
        <f>IFERROR(__xludf.DUMMYFUNCTION("""COMPUTED_VALUE"""),6924313.0)</f>
        <v>6924313</v>
      </c>
    </row>
    <row r="4297">
      <c r="A4297" s="3">
        <f>IFERROR(__xludf.DUMMYFUNCTION("""COMPUTED_VALUE"""),43795.64583333333)</f>
        <v>43795.64583</v>
      </c>
      <c r="B4297" s="2">
        <f>IFERROR(__xludf.DUMMYFUNCTION("""COMPUTED_VALUE"""),1553.32)</f>
        <v>1553.32</v>
      </c>
      <c r="C4297" s="2">
        <f>IFERROR(__xludf.DUMMYFUNCTION("""COMPUTED_VALUE"""),1561.49)</f>
        <v>1561.49</v>
      </c>
      <c r="D4297" s="2">
        <f>IFERROR(__xludf.DUMMYFUNCTION("""COMPUTED_VALUE"""),1541.33)</f>
        <v>1541.33</v>
      </c>
      <c r="E4297" s="2">
        <f>IFERROR(__xludf.DUMMYFUNCTION("""COMPUTED_VALUE"""),1545.54)</f>
        <v>1545.54</v>
      </c>
      <c r="F4297" s="2">
        <f>IFERROR(__xludf.DUMMYFUNCTION("""COMPUTED_VALUE"""),1.6152137E7)</f>
        <v>16152137</v>
      </c>
    </row>
    <row r="4298">
      <c r="A4298" s="3">
        <f>IFERROR(__xludf.DUMMYFUNCTION("""COMPUTED_VALUE"""),43796.64583333333)</f>
        <v>43796.64583</v>
      </c>
      <c r="B4298" s="2">
        <f>IFERROR(__xludf.DUMMYFUNCTION("""COMPUTED_VALUE"""),1545.25)</f>
        <v>1545.25</v>
      </c>
      <c r="C4298" s="2">
        <f>IFERROR(__xludf.DUMMYFUNCTION("""COMPUTED_VALUE"""),1560.65)</f>
        <v>1560.65</v>
      </c>
      <c r="D4298" s="2">
        <f>IFERROR(__xludf.DUMMYFUNCTION("""COMPUTED_VALUE"""),1541.43)</f>
        <v>1541.43</v>
      </c>
      <c r="E4298" s="2">
        <f>IFERROR(__xludf.DUMMYFUNCTION("""COMPUTED_VALUE"""),1555.05)</f>
        <v>1555.05</v>
      </c>
      <c r="F4298" s="2">
        <f>IFERROR(__xludf.DUMMYFUNCTION("""COMPUTED_VALUE"""),4408336.0)</f>
        <v>4408336</v>
      </c>
    </row>
    <row r="4299">
      <c r="A4299" s="3">
        <f>IFERROR(__xludf.DUMMYFUNCTION("""COMPUTED_VALUE"""),43797.64583333333)</f>
        <v>43797.64583</v>
      </c>
      <c r="B4299" s="2">
        <f>IFERROR(__xludf.DUMMYFUNCTION("""COMPUTED_VALUE"""),1557.83)</f>
        <v>1557.83</v>
      </c>
      <c r="C4299" s="2">
        <f>IFERROR(__xludf.DUMMYFUNCTION("""COMPUTED_VALUE"""),1569.22)</f>
        <v>1569.22</v>
      </c>
      <c r="D4299" s="2">
        <f>IFERROR(__xludf.DUMMYFUNCTION("""COMPUTED_VALUE"""),1549.21)</f>
        <v>1549.21</v>
      </c>
      <c r="E4299" s="2">
        <f>IFERROR(__xludf.DUMMYFUNCTION("""COMPUTED_VALUE"""),1565.4)</f>
        <v>1565.4</v>
      </c>
      <c r="F4299" s="2">
        <f>IFERROR(__xludf.DUMMYFUNCTION("""COMPUTED_VALUE"""),6284885.0)</f>
        <v>6284885</v>
      </c>
    </row>
    <row r="4300">
      <c r="A4300" s="3">
        <f>IFERROR(__xludf.DUMMYFUNCTION("""COMPUTED_VALUE"""),43798.64583333333)</f>
        <v>43798.64583</v>
      </c>
      <c r="B4300" s="2">
        <f>IFERROR(__xludf.DUMMYFUNCTION("""COMPUTED_VALUE"""),1567.04)</f>
        <v>1567.04</v>
      </c>
      <c r="C4300" s="2">
        <f>IFERROR(__xludf.DUMMYFUNCTION("""COMPUTED_VALUE"""),1567.04)</f>
        <v>1567.04</v>
      </c>
      <c r="D4300" s="2">
        <f>IFERROR(__xludf.DUMMYFUNCTION("""COMPUTED_VALUE"""),1533.26)</f>
        <v>1533.26</v>
      </c>
      <c r="E4300" s="2">
        <f>IFERROR(__xludf.DUMMYFUNCTION("""COMPUTED_VALUE"""),1536.53)</f>
        <v>1536.53</v>
      </c>
      <c r="F4300" s="2">
        <f>IFERROR(__xludf.DUMMYFUNCTION("""COMPUTED_VALUE"""),8484822.0)</f>
        <v>8484822</v>
      </c>
    </row>
    <row r="4301">
      <c r="A4301" s="3">
        <f>IFERROR(__xludf.DUMMYFUNCTION("""COMPUTED_VALUE"""),43801.64583333333)</f>
        <v>43801.64583</v>
      </c>
      <c r="B4301" s="2">
        <f>IFERROR(__xludf.DUMMYFUNCTION("""COMPUTED_VALUE"""),1600.0)</f>
        <v>1600</v>
      </c>
      <c r="C4301" s="2">
        <f>IFERROR(__xludf.DUMMYFUNCTION("""COMPUTED_VALUE"""),1614.45)</f>
        <v>1614.45</v>
      </c>
      <c r="D4301" s="2">
        <f>IFERROR(__xludf.DUMMYFUNCTION("""COMPUTED_VALUE"""),1577.0)</f>
        <v>1577</v>
      </c>
      <c r="E4301" s="2">
        <f>IFERROR(__xludf.DUMMYFUNCTION("""COMPUTED_VALUE"""),1586.5)</f>
        <v>1586.5</v>
      </c>
      <c r="F4301" s="2">
        <f>IFERROR(__xludf.DUMMYFUNCTION("""COMPUTED_VALUE"""),1.4275186E7)</f>
        <v>14275186</v>
      </c>
    </row>
    <row r="4302">
      <c r="A4302" s="3">
        <f>IFERROR(__xludf.DUMMYFUNCTION("""COMPUTED_VALUE"""),43802.64583333333)</f>
        <v>43802.64583</v>
      </c>
      <c r="B4302" s="2">
        <f>IFERROR(__xludf.DUMMYFUNCTION("""COMPUTED_VALUE"""),1577.74)</f>
        <v>1577.74</v>
      </c>
      <c r="C4302" s="2">
        <f>IFERROR(__xludf.DUMMYFUNCTION("""COMPUTED_VALUE"""),1578.97)</f>
        <v>1578.97</v>
      </c>
      <c r="D4302" s="2">
        <f>IFERROR(__xludf.DUMMYFUNCTION("""COMPUTED_VALUE"""),1557.78)</f>
        <v>1557.78</v>
      </c>
      <c r="E4302" s="2">
        <f>IFERROR(__xludf.DUMMYFUNCTION("""COMPUTED_VALUE"""),1564.02)</f>
        <v>1564.02</v>
      </c>
      <c r="F4302" s="2">
        <f>IFERROR(__xludf.DUMMYFUNCTION("""COMPUTED_VALUE"""),5938786.0)</f>
        <v>5938786</v>
      </c>
    </row>
    <row r="4303">
      <c r="A4303" s="3">
        <f>IFERROR(__xludf.DUMMYFUNCTION("""COMPUTED_VALUE"""),43803.64583333333)</f>
        <v>43803.64583</v>
      </c>
      <c r="B4303" s="2">
        <f>IFERROR(__xludf.DUMMYFUNCTION("""COMPUTED_VALUE"""),1558.17)</f>
        <v>1558.17</v>
      </c>
      <c r="C4303" s="2">
        <f>IFERROR(__xludf.DUMMYFUNCTION("""COMPUTED_VALUE"""),1562.63)</f>
        <v>1562.63</v>
      </c>
      <c r="D4303" s="2">
        <f>IFERROR(__xludf.DUMMYFUNCTION("""COMPUTED_VALUE"""),1519.29)</f>
        <v>1519.29</v>
      </c>
      <c r="E4303" s="2">
        <f>IFERROR(__xludf.DUMMYFUNCTION("""COMPUTED_VALUE"""),1538.06)</f>
        <v>1538.06</v>
      </c>
      <c r="F4303" s="2">
        <f>IFERROR(__xludf.DUMMYFUNCTION("""COMPUTED_VALUE"""),9594828.0)</f>
        <v>9594828</v>
      </c>
    </row>
    <row r="4304">
      <c r="A4304" s="3">
        <f>IFERROR(__xludf.DUMMYFUNCTION("""COMPUTED_VALUE"""),43804.64583333333)</f>
        <v>43804.64583</v>
      </c>
      <c r="B4304" s="2">
        <f>IFERROR(__xludf.DUMMYFUNCTION("""COMPUTED_VALUE"""),1559.16)</f>
        <v>1559.16</v>
      </c>
      <c r="C4304" s="2">
        <f>IFERROR(__xludf.DUMMYFUNCTION("""COMPUTED_VALUE"""),1564.86)</f>
        <v>1564.86</v>
      </c>
      <c r="D4304" s="2">
        <f>IFERROR(__xludf.DUMMYFUNCTION("""COMPUTED_VALUE"""),1529.45)</f>
        <v>1529.45</v>
      </c>
      <c r="E4304" s="2">
        <f>IFERROR(__xludf.DUMMYFUNCTION("""COMPUTED_VALUE"""),1536.23)</f>
        <v>1536.23</v>
      </c>
      <c r="F4304" s="2">
        <f>IFERROR(__xludf.DUMMYFUNCTION("""COMPUTED_VALUE"""),9117022.0)</f>
        <v>9117022</v>
      </c>
    </row>
    <row r="4305">
      <c r="A4305" s="3">
        <f>IFERROR(__xludf.DUMMYFUNCTION("""COMPUTED_VALUE"""),43805.64583333333)</f>
        <v>43805.64583</v>
      </c>
      <c r="B4305" s="2">
        <f>IFERROR(__xludf.DUMMYFUNCTION("""COMPUTED_VALUE"""),1538.36)</f>
        <v>1538.36</v>
      </c>
      <c r="C4305" s="2">
        <f>IFERROR(__xludf.DUMMYFUNCTION("""COMPUTED_VALUE"""),1553.22)</f>
        <v>1553.22</v>
      </c>
      <c r="D4305" s="2">
        <f>IFERROR(__xludf.DUMMYFUNCTION("""COMPUTED_VALUE"""),1526.57)</f>
        <v>1526.57</v>
      </c>
      <c r="E4305" s="2">
        <f>IFERROR(__xludf.DUMMYFUNCTION("""COMPUTED_VALUE"""),1540.24)</f>
        <v>1540.24</v>
      </c>
      <c r="F4305" s="2">
        <f>IFERROR(__xludf.DUMMYFUNCTION("""COMPUTED_VALUE"""),5982129.0)</f>
        <v>5982129</v>
      </c>
    </row>
    <row r="4306">
      <c r="A4306" s="3">
        <f>IFERROR(__xludf.DUMMYFUNCTION("""COMPUTED_VALUE"""),43808.64583333333)</f>
        <v>43808.64583</v>
      </c>
      <c r="B4306" s="2">
        <f>IFERROR(__xludf.DUMMYFUNCTION("""COMPUTED_VALUE"""),1541.48)</f>
        <v>1541.48</v>
      </c>
      <c r="C4306" s="2">
        <f>IFERROR(__xludf.DUMMYFUNCTION("""COMPUTED_VALUE"""),1562.53)</f>
        <v>1562.53</v>
      </c>
      <c r="D4306" s="2">
        <f>IFERROR(__xludf.DUMMYFUNCTION("""COMPUTED_VALUE"""),1531.92)</f>
        <v>1531.92</v>
      </c>
      <c r="E4306" s="2">
        <f>IFERROR(__xludf.DUMMYFUNCTION("""COMPUTED_VALUE"""),1557.78)</f>
        <v>1557.78</v>
      </c>
      <c r="F4306" s="2">
        <f>IFERROR(__xludf.DUMMYFUNCTION("""COMPUTED_VALUE"""),5779807.0)</f>
        <v>5779807</v>
      </c>
    </row>
    <row r="4307">
      <c r="A4307" s="3">
        <f>IFERROR(__xludf.DUMMYFUNCTION("""COMPUTED_VALUE"""),43809.64583333333)</f>
        <v>43809.64583</v>
      </c>
      <c r="B4307" s="2">
        <f>IFERROR(__xludf.DUMMYFUNCTION("""COMPUTED_VALUE"""),1557.23)</f>
        <v>1557.23</v>
      </c>
      <c r="C4307" s="2">
        <f>IFERROR(__xludf.DUMMYFUNCTION("""COMPUTED_VALUE"""),1558.77)</f>
        <v>1558.77</v>
      </c>
      <c r="D4307" s="2">
        <f>IFERROR(__xludf.DUMMYFUNCTION("""COMPUTED_VALUE"""),1539.5)</f>
        <v>1539.5</v>
      </c>
      <c r="E4307" s="2">
        <f>IFERROR(__xludf.DUMMYFUNCTION("""COMPUTED_VALUE"""),1547.23)</f>
        <v>1547.23</v>
      </c>
      <c r="F4307" s="2">
        <f>IFERROR(__xludf.DUMMYFUNCTION("""COMPUTED_VALUE"""),4650906.0)</f>
        <v>4650906</v>
      </c>
    </row>
    <row r="4308">
      <c r="A4308" s="3">
        <f>IFERROR(__xludf.DUMMYFUNCTION("""COMPUTED_VALUE"""),43810.64583333333)</f>
        <v>43810.64583</v>
      </c>
      <c r="B4308" s="2">
        <f>IFERROR(__xludf.DUMMYFUNCTION("""COMPUTED_VALUE"""),1540.94)</f>
        <v>1540.94</v>
      </c>
      <c r="C4308" s="2">
        <f>IFERROR(__xludf.DUMMYFUNCTION("""COMPUTED_VALUE"""),1559.66)</f>
        <v>1559.66</v>
      </c>
      <c r="D4308" s="2">
        <f>IFERROR(__xludf.DUMMYFUNCTION("""COMPUTED_VALUE"""),1535.98)</f>
        <v>1535.98</v>
      </c>
      <c r="E4308" s="2">
        <f>IFERROR(__xludf.DUMMYFUNCTION("""COMPUTED_VALUE"""),1547.67)</f>
        <v>1547.67</v>
      </c>
      <c r="F4308" s="2">
        <f>IFERROR(__xludf.DUMMYFUNCTION("""COMPUTED_VALUE"""),5652698.0)</f>
        <v>5652698</v>
      </c>
    </row>
    <row r="4309">
      <c r="A4309" s="3">
        <f>IFERROR(__xludf.DUMMYFUNCTION("""COMPUTED_VALUE"""),43811.64583333333)</f>
        <v>43811.64583</v>
      </c>
      <c r="B4309" s="2">
        <f>IFERROR(__xludf.DUMMYFUNCTION("""COMPUTED_VALUE"""),1555.45)</f>
        <v>1555.45</v>
      </c>
      <c r="C4309" s="2">
        <f>IFERROR(__xludf.DUMMYFUNCTION("""COMPUTED_VALUE"""),1559.01)</f>
        <v>1559.01</v>
      </c>
      <c r="D4309" s="2">
        <f>IFERROR(__xludf.DUMMYFUNCTION("""COMPUTED_VALUE"""),1541.98)</f>
        <v>1541.98</v>
      </c>
      <c r="E4309" s="2">
        <f>IFERROR(__xludf.DUMMYFUNCTION("""COMPUTED_VALUE"""),1553.42)</f>
        <v>1553.42</v>
      </c>
      <c r="F4309" s="2">
        <f>IFERROR(__xludf.DUMMYFUNCTION("""COMPUTED_VALUE"""),4720977.0)</f>
        <v>4720977</v>
      </c>
    </row>
    <row r="4310">
      <c r="A4310" s="3">
        <f>IFERROR(__xludf.DUMMYFUNCTION("""COMPUTED_VALUE"""),43812.64583333333)</f>
        <v>43812.64583</v>
      </c>
      <c r="B4310" s="2">
        <f>IFERROR(__xludf.DUMMYFUNCTION("""COMPUTED_VALUE"""),1565.11)</f>
        <v>1565.11</v>
      </c>
      <c r="C4310" s="2">
        <f>IFERROR(__xludf.DUMMYFUNCTION("""COMPUTED_VALUE"""),1575.01)</f>
        <v>1575.01</v>
      </c>
      <c r="D4310" s="2">
        <f>IFERROR(__xludf.DUMMYFUNCTION("""COMPUTED_VALUE"""),1557.58)</f>
        <v>1557.58</v>
      </c>
      <c r="E4310" s="2">
        <f>IFERROR(__xludf.DUMMYFUNCTION("""COMPUTED_VALUE"""),1567.98)</f>
        <v>1567.98</v>
      </c>
      <c r="F4310" s="2">
        <f>IFERROR(__xludf.DUMMYFUNCTION("""COMPUTED_VALUE"""),5791522.0)</f>
        <v>5791522</v>
      </c>
    </row>
    <row r="4311">
      <c r="A4311" s="3">
        <f>IFERROR(__xludf.DUMMYFUNCTION("""COMPUTED_VALUE"""),43815.64583333333)</f>
        <v>43815.64583</v>
      </c>
      <c r="B4311" s="2">
        <f>IFERROR(__xludf.DUMMYFUNCTION("""COMPUTED_VALUE"""),1576.99)</f>
        <v>1576.99</v>
      </c>
      <c r="C4311" s="2">
        <f>IFERROR(__xludf.DUMMYFUNCTION("""COMPUTED_VALUE"""),1578.88)</f>
        <v>1578.88</v>
      </c>
      <c r="D4311" s="2">
        <f>IFERROR(__xludf.DUMMYFUNCTION("""COMPUTED_VALUE"""),1549.6)</f>
        <v>1549.6</v>
      </c>
      <c r="E4311" s="2">
        <f>IFERROR(__xludf.DUMMYFUNCTION("""COMPUTED_VALUE"""),1551.83)</f>
        <v>1551.83</v>
      </c>
      <c r="F4311" s="2">
        <f>IFERROR(__xludf.DUMMYFUNCTION("""COMPUTED_VALUE"""),5436951.0)</f>
        <v>5436951</v>
      </c>
    </row>
    <row r="4312">
      <c r="A4312" s="3">
        <f>IFERROR(__xludf.DUMMYFUNCTION("""COMPUTED_VALUE"""),43816.64583333333)</f>
        <v>43816.64583</v>
      </c>
      <c r="B4312" s="2">
        <f>IFERROR(__xludf.DUMMYFUNCTION("""COMPUTED_VALUE"""),1551.98)</f>
        <v>1551.98</v>
      </c>
      <c r="C4312" s="2">
        <f>IFERROR(__xludf.DUMMYFUNCTION("""COMPUTED_VALUE"""),1564.12)</f>
        <v>1564.12</v>
      </c>
      <c r="D4312" s="2">
        <f>IFERROR(__xludf.DUMMYFUNCTION("""COMPUTED_VALUE"""),1540.89)</f>
        <v>1540.89</v>
      </c>
      <c r="E4312" s="2">
        <f>IFERROR(__xludf.DUMMYFUNCTION("""COMPUTED_VALUE"""),1547.97)</f>
        <v>1547.97</v>
      </c>
      <c r="F4312" s="2">
        <f>IFERROR(__xludf.DUMMYFUNCTION("""COMPUTED_VALUE"""),9291724.0)</f>
        <v>9291724</v>
      </c>
    </row>
    <row r="4313">
      <c r="A4313" s="3">
        <f>IFERROR(__xludf.DUMMYFUNCTION("""COMPUTED_VALUE"""),43817.64583333333)</f>
        <v>43817.64583</v>
      </c>
      <c r="B4313" s="2">
        <f>IFERROR(__xludf.DUMMYFUNCTION("""COMPUTED_VALUE"""),1548.27)</f>
        <v>1548.27</v>
      </c>
      <c r="C4313" s="2">
        <f>IFERROR(__xludf.DUMMYFUNCTION("""COMPUTED_VALUE"""),1565.11)</f>
        <v>1565.11</v>
      </c>
      <c r="D4313" s="2">
        <f>IFERROR(__xludf.DUMMYFUNCTION("""COMPUTED_VALUE"""),1547.28)</f>
        <v>1547.28</v>
      </c>
      <c r="E4313" s="2">
        <f>IFERROR(__xludf.DUMMYFUNCTION("""COMPUTED_VALUE"""),1561.0)</f>
        <v>1561</v>
      </c>
      <c r="F4313" s="2">
        <f>IFERROR(__xludf.DUMMYFUNCTION("""COMPUTED_VALUE"""),6739582.0)</f>
        <v>6739582</v>
      </c>
    </row>
    <row r="4314">
      <c r="A4314" s="3">
        <f>IFERROR(__xludf.DUMMYFUNCTION("""COMPUTED_VALUE"""),43818.64583333333)</f>
        <v>43818.64583</v>
      </c>
      <c r="B4314" s="2">
        <f>IFERROR(__xludf.DUMMYFUNCTION("""COMPUTED_VALUE"""),1558.87)</f>
        <v>1558.87</v>
      </c>
      <c r="C4314" s="2">
        <f>IFERROR(__xludf.DUMMYFUNCTION("""COMPUTED_VALUE"""),1599.68)</f>
        <v>1599.68</v>
      </c>
      <c r="D4314" s="2">
        <f>IFERROR(__xludf.DUMMYFUNCTION("""COMPUTED_VALUE"""),1556.98)</f>
        <v>1556.98</v>
      </c>
      <c r="E4314" s="2">
        <f>IFERROR(__xludf.DUMMYFUNCTION("""COMPUTED_VALUE"""),1594.77)</f>
        <v>1594.77</v>
      </c>
      <c r="F4314" s="2">
        <f>IFERROR(__xludf.DUMMYFUNCTION("""COMPUTED_VALUE"""),9375484.0)</f>
        <v>9375484</v>
      </c>
    </row>
    <row r="4315">
      <c r="A4315" s="3">
        <f>IFERROR(__xludf.DUMMYFUNCTION("""COMPUTED_VALUE"""),43819.64583333333)</f>
        <v>43819.64583</v>
      </c>
      <c r="B4315" s="2">
        <f>IFERROR(__xludf.DUMMYFUNCTION("""COMPUTED_VALUE"""),1599.78)</f>
        <v>1599.78</v>
      </c>
      <c r="C4315" s="2">
        <f>IFERROR(__xludf.DUMMYFUNCTION("""COMPUTED_VALUE"""),1602.3)</f>
        <v>1602.3</v>
      </c>
      <c r="D4315" s="2">
        <f>IFERROR(__xludf.DUMMYFUNCTION("""COMPUTED_VALUE"""),1581.05)</f>
        <v>1581.05</v>
      </c>
      <c r="E4315" s="2">
        <f>IFERROR(__xludf.DUMMYFUNCTION("""COMPUTED_VALUE"""),1584.03)</f>
        <v>1584.03</v>
      </c>
      <c r="F4315" s="2">
        <f>IFERROR(__xludf.DUMMYFUNCTION("""COMPUTED_VALUE"""),9724619.0)</f>
        <v>9724619</v>
      </c>
    </row>
    <row r="4316">
      <c r="A4316" s="3">
        <f>IFERROR(__xludf.DUMMYFUNCTION("""COMPUTED_VALUE"""),43822.64583333333)</f>
        <v>43822.64583</v>
      </c>
      <c r="B4316" s="2">
        <f>IFERROR(__xludf.DUMMYFUNCTION("""COMPUTED_VALUE"""),1545.39)</f>
        <v>1545.39</v>
      </c>
      <c r="C4316" s="2">
        <f>IFERROR(__xludf.DUMMYFUNCTION("""COMPUTED_VALUE"""),1562.68)</f>
        <v>1562.68</v>
      </c>
      <c r="D4316" s="2">
        <f>IFERROR(__xludf.DUMMYFUNCTION("""COMPUTED_VALUE"""),1543.12)</f>
        <v>1543.12</v>
      </c>
      <c r="E4316" s="2">
        <f>IFERROR(__xludf.DUMMYFUNCTION("""COMPUTED_VALUE"""),1556.59)</f>
        <v>1556.59</v>
      </c>
      <c r="F4316" s="2">
        <f>IFERROR(__xludf.DUMMYFUNCTION("""COMPUTED_VALUE"""),1.1478429E7)</f>
        <v>11478429</v>
      </c>
    </row>
    <row r="4317">
      <c r="A4317" s="3">
        <f>IFERROR(__xludf.DUMMYFUNCTION("""COMPUTED_VALUE"""),43823.64583333333)</f>
        <v>43823.64583</v>
      </c>
      <c r="B4317" s="2">
        <f>IFERROR(__xludf.DUMMYFUNCTION("""COMPUTED_VALUE"""),1554.11)</f>
        <v>1554.11</v>
      </c>
      <c r="C4317" s="2">
        <f>IFERROR(__xludf.DUMMYFUNCTION("""COMPUTED_VALUE"""),1557.23)</f>
        <v>1557.23</v>
      </c>
      <c r="D4317" s="2">
        <f>IFERROR(__xludf.DUMMYFUNCTION("""COMPUTED_VALUE"""),1527.96)</f>
        <v>1527.96</v>
      </c>
      <c r="E4317" s="2">
        <f>IFERROR(__xludf.DUMMYFUNCTION("""COMPUTED_VALUE"""),1531.87)</f>
        <v>1531.87</v>
      </c>
      <c r="F4317" s="2">
        <f>IFERROR(__xludf.DUMMYFUNCTION("""COMPUTED_VALUE"""),8251144.0)</f>
        <v>8251144</v>
      </c>
    </row>
    <row r="4318">
      <c r="A4318" s="3">
        <f>IFERROR(__xludf.DUMMYFUNCTION("""COMPUTED_VALUE"""),43825.64583333333)</f>
        <v>43825.64583</v>
      </c>
      <c r="B4318" s="2">
        <f>IFERROR(__xludf.DUMMYFUNCTION("""COMPUTED_VALUE"""),1527.12)</f>
        <v>1527.12</v>
      </c>
      <c r="C4318" s="2">
        <f>IFERROR(__xludf.DUMMYFUNCTION("""COMPUTED_VALUE"""),1538.31)</f>
        <v>1538.31</v>
      </c>
      <c r="D4318" s="2">
        <f>IFERROR(__xludf.DUMMYFUNCTION("""COMPUTED_VALUE"""),1495.92)</f>
        <v>1495.92</v>
      </c>
      <c r="E4318" s="2">
        <f>IFERROR(__xludf.DUMMYFUNCTION("""COMPUTED_VALUE"""),1501.12)</f>
        <v>1501.12</v>
      </c>
      <c r="F4318" s="2">
        <f>IFERROR(__xludf.DUMMYFUNCTION("""COMPUTED_VALUE"""),1.3605737E7)</f>
        <v>13605737</v>
      </c>
    </row>
    <row r="4319">
      <c r="A4319" s="3">
        <f>IFERROR(__xludf.DUMMYFUNCTION("""COMPUTED_VALUE"""),43826.64583333333)</f>
        <v>43826.64583</v>
      </c>
      <c r="B4319" s="2">
        <f>IFERROR(__xludf.DUMMYFUNCTION("""COMPUTED_VALUE"""),1512.61)</f>
        <v>1512.61</v>
      </c>
      <c r="C4319" s="2">
        <f>IFERROR(__xludf.DUMMYFUNCTION("""COMPUTED_VALUE"""),1531.63)</f>
        <v>1531.63</v>
      </c>
      <c r="D4319" s="2">
        <f>IFERROR(__xludf.DUMMYFUNCTION("""COMPUTED_VALUE"""),1506.96)</f>
        <v>1506.96</v>
      </c>
      <c r="E4319" s="2">
        <f>IFERROR(__xludf.DUMMYFUNCTION("""COMPUTED_VALUE"""),1527.81)</f>
        <v>1527.81</v>
      </c>
      <c r="F4319" s="2">
        <f>IFERROR(__xludf.DUMMYFUNCTION("""COMPUTED_VALUE"""),8081591.0)</f>
        <v>8081591</v>
      </c>
    </row>
    <row r="4320">
      <c r="A4320" s="3">
        <f>IFERROR(__xludf.DUMMYFUNCTION("""COMPUTED_VALUE"""),43829.64583333333)</f>
        <v>43829.64583</v>
      </c>
      <c r="B4320" s="2">
        <f>IFERROR(__xludf.DUMMYFUNCTION("""COMPUTED_VALUE"""),1531.38)</f>
        <v>1531.38</v>
      </c>
      <c r="C4320" s="2">
        <f>IFERROR(__xludf.DUMMYFUNCTION("""COMPUTED_VALUE"""),1533.06)</f>
        <v>1533.06</v>
      </c>
      <c r="D4320" s="2">
        <f>IFERROR(__xludf.DUMMYFUNCTION("""COMPUTED_VALUE"""),1513.65)</f>
        <v>1513.65</v>
      </c>
      <c r="E4320" s="2">
        <f>IFERROR(__xludf.DUMMYFUNCTION("""COMPUTED_VALUE"""),1529.64)</f>
        <v>1529.64</v>
      </c>
      <c r="F4320" s="2">
        <f>IFERROR(__xludf.DUMMYFUNCTION("""COMPUTED_VALUE"""),7828402.0)</f>
        <v>7828402</v>
      </c>
    </row>
    <row r="4321">
      <c r="A4321" s="3">
        <f>IFERROR(__xludf.DUMMYFUNCTION("""COMPUTED_VALUE"""),43830.64583333333)</f>
        <v>43830.64583</v>
      </c>
      <c r="B4321" s="2">
        <f>IFERROR(__xludf.DUMMYFUNCTION("""COMPUTED_VALUE"""),1527.46)</f>
        <v>1527.46</v>
      </c>
      <c r="C4321" s="2">
        <f>IFERROR(__xludf.DUMMYFUNCTION("""COMPUTED_VALUE"""),1529.15)</f>
        <v>1529.15</v>
      </c>
      <c r="D4321" s="2">
        <f>IFERROR(__xludf.DUMMYFUNCTION("""COMPUTED_VALUE"""),1493.83)</f>
        <v>1493.83</v>
      </c>
      <c r="E4321" s="2">
        <f>IFERROR(__xludf.DUMMYFUNCTION("""COMPUTED_VALUE"""),1499.78)</f>
        <v>1499.78</v>
      </c>
      <c r="F4321" s="2">
        <f>IFERROR(__xludf.DUMMYFUNCTION("""COMPUTED_VALUE"""),1.0150467E7)</f>
        <v>10150467</v>
      </c>
    </row>
    <row r="4322">
      <c r="A4322" s="3">
        <f>IFERROR(__xludf.DUMMYFUNCTION("""COMPUTED_VALUE"""),43831.64583333333)</f>
        <v>43831.64583</v>
      </c>
      <c r="B4322" s="2">
        <f>IFERROR(__xludf.DUMMYFUNCTION("""COMPUTED_VALUE"""),1503.69)</f>
        <v>1503.69</v>
      </c>
      <c r="C4322" s="2">
        <f>IFERROR(__xludf.DUMMYFUNCTION("""COMPUTED_VALUE"""),1512.71)</f>
        <v>1512.71</v>
      </c>
      <c r="D4322" s="2">
        <f>IFERROR(__xludf.DUMMYFUNCTION("""COMPUTED_VALUE"""),1491.31)</f>
        <v>1491.31</v>
      </c>
      <c r="E4322" s="2">
        <f>IFERROR(__xludf.DUMMYFUNCTION("""COMPUTED_VALUE"""),1495.37)</f>
        <v>1495.37</v>
      </c>
      <c r="F4322" s="2">
        <f>IFERROR(__xludf.DUMMYFUNCTION("""COMPUTED_VALUE"""),6402372.0)</f>
        <v>6402372</v>
      </c>
    </row>
    <row r="4323">
      <c r="A4323" s="3">
        <f>IFERROR(__xludf.DUMMYFUNCTION("""COMPUTED_VALUE"""),43832.64583333333)</f>
        <v>43832.64583</v>
      </c>
      <c r="B4323" s="2">
        <f>IFERROR(__xludf.DUMMYFUNCTION("""COMPUTED_VALUE"""),1497.75)</f>
        <v>1497.75</v>
      </c>
      <c r="C4323" s="2">
        <f>IFERROR(__xludf.DUMMYFUNCTION("""COMPUTED_VALUE"""),1526.42)</f>
        <v>1526.42</v>
      </c>
      <c r="D4323" s="2">
        <f>IFERROR(__xludf.DUMMYFUNCTION("""COMPUTED_VALUE"""),1497.75)</f>
        <v>1497.75</v>
      </c>
      <c r="E4323" s="2">
        <f>IFERROR(__xludf.DUMMYFUNCTION("""COMPUTED_VALUE"""),1520.83)</f>
        <v>1520.83</v>
      </c>
      <c r="F4323" s="2">
        <f>IFERROR(__xludf.DUMMYFUNCTION("""COMPUTED_VALUE"""),8096561.0)</f>
        <v>8096561</v>
      </c>
    </row>
    <row r="4324">
      <c r="A4324" s="3">
        <f>IFERROR(__xludf.DUMMYFUNCTION("""COMPUTED_VALUE"""),43833.64583333333)</f>
        <v>43833.64583</v>
      </c>
      <c r="B4324" s="2">
        <f>IFERROR(__xludf.DUMMYFUNCTION("""COMPUTED_VALUE"""),1518.55)</f>
        <v>1518.55</v>
      </c>
      <c r="C4324" s="2">
        <f>IFERROR(__xludf.DUMMYFUNCTION("""COMPUTED_VALUE"""),1527.12)</f>
        <v>1527.12</v>
      </c>
      <c r="D4324" s="2">
        <f>IFERROR(__xludf.DUMMYFUNCTION("""COMPUTED_VALUE"""),1508.64)</f>
        <v>1508.64</v>
      </c>
      <c r="E4324" s="2">
        <f>IFERROR(__xludf.DUMMYFUNCTION("""COMPUTED_VALUE"""),1522.66)</f>
        <v>1522.66</v>
      </c>
      <c r="F4324" s="2">
        <f>IFERROR(__xludf.DUMMYFUNCTION("""COMPUTED_VALUE"""),9593498.0)</f>
        <v>9593498</v>
      </c>
    </row>
    <row r="4325">
      <c r="A4325" s="3">
        <f>IFERROR(__xludf.DUMMYFUNCTION("""COMPUTED_VALUE"""),43836.64583333333)</f>
        <v>43836.64583</v>
      </c>
      <c r="B4325" s="2">
        <f>IFERROR(__xludf.DUMMYFUNCTION("""COMPUTED_VALUE"""),1505.67)</f>
        <v>1505.67</v>
      </c>
      <c r="C4325" s="2">
        <f>IFERROR(__xludf.DUMMYFUNCTION("""COMPUTED_VALUE"""),1513.5)</f>
        <v>1513.5</v>
      </c>
      <c r="D4325" s="2">
        <f>IFERROR(__xludf.DUMMYFUNCTION("""COMPUTED_VALUE"""),1483.88)</f>
        <v>1483.88</v>
      </c>
      <c r="E4325" s="2">
        <f>IFERROR(__xludf.DUMMYFUNCTION("""COMPUTED_VALUE"""),1487.35)</f>
        <v>1487.35</v>
      </c>
      <c r="F4325" s="2">
        <f>IFERROR(__xludf.DUMMYFUNCTION("""COMPUTED_VALUE"""),1.1209343E7)</f>
        <v>11209343</v>
      </c>
    </row>
    <row r="4326">
      <c r="A4326" s="3">
        <f>IFERROR(__xludf.DUMMYFUNCTION("""COMPUTED_VALUE"""),43837.64583333333)</f>
        <v>43837.64583</v>
      </c>
      <c r="B4326" s="2">
        <f>IFERROR(__xludf.DUMMYFUNCTION("""COMPUTED_VALUE"""),1504.68)</f>
        <v>1504.68</v>
      </c>
      <c r="C4326" s="2">
        <f>IFERROR(__xludf.DUMMYFUNCTION("""COMPUTED_VALUE"""),1520.04)</f>
        <v>1520.04</v>
      </c>
      <c r="D4326" s="2">
        <f>IFERROR(__xludf.DUMMYFUNCTION("""COMPUTED_VALUE"""),1499.23)</f>
        <v>1499.23</v>
      </c>
      <c r="E4326" s="2">
        <f>IFERROR(__xludf.DUMMYFUNCTION("""COMPUTED_VALUE"""),1510.23)</f>
        <v>1510.23</v>
      </c>
      <c r="F4326" s="2">
        <f>IFERROR(__xludf.DUMMYFUNCTION("""COMPUTED_VALUE"""),7627191.0)</f>
        <v>7627191</v>
      </c>
    </row>
    <row r="4327">
      <c r="A4327" s="3">
        <f>IFERROR(__xludf.DUMMYFUNCTION("""COMPUTED_VALUE"""),43838.64583333333)</f>
        <v>43838.64583</v>
      </c>
      <c r="B4327" s="2">
        <f>IFERROR(__xludf.DUMMYFUNCTION("""COMPUTED_VALUE"""),1500.72)</f>
        <v>1500.72</v>
      </c>
      <c r="C4327" s="2">
        <f>IFERROR(__xludf.DUMMYFUNCTION("""COMPUTED_VALUE"""),1519.99)</f>
        <v>1519.99</v>
      </c>
      <c r="D4327" s="2">
        <f>IFERROR(__xludf.DUMMYFUNCTION("""COMPUTED_VALUE"""),1495.77)</f>
        <v>1495.77</v>
      </c>
      <c r="E4327" s="2">
        <f>IFERROR(__xludf.DUMMYFUNCTION("""COMPUTED_VALUE"""),1498.89)</f>
        <v>1498.89</v>
      </c>
      <c r="F4327" s="2">
        <f>IFERROR(__xludf.DUMMYFUNCTION("""COMPUTED_VALUE"""),7336561.0)</f>
        <v>7336561</v>
      </c>
    </row>
    <row r="4328">
      <c r="A4328" s="3">
        <f>IFERROR(__xludf.DUMMYFUNCTION("""COMPUTED_VALUE"""),43839.64583333333)</f>
        <v>43839.64583</v>
      </c>
      <c r="B4328" s="2">
        <f>IFERROR(__xludf.DUMMYFUNCTION("""COMPUTED_VALUE"""),1524.1)</f>
        <v>1524.1</v>
      </c>
      <c r="C4328" s="2">
        <f>IFERROR(__xludf.DUMMYFUNCTION("""COMPUTED_VALUE"""),1535.39)</f>
        <v>1535.39</v>
      </c>
      <c r="D4328" s="2">
        <f>IFERROR(__xludf.DUMMYFUNCTION("""COMPUTED_VALUE"""),1516.82)</f>
        <v>1516.82</v>
      </c>
      <c r="E4328" s="2">
        <f>IFERROR(__xludf.DUMMYFUNCTION("""COMPUTED_VALUE"""),1533.41)</f>
        <v>1533.41</v>
      </c>
      <c r="F4328" s="2">
        <f>IFERROR(__xludf.DUMMYFUNCTION("""COMPUTED_VALUE"""),6849606.0)</f>
        <v>6849606</v>
      </c>
    </row>
    <row r="4329">
      <c r="A4329" s="3">
        <f>IFERROR(__xludf.DUMMYFUNCTION("""COMPUTED_VALUE"""),43840.64583333333)</f>
        <v>43840.64583</v>
      </c>
      <c r="B4329" s="2">
        <f>IFERROR(__xludf.DUMMYFUNCTION("""COMPUTED_VALUE"""),1537.27)</f>
        <v>1537.27</v>
      </c>
      <c r="C4329" s="2">
        <f>IFERROR(__xludf.DUMMYFUNCTION("""COMPUTED_VALUE"""),1543.26)</f>
        <v>1543.26</v>
      </c>
      <c r="D4329" s="2">
        <f>IFERROR(__xludf.DUMMYFUNCTION("""COMPUTED_VALUE"""),1525.14)</f>
        <v>1525.14</v>
      </c>
      <c r="E4329" s="2">
        <f>IFERROR(__xludf.DUMMYFUNCTION("""COMPUTED_VALUE"""),1533.06)</f>
        <v>1533.06</v>
      </c>
      <c r="F4329" s="2">
        <f>IFERROR(__xludf.DUMMYFUNCTION("""COMPUTED_VALUE"""),5704686.0)</f>
        <v>5704686</v>
      </c>
    </row>
    <row r="4330">
      <c r="A4330" s="3">
        <f>IFERROR(__xludf.DUMMYFUNCTION("""COMPUTED_VALUE"""),43843.64583333333)</f>
        <v>43843.64583</v>
      </c>
      <c r="B4330" s="2">
        <f>IFERROR(__xludf.DUMMYFUNCTION("""COMPUTED_VALUE"""),1530.49)</f>
        <v>1530.49</v>
      </c>
      <c r="C4330" s="2">
        <f>IFERROR(__xludf.DUMMYFUNCTION("""COMPUTED_VALUE"""),1544.01)</f>
        <v>1544.01</v>
      </c>
      <c r="D4330" s="2">
        <f>IFERROR(__xludf.DUMMYFUNCTION("""COMPUTED_VALUE"""),1523.9)</f>
        <v>1523.9</v>
      </c>
      <c r="E4330" s="2">
        <f>IFERROR(__xludf.DUMMYFUNCTION("""COMPUTED_VALUE"""),1529.15)</f>
        <v>1529.15</v>
      </c>
      <c r="F4330" s="2">
        <f>IFERROR(__xludf.DUMMYFUNCTION("""COMPUTED_VALUE"""),8358090.0)</f>
        <v>8358090</v>
      </c>
    </row>
    <row r="4331">
      <c r="A4331" s="3">
        <f>IFERROR(__xludf.DUMMYFUNCTION("""COMPUTED_VALUE"""),43844.64583333333)</f>
        <v>43844.64583</v>
      </c>
      <c r="B4331" s="2">
        <f>IFERROR(__xludf.DUMMYFUNCTION("""COMPUTED_VALUE"""),1525.48)</f>
        <v>1525.48</v>
      </c>
      <c r="C4331" s="2">
        <f>IFERROR(__xludf.DUMMYFUNCTION("""COMPUTED_VALUE"""),1535.39)</f>
        <v>1535.39</v>
      </c>
      <c r="D4331" s="2">
        <f>IFERROR(__xludf.DUMMYFUNCTION("""COMPUTED_VALUE"""),1507.5)</f>
        <v>1507.5</v>
      </c>
      <c r="E4331" s="2">
        <f>IFERROR(__xludf.DUMMYFUNCTION("""COMPUTED_VALUE"""),1514.98)</f>
        <v>1514.98</v>
      </c>
      <c r="F4331" s="2">
        <f>IFERROR(__xludf.DUMMYFUNCTION("""COMPUTED_VALUE"""),7230788.0)</f>
        <v>7230788</v>
      </c>
    </row>
    <row r="4332">
      <c r="A4332" s="3">
        <f>IFERROR(__xludf.DUMMYFUNCTION("""COMPUTED_VALUE"""),43845.64583333333)</f>
        <v>43845.64583</v>
      </c>
      <c r="B4332" s="2">
        <f>IFERROR(__xludf.DUMMYFUNCTION("""COMPUTED_VALUE"""),1521.37)</f>
        <v>1521.37</v>
      </c>
      <c r="C4332" s="2">
        <f>IFERROR(__xludf.DUMMYFUNCTION("""COMPUTED_VALUE"""),1525.38)</f>
        <v>1525.38</v>
      </c>
      <c r="D4332" s="2">
        <f>IFERROR(__xludf.DUMMYFUNCTION("""COMPUTED_VALUE"""),1503.94)</f>
        <v>1503.94</v>
      </c>
      <c r="E4332" s="2">
        <f>IFERROR(__xludf.DUMMYFUNCTION("""COMPUTED_VALUE"""),1509.49)</f>
        <v>1509.49</v>
      </c>
      <c r="F4332" s="2">
        <f>IFERROR(__xludf.DUMMYFUNCTION("""COMPUTED_VALUE"""),7231393.0)</f>
        <v>7231393</v>
      </c>
    </row>
    <row r="4333">
      <c r="A4333" s="3">
        <f>IFERROR(__xludf.DUMMYFUNCTION("""COMPUTED_VALUE"""),43846.64583333333)</f>
        <v>43846.64583</v>
      </c>
      <c r="B4333" s="2">
        <f>IFERROR(__xludf.DUMMYFUNCTION("""COMPUTED_VALUE"""),1514.59)</f>
        <v>1514.59</v>
      </c>
      <c r="C4333" s="2">
        <f>IFERROR(__xludf.DUMMYFUNCTION("""COMPUTED_VALUE"""),1528.8)</f>
        <v>1528.8</v>
      </c>
      <c r="D4333" s="2">
        <f>IFERROR(__xludf.DUMMYFUNCTION("""COMPUTED_VALUE"""),1513.6)</f>
        <v>1513.6</v>
      </c>
      <c r="E4333" s="2">
        <f>IFERROR(__xludf.DUMMYFUNCTION("""COMPUTED_VALUE"""),1523.4)</f>
        <v>1523.4</v>
      </c>
      <c r="F4333" s="2">
        <f>IFERROR(__xludf.DUMMYFUNCTION("""COMPUTED_VALUE"""),5873662.0)</f>
        <v>5873662</v>
      </c>
    </row>
    <row r="4334">
      <c r="A4334" s="3">
        <f>IFERROR(__xludf.DUMMYFUNCTION("""COMPUTED_VALUE"""),43847.64583333333)</f>
        <v>43847.64583</v>
      </c>
      <c r="B4334" s="2">
        <f>IFERROR(__xludf.DUMMYFUNCTION("""COMPUTED_VALUE"""),1538.86)</f>
        <v>1538.86</v>
      </c>
      <c r="C4334" s="2">
        <f>IFERROR(__xludf.DUMMYFUNCTION("""COMPUTED_VALUE"""),1570.01)</f>
        <v>1570.01</v>
      </c>
      <c r="D4334" s="2">
        <f>IFERROR(__xludf.DUMMYFUNCTION("""COMPUTED_VALUE"""),1538.56)</f>
        <v>1538.56</v>
      </c>
      <c r="E4334" s="2">
        <f>IFERROR(__xludf.DUMMYFUNCTION("""COMPUTED_VALUE"""),1566.1)</f>
        <v>1566.1</v>
      </c>
      <c r="F4334" s="2">
        <f>IFERROR(__xludf.DUMMYFUNCTION("""COMPUTED_VALUE"""),1.3469708E7)</f>
        <v>13469708</v>
      </c>
    </row>
    <row r="4335">
      <c r="A4335" s="3">
        <f>IFERROR(__xludf.DUMMYFUNCTION("""COMPUTED_VALUE"""),43850.64583333333)</f>
        <v>43850.64583</v>
      </c>
      <c r="B4335" s="2">
        <f>IFERROR(__xludf.DUMMYFUNCTION("""COMPUTED_VALUE"""),1593.83)</f>
        <v>1593.83</v>
      </c>
      <c r="C4335" s="2">
        <f>IFERROR(__xludf.DUMMYFUNCTION("""COMPUTED_VALUE"""),1593.83)</f>
        <v>1593.83</v>
      </c>
      <c r="D4335" s="2">
        <f>IFERROR(__xludf.DUMMYFUNCTION("""COMPUTED_VALUE"""),1512.01)</f>
        <v>1512.01</v>
      </c>
      <c r="E4335" s="2">
        <f>IFERROR(__xludf.DUMMYFUNCTION("""COMPUTED_VALUE"""),1517.91)</f>
        <v>1517.91</v>
      </c>
      <c r="F4335" s="2">
        <f>IFERROR(__xludf.DUMMYFUNCTION("""COMPUTED_VALUE"""),1.4878868E7)</f>
        <v>14878868</v>
      </c>
    </row>
    <row r="4336">
      <c r="A4336" s="3">
        <f>IFERROR(__xludf.DUMMYFUNCTION("""COMPUTED_VALUE"""),43851.64583333333)</f>
        <v>43851.64583</v>
      </c>
      <c r="B4336" s="2">
        <f>IFERROR(__xludf.DUMMYFUNCTION("""COMPUTED_VALUE"""),1514.19)</f>
        <v>1514.19</v>
      </c>
      <c r="C4336" s="2">
        <f>IFERROR(__xludf.DUMMYFUNCTION("""COMPUTED_VALUE"""),1531.28)</f>
        <v>1531.28</v>
      </c>
      <c r="D4336" s="2">
        <f>IFERROR(__xludf.DUMMYFUNCTION("""COMPUTED_VALUE"""),1507.65)</f>
        <v>1507.65</v>
      </c>
      <c r="E4336" s="2">
        <f>IFERROR(__xludf.DUMMYFUNCTION("""COMPUTED_VALUE"""),1519.44)</f>
        <v>1519.44</v>
      </c>
      <c r="F4336" s="2">
        <f>IFERROR(__xludf.DUMMYFUNCTION("""COMPUTED_VALUE"""),8650831.0)</f>
        <v>8650831</v>
      </c>
    </row>
    <row r="4337">
      <c r="A4337" s="3">
        <f>IFERROR(__xludf.DUMMYFUNCTION("""COMPUTED_VALUE"""),43852.64583333333)</f>
        <v>43852.64583</v>
      </c>
      <c r="B4337" s="2">
        <f>IFERROR(__xludf.DUMMYFUNCTION("""COMPUTED_VALUE"""),1529.45)</f>
        <v>1529.45</v>
      </c>
      <c r="C4337" s="2">
        <f>IFERROR(__xludf.DUMMYFUNCTION("""COMPUTED_VALUE"""),1532.17)</f>
        <v>1532.17</v>
      </c>
      <c r="D4337" s="2">
        <f>IFERROR(__xludf.DUMMYFUNCTION("""COMPUTED_VALUE"""),1516.67)</f>
        <v>1516.67</v>
      </c>
      <c r="E4337" s="2">
        <f>IFERROR(__xludf.DUMMYFUNCTION("""COMPUTED_VALUE"""),1518.9)</f>
        <v>1518.9</v>
      </c>
      <c r="F4337" s="2">
        <f>IFERROR(__xludf.DUMMYFUNCTION("""COMPUTED_VALUE"""),4719245.0)</f>
        <v>4719245</v>
      </c>
    </row>
    <row r="4338">
      <c r="A4338" s="3">
        <f>IFERROR(__xludf.DUMMYFUNCTION("""COMPUTED_VALUE"""),43853.64583333333)</f>
        <v>43853.64583</v>
      </c>
      <c r="B4338" s="2">
        <f>IFERROR(__xludf.DUMMYFUNCTION("""COMPUTED_VALUE"""),1522.02)</f>
        <v>1522.02</v>
      </c>
      <c r="C4338" s="2">
        <f>IFERROR(__xludf.DUMMYFUNCTION("""COMPUTED_VALUE"""),1527.42)</f>
        <v>1527.42</v>
      </c>
      <c r="D4338" s="2">
        <f>IFERROR(__xludf.DUMMYFUNCTION("""COMPUTED_VALUE"""),1506.37)</f>
        <v>1506.37</v>
      </c>
      <c r="E4338" s="2">
        <f>IFERROR(__xludf.DUMMYFUNCTION("""COMPUTED_VALUE"""),1512.46)</f>
        <v>1512.46</v>
      </c>
      <c r="F4338" s="2">
        <f>IFERROR(__xludf.DUMMYFUNCTION("""COMPUTED_VALUE"""),5142088.0)</f>
        <v>5142088</v>
      </c>
    </row>
    <row r="4339">
      <c r="A4339" s="3">
        <f>IFERROR(__xludf.DUMMYFUNCTION("""COMPUTED_VALUE"""),43854.64583333333)</f>
        <v>43854.64583</v>
      </c>
      <c r="B4339" s="2">
        <f>IFERROR(__xludf.DUMMYFUNCTION("""COMPUTED_VALUE"""),1512.61)</f>
        <v>1512.61</v>
      </c>
      <c r="C4339" s="2">
        <f>IFERROR(__xludf.DUMMYFUNCTION("""COMPUTED_VALUE"""),1521.87)</f>
        <v>1521.87</v>
      </c>
      <c r="D4339" s="2">
        <f>IFERROR(__xludf.DUMMYFUNCTION("""COMPUTED_VALUE"""),1504.24)</f>
        <v>1504.24</v>
      </c>
      <c r="E4339" s="2">
        <f>IFERROR(__xludf.DUMMYFUNCTION("""COMPUTED_VALUE"""),1507.21)</f>
        <v>1507.21</v>
      </c>
      <c r="F4339" s="2">
        <f>IFERROR(__xludf.DUMMYFUNCTION("""COMPUTED_VALUE"""),6687633.0)</f>
        <v>6687633</v>
      </c>
    </row>
    <row r="4340">
      <c r="A4340" s="3">
        <f>IFERROR(__xludf.DUMMYFUNCTION("""COMPUTED_VALUE"""),43857.64583333333)</f>
        <v>43857.64583</v>
      </c>
      <c r="B4340" s="2">
        <f>IFERROR(__xludf.DUMMYFUNCTION("""COMPUTED_VALUE"""),1500.62)</f>
        <v>1500.62</v>
      </c>
      <c r="C4340" s="2">
        <f>IFERROR(__xludf.DUMMYFUNCTION("""COMPUTED_VALUE"""),1510.08)</f>
        <v>1510.08</v>
      </c>
      <c r="D4340" s="2">
        <f>IFERROR(__xludf.DUMMYFUNCTION("""COMPUTED_VALUE"""),1490.81)</f>
        <v>1490.81</v>
      </c>
      <c r="E4340" s="2">
        <f>IFERROR(__xludf.DUMMYFUNCTION("""COMPUTED_VALUE"""),1492.35)</f>
        <v>1492.35</v>
      </c>
      <c r="F4340" s="2">
        <f>IFERROR(__xludf.DUMMYFUNCTION("""COMPUTED_VALUE"""),6120429.0)</f>
        <v>6120429</v>
      </c>
    </row>
    <row r="4341">
      <c r="A4341" s="3">
        <f>IFERROR(__xludf.DUMMYFUNCTION("""COMPUTED_VALUE"""),43858.64583333333)</f>
        <v>43858.64583</v>
      </c>
      <c r="B4341" s="2">
        <f>IFERROR(__xludf.DUMMYFUNCTION("""COMPUTED_VALUE"""),1494.38)</f>
        <v>1494.38</v>
      </c>
      <c r="C4341" s="2">
        <f>IFERROR(__xludf.DUMMYFUNCTION("""COMPUTED_VALUE"""),1495.77)</f>
        <v>1495.77</v>
      </c>
      <c r="D4341" s="2">
        <f>IFERROR(__xludf.DUMMYFUNCTION("""COMPUTED_VALUE"""),1449.8)</f>
        <v>1449.8</v>
      </c>
      <c r="E4341" s="2">
        <f>IFERROR(__xludf.DUMMYFUNCTION("""COMPUTED_VALUE"""),1457.88)</f>
        <v>1457.88</v>
      </c>
      <c r="F4341" s="2">
        <f>IFERROR(__xludf.DUMMYFUNCTION("""COMPUTED_VALUE"""),1.1215313E7)</f>
        <v>11215313</v>
      </c>
    </row>
    <row r="4342">
      <c r="A4342" s="3">
        <f>IFERROR(__xludf.DUMMYFUNCTION("""COMPUTED_VALUE"""),43859.64583333333)</f>
        <v>43859.64583</v>
      </c>
      <c r="B4342" s="2">
        <f>IFERROR(__xludf.DUMMYFUNCTION("""COMPUTED_VALUE"""),1460.16)</f>
        <v>1460.16</v>
      </c>
      <c r="C4342" s="2">
        <f>IFERROR(__xludf.DUMMYFUNCTION("""COMPUTED_VALUE"""),1480.31)</f>
        <v>1480.31</v>
      </c>
      <c r="D4342" s="2">
        <f>IFERROR(__xludf.DUMMYFUNCTION("""COMPUTED_VALUE"""),1450.25)</f>
        <v>1450.25</v>
      </c>
      <c r="E4342" s="2">
        <f>IFERROR(__xludf.DUMMYFUNCTION("""COMPUTED_VALUE"""),1465.9)</f>
        <v>1465.9</v>
      </c>
      <c r="F4342" s="2">
        <f>IFERROR(__xludf.DUMMYFUNCTION("""COMPUTED_VALUE"""),1.1313297E7)</f>
        <v>11313297</v>
      </c>
    </row>
    <row r="4343">
      <c r="A4343" s="3">
        <f>IFERROR(__xludf.DUMMYFUNCTION("""COMPUTED_VALUE"""),43860.64583333333)</f>
        <v>43860.64583</v>
      </c>
      <c r="B4343" s="2">
        <f>IFERROR(__xludf.DUMMYFUNCTION("""COMPUTED_VALUE"""),1465.06)</f>
        <v>1465.06</v>
      </c>
      <c r="C4343" s="2">
        <f>IFERROR(__xludf.DUMMYFUNCTION("""COMPUTED_VALUE"""),1465.75)</f>
        <v>1465.75</v>
      </c>
      <c r="D4343" s="2">
        <f>IFERROR(__xludf.DUMMYFUNCTION("""COMPUTED_VALUE"""),1426.43)</f>
        <v>1426.43</v>
      </c>
      <c r="E4343" s="2">
        <f>IFERROR(__xludf.DUMMYFUNCTION("""COMPUTED_VALUE"""),1430.14)</f>
        <v>1430.14</v>
      </c>
      <c r="F4343" s="2">
        <f>IFERROR(__xludf.DUMMYFUNCTION("""COMPUTED_VALUE"""),1.0241756E7)</f>
        <v>10241756</v>
      </c>
    </row>
    <row r="4344">
      <c r="A4344" s="3">
        <f>IFERROR(__xludf.DUMMYFUNCTION("""COMPUTED_VALUE"""),43861.64583333333)</f>
        <v>43861.64583</v>
      </c>
      <c r="B4344" s="2">
        <f>IFERROR(__xludf.DUMMYFUNCTION("""COMPUTED_VALUE"""),1439.3)</f>
        <v>1439.3</v>
      </c>
      <c r="C4344" s="2">
        <f>IFERROR(__xludf.DUMMYFUNCTION("""COMPUTED_VALUE"""),1439.55)</f>
        <v>1439.55</v>
      </c>
      <c r="D4344" s="2">
        <f>IFERROR(__xludf.DUMMYFUNCTION("""COMPUTED_VALUE"""),1393.94)</f>
        <v>1393.94</v>
      </c>
      <c r="E4344" s="2">
        <f>IFERROR(__xludf.DUMMYFUNCTION("""COMPUTED_VALUE"""),1398.34)</f>
        <v>1398.34</v>
      </c>
      <c r="F4344" s="2">
        <f>IFERROR(__xludf.DUMMYFUNCTION("""COMPUTED_VALUE"""),1.5886673E7)</f>
        <v>15886673</v>
      </c>
    </row>
    <row r="4345">
      <c r="A4345" s="3">
        <f>IFERROR(__xludf.DUMMYFUNCTION("""COMPUTED_VALUE"""),43862.70833333333)</f>
        <v>43862.70833</v>
      </c>
      <c r="B4345" s="2">
        <f>IFERROR(__xludf.DUMMYFUNCTION("""COMPUTED_VALUE"""),1392.05)</f>
        <v>1392.05</v>
      </c>
      <c r="C4345" s="2">
        <f>IFERROR(__xludf.DUMMYFUNCTION("""COMPUTED_VALUE"""),1413.5)</f>
        <v>1413.5</v>
      </c>
      <c r="D4345" s="2">
        <f>IFERROR(__xludf.DUMMYFUNCTION("""COMPUTED_VALUE"""),1362.48)</f>
        <v>1362.48</v>
      </c>
      <c r="E4345" s="2">
        <f>IFERROR(__xludf.DUMMYFUNCTION("""COMPUTED_VALUE"""),1363.03)</f>
        <v>1363.03</v>
      </c>
      <c r="F4345" s="2">
        <f>IFERROR(__xludf.DUMMYFUNCTION("""COMPUTED_VALUE"""),1.068843E7)</f>
        <v>10688430</v>
      </c>
    </row>
    <row r="4346">
      <c r="A4346" s="3">
        <f>IFERROR(__xludf.DUMMYFUNCTION("""COMPUTED_VALUE"""),43864.64583333333)</f>
        <v>43864.64583</v>
      </c>
      <c r="B4346" s="2">
        <f>IFERROR(__xludf.DUMMYFUNCTION("""COMPUTED_VALUE"""),1356.99)</f>
        <v>1356.99</v>
      </c>
      <c r="C4346" s="2">
        <f>IFERROR(__xludf.DUMMYFUNCTION("""COMPUTED_VALUE"""),1386.75)</f>
        <v>1386.75</v>
      </c>
      <c r="D4346" s="2">
        <f>IFERROR(__xludf.DUMMYFUNCTION("""COMPUTED_VALUE"""),1350.2)</f>
        <v>1350.2</v>
      </c>
      <c r="E4346" s="2">
        <f>IFERROR(__xludf.DUMMYFUNCTION("""COMPUTED_VALUE"""),1372.44)</f>
        <v>1372.44</v>
      </c>
      <c r="F4346" s="2">
        <f>IFERROR(__xludf.DUMMYFUNCTION("""COMPUTED_VALUE"""),1.4040626E7)</f>
        <v>14040626</v>
      </c>
    </row>
    <row r="4347">
      <c r="A4347" s="3">
        <f>IFERROR(__xludf.DUMMYFUNCTION("""COMPUTED_VALUE"""),43865.64583333333)</f>
        <v>43865.64583</v>
      </c>
      <c r="B4347" s="2">
        <f>IFERROR(__xludf.DUMMYFUNCTION("""COMPUTED_VALUE"""),1386.8)</f>
        <v>1386.8</v>
      </c>
      <c r="C4347" s="2">
        <f>IFERROR(__xludf.DUMMYFUNCTION("""COMPUTED_VALUE"""),1419.0)</f>
        <v>1419</v>
      </c>
      <c r="D4347" s="2">
        <f>IFERROR(__xludf.DUMMYFUNCTION("""COMPUTED_VALUE"""),1384.62)</f>
        <v>1384.62</v>
      </c>
      <c r="E4347" s="2">
        <f>IFERROR(__xludf.DUMMYFUNCTION("""COMPUTED_VALUE"""),1412.95)</f>
        <v>1412.95</v>
      </c>
      <c r="F4347" s="2">
        <f>IFERROR(__xludf.DUMMYFUNCTION("""COMPUTED_VALUE"""),1.1604666E7)</f>
        <v>11604666</v>
      </c>
    </row>
    <row r="4348">
      <c r="A4348" s="3">
        <f>IFERROR(__xludf.DUMMYFUNCTION("""COMPUTED_VALUE"""),43866.64583333333)</f>
        <v>43866.64583</v>
      </c>
      <c r="B4348" s="2">
        <f>IFERROR(__xludf.DUMMYFUNCTION("""COMPUTED_VALUE"""),1421.37)</f>
        <v>1421.37</v>
      </c>
      <c r="C4348" s="2">
        <f>IFERROR(__xludf.DUMMYFUNCTION("""COMPUTED_VALUE"""),1439.11)</f>
        <v>1439.11</v>
      </c>
      <c r="D4348" s="2">
        <f>IFERROR(__xludf.DUMMYFUNCTION("""COMPUTED_VALUE"""),1416.82)</f>
        <v>1416.82</v>
      </c>
      <c r="E4348" s="2">
        <f>IFERROR(__xludf.DUMMYFUNCTION("""COMPUTED_VALUE"""),1434.85)</f>
        <v>1434.85</v>
      </c>
      <c r="F4348" s="2">
        <f>IFERROR(__xludf.DUMMYFUNCTION("""COMPUTED_VALUE"""),8444823.0)</f>
        <v>8444823</v>
      </c>
    </row>
    <row r="4349">
      <c r="A4349" s="3">
        <f>IFERROR(__xludf.DUMMYFUNCTION("""COMPUTED_VALUE"""),43867.64583333333)</f>
        <v>43867.64583</v>
      </c>
      <c r="B4349" s="2">
        <f>IFERROR(__xludf.DUMMYFUNCTION("""COMPUTED_VALUE"""),1440.39)</f>
        <v>1440.39</v>
      </c>
      <c r="C4349" s="2">
        <f>IFERROR(__xludf.DUMMYFUNCTION("""COMPUTED_VALUE"""),1453.17)</f>
        <v>1453.17</v>
      </c>
      <c r="D4349" s="2">
        <f>IFERROR(__xludf.DUMMYFUNCTION("""COMPUTED_VALUE"""),1426.53)</f>
        <v>1426.53</v>
      </c>
      <c r="E4349" s="2">
        <f>IFERROR(__xludf.DUMMYFUNCTION("""COMPUTED_VALUE"""),1444.06)</f>
        <v>1444.06</v>
      </c>
      <c r="F4349" s="2">
        <f>IFERROR(__xludf.DUMMYFUNCTION("""COMPUTED_VALUE"""),7103715.0)</f>
        <v>7103715</v>
      </c>
    </row>
    <row r="4350">
      <c r="A4350" s="3">
        <f>IFERROR(__xludf.DUMMYFUNCTION("""COMPUTED_VALUE"""),43868.64583333333)</f>
        <v>43868.64583</v>
      </c>
      <c r="B4350" s="2">
        <f>IFERROR(__xludf.DUMMYFUNCTION("""COMPUTED_VALUE"""),1437.32)</f>
        <v>1437.32</v>
      </c>
      <c r="C4350" s="2">
        <f>IFERROR(__xludf.DUMMYFUNCTION("""COMPUTED_VALUE"""),1438.66)</f>
        <v>1438.66</v>
      </c>
      <c r="D4350" s="2">
        <f>IFERROR(__xludf.DUMMYFUNCTION("""COMPUTED_VALUE"""),1414.84)</f>
        <v>1414.84</v>
      </c>
      <c r="E4350" s="2">
        <f>IFERROR(__xludf.DUMMYFUNCTION("""COMPUTED_VALUE"""),1420.14)</f>
        <v>1420.14</v>
      </c>
      <c r="F4350" s="2">
        <f>IFERROR(__xludf.DUMMYFUNCTION("""COMPUTED_VALUE"""),5581641.0)</f>
        <v>5581641</v>
      </c>
    </row>
    <row r="4351">
      <c r="A4351" s="3">
        <f>IFERROR(__xludf.DUMMYFUNCTION("""COMPUTED_VALUE"""),43871.64583333333)</f>
        <v>43871.64583</v>
      </c>
      <c r="B4351" s="2">
        <f>IFERROR(__xludf.DUMMYFUNCTION("""COMPUTED_VALUE"""),1414.54)</f>
        <v>1414.54</v>
      </c>
      <c r="C4351" s="2">
        <f>IFERROR(__xludf.DUMMYFUNCTION("""COMPUTED_VALUE"""),1431.87)</f>
        <v>1431.87</v>
      </c>
      <c r="D4351" s="2">
        <f>IFERROR(__xludf.DUMMYFUNCTION("""COMPUTED_VALUE"""),1397.15)</f>
        <v>1397.15</v>
      </c>
      <c r="E4351" s="2">
        <f>IFERROR(__xludf.DUMMYFUNCTION("""COMPUTED_VALUE"""),1422.07)</f>
        <v>1422.07</v>
      </c>
      <c r="F4351" s="2">
        <f>IFERROR(__xludf.DUMMYFUNCTION("""COMPUTED_VALUE"""),6922631.0)</f>
        <v>6922631</v>
      </c>
    </row>
    <row r="4352">
      <c r="A4352" s="3">
        <f>IFERROR(__xludf.DUMMYFUNCTION("""COMPUTED_VALUE"""),43872.64583333333)</f>
        <v>43872.64583</v>
      </c>
      <c r="B4352" s="2">
        <f>IFERROR(__xludf.DUMMYFUNCTION("""COMPUTED_VALUE"""),1433.76)</f>
        <v>1433.76</v>
      </c>
      <c r="C4352" s="2">
        <f>IFERROR(__xludf.DUMMYFUNCTION("""COMPUTED_VALUE"""),1452.38)</f>
        <v>1452.38</v>
      </c>
      <c r="D4352" s="2">
        <f>IFERROR(__xludf.DUMMYFUNCTION("""COMPUTED_VALUE"""),1431.43)</f>
        <v>1431.43</v>
      </c>
      <c r="E4352" s="2">
        <f>IFERROR(__xludf.DUMMYFUNCTION("""COMPUTED_VALUE"""),1439.06)</f>
        <v>1439.06</v>
      </c>
      <c r="F4352" s="2">
        <f>IFERROR(__xludf.DUMMYFUNCTION("""COMPUTED_VALUE"""),6400245.0)</f>
        <v>6400245</v>
      </c>
    </row>
    <row r="4353">
      <c r="A4353" s="3">
        <f>IFERROR(__xludf.DUMMYFUNCTION("""COMPUTED_VALUE"""),43873.64583333333)</f>
        <v>43873.64583</v>
      </c>
      <c r="B4353" s="2">
        <f>IFERROR(__xludf.DUMMYFUNCTION("""COMPUTED_VALUE"""),1442.42)</f>
        <v>1442.42</v>
      </c>
      <c r="C4353" s="2">
        <f>IFERROR(__xludf.DUMMYFUNCTION("""COMPUTED_VALUE"""),1460.95)</f>
        <v>1460.95</v>
      </c>
      <c r="D4353" s="2">
        <f>IFERROR(__xludf.DUMMYFUNCTION("""COMPUTED_VALUE"""),1441.28)</f>
        <v>1441.28</v>
      </c>
      <c r="E4353" s="2">
        <f>IFERROR(__xludf.DUMMYFUNCTION("""COMPUTED_VALUE"""),1456.44)</f>
        <v>1456.44</v>
      </c>
      <c r="F4353" s="2">
        <f>IFERROR(__xludf.DUMMYFUNCTION("""COMPUTED_VALUE"""),6187091.0)</f>
        <v>6187091</v>
      </c>
    </row>
    <row r="4354">
      <c r="A4354" s="3">
        <f>IFERROR(__xludf.DUMMYFUNCTION("""COMPUTED_VALUE"""),43874.64583333333)</f>
        <v>43874.64583</v>
      </c>
      <c r="B4354" s="2">
        <f>IFERROR(__xludf.DUMMYFUNCTION("""COMPUTED_VALUE"""),1463.82)</f>
        <v>1463.82</v>
      </c>
      <c r="C4354" s="2">
        <f>IFERROR(__xludf.DUMMYFUNCTION("""COMPUTED_VALUE"""),1463.82)</f>
        <v>1463.82</v>
      </c>
      <c r="D4354" s="2">
        <f>IFERROR(__xludf.DUMMYFUNCTION("""COMPUTED_VALUE"""),1448.81)</f>
        <v>1448.81</v>
      </c>
      <c r="E4354" s="2">
        <f>IFERROR(__xludf.DUMMYFUNCTION("""COMPUTED_VALUE"""),1460.25)</f>
        <v>1460.25</v>
      </c>
      <c r="F4354" s="2">
        <f>IFERROR(__xludf.DUMMYFUNCTION("""COMPUTED_VALUE"""),6201763.0)</f>
        <v>6201763</v>
      </c>
    </row>
    <row r="4355">
      <c r="A4355" s="3">
        <f>IFERROR(__xludf.DUMMYFUNCTION("""COMPUTED_VALUE"""),43875.64583333333)</f>
        <v>43875.64583</v>
      </c>
      <c r="B4355" s="2">
        <f>IFERROR(__xludf.DUMMYFUNCTION("""COMPUTED_VALUE"""),1463.33)</f>
        <v>1463.33</v>
      </c>
      <c r="C4355" s="2">
        <f>IFERROR(__xludf.DUMMYFUNCTION("""COMPUTED_VALUE"""),1487.3)</f>
        <v>1487.3</v>
      </c>
      <c r="D4355" s="2">
        <f>IFERROR(__xludf.DUMMYFUNCTION("""COMPUTED_VALUE"""),1439.4)</f>
        <v>1439.4</v>
      </c>
      <c r="E4355" s="2">
        <f>IFERROR(__xludf.DUMMYFUNCTION("""COMPUTED_VALUE"""),1473.58)</f>
        <v>1473.58</v>
      </c>
      <c r="F4355" s="2">
        <f>IFERROR(__xludf.DUMMYFUNCTION("""COMPUTED_VALUE"""),9704655.0)</f>
        <v>9704655</v>
      </c>
    </row>
    <row r="4356">
      <c r="A4356" s="3">
        <f>IFERROR(__xludf.DUMMYFUNCTION("""COMPUTED_VALUE"""),43878.64583333333)</f>
        <v>43878.64583</v>
      </c>
      <c r="B4356" s="2">
        <f>IFERROR(__xludf.DUMMYFUNCTION("""COMPUTED_VALUE"""),1474.96)</f>
        <v>1474.96</v>
      </c>
      <c r="C4356" s="2">
        <f>IFERROR(__xludf.DUMMYFUNCTION("""COMPUTED_VALUE"""),1491.95)</f>
        <v>1491.95</v>
      </c>
      <c r="D4356" s="2">
        <f>IFERROR(__xludf.DUMMYFUNCTION("""COMPUTED_VALUE"""),1460.4)</f>
        <v>1460.4</v>
      </c>
      <c r="E4356" s="2">
        <f>IFERROR(__xludf.DUMMYFUNCTION("""COMPUTED_VALUE"""),1464.32)</f>
        <v>1464.32</v>
      </c>
      <c r="F4356" s="2">
        <f>IFERROR(__xludf.DUMMYFUNCTION("""COMPUTED_VALUE"""),6011340.0)</f>
        <v>6011340</v>
      </c>
    </row>
    <row r="4357">
      <c r="A4357" s="3">
        <f>IFERROR(__xludf.DUMMYFUNCTION("""COMPUTED_VALUE"""),43879.64583333333)</f>
        <v>43879.64583</v>
      </c>
      <c r="B4357" s="2">
        <f>IFERROR(__xludf.DUMMYFUNCTION("""COMPUTED_VALUE"""),1461.99)</f>
        <v>1461.99</v>
      </c>
      <c r="C4357" s="2">
        <f>IFERROR(__xludf.DUMMYFUNCTION("""COMPUTED_VALUE"""),1461.99)</f>
        <v>1461.99</v>
      </c>
      <c r="D4357" s="2">
        <f>IFERROR(__xludf.DUMMYFUNCTION("""COMPUTED_VALUE"""),1443.66)</f>
        <v>1443.66</v>
      </c>
      <c r="E4357" s="2">
        <f>IFERROR(__xludf.DUMMYFUNCTION("""COMPUTED_VALUE"""),1453.57)</f>
        <v>1453.57</v>
      </c>
      <c r="F4357" s="2">
        <f>IFERROR(__xludf.DUMMYFUNCTION("""COMPUTED_VALUE"""),5086964.0)</f>
        <v>5086964</v>
      </c>
    </row>
    <row r="4358">
      <c r="A4358" s="3">
        <f>IFERROR(__xludf.DUMMYFUNCTION("""COMPUTED_VALUE"""),43880.64583333333)</f>
        <v>43880.64583</v>
      </c>
      <c r="B4358" s="2">
        <f>IFERROR(__xludf.DUMMYFUNCTION("""COMPUTED_VALUE"""),1465.41)</f>
        <v>1465.41</v>
      </c>
      <c r="C4358" s="2">
        <f>IFERROR(__xludf.DUMMYFUNCTION("""COMPUTED_VALUE"""),1492.25)</f>
        <v>1492.25</v>
      </c>
      <c r="D4358" s="2">
        <f>IFERROR(__xludf.DUMMYFUNCTION("""COMPUTED_VALUE"""),1461.2)</f>
        <v>1461.2</v>
      </c>
      <c r="E4358" s="2">
        <f>IFERROR(__xludf.DUMMYFUNCTION("""COMPUTED_VALUE"""),1489.62)</f>
        <v>1489.62</v>
      </c>
      <c r="F4358" s="2">
        <f>IFERROR(__xludf.DUMMYFUNCTION("""COMPUTED_VALUE"""),6438918.0)</f>
        <v>6438918</v>
      </c>
    </row>
    <row r="4359">
      <c r="A4359" s="3">
        <f>IFERROR(__xludf.DUMMYFUNCTION("""COMPUTED_VALUE"""),43881.64583333333)</f>
        <v>43881.64583</v>
      </c>
      <c r="B4359" s="2">
        <f>IFERROR(__xludf.DUMMYFUNCTION("""COMPUTED_VALUE"""),1482.89)</f>
        <v>1482.89</v>
      </c>
      <c r="C4359" s="2">
        <f>IFERROR(__xludf.DUMMYFUNCTION("""COMPUTED_VALUE"""),1493.79)</f>
        <v>1493.79</v>
      </c>
      <c r="D4359" s="2">
        <f>IFERROR(__xludf.DUMMYFUNCTION("""COMPUTED_VALUE"""),1469.81)</f>
        <v>1469.81</v>
      </c>
      <c r="E4359" s="2">
        <f>IFERROR(__xludf.DUMMYFUNCTION("""COMPUTED_VALUE"""),1471.94)</f>
        <v>1471.94</v>
      </c>
      <c r="F4359" s="2">
        <f>IFERROR(__xludf.DUMMYFUNCTION("""COMPUTED_VALUE"""),7722577.0)</f>
        <v>7722577</v>
      </c>
    </row>
    <row r="4360">
      <c r="A4360" s="3">
        <f>IFERROR(__xludf.DUMMYFUNCTION("""COMPUTED_VALUE"""),43885.64583333333)</f>
        <v>43885.64583</v>
      </c>
      <c r="B4360" s="2">
        <f>IFERROR(__xludf.DUMMYFUNCTION("""COMPUTED_VALUE"""),1455.9)</f>
        <v>1455.9</v>
      </c>
      <c r="C4360" s="2">
        <f>IFERROR(__xludf.DUMMYFUNCTION("""COMPUTED_VALUE"""),1463.08)</f>
        <v>1463.08</v>
      </c>
      <c r="D4360" s="2">
        <f>IFERROR(__xludf.DUMMYFUNCTION("""COMPUTED_VALUE"""),1425.98)</f>
        <v>1425.98</v>
      </c>
      <c r="E4360" s="2">
        <f>IFERROR(__xludf.DUMMYFUNCTION("""COMPUTED_VALUE"""),1431.33)</f>
        <v>1431.33</v>
      </c>
      <c r="F4360" s="2">
        <f>IFERROR(__xludf.DUMMYFUNCTION("""COMPUTED_VALUE"""),9769743.0)</f>
        <v>9769743</v>
      </c>
    </row>
    <row r="4361">
      <c r="A4361" s="3">
        <f>IFERROR(__xludf.DUMMYFUNCTION("""COMPUTED_VALUE"""),43886.64583333333)</f>
        <v>43886.64583</v>
      </c>
      <c r="B4361" s="2">
        <f>IFERROR(__xludf.DUMMYFUNCTION("""COMPUTED_VALUE"""),1437.72)</f>
        <v>1437.72</v>
      </c>
      <c r="C4361" s="2">
        <f>IFERROR(__xludf.DUMMYFUNCTION("""COMPUTED_VALUE"""),1437.72)</f>
        <v>1437.72</v>
      </c>
      <c r="D4361" s="2">
        <f>IFERROR(__xludf.DUMMYFUNCTION("""COMPUTED_VALUE"""),1396.71)</f>
        <v>1396.71</v>
      </c>
      <c r="E4361" s="2">
        <f>IFERROR(__xludf.DUMMYFUNCTION("""COMPUTED_VALUE"""),1403.05)</f>
        <v>1403.05</v>
      </c>
      <c r="F4361" s="2">
        <f>IFERROR(__xludf.DUMMYFUNCTION("""COMPUTED_VALUE"""),1.2684109E7)</f>
        <v>12684109</v>
      </c>
    </row>
    <row r="4362">
      <c r="A4362" s="3">
        <f>IFERROR(__xludf.DUMMYFUNCTION("""COMPUTED_VALUE"""),43887.64583333333)</f>
        <v>43887.64583</v>
      </c>
      <c r="B4362" s="2">
        <f>IFERROR(__xludf.DUMMYFUNCTION("""COMPUTED_VALUE"""),1396.71)</f>
        <v>1396.71</v>
      </c>
      <c r="C4362" s="2">
        <f>IFERROR(__xludf.DUMMYFUNCTION("""COMPUTED_VALUE"""),1399.04)</f>
        <v>1399.04</v>
      </c>
      <c r="D4362" s="2">
        <f>IFERROR(__xludf.DUMMYFUNCTION("""COMPUTED_VALUE"""),1374.27)</f>
        <v>1374.27</v>
      </c>
      <c r="E4362" s="2">
        <f>IFERROR(__xludf.DUMMYFUNCTION("""COMPUTED_VALUE"""),1378.88)</f>
        <v>1378.88</v>
      </c>
      <c r="F4362" s="2">
        <f>IFERROR(__xludf.DUMMYFUNCTION("""COMPUTED_VALUE"""),1.3423661E7)</f>
        <v>13423661</v>
      </c>
    </row>
    <row r="4363">
      <c r="A4363" s="3">
        <f>IFERROR(__xludf.DUMMYFUNCTION("""COMPUTED_VALUE"""),43888.64583333333)</f>
        <v>43888.64583</v>
      </c>
      <c r="B4363" s="2">
        <f>IFERROR(__xludf.DUMMYFUNCTION("""COMPUTED_VALUE"""),1374.92)</f>
        <v>1374.92</v>
      </c>
      <c r="C4363" s="2">
        <f>IFERROR(__xludf.DUMMYFUNCTION("""COMPUTED_VALUE"""),1380.66)</f>
        <v>1380.66</v>
      </c>
      <c r="D4363" s="2">
        <f>IFERROR(__xludf.DUMMYFUNCTION("""COMPUTED_VALUE"""),1356.1)</f>
        <v>1356.1</v>
      </c>
      <c r="E4363" s="2">
        <f>IFERROR(__xludf.DUMMYFUNCTION("""COMPUTED_VALUE"""),1373.18)</f>
        <v>1373.18</v>
      </c>
      <c r="F4363" s="2">
        <f>IFERROR(__xludf.DUMMYFUNCTION("""COMPUTED_VALUE"""),1.14543E7)</f>
        <v>11454300</v>
      </c>
    </row>
    <row r="4364">
      <c r="A4364" s="3">
        <f>IFERROR(__xludf.DUMMYFUNCTION("""COMPUTED_VALUE"""),43889.64583333333)</f>
        <v>43889.64583</v>
      </c>
      <c r="B4364" s="2">
        <f>IFERROR(__xludf.DUMMYFUNCTION("""COMPUTED_VALUE"""),1342.13)</f>
        <v>1342.13</v>
      </c>
      <c r="C4364" s="2">
        <f>IFERROR(__xludf.DUMMYFUNCTION("""COMPUTED_VALUE"""),1344.21)</f>
        <v>1344.21</v>
      </c>
      <c r="D4364" s="2">
        <f>IFERROR(__xludf.DUMMYFUNCTION("""COMPUTED_VALUE"""),1312.51)</f>
        <v>1312.51</v>
      </c>
      <c r="E4364" s="2">
        <f>IFERROR(__xludf.DUMMYFUNCTION("""COMPUTED_VALUE"""),1316.13)</f>
        <v>1316.13</v>
      </c>
      <c r="F4364" s="2">
        <f>IFERROR(__xludf.DUMMYFUNCTION("""COMPUTED_VALUE"""),1.7973847E7)</f>
        <v>17973847</v>
      </c>
    </row>
    <row r="4365">
      <c r="A4365" s="3">
        <f>IFERROR(__xludf.DUMMYFUNCTION("""COMPUTED_VALUE"""),43892.64583333333)</f>
        <v>43892.64583</v>
      </c>
      <c r="B4365" s="2">
        <f>IFERROR(__xludf.DUMMYFUNCTION("""COMPUTED_VALUE"""),1342.33)</f>
        <v>1342.33</v>
      </c>
      <c r="C4365" s="2">
        <f>IFERROR(__xludf.DUMMYFUNCTION("""COMPUTED_VALUE"""),1356.1)</f>
        <v>1356.1</v>
      </c>
      <c r="D4365" s="2">
        <f>IFERROR(__xludf.DUMMYFUNCTION("""COMPUTED_VALUE"""),1288.84)</f>
        <v>1288.84</v>
      </c>
      <c r="E4365" s="2">
        <f>IFERROR(__xludf.DUMMYFUNCTION("""COMPUTED_VALUE"""),1303.74)</f>
        <v>1303.74</v>
      </c>
      <c r="F4365" s="2">
        <f>IFERROR(__xludf.DUMMYFUNCTION("""COMPUTED_VALUE"""),1.3486634E7)</f>
        <v>13486634</v>
      </c>
    </row>
    <row r="4366">
      <c r="A4366" s="3">
        <f>IFERROR(__xludf.DUMMYFUNCTION("""COMPUTED_VALUE"""),43893.64583333333)</f>
        <v>43893.64583</v>
      </c>
      <c r="B4366" s="2">
        <f>IFERROR(__xludf.DUMMYFUNCTION("""COMPUTED_VALUE"""),1317.17)</f>
        <v>1317.17</v>
      </c>
      <c r="C4366" s="2">
        <f>IFERROR(__xludf.DUMMYFUNCTION("""COMPUTED_VALUE"""),1341.14)</f>
        <v>1341.14</v>
      </c>
      <c r="D4366" s="2">
        <f>IFERROR(__xludf.DUMMYFUNCTION("""COMPUTED_VALUE"""),1309.54)</f>
        <v>1309.54</v>
      </c>
      <c r="E4366" s="2">
        <f>IFERROR(__xludf.DUMMYFUNCTION("""COMPUTED_VALUE"""),1330.19)</f>
        <v>1330.19</v>
      </c>
      <c r="F4366" s="2">
        <f>IFERROR(__xludf.DUMMYFUNCTION("""COMPUTED_VALUE"""),1.2525809E7)</f>
        <v>12525809</v>
      </c>
    </row>
    <row r="4367">
      <c r="A4367" s="3">
        <f>IFERROR(__xludf.DUMMYFUNCTION("""COMPUTED_VALUE"""),43894.64583333333)</f>
        <v>43894.64583</v>
      </c>
      <c r="B4367" s="2">
        <f>IFERROR(__xludf.DUMMYFUNCTION("""COMPUTED_VALUE"""),1339.26)</f>
        <v>1339.26</v>
      </c>
      <c r="C4367" s="2">
        <f>IFERROR(__xludf.DUMMYFUNCTION("""COMPUTED_VALUE"""),1341.04)</f>
        <v>1341.04</v>
      </c>
      <c r="D4367" s="2">
        <f>IFERROR(__xludf.DUMMYFUNCTION("""COMPUTED_VALUE"""),1295.57)</f>
        <v>1295.57</v>
      </c>
      <c r="E4367" s="2">
        <f>IFERROR(__xludf.DUMMYFUNCTION("""COMPUTED_VALUE"""),1327.07)</f>
        <v>1327.07</v>
      </c>
      <c r="F4367" s="2">
        <f>IFERROR(__xludf.DUMMYFUNCTION("""COMPUTED_VALUE"""),1.0105782E7)</f>
        <v>10105782</v>
      </c>
    </row>
    <row r="4368">
      <c r="A4368" s="3">
        <f>IFERROR(__xludf.DUMMYFUNCTION("""COMPUTED_VALUE"""),43895.64583333333)</f>
        <v>43895.64583</v>
      </c>
      <c r="B4368" s="2">
        <f>IFERROR(__xludf.DUMMYFUNCTION("""COMPUTED_VALUE"""),1339.45)</f>
        <v>1339.45</v>
      </c>
      <c r="C4368" s="2">
        <f>IFERROR(__xludf.DUMMYFUNCTION("""COMPUTED_VALUE"""),1345.15)</f>
        <v>1345.15</v>
      </c>
      <c r="D4368" s="2">
        <f>IFERROR(__xludf.DUMMYFUNCTION("""COMPUTED_VALUE"""),1293.69)</f>
        <v>1293.69</v>
      </c>
      <c r="E4368" s="2">
        <f>IFERROR(__xludf.DUMMYFUNCTION("""COMPUTED_VALUE"""),1298.79)</f>
        <v>1298.79</v>
      </c>
      <c r="F4368" s="2">
        <f>IFERROR(__xludf.DUMMYFUNCTION("""COMPUTED_VALUE"""),1.3948324E7)</f>
        <v>13948324</v>
      </c>
    </row>
    <row r="4369">
      <c r="A4369" s="3">
        <f>IFERROR(__xludf.DUMMYFUNCTION("""COMPUTED_VALUE"""),43896.64583333333)</f>
        <v>43896.64583</v>
      </c>
      <c r="B4369" s="2">
        <f>IFERROR(__xludf.DUMMYFUNCTION("""COMPUTED_VALUE"""),1258.03)</f>
        <v>1258.03</v>
      </c>
      <c r="C4369" s="2">
        <f>IFERROR(__xludf.DUMMYFUNCTION("""COMPUTED_VALUE"""),1276.01)</f>
        <v>1276.01</v>
      </c>
      <c r="D4369" s="2">
        <f>IFERROR(__xludf.DUMMYFUNCTION("""COMPUTED_VALUE"""),1229.4)</f>
        <v>1229.4</v>
      </c>
      <c r="E4369" s="2">
        <f>IFERROR(__xludf.DUMMYFUNCTION("""COMPUTED_VALUE"""),1259.02)</f>
        <v>1259.02</v>
      </c>
      <c r="F4369" s="2">
        <f>IFERROR(__xludf.DUMMYFUNCTION("""COMPUTED_VALUE"""),1.5422068E7)</f>
        <v>15422068</v>
      </c>
    </row>
    <row r="4370">
      <c r="A4370" s="3">
        <f>IFERROR(__xludf.DUMMYFUNCTION("""COMPUTED_VALUE"""),43899.64583333333)</f>
        <v>43899.64583</v>
      </c>
      <c r="B4370" s="2">
        <f>IFERROR(__xludf.DUMMYFUNCTION("""COMPUTED_VALUE"""),1228.36)</f>
        <v>1228.36</v>
      </c>
      <c r="C4370" s="2">
        <f>IFERROR(__xludf.DUMMYFUNCTION("""COMPUTED_VALUE"""),1229.3)</f>
        <v>1229.3</v>
      </c>
      <c r="D4370" s="2">
        <f>IFERROR(__xludf.DUMMYFUNCTION("""COMPUTED_VALUE"""),1084.68)</f>
        <v>1084.68</v>
      </c>
      <c r="E4370" s="2">
        <f>IFERROR(__xludf.DUMMYFUNCTION("""COMPUTED_VALUE"""),1103.65)</f>
        <v>1103.65</v>
      </c>
      <c r="F4370" s="2">
        <f>IFERROR(__xludf.DUMMYFUNCTION("""COMPUTED_VALUE"""),4.0317808E7)</f>
        <v>40317808</v>
      </c>
    </row>
    <row r="4371">
      <c r="A4371" s="3">
        <f>IFERROR(__xludf.DUMMYFUNCTION("""COMPUTED_VALUE"""),43901.64583333333)</f>
        <v>43901.64583</v>
      </c>
      <c r="B4371" s="2">
        <f>IFERROR(__xludf.DUMMYFUNCTION("""COMPUTED_VALUE"""),1097.56)</f>
        <v>1097.56</v>
      </c>
      <c r="C4371" s="2">
        <f>IFERROR(__xludf.DUMMYFUNCTION("""COMPUTED_VALUE"""),1167.34)</f>
        <v>1167.34</v>
      </c>
      <c r="D4371" s="2">
        <f>IFERROR(__xludf.DUMMYFUNCTION("""COMPUTED_VALUE"""),1097.56)</f>
        <v>1097.56</v>
      </c>
      <c r="E4371" s="2">
        <f>IFERROR(__xludf.DUMMYFUNCTION("""COMPUTED_VALUE"""),1142.68)</f>
        <v>1142.68</v>
      </c>
      <c r="F4371" s="2">
        <f>IFERROR(__xludf.DUMMYFUNCTION("""COMPUTED_VALUE"""),2.7237627E7)</f>
        <v>27237627</v>
      </c>
    </row>
    <row r="4372">
      <c r="A4372" s="3">
        <f>IFERROR(__xludf.DUMMYFUNCTION("""COMPUTED_VALUE"""),43902.64583333333)</f>
        <v>43902.64583</v>
      </c>
      <c r="B4372" s="2">
        <f>IFERROR(__xludf.DUMMYFUNCTION("""COMPUTED_VALUE"""),1074.77)</f>
        <v>1074.77</v>
      </c>
      <c r="C4372" s="2">
        <f>IFERROR(__xludf.DUMMYFUNCTION("""COMPUTED_VALUE"""),1090.62)</f>
        <v>1090.62</v>
      </c>
      <c r="D4372" s="2">
        <f>IFERROR(__xludf.DUMMYFUNCTION("""COMPUTED_VALUE"""),1038.81)</f>
        <v>1038.81</v>
      </c>
      <c r="E4372" s="2">
        <f>IFERROR(__xludf.DUMMYFUNCTION("""COMPUTED_VALUE"""),1052.98)</f>
        <v>1052.98</v>
      </c>
      <c r="F4372" s="2">
        <f>IFERROR(__xludf.DUMMYFUNCTION("""COMPUTED_VALUE"""),2.558817E7)</f>
        <v>25588170</v>
      </c>
    </row>
    <row r="4373">
      <c r="A4373" s="3">
        <f>IFERROR(__xludf.DUMMYFUNCTION("""COMPUTED_VALUE"""),43903.64583333333)</f>
        <v>43903.64583</v>
      </c>
      <c r="B4373" s="2">
        <f>IFERROR(__xludf.DUMMYFUNCTION("""COMPUTED_VALUE"""),988.59)</f>
        <v>988.59</v>
      </c>
      <c r="C4373" s="2">
        <f>IFERROR(__xludf.DUMMYFUNCTION("""COMPUTED_VALUE"""),1129.25)</f>
        <v>1129.25</v>
      </c>
      <c r="D4373" s="2">
        <f>IFERROR(__xludf.DUMMYFUNCTION("""COMPUTED_VALUE"""),933.52)</f>
        <v>933.52</v>
      </c>
      <c r="E4373" s="2">
        <f>IFERROR(__xludf.DUMMYFUNCTION("""COMPUTED_VALUE"""),1094.88)</f>
        <v>1094.88</v>
      </c>
      <c r="F4373" s="2">
        <f>IFERROR(__xludf.DUMMYFUNCTION("""COMPUTED_VALUE"""),3.3509757E7)</f>
        <v>33509757</v>
      </c>
    </row>
    <row r="4374">
      <c r="A4374" s="3">
        <f>IFERROR(__xludf.DUMMYFUNCTION("""COMPUTED_VALUE"""),43906.64583333333)</f>
        <v>43906.64583</v>
      </c>
      <c r="B4374" s="2">
        <f>IFERROR(__xludf.DUMMYFUNCTION("""COMPUTED_VALUE"""),1050.55)</f>
        <v>1050.55</v>
      </c>
      <c r="C4374" s="2">
        <f>IFERROR(__xludf.DUMMYFUNCTION("""COMPUTED_VALUE"""),1069.52)</f>
        <v>1069.52</v>
      </c>
      <c r="D4374" s="2">
        <f>IFERROR(__xludf.DUMMYFUNCTION("""COMPUTED_VALUE"""),995.53)</f>
        <v>995.53</v>
      </c>
      <c r="E4374" s="2">
        <f>IFERROR(__xludf.DUMMYFUNCTION("""COMPUTED_VALUE"""),1006.13)</f>
        <v>1006.13</v>
      </c>
      <c r="F4374" s="2">
        <f>IFERROR(__xludf.DUMMYFUNCTION("""COMPUTED_VALUE"""),1.7594729E7)</f>
        <v>17594729</v>
      </c>
    </row>
    <row r="4375">
      <c r="A4375" s="3">
        <f>IFERROR(__xludf.DUMMYFUNCTION("""COMPUTED_VALUE"""),43907.64583333333)</f>
        <v>43907.64583</v>
      </c>
      <c r="B4375" s="2">
        <f>IFERROR(__xludf.DUMMYFUNCTION("""COMPUTED_VALUE"""),1037.38)</f>
        <v>1037.38</v>
      </c>
      <c r="C4375" s="2">
        <f>IFERROR(__xludf.DUMMYFUNCTION("""COMPUTED_VALUE"""),1050.01)</f>
        <v>1050.01</v>
      </c>
      <c r="D4375" s="2">
        <f>IFERROR(__xludf.DUMMYFUNCTION("""COMPUTED_VALUE"""),993.74)</f>
        <v>993.74</v>
      </c>
      <c r="E4375" s="2">
        <f>IFERROR(__xludf.DUMMYFUNCTION("""COMPUTED_VALUE"""),998.5)</f>
        <v>998.5</v>
      </c>
      <c r="F4375" s="2">
        <f>IFERROR(__xludf.DUMMYFUNCTION("""COMPUTED_VALUE"""),2.0777442E7)</f>
        <v>20777442</v>
      </c>
    </row>
    <row r="4376">
      <c r="A4376" s="3">
        <f>IFERROR(__xludf.DUMMYFUNCTION("""COMPUTED_VALUE"""),43908.64583333333)</f>
        <v>43908.64583</v>
      </c>
      <c r="B4376" s="2">
        <f>IFERROR(__xludf.DUMMYFUNCTION("""COMPUTED_VALUE"""),1015.64)</f>
        <v>1015.64</v>
      </c>
      <c r="C4376" s="2">
        <f>IFERROR(__xludf.DUMMYFUNCTION("""COMPUTED_VALUE"""),1026.14)</f>
        <v>1026.14</v>
      </c>
      <c r="D4376" s="2">
        <f>IFERROR(__xludf.DUMMYFUNCTION("""COMPUTED_VALUE"""),951.94)</f>
        <v>951.94</v>
      </c>
      <c r="E4376" s="2">
        <f>IFERROR(__xludf.DUMMYFUNCTION("""COMPUTED_VALUE"""),959.37)</f>
        <v>959.37</v>
      </c>
      <c r="F4376" s="2">
        <f>IFERROR(__xludf.DUMMYFUNCTION("""COMPUTED_VALUE"""),2.0450497E7)</f>
        <v>20450497</v>
      </c>
    </row>
    <row r="4377">
      <c r="A4377" s="3">
        <f>IFERROR(__xludf.DUMMYFUNCTION("""COMPUTED_VALUE"""),43909.64583333333)</f>
        <v>43909.64583</v>
      </c>
      <c r="B4377" s="2">
        <f>IFERROR(__xludf.DUMMYFUNCTION("""COMPUTED_VALUE"""),911.43)</f>
        <v>911.43</v>
      </c>
      <c r="C4377" s="2">
        <f>IFERROR(__xludf.DUMMYFUNCTION("""COMPUTED_VALUE"""),957.88)</f>
        <v>957.88</v>
      </c>
      <c r="D4377" s="2">
        <f>IFERROR(__xludf.DUMMYFUNCTION("""COMPUTED_VALUE"""),883.79)</f>
        <v>883.79</v>
      </c>
      <c r="E4377" s="2">
        <f>IFERROR(__xludf.DUMMYFUNCTION("""COMPUTED_VALUE"""),909.05)</f>
        <v>909.05</v>
      </c>
      <c r="F4377" s="2">
        <f>IFERROR(__xludf.DUMMYFUNCTION("""COMPUTED_VALUE"""),2.8072062E7)</f>
        <v>28072062</v>
      </c>
    </row>
    <row r="4378">
      <c r="A4378" s="3">
        <f>IFERROR(__xludf.DUMMYFUNCTION("""COMPUTED_VALUE"""),43910.64583333333)</f>
        <v>43910.64583</v>
      </c>
      <c r="B4378" s="2">
        <f>IFERROR(__xludf.DUMMYFUNCTION("""COMPUTED_VALUE"""),930.64)</f>
        <v>930.64</v>
      </c>
      <c r="C4378" s="2">
        <f>IFERROR(__xludf.DUMMYFUNCTION("""COMPUTED_VALUE"""),1025.14)</f>
        <v>1025.14</v>
      </c>
      <c r="D4378" s="2">
        <f>IFERROR(__xludf.DUMMYFUNCTION("""COMPUTED_VALUE"""),921.23)</f>
        <v>921.23</v>
      </c>
      <c r="E4378" s="2">
        <f>IFERROR(__xludf.DUMMYFUNCTION("""COMPUTED_VALUE"""),1008.35)</f>
        <v>1008.35</v>
      </c>
      <c r="F4378" s="2">
        <f>IFERROR(__xludf.DUMMYFUNCTION("""COMPUTED_VALUE"""),2.8967526E7)</f>
        <v>28967526</v>
      </c>
    </row>
    <row r="4379">
      <c r="A4379" s="3">
        <f>IFERROR(__xludf.DUMMYFUNCTION("""COMPUTED_VALUE"""),43913.64583333333)</f>
        <v>43913.64583</v>
      </c>
      <c r="B4379" s="2">
        <f>IFERROR(__xludf.DUMMYFUNCTION("""COMPUTED_VALUE"""),907.56)</f>
        <v>907.56</v>
      </c>
      <c r="C4379" s="2">
        <f>IFERROR(__xludf.DUMMYFUNCTION("""COMPUTED_VALUE"""),941.05)</f>
        <v>941.05</v>
      </c>
      <c r="D4379" s="2">
        <f>IFERROR(__xludf.DUMMYFUNCTION("""COMPUTED_VALUE"""),867.4)</f>
        <v>867.4</v>
      </c>
      <c r="E4379" s="2">
        <f>IFERROR(__xludf.DUMMYFUNCTION("""COMPUTED_VALUE"""),875.72)</f>
        <v>875.72</v>
      </c>
      <c r="F4379" s="2">
        <f>IFERROR(__xludf.DUMMYFUNCTION("""COMPUTED_VALUE"""),1.8593713E7)</f>
        <v>18593713</v>
      </c>
    </row>
    <row r="4380">
      <c r="A4380" s="3">
        <f>IFERROR(__xludf.DUMMYFUNCTION("""COMPUTED_VALUE"""),43914.64583333333)</f>
        <v>43914.64583</v>
      </c>
      <c r="B4380" s="2">
        <f>IFERROR(__xludf.DUMMYFUNCTION("""COMPUTED_VALUE"""),921.23)</f>
        <v>921.23</v>
      </c>
      <c r="C4380" s="2">
        <f>IFERROR(__xludf.DUMMYFUNCTION("""COMPUTED_VALUE"""),960.86)</f>
        <v>960.86</v>
      </c>
      <c r="D4380" s="2">
        <f>IFERROR(__xludf.DUMMYFUNCTION("""COMPUTED_VALUE"""),887.36)</f>
        <v>887.36</v>
      </c>
      <c r="E4380" s="2">
        <f>IFERROR(__xludf.DUMMYFUNCTION("""COMPUTED_VALUE"""),934.51)</f>
        <v>934.51</v>
      </c>
      <c r="F4380" s="2">
        <f>IFERROR(__xludf.DUMMYFUNCTION("""COMPUTED_VALUE"""),2.0919322E7)</f>
        <v>20919322</v>
      </c>
    </row>
    <row r="4381">
      <c r="A4381" s="3">
        <f>IFERROR(__xludf.DUMMYFUNCTION("""COMPUTED_VALUE"""),43915.64583333333)</f>
        <v>43915.64583</v>
      </c>
      <c r="B4381" s="2">
        <f>IFERROR(__xludf.DUMMYFUNCTION("""COMPUTED_VALUE"""),954.72)</f>
        <v>954.72</v>
      </c>
      <c r="C4381" s="2">
        <f>IFERROR(__xludf.DUMMYFUNCTION("""COMPUTED_VALUE"""),1140.7)</f>
        <v>1140.7</v>
      </c>
      <c r="D4381" s="2">
        <f>IFERROR(__xludf.DUMMYFUNCTION("""COMPUTED_VALUE"""),954.17)</f>
        <v>954.17</v>
      </c>
      <c r="E4381" s="2">
        <f>IFERROR(__xludf.DUMMYFUNCTION("""COMPUTED_VALUE"""),1072.05)</f>
        <v>1072.05</v>
      </c>
      <c r="F4381" s="2">
        <f>IFERROR(__xludf.DUMMYFUNCTION("""COMPUTED_VALUE"""),3.3433126E7)</f>
        <v>33433126</v>
      </c>
    </row>
    <row r="4382">
      <c r="A4382" s="3">
        <f>IFERROR(__xludf.DUMMYFUNCTION("""COMPUTED_VALUE"""),43916.64583333333)</f>
        <v>43916.64583</v>
      </c>
      <c r="B4382" s="2">
        <f>IFERROR(__xludf.DUMMYFUNCTION("""COMPUTED_VALUE"""),1085.47)</f>
        <v>1085.47</v>
      </c>
      <c r="C4382" s="2">
        <f>IFERROR(__xludf.DUMMYFUNCTION("""COMPUTED_VALUE"""),1106.37)</f>
        <v>1106.37</v>
      </c>
      <c r="D4382" s="2">
        <f>IFERROR(__xludf.DUMMYFUNCTION("""COMPUTED_VALUE"""),1032.52)</f>
        <v>1032.52</v>
      </c>
      <c r="E4382" s="2">
        <f>IFERROR(__xludf.DUMMYFUNCTION("""COMPUTED_VALUE"""),1056.15)</f>
        <v>1056.15</v>
      </c>
      <c r="F4382" s="2">
        <f>IFERROR(__xludf.DUMMYFUNCTION("""COMPUTED_VALUE"""),2.0912934E7)</f>
        <v>20912934</v>
      </c>
    </row>
    <row r="4383">
      <c r="A4383" s="3">
        <f>IFERROR(__xludf.DUMMYFUNCTION("""COMPUTED_VALUE"""),43917.64583333333)</f>
        <v>43917.64583</v>
      </c>
      <c r="B4383" s="2">
        <f>IFERROR(__xludf.DUMMYFUNCTION("""COMPUTED_VALUE"""),1084.68)</f>
        <v>1084.68</v>
      </c>
      <c r="C4383" s="2">
        <f>IFERROR(__xludf.DUMMYFUNCTION("""COMPUTED_VALUE"""),1096.86)</f>
        <v>1096.86</v>
      </c>
      <c r="D4383" s="2">
        <f>IFERROR(__xludf.DUMMYFUNCTION("""COMPUTED_VALUE"""),1036.34)</f>
        <v>1036.34</v>
      </c>
      <c r="E4383" s="2">
        <f>IFERROR(__xludf.DUMMYFUNCTION("""COMPUTED_VALUE"""),1055.56)</f>
        <v>1055.56</v>
      </c>
      <c r="F4383" s="2">
        <f>IFERROR(__xludf.DUMMYFUNCTION("""COMPUTED_VALUE"""),1.9044644E7)</f>
        <v>19044644</v>
      </c>
    </row>
    <row r="4384">
      <c r="A4384" s="3">
        <f>IFERROR(__xludf.DUMMYFUNCTION("""COMPUTED_VALUE"""),43920.64583333333)</f>
        <v>43920.64583</v>
      </c>
      <c r="B4384" s="2">
        <f>IFERROR(__xludf.DUMMYFUNCTION("""COMPUTED_VALUE"""),1030.79)</f>
        <v>1030.79</v>
      </c>
      <c r="C4384" s="2">
        <f>IFERROR(__xludf.DUMMYFUNCTION("""COMPUTED_VALUE"""),1064.67)</f>
        <v>1064.67</v>
      </c>
      <c r="D4384" s="2">
        <f>IFERROR(__xludf.DUMMYFUNCTION("""COMPUTED_VALUE"""),1010.39)</f>
        <v>1010.39</v>
      </c>
      <c r="E4384" s="2">
        <f>IFERROR(__xludf.DUMMYFUNCTION("""COMPUTED_VALUE"""),1020.74)</f>
        <v>1020.74</v>
      </c>
      <c r="F4384" s="2">
        <f>IFERROR(__xludf.DUMMYFUNCTION("""COMPUTED_VALUE"""),1.3820286E7)</f>
        <v>13820286</v>
      </c>
    </row>
    <row r="4385">
      <c r="A4385" s="3">
        <f>IFERROR(__xludf.DUMMYFUNCTION("""COMPUTED_VALUE"""),43921.64583333333)</f>
        <v>43921.64583</v>
      </c>
      <c r="B4385" s="2">
        <f>IFERROR(__xludf.DUMMYFUNCTION("""COMPUTED_VALUE"""),1063.83)</f>
        <v>1063.83</v>
      </c>
      <c r="C4385" s="2">
        <f>IFERROR(__xludf.DUMMYFUNCTION("""COMPUTED_VALUE"""),1119.15)</f>
        <v>1119.15</v>
      </c>
      <c r="D4385" s="2">
        <f>IFERROR(__xludf.DUMMYFUNCTION("""COMPUTED_VALUE"""),1038.12)</f>
        <v>1038.12</v>
      </c>
      <c r="E4385" s="2">
        <f>IFERROR(__xludf.DUMMYFUNCTION("""COMPUTED_VALUE"""),1103.25)</f>
        <v>1103.25</v>
      </c>
      <c r="F4385" s="2">
        <f>IFERROR(__xludf.DUMMYFUNCTION("""COMPUTED_VALUE"""),2.0249909E7)</f>
        <v>20249909</v>
      </c>
    </row>
    <row r="4386">
      <c r="A4386" s="3">
        <f>IFERROR(__xludf.DUMMYFUNCTION("""COMPUTED_VALUE"""),43922.64583333333)</f>
        <v>43922.64583</v>
      </c>
      <c r="B4386" s="2">
        <f>IFERROR(__xludf.DUMMYFUNCTION("""COMPUTED_VALUE"""),1111.67)</f>
        <v>1111.67</v>
      </c>
      <c r="C4386" s="2">
        <f>IFERROR(__xludf.DUMMYFUNCTION("""COMPUTED_VALUE"""),1114.0)</f>
        <v>1114</v>
      </c>
      <c r="D4386" s="2">
        <f>IFERROR(__xludf.DUMMYFUNCTION("""COMPUTED_VALUE"""),1035.35)</f>
        <v>1035.35</v>
      </c>
      <c r="E4386" s="2">
        <f>IFERROR(__xludf.DUMMYFUNCTION("""COMPUTED_VALUE"""),1070.27)</f>
        <v>1070.27</v>
      </c>
      <c r="F4386" s="2">
        <f>IFERROR(__xludf.DUMMYFUNCTION("""COMPUTED_VALUE"""),1.9017099E7)</f>
        <v>19017099</v>
      </c>
    </row>
    <row r="4387">
      <c r="A4387" s="3">
        <f>IFERROR(__xludf.DUMMYFUNCTION("""COMPUTED_VALUE"""),43924.64583333333)</f>
        <v>43924.64583</v>
      </c>
      <c r="B4387" s="2">
        <f>IFERROR(__xludf.DUMMYFUNCTION("""COMPUTED_VALUE"""),1123.76)</f>
        <v>1123.76</v>
      </c>
      <c r="C4387" s="2">
        <f>IFERROR(__xludf.DUMMYFUNCTION("""COMPUTED_VALUE"""),1123.76)</f>
        <v>1123.76</v>
      </c>
      <c r="D4387" s="2">
        <f>IFERROR(__xludf.DUMMYFUNCTION("""COMPUTED_VALUE"""),1046.34)</f>
        <v>1046.34</v>
      </c>
      <c r="E4387" s="2">
        <f>IFERROR(__xludf.DUMMYFUNCTION("""COMPUTED_VALUE"""),1067.29)</f>
        <v>1067.29</v>
      </c>
      <c r="F4387" s="2">
        <f>IFERROR(__xludf.DUMMYFUNCTION("""COMPUTED_VALUE"""),1.8912044E7)</f>
        <v>18912044</v>
      </c>
    </row>
    <row r="4388">
      <c r="A4388" s="3">
        <f>IFERROR(__xludf.DUMMYFUNCTION("""COMPUTED_VALUE"""),43928.64583333333)</f>
        <v>43928.64583</v>
      </c>
      <c r="B4388" s="2">
        <f>IFERROR(__xludf.DUMMYFUNCTION("""COMPUTED_VALUE"""),1091.71)</f>
        <v>1091.71</v>
      </c>
      <c r="C4388" s="2">
        <f>IFERROR(__xludf.DUMMYFUNCTION("""COMPUTED_VALUE"""),1202.56)</f>
        <v>1202.56</v>
      </c>
      <c r="D4388" s="2">
        <f>IFERROR(__xludf.DUMMYFUNCTION("""COMPUTED_VALUE"""),1089.63)</f>
        <v>1089.63</v>
      </c>
      <c r="E4388" s="2">
        <f>IFERROR(__xludf.DUMMYFUNCTION("""COMPUTED_VALUE"""),1194.73)</f>
        <v>1194.73</v>
      </c>
      <c r="F4388" s="2">
        <f>IFERROR(__xludf.DUMMYFUNCTION("""COMPUTED_VALUE"""),2.4859057E7)</f>
        <v>24859057</v>
      </c>
    </row>
    <row r="4389">
      <c r="A4389" s="3">
        <f>IFERROR(__xludf.DUMMYFUNCTION("""COMPUTED_VALUE"""),43929.64583333333)</f>
        <v>43929.64583</v>
      </c>
      <c r="B4389" s="2">
        <f>IFERROR(__xludf.DUMMYFUNCTION("""COMPUTED_VALUE"""),1168.88)</f>
        <v>1168.88</v>
      </c>
      <c r="C4389" s="2">
        <f>IFERROR(__xludf.DUMMYFUNCTION("""COMPUTED_VALUE"""),1217.42)</f>
        <v>1217.42</v>
      </c>
      <c r="D4389" s="2">
        <f>IFERROR(__xludf.DUMMYFUNCTION("""COMPUTED_VALUE"""),1149.07)</f>
        <v>1149.07</v>
      </c>
      <c r="E4389" s="2">
        <f>IFERROR(__xludf.DUMMYFUNCTION("""COMPUTED_VALUE"""),1180.91)</f>
        <v>1180.91</v>
      </c>
      <c r="F4389" s="2">
        <f>IFERROR(__xludf.DUMMYFUNCTION("""COMPUTED_VALUE"""),2.2803774E7)</f>
        <v>22803774</v>
      </c>
    </row>
    <row r="4390">
      <c r="A4390" s="3">
        <f>IFERROR(__xludf.DUMMYFUNCTION("""COMPUTED_VALUE"""),43930.64583333333)</f>
        <v>43930.64583</v>
      </c>
      <c r="B4390" s="2">
        <f>IFERROR(__xludf.DUMMYFUNCTION("""COMPUTED_VALUE"""),1202.56)</f>
        <v>1202.56</v>
      </c>
      <c r="C4390" s="2">
        <f>IFERROR(__xludf.DUMMYFUNCTION("""COMPUTED_VALUE"""),1221.18)</f>
        <v>1221.18</v>
      </c>
      <c r="D4390" s="2">
        <f>IFERROR(__xludf.DUMMYFUNCTION("""COMPUTED_VALUE"""),1181.75)</f>
        <v>1181.75</v>
      </c>
      <c r="E4390" s="2">
        <f>IFERROR(__xludf.DUMMYFUNCTION("""COMPUTED_VALUE"""),1208.45)</f>
        <v>1208.45</v>
      </c>
      <c r="F4390" s="2">
        <f>IFERROR(__xludf.DUMMYFUNCTION("""COMPUTED_VALUE"""),1.5101711E7)</f>
        <v>15101711</v>
      </c>
    </row>
    <row r="4391">
      <c r="A4391" s="3">
        <f>IFERROR(__xludf.DUMMYFUNCTION("""COMPUTED_VALUE"""),43934.64583333333)</f>
        <v>43934.64583</v>
      </c>
      <c r="B4391" s="2">
        <f>IFERROR(__xludf.DUMMYFUNCTION("""COMPUTED_VALUE"""),1192.6)</f>
        <v>1192.6</v>
      </c>
      <c r="C4391" s="2">
        <f>IFERROR(__xludf.DUMMYFUNCTION("""COMPUTED_VALUE"""),1203.55)</f>
        <v>1203.55</v>
      </c>
      <c r="D4391" s="2">
        <f>IFERROR(__xludf.DUMMYFUNCTION("""COMPUTED_VALUE"""),1168.88)</f>
        <v>1168.88</v>
      </c>
      <c r="E4391" s="2">
        <f>IFERROR(__xludf.DUMMYFUNCTION("""COMPUTED_VALUE"""),1177.94)</f>
        <v>1177.94</v>
      </c>
      <c r="F4391" s="2">
        <f>IFERROR(__xludf.DUMMYFUNCTION("""COMPUTED_VALUE"""),1.0822871E7)</f>
        <v>10822871</v>
      </c>
    </row>
    <row r="4392">
      <c r="A4392" s="3">
        <f>IFERROR(__xludf.DUMMYFUNCTION("""COMPUTED_VALUE"""),43936.64583333333)</f>
        <v>43936.64583</v>
      </c>
      <c r="B4392" s="2">
        <f>IFERROR(__xludf.DUMMYFUNCTION("""COMPUTED_VALUE"""),1185.77)</f>
        <v>1185.77</v>
      </c>
      <c r="C4392" s="2">
        <f>IFERROR(__xludf.DUMMYFUNCTION("""COMPUTED_VALUE"""),1224.35)</f>
        <v>1224.35</v>
      </c>
      <c r="D4392" s="2">
        <f>IFERROR(__xludf.DUMMYFUNCTION("""COMPUTED_VALUE"""),1132.23)</f>
        <v>1132.23</v>
      </c>
      <c r="E4392" s="2">
        <f>IFERROR(__xludf.DUMMYFUNCTION("""COMPUTED_VALUE"""),1139.01)</f>
        <v>1139.01</v>
      </c>
      <c r="F4392" s="2">
        <f>IFERROR(__xludf.DUMMYFUNCTION("""COMPUTED_VALUE"""),1.6147959E7)</f>
        <v>16147959</v>
      </c>
    </row>
    <row r="4393">
      <c r="A4393" s="3">
        <f>IFERROR(__xludf.DUMMYFUNCTION("""COMPUTED_VALUE"""),43937.64583333333)</f>
        <v>43937.64583</v>
      </c>
      <c r="B4393" s="2">
        <f>IFERROR(__xludf.DUMMYFUNCTION("""COMPUTED_VALUE"""),1139.01)</f>
        <v>1139.01</v>
      </c>
      <c r="C4393" s="2">
        <f>IFERROR(__xludf.DUMMYFUNCTION("""COMPUTED_VALUE"""),1176.26)</f>
        <v>1176.26</v>
      </c>
      <c r="D4393" s="2">
        <f>IFERROR(__xludf.DUMMYFUNCTION("""COMPUTED_VALUE"""),1134.21)</f>
        <v>1134.21</v>
      </c>
      <c r="E4393" s="2">
        <f>IFERROR(__xludf.DUMMYFUNCTION("""COMPUTED_VALUE"""),1157.04)</f>
        <v>1157.04</v>
      </c>
      <c r="F4393" s="2">
        <f>IFERROR(__xludf.DUMMYFUNCTION("""COMPUTED_VALUE"""),1.7123533E7)</f>
        <v>17123533</v>
      </c>
    </row>
    <row r="4394">
      <c r="A4394" s="3">
        <f>IFERROR(__xludf.DUMMYFUNCTION("""COMPUTED_VALUE"""),43938.64583333333)</f>
        <v>43938.64583</v>
      </c>
      <c r="B4394" s="2">
        <f>IFERROR(__xludf.DUMMYFUNCTION("""COMPUTED_VALUE"""),1204.54)</f>
        <v>1204.54</v>
      </c>
      <c r="C4394" s="2">
        <f>IFERROR(__xludf.DUMMYFUNCTION("""COMPUTED_VALUE"""),1218.41)</f>
        <v>1218.41</v>
      </c>
      <c r="D4394" s="2">
        <f>IFERROR(__xludf.DUMMYFUNCTION("""COMPUTED_VALUE"""),1181.41)</f>
        <v>1181.41</v>
      </c>
      <c r="E4394" s="2">
        <f>IFERROR(__xludf.DUMMYFUNCTION("""COMPUTED_VALUE"""),1212.46)</f>
        <v>1212.46</v>
      </c>
      <c r="F4394" s="2">
        <f>IFERROR(__xludf.DUMMYFUNCTION("""COMPUTED_VALUE"""),1.5209707E7)</f>
        <v>15209707</v>
      </c>
    </row>
    <row r="4395">
      <c r="A4395" s="3">
        <f>IFERROR(__xludf.DUMMYFUNCTION("""COMPUTED_VALUE"""),43941.64583333333)</f>
        <v>43941.64583</v>
      </c>
      <c r="B4395" s="2">
        <f>IFERROR(__xludf.DUMMYFUNCTION("""COMPUTED_VALUE"""),1214.44)</f>
        <v>1214.44</v>
      </c>
      <c r="C4395" s="2">
        <f>IFERROR(__xludf.DUMMYFUNCTION("""COMPUTED_VALUE"""),1245.15)</f>
        <v>1245.15</v>
      </c>
      <c r="D4395" s="2">
        <f>IFERROR(__xludf.DUMMYFUNCTION("""COMPUTED_VALUE"""),1190.67)</f>
        <v>1190.67</v>
      </c>
      <c r="E4395" s="2">
        <f>IFERROR(__xludf.DUMMYFUNCTION("""COMPUTED_VALUE"""),1232.08)</f>
        <v>1232.08</v>
      </c>
      <c r="F4395" s="2">
        <f>IFERROR(__xludf.DUMMYFUNCTION("""COMPUTED_VALUE"""),1.6472339E7)</f>
        <v>16472339</v>
      </c>
    </row>
    <row r="4396">
      <c r="A4396" s="3">
        <f>IFERROR(__xludf.DUMMYFUNCTION("""COMPUTED_VALUE"""),43942.64583333333)</f>
        <v>43942.64583</v>
      </c>
      <c r="B4396" s="2">
        <f>IFERROR(__xludf.DUMMYFUNCTION("""COMPUTED_VALUE"""),1198.59)</f>
        <v>1198.59</v>
      </c>
      <c r="C4396" s="2">
        <f>IFERROR(__xludf.DUMMYFUNCTION("""COMPUTED_VALUE"""),1240.2)</f>
        <v>1240.2</v>
      </c>
      <c r="D4396" s="2">
        <f>IFERROR(__xludf.DUMMYFUNCTION("""COMPUTED_VALUE"""),1153.03)</f>
        <v>1153.03</v>
      </c>
      <c r="E4396" s="2">
        <f>IFERROR(__xludf.DUMMYFUNCTION("""COMPUTED_VALUE"""),1225.69)</f>
        <v>1225.69</v>
      </c>
      <c r="F4396" s="2">
        <f>IFERROR(__xludf.DUMMYFUNCTION("""COMPUTED_VALUE"""),2.8057706E7)</f>
        <v>28057706</v>
      </c>
    </row>
    <row r="4397">
      <c r="A4397" s="3">
        <f>IFERROR(__xludf.DUMMYFUNCTION("""COMPUTED_VALUE"""),43943.64583333333)</f>
        <v>43943.64583</v>
      </c>
      <c r="B4397" s="2">
        <f>IFERROR(__xludf.DUMMYFUNCTION("""COMPUTED_VALUE"""),1307.56)</f>
        <v>1307.56</v>
      </c>
      <c r="C4397" s="2">
        <f>IFERROR(__xludf.DUMMYFUNCTION("""COMPUTED_VALUE"""),1371.85)</f>
        <v>1371.85</v>
      </c>
      <c r="D4397" s="2">
        <f>IFERROR(__xludf.DUMMYFUNCTION("""COMPUTED_VALUE"""),1287.75)</f>
        <v>1287.75</v>
      </c>
      <c r="E4397" s="2">
        <f>IFERROR(__xludf.DUMMYFUNCTION("""COMPUTED_VALUE"""),1350.75)</f>
        <v>1350.75</v>
      </c>
      <c r="F4397" s="2">
        <f>IFERROR(__xludf.DUMMYFUNCTION("""COMPUTED_VALUE"""),6.5230894E7)</f>
        <v>65230894</v>
      </c>
    </row>
    <row r="4398">
      <c r="A4398" s="3">
        <f>IFERROR(__xludf.DUMMYFUNCTION("""COMPUTED_VALUE"""),43944.64583333333)</f>
        <v>43944.64583</v>
      </c>
      <c r="B4398" s="2">
        <f>IFERROR(__xludf.DUMMYFUNCTION("""COMPUTED_VALUE"""),1354.46)</f>
        <v>1354.46</v>
      </c>
      <c r="C4398" s="2">
        <f>IFERROR(__xludf.DUMMYFUNCTION("""COMPUTED_VALUE"""),1372.79)</f>
        <v>1372.79</v>
      </c>
      <c r="D4398" s="2">
        <f>IFERROR(__xludf.DUMMYFUNCTION("""COMPUTED_VALUE"""),1340.54)</f>
        <v>1340.54</v>
      </c>
      <c r="E4398" s="2">
        <f>IFERROR(__xludf.DUMMYFUNCTION("""COMPUTED_VALUE"""),1357.98)</f>
        <v>1357.98</v>
      </c>
      <c r="F4398" s="2">
        <f>IFERROR(__xludf.DUMMYFUNCTION("""COMPUTED_VALUE"""),2.9928331E7)</f>
        <v>29928331</v>
      </c>
    </row>
    <row r="4399">
      <c r="A4399" s="3">
        <f>IFERROR(__xludf.DUMMYFUNCTION("""COMPUTED_VALUE"""),43945.64583333333)</f>
        <v>43945.64583</v>
      </c>
      <c r="B4399" s="2">
        <f>IFERROR(__xludf.DUMMYFUNCTION("""COMPUTED_VALUE"""),1337.42)</f>
        <v>1337.42</v>
      </c>
      <c r="C4399" s="2">
        <f>IFERROR(__xludf.DUMMYFUNCTION("""COMPUTED_VALUE"""),1480.86)</f>
        <v>1480.86</v>
      </c>
      <c r="D4399" s="2">
        <f>IFERROR(__xludf.DUMMYFUNCTION("""COMPUTED_VALUE"""),1334.5)</f>
        <v>1334.5</v>
      </c>
      <c r="E4399" s="2">
        <f>IFERROR(__xludf.DUMMYFUNCTION("""COMPUTED_VALUE"""),1403.64)</f>
        <v>1403.64</v>
      </c>
      <c r="F4399" s="2">
        <f>IFERROR(__xludf.DUMMYFUNCTION("""COMPUTED_VALUE"""),6.1711388E7)</f>
        <v>61711388</v>
      </c>
    </row>
    <row r="4400">
      <c r="A4400" s="3">
        <f>IFERROR(__xludf.DUMMYFUNCTION("""COMPUTED_VALUE"""),43948.64583333333)</f>
        <v>43948.64583</v>
      </c>
      <c r="B4400" s="2">
        <f>IFERROR(__xludf.DUMMYFUNCTION("""COMPUTED_VALUE"""),1420.48)</f>
        <v>1420.48</v>
      </c>
      <c r="C4400" s="2">
        <f>IFERROR(__xludf.DUMMYFUNCTION("""COMPUTED_VALUE"""),1461.1)</f>
        <v>1461.1</v>
      </c>
      <c r="D4400" s="2">
        <f>IFERROR(__xludf.DUMMYFUNCTION("""COMPUTED_VALUE"""),1409.59)</f>
        <v>1409.59</v>
      </c>
      <c r="E4400" s="2">
        <f>IFERROR(__xludf.DUMMYFUNCTION("""COMPUTED_VALUE"""),1416.27)</f>
        <v>1416.27</v>
      </c>
      <c r="F4400" s="2">
        <f>IFERROR(__xludf.DUMMYFUNCTION("""COMPUTED_VALUE"""),2.6736512E7)</f>
        <v>26736512</v>
      </c>
    </row>
    <row r="4401">
      <c r="A4401" s="3">
        <f>IFERROR(__xludf.DUMMYFUNCTION("""COMPUTED_VALUE"""),43949.64583333333)</f>
        <v>43949.64583</v>
      </c>
      <c r="B4401" s="2">
        <f>IFERROR(__xludf.DUMMYFUNCTION("""COMPUTED_VALUE"""),1436.33)</f>
        <v>1436.33</v>
      </c>
      <c r="C4401" s="2">
        <f>IFERROR(__xludf.DUMMYFUNCTION("""COMPUTED_VALUE"""),1441.73)</f>
        <v>1441.73</v>
      </c>
      <c r="D4401" s="2">
        <f>IFERROR(__xludf.DUMMYFUNCTION("""COMPUTED_VALUE"""),1379.03)</f>
        <v>1379.03</v>
      </c>
      <c r="E4401" s="2">
        <f>IFERROR(__xludf.DUMMYFUNCTION("""COMPUTED_VALUE"""),1414.69)</f>
        <v>1414.69</v>
      </c>
      <c r="F4401" s="2">
        <f>IFERROR(__xludf.DUMMYFUNCTION("""COMPUTED_VALUE"""),3.5866381E7)</f>
        <v>35866381</v>
      </c>
    </row>
    <row r="4402">
      <c r="A4402" s="3">
        <f>IFERROR(__xludf.DUMMYFUNCTION("""COMPUTED_VALUE"""),43950.64583333333)</f>
        <v>43950.64583</v>
      </c>
      <c r="B4402" s="2">
        <f>IFERROR(__xludf.DUMMYFUNCTION("""COMPUTED_VALUE"""),1431.28)</f>
        <v>1431.28</v>
      </c>
      <c r="C4402" s="2">
        <f>IFERROR(__xludf.DUMMYFUNCTION("""COMPUTED_VALUE"""),1439.95)</f>
        <v>1439.95</v>
      </c>
      <c r="D4402" s="2">
        <f>IFERROR(__xludf.DUMMYFUNCTION("""COMPUTED_VALUE"""),1406.61)</f>
        <v>1406.61</v>
      </c>
      <c r="E4402" s="2">
        <f>IFERROR(__xludf.DUMMYFUNCTION("""COMPUTED_VALUE"""),1413.5)</f>
        <v>1413.5</v>
      </c>
      <c r="F4402" s="2">
        <f>IFERROR(__xludf.DUMMYFUNCTION("""COMPUTED_VALUE"""),1.714154E7)</f>
        <v>17141540</v>
      </c>
    </row>
    <row r="4403">
      <c r="A4403" s="3">
        <f>IFERROR(__xludf.DUMMYFUNCTION("""COMPUTED_VALUE"""),43951.64583333333)</f>
        <v>43951.64583</v>
      </c>
      <c r="B4403" s="2">
        <f>IFERROR(__xludf.DUMMYFUNCTION("""COMPUTED_VALUE"""),1440.24)</f>
        <v>1440.24</v>
      </c>
      <c r="C4403" s="2">
        <f>IFERROR(__xludf.DUMMYFUNCTION("""COMPUTED_VALUE"""),1480.86)</f>
        <v>1480.86</v>
      </c>
      <c r="D4403" s="2">
        <f>IFERROR(__xludf.DUMMYFUNCTION("""COMPUTED_VALUE"""),1424.49)</f>
        <v>1424.49</v>
      </c>
      <c r="E4403" s="2">
        <f>IFERROR(__xludf.DUMMYFUNCTION("""COMPUTED_VALUE"""),1452.18)</f>
        <v>1452.18</v>
      </c>
      <c r="F4403" s="2">
        <f>IFERROR(__xludf.DUMMYFUNCTION("""COMPUTED_VALUE"""),3.2617901E7)</f>
        <v>32617901</v>
      </c>
    </row>
    <row r="4404">
      <c r="A4404" s="3">
        <f>IFERROR(__xludf.DUMMYFUNCTION("""COMPUTED_VALUE"""),43955.64583333333)</f>
        <v>43955.64583</v>
      </c>
      <c r="B4404" s="2">
        <f>IFERROR(__xludf.DUMMYFUNCTION("""COMPUTED_VALUE"""),1426.43)</f>
        <v>1426.43</v>
      </c>
      <c r="C4404" s="2">
        <f>IFERROR(__xludf.DUMMYFUNCTION("""COMPUTED_VALUE"""),1451.19)</f>
        <v>1451.19</v>
      </c>
      <c r="D4404" s="2">
        <f>IFERROR(__xludf.DUMMYFUNCTION("""COMPUTED_VALUE"""),1404.09)</f>
        <v>1404.09</v>
      </c>
      <c r="E4404" s="2">
        <f>IFERROR(__xludf.DUMMYFUNCTION("""COMPUTED_VALUE"""),1421.67)</f>
        <v>1421.67</v>
      </c>
      <c r="F4404" s="2">
        <f>IFERROR(__xludf.DUMMYFUNCTION("""COMPUTED_VALUE"""),2.443924E7)</f>
        <v>24439240</v>
      </c>
    </row>
    <row r="4405">
      <c r="A4405" s="3">
        <f>IFERROR(__xludf.DUMMYFUNCTION("""COMPUTED_VALUE"""),43956.64583333333)</f>
        <v>43956.64583</v>
      </c>
      <c r="B4405" s="2">
        <f>IFERROR(__xludf.DUMMYFUNCTION("""COMPUTED_VALUE"""),1440.0)</f>
        <v>1440</v>
      </c>
      <c r="C4405" s="2">
        <f>IFERROR(__xludf.DUMMYFUNCTION("""COMPUTED_VALUE"""),1465.06)</f>
        <v>1465.06</v>
      </c>
      <c r="D4405" s="2">
        <f>IFERROR(__xludf.DUMMYFUNCTION("""COMPUTED_VALUE"""),1433.56)</f>
        <v>1433.56</v>
      </c>
      <c r="E4405" s="2">
        <f>IFERROR(__xludf.DUMMYFUNCTION("""COMPUTED_VALUE"""),1446.88)</f>
        <v>1446.88</v>
      </c>
      <c r="F4405" s="2">
        <f>IFERROR(__xludf.DUMMYFUNCTION("""COMPUTED_VALUE"""),2.0528706E7)</f>
        <v>20528706</v>
      </c>
    </row>
    <row r="4406">
      <c r="A4406" s="3">
        <f>IFERROR(__xludf.DUMMYFUNCTION("""COMPUTED_VALUE"""),43957.64583333333)</f>
        <v>43957.64583</v>
      </c>
      <c r="B4406" s="2">
        <f>IFERROR(__xludf.DUMMYFUNCTION("""COMPUTED_VALUE"""),1450.2)</f>
        <v>1450.2</v>
      </c>
      <c r="C4406" s="2">
        <f>IFERROR(__xludf.DUMMYFUNCTION("""COMPUTED_VALUE"""),1470.95)</f>
        <v>1470.95</v>
      </c>
      <c r="D4406" s="2">
        <f>IFERROR(__xludf.DUMMYFUNCTION("""COMPUTED_VALUE"""),1431.87)</f>
        <v>1431.87</v>
      </c>
      <c r="E4406" s="2">
        <f>IFERROR(__xludf.DUMMYFUNCTION("""COMPUTED_VALUE"""),1446.98)</f>
        <v>1446.98</v>
      </c>
      <c r="F4406" s="2">
        <f>IFERROR(__xludf.DUMMYFUNCTION("""COMPUTED_VALUE"""),1.8510304E7)</f>
        <v>18510304</v>
      </c>
    </row>
    <row r="4407">
      <c r="A4407" s="3">
        <f>IFERROR(__xludf.DUMMYFUNCTION("""COMPUTED_VALUE"""),43958.64583333333)</f>
        <v>43958.64583</v>
      </c>
      <c r="B4407" s="2">
        <f>IFERROR(__xludf.DUMMYFUNCTION("""COMPUTED_VALUE"""),1441.28)</f>
        <v>1441.28</v>
      </c>
      <c r="C4407" s="2">
        <f>IFERROR(__xludf.DUMMYFUNCTION("""COMPUTED_VALUE"""),1499.38)</f>
        <v>1499.38</v>
      </c>
      <c r="D4407" s="2">
        <f>IFERROR(__xludf.DUMMYFUNCTION("""COMPUTED_VALUE"""),1431.38)</f>
        <v>1431.38</v>
      </c>
      <c r="E4407" s="2">
        <f>IFERROR(__xludf.DUMMYFUNCTION("""COMPUTED_VALUE"""),1492.75)</f>
        <v>1492.75</v>
      </c>
      <c r="F4407" s="2">
        <f>IFERROR(__xludf.DUMMYFUNCTION("""COMPUTED_VALUE"""),2.2871529E7)</f>
        <v>22871529</v>
      </c>
    </row>
    <row r="4408">
      <c r="A4408" s="3">
        <f>IFERROR(__xludf.DUMMYFUNCTION("""COMPUTED_VALUE"""),43959.64583333333)</f>
        <v>43959.64583</v>
      </c>
      <c r="B4408" s="2">
        <f>IFERROR(__xludf.DUMMYFUNCTION("""COMPUTED_VALUE"""),1530.44)</f>
        <v>1530.44</v>
      </c>
      <c r="C4408" s="2">
        <f>IFERROR(__xludf.DUMMYFUNCTION("""COMPUTED_VALUE"""),1565.01)</f>
        <v>1565.01</v>
      </c>
      <c r="D4408" s="2">
        <f>IFERROR(__xludf.DUMMYFUNCTION("""COMPUTED_VALUE"""),1522.61)</f>
        <v>1522.61</v>
      </c>
      <c r="E4408" s="2">
        <f>IFERROR(__xludf.DUMMYFUNCTION("""COMPUTED_VALUE"""),1547.08)</f>
        <v>1547.08</v>
      </c>
      <c r="F4408" s="2">
        <f>IFERROR(__xludf.DUMMYFUNCTION("""COMPUTED_VALUE"""),3.8522385E7)</f>
        <v>38522385</v>
      </c>
    </row>
    <row r="4409">
      <c r="A4409" s="3">
        <f>IFERROR(__xludf.DUMMYFUNCTION("""COMPUTED_VALUE"""),43962.64583333333)</f>
        <v>43962.64583</v>
      </c>
      <c r="B4409" s="2">
        <f>IFERROR(__xludf.DUMMYFUNCTION("""COMPUTED_VALUE"""),1565.11)</f>
        <v>1565.11</v>
      </c>
      <c r="C4409" s="2">
        <f>IFERROR(__xludf.DUMMYFUNCTION("""COMPUTED_VALUE"""),1599.78)</f>
        <v>1599.78</v>
      </c>
      <c r="D4409" s="2">
        <f>IFERROR(__xludf.DUMMYFUNCTION("""COMPUTED_VALUE"""),1557.48)</f>
        <v>1557.48</v>
      </c>
      <c r="E4409" s="2">
        <f>IFERROR(__xludf.DUMMYFUNCTION("""COMPUTED_VALUE"""),1561.94)</f>
        <v>1561.94</v>
      </c>
      <c r="F4409" s="2">
        <f>IFERROR(__xludf.DUMMYFUNCTION("""COMPUTED_VALUE"""),3.0670404E7)</f>
        <v>30670404</v>
      </c>
    </row>
    <row r="4410">
      <c r="A4410" s="3">
        <f>IFERROR(__xludf.DUMMYFUNCTION("""COMPUTED_VALUE"""),43963.64583333333)</f>
        <v>43963.64583</v>
      </c>
      <c r="B4410" s="2">
        <f>IFERROR(__xludf.DUMMYFUNCTION("""COMPUTED_VALUE"""),1550.05)</f>
        <v>1550.05</v>
      </c>
      <c r="C4410" s="2">
        <f>IFERROR(__xludf.DUMMYFUNCTION("""COMPUTED_VALUE"""),1553.57)</f>
        <v>1553.57</v>
      </c>
      <c r="D4410" s="2">
        <f>IFERROR(__xludf.DUMMYFUNCTION("""COMPUTED_VALUE"""),1451.19)</f>
        <v>1451.19</v>
      </c>
      <c r="E4410" s="2">
        <f>IFERROR(__xludf.DUMMYFUNCTION("""COMPUTED_VALUE"""),1465.31)</f>
        <v>1465.31</v>
      </c>
      <c r="F4410" s="2">
        <f>IFERROR(__xludf.DUMMYFUNCTION("""COMPUTED_VALUE"""),4.6029119E7)</f>
        <v>46029119</v>
      </c>
    </row>
    <row r="4411">
      <c r="A4411" s="3">
        <f>IFERROR(__xludf.DUMMYFUNCTION("""COMPUTED_VALUE"""),43964.64583333333)</f>
        <v>43964.64583</v>
      </c>
      <c r="B4411" s="2">
        <f>IFERROR(__xludf.DUMMYFUNCTION("""COMPUTED_VALUE"""),1527.0)</f>
        <v>1527</v>
      </c>
      <c r="C4411" s="2">
        <f>IFERROR(__xludf.DUMMYFUNCTION("""COMPUTED_VALUE"""),1527.0)</f>
        <v>1527</v>
      </c>
      <c r="D4411" s="2">
        <f>IFERROR(__xludf.DUMMYFUNCTION("""COMPUTED_VALUE"""),1454.0)</f>
        <v>1454</v>
      </c>
      <c r="E4411" s="2">
        <f>IFERROR(__xludf.DUMMYFUNCTION("""COMPUTED_VALUE"""),1496.45)</f>
        <v>1496.45</v>
      </c>
      <c r="F4411" s="2">
        <f>IFERROR(__xludf.DUMMYFUNCTION("""COMPUTED_VALUE"""),3.0658051E7)</f>
        <v>30658051</v>
      </c>
    </row>
    <row r="4412">
      <c r="A4412" s="3">
        <f>IFERROR(__xludf.DUMMYFUNCTION("""COMPUTED_VALUE"""),43965.64583333333)</f>
        <v>43965.64583</v>
      </c>
      <c r="B4412" s="2">
        <f>IFERROR(__xludf.DUMMYFUNCTION("""COMPUTED_VALUE"""),1469.0)</f>
        <v>1469</v>
      </c>
      <c r="C4412" s="2">
        <f>IFERROR(__xludf.DUMMYFUNCTION("""COMPUTED_VALUE"""),1496.7)</f>
        <v>1496.7</v>
      </c>
      <c r="D4412" s="2">
        <f>IFERROR(__xludf.DUMMYFUNCTION("""COMPUTED_VALUE"""),1430.05)</f>
        <v>1430.05</v>
      </c>
      <c r="E4412" s="2">
        <f>IFERROR(__xludf.DUMMYFUNCTION("""COMPUTED_VALUE"""),1435.95)</f>
        <v>1435.95</v>
      </c>
      <c r="F4412" s="2">
        <f>IFERROR(__xludf.DUMMYFUNCTION("""COMPUTED_VALUE"""),2.2736714E7)</f>
        <v>22736714</v>
      </c>
    </row>
    <row r="4413">
      <c r="A4413" s="3">
        <f>IFERROR(__xludf.DUMMYFUNCTION("""COMPUTED_VALUE"""),43966.64583333333)</f>
        <v>43966.64583</v>
      </c>
      <c r="B4413" s="2">
        <f>IFERROR(__xludf.DUMMYFUNCTION("""COMPUTED_VALUE"""),1444.0)</f>
        <v>1444</v>
      </c>
      <c r="C4413" s="2">
        <f>IFERROR(__xludf.DUMMYFUNCTION("""COMPUTED_VALUE"""),1466.7)</f>
        <v>1466.7</v>
      </c>
      <c r="D4413" s="2">
        <f>IFERROR(__xludf.DUMMYFUNCTION("""COMPUTED_VALUE"""),1415.1)</f>
        <v>1415.1</v>
      </c>
      <c r="E4413" s="2">
        <f>IFERROR(__xludf.DUMMYFUNCTION("""COMPUTED_VALUE"""),1459.4)</f>
        <v>1459.4</v>
      </c>
      <c r="F4413" s="2">
        <f>IFERROR(__xludf.DUMMYFUNCTION("""COMPUTED_VALUE"""),2.8683432E7)</f>
        <v>28683432</v>
      </c>
    </row>
    <row r="4414">
      <c r="A4414" s="3">
        <f>IFERROR(__xludf.DUMMYFUNCTION("""COMPUTED_VALUE"""),43969.64583333333)</f>
        <v>43969.64583</v>
      </c>
      <c r="B4414" s="2">
        <f>IFERROR(__xludf.DUMMYFUNCTION("""COMPUTED_VALUE"""),1470.0)</f>
        <v>1470</v>
      </c>
      <c r="C4414" s="2">
        <f>IFERROR(__xludf.DUMMYFUNCTION("""COMPUTED_VALUE"""),1482.0)</f>
        <v>1482</v>
      </c>
      <c r="D4414" s="2">
        <f>IFERROR(__xludf.DUMMYFUNCTION("""COMPUTED_VALUE"""),1428.0)</f>
        <v>1428</v>
      </c>
      <c r="E4414" s="2">
        <f>IFERROR(__xludf.DUMMYFUNCTION("""COMPUTED_VALUE"""),1440.75)</f>
        <v>1440.75</v>
      </c>
      <c r="F4414" s="2">
        <f>IFERROR(__xludf.DUMMYFUNCTION("""COMPUTED_VALUE"""),2.898162E7)</f>
        <v>28981620</v>
      </c>
    </row>
    <row r="4415">
      <c r="A4415" s="3">
        <f>IFERROR(__xludf.DUMMYFUNCTION("""COMPUTED_VALUE"""),43970.64583333333)</f>
        <v>43970.64583</v>
      </c>
      <c r="B4415" s="2">
        <f>IFERROR(__xludf.DUMMYFUNCTION("""COMPUTED_VALUE"""),1457.0)</f>
        <v>1457</v>
      </c>
      <c r="C4415" s="2">
        <f>IFERROR(__xludf.DUMMYFUNCTION("""COMPUTED_VALUE"""),1461.7)</f>
        <v>1461.7</v>
      </c>
      <c r="D4415" s="2">
        <f>IFERROR(__xludf.DUMMYFUNCTION("""COMPUTED_VALUE"""),1403.25)</f>
        <v>1403.25</v>
      </c>
      <c r="E4415" s="2">
        <f>IFERROR(__xludf.DUMMYFUNCTION("""COMPUTED_VALUE"""),1408.9)</f>
        <v>1408.9</v>
      </c>
      <c r="F4415" s="2">
        <f>IFERROR(__xludf.DUMMYFUNCTION("""COMPUTED_VALUE"""),1.9529216E7)</f>
        <v>19529216</v>
      </c>
    </row>
    <row r="4416">
      <c r="A4416" s="3">
        <f>IFERROR(__xludf.DUMMYFUNCTION("""COMPUTED_VALUE"""),43971.64583333333)</f>
        <v>43971.64583</v>
      </c>
      <c r="B4416" s="2">
        <f>IFERROR(__xludf.DUMMYFUNCTION("""COMPUTED_VALUE"""),1410.0)</f>
        <v>1410</v>
      </c>
      <c r="C4416" s="2">
        <f>IFERROR(__xludf.DUMMYFUNCTION("""COMPUTED_VALUE"""),1446.85)</f>
        <v>1446.85</v>
      </c>
      <c r="D4416" s="2">
        <f>IFERROR(__xludf.DUMMYFUNCTION("""COMPUTED_VALUE"""),1393.0)</f>
        <v>1393</v>
      </c>
      <c r="E4416" s="2">
        <f>IFERROR(__xludf.DUMMYFUNCTION("""COMPUTED_VALUE"""),1433.7)</f>
        <v>1433.7</v>
      </c>
      <c r="F4416" s="2">
        <f>IFERROR(__xludf.DUMMYFUNCTION("""COMPUTED_VALUE"""),2.5530692E7)</f>
        <v>25530692</v>
      </c>
    </row>
    <row r="4417">
      <c r="A4417" s="3">
        <f>IFERROR(__xludf.DUMMYFUNCTION("""COMPUTED_VALUE"""),43972.64583333333)</f>
        <v>43972.64583</v>
      </c>
      <c r="B4417" s="2">
        <f>IFERROR(__xludf.DUMMYFUNCTION("""COMPUTED_VALUE"""),1435.0)</f>
        <v>1435</v>
      </c>
      <c r="C4417" s="2">
        <f>IFERROR(__xludf.DUMMYFUNCTION("""COMPUTED_VALUE"""),1461.45)</f>
        <v>1461.45</v>
      </c>
      <c r="D4417" s="2">
        <f>IFERROR(__xludf.DUMMYFUNCTION("""COMPUTED_VALUE"""),1425.0)</f>
        <v>1425</v>
      </c>
      <c r="E4417" s="2">
        <f>IFERROR(__xludf.DUMMYFUNCTION("""COMPUTED_VALUE"""),1441.25)</f>
        <v>1441.25</v>
      </c>
      <c r="F4417" s="2">
        <f>IFERROR(__xludf.DUMMYFUNCTION("""COMPUTED_VALUE"""),1.8077196E7)</f>
        <v>18077196</v>
      </c>
    </row>
    <row r="4418">
      <c r="A4418" s="3">
        <f>IFERROR(__xludf.DUMMYFUNCTION("""COMPUTED_VALUE"""),43973.64583333333)</f>
        <v>43973.64583</v>
      </c>
      <c r="B4418" s="2">
        <f>IFERROR(__xludf.DUMMYFUNCTION("""COMPUTED_VALUE"""),1451.8)</f>
        <v>1451.8</v>
      </c>
      <c r="C4418" s="2">
        <f>IFERROR(__xludf.DUMMYFUNCTION("""COMPUTED_VALUE"""),1458.0)</f>
        <v>1458</v>
      </c>
      <c r="D4418" s="2">
        <f>IFERROR(__xludf.DUMMYFUNCTION("""COMPUTED_VALUE"""),1426.5)</f>
        <v>1426.5</v>
      </c>
      <c r="E4418" s="2">
        <f>IFERROR(__xludf.DUMMYFUNCTION("""COMPUTED_VALUE"""),1431.55)</f>
        <v>1431.55</v>
      </c>
      <c r="F4418" s="2">
        <f>IFERROR(__xludf.DUMMYFUNCTION("""COMPUTED_VALUE"""),1.7458503E7)</f>
        <v>17458503</v>
      </c>
    </row>
    <row r="4419">
      <c r="A4419" s="3">
        <f>IFERROR(__xludf.DUMMYFUNCTION("""COMPUTED_VALUE"""),43977.64583333333)</f>
        <v>43977.64583</v>
      </c>
      <c r="B4419" s="2">
        <f>IFERROR(__xludf.DUMMYFUNCTION("""COMPUTED_VALUE"""),1448.15)</f>
        <v>1448.15</v>
      </c>
      <c r="C4419" s="2">
        <f>IFERROR(__xludf.DUMMYFUNCTION("""COMPUTED_VALUE"""),1449.7)</f>
        <v>1449.7</v>
      </c>
      <c r="D4419" s="2">
        <f>IFERROR(__xludf.DUMMYFUNCTION("""COMPUTED_VALUE"""),1416.3)</f>
        <v>1416.3</v>
      </c>
      <c r="E4419" s="2">
        <f>IFERROR(__xludf.DUMMYFUNCTION("""COMPUTED_VALUE"""),1424.05)</f>
        <v>1424.05</v>
      </c>
      <c r="F4419" s="2">
        <f>IFERROR(__xludf.DUMMYFUNCTION("""COMPUTED_VALUE"""),1.5330793E7)</f>
        <v>15330793</v>
      </c>
    </row>
    <row r="4420">
      <c r="A4420" s="3">
        <f>IFERROR(__xludf.DUMMYFUNCTION("""COMPUTED_VALUE"""),43978.64583333333)</f>
        <v>43978.64583</v>
      </c>
      <c r="B4420" s="2">
        <f>IFERROR(__xludf.DUMMYFUNCTION("""COMPUTED_VALUE"""),1431.0)</f>
        <v>1431</v>
      </c>
      <c r="C4420" s="2">
        <f>IFERROR(__xludf.DUMMYFUNCTION("""COMPUTED_VALUE"""),1454.0)</f>
        <v>1454</v>
      </c>
      <c r="D4420" s="2">
        <f>IFERROR(__xludf.DUMMYFUNCTION("""COMPUTED_VALUE"""),1412.0)</f>
        <v>1412</v>
      </c>
      <c r="E4420" s="2">
        <f>IFERROR(__xludf.DUMMYFUNCTION("""COMPUTED_VALUE"""),1445.55)</f>
        <v>1445.55</v>
      </c>
      <c r="F4420" s="2">
        <f>IFERROR(__xludf.DUMMYFUNCTION("""COMPUTED_VALUE"""),1.6460764E7)</f>
        <v>16460764</v>
      </c>
    </row>
    <row r="4421">
      <c r="A4421" s="3">
        <f>IFERROR(__xludf.DUMMYFUNCTION("""COMPUTED_VALUE"""),43979.64583333333)</f>
        <v>43979.64583</v>
      </c>
      <c r="B4421" s="2">
        <f>IFERROR(__xludf.DUMMYFUNCTION("""COMPUTED_VALUE"""),1455.0)</f>
        <v>1455</v>
      </c>
      <c r="C4421" s="2">
        <f>IFERROR(__xludf.DUMMYFUNCTION("""COMPUTED_VALUE"""),1479.75)</f>
        <v>1479.75</v>
      </c>
      <c r="D4421" s="2">
        <f>IFERROR(__xludf.DUMMYFUNCTION("""COMPUTED_VALUE"""),1449.0)</f>
        <v>1449</v>
      </c>
      <c r="E4421" s="2">
        <f>IFERROR(__xludf.DUMMYFUNCTION("""COMPUTED_VALUE"""),1472.25)</f>
        <v>1472.25</v>
      </c>
      <c r="F4421" s="2">
        <f>IFERROR(__xludf.DUMMYFUNCTION("""COMPUTED_VALUE"""),1.8519252E7)</f>
        <v>18519252</v>
      </c>
    </row>
    <row r="4422">
      <c r="A4422" s="3">
        <f>IFERROR(__xludf.DUMMYFUNCTION("""COMPUTED_VALUE"""),43980.64583333333)</f>
        <v>43980.64583</v>
      </c>
      <c r="B4422" s="2">
        <f>IFERROR(__xludf.DUMMYFUNCTION("""COMPUTED_VALUE"""),1468.0)</f>
        <v>1468</v>
      </c>
      <c r="C4422" s="2">
        <f>IFERROR(__xludf.DUMMYFUNCTION("""COMPUTED_VALUE"""),1472.0)</f>
        <v>1472</v>
      </c>
      <c r="D4422" s="2">
        <f>IFERROR(__xludf.DUMMYFUNCTION("""COMPUTED_VALUE"""),1452.65)</f>
        <v>1452.65</v>
      </c>
      <c r="E4422" s="2">
        <f>IFERROR(__xludf.DUMMYFUNCTION("""COMPUTED_VALUE"""),1464.4)</f>
        <v>1464.4</v>
      </c>
      <c r="F4422" s="2">
        <f>IFERROR(__xludf.DUMMYFUNCTION("""COMPUTED_VALUE"""),1.847177E7)</f>
        <v>18471770</v>
      </c>
    </row>
    <row r="4423">
      <c r="A4423" s="3">
        <f>IFERROR(__xludf.DUMMYFUNCTION("""COMPUTED_VALUE"""),43983.64583333333)</f>
        <v>43983.64583</v>
      </c>
      <c r="B4423" s="2">
        <f>IFERROR(__xludf.DUMMYFUNCTION("""COMPUTED_VALUE"""),1480.0)</f>
        <v>1480</v>
      </c>
      <c r="C4423" s="2">
        <f>IFERROR(__xludf.DUMMYFUNCTION("""COMPUTED_VALUE"""),1538.35)</f>
        <v>1538.35</v>
      </c>
      <c r="D4423" s="2">
        <f>IFERROR(__xludf.DUMMYFUNCTION("""COMPUTED_VALUE"""),1475.95)</f>
        <v>1475.95</v>
      </c>
      <c r="E4423" s="2">
        <f>IFERROR(__xludf.DUMMYFUNCTION("""COMPUTED_VALUE"""),1520.35)</f>
        <v>1520.35</v>
      </c>
      <c r="F4423" s="2">
        <f>IFERROR(__xludf.DUMMYFUNCTION("""COMPUTED_VALUE"""),1.8434065E7)</f>
        <v>18434065</v>
      </c>
    </row>
    <row r="4424">
      <c r="A4424" s="3">
        <f>IFERROR(__xludf.DUMMYFUNCTION("""COMPUTED_VALUE"""),43984.64583333333)</f>
        <v>43984.64583</v>
      </c>
      <c r="B4424" s="2">
        <f>IFERROR(__xludf.DUMMYFUNCTION("""COMPUTED_VALUE"""),1526.0)</f>
        <v>1526</v>
      </c>
      <c r="C4424" s="2">
        <f>IFERROR(__xludf.DUMMYFUNCTION("""COMPUTED_VALUE"""),1540.0)</f>
        <v>1540</v>
      </c>
      <c r="D4424" s="2">
        <f>IFERROR(__xludf.DUMMYFUNCTION("""COMPUTED_VALUE"""),1520.8)</f>
        <v>1520.8</v>
      </c>
      <c r="E4424" s="2">
        <f>IFERROR(__xludf.DUMMYFUNCTION("""COMPUTED_VALUE"""),1535.7)</f>
        <v>1535.7</v>
      </c>
      <c r="F4424" s="2">
        <f>IFERROR(__xludf.DUMMYFUNCTION("""COMPUTED_VALUE"""),1.0224102E7)</f>
        <v>10224102</v>
      </c>
    </row>
    <row r="4425">
      <c r="A4425" s="3">
        <f>IFERROR(__xludf.DUMMYFUNCTION("""COMPUTED_VALUE"""),43985.64583333333)</f>
        <v>43985.64583</v>
      </c>
      <c r="B4425" s="2">
        <f>IFERROR(__xludf.DUMMYFUNCTION("""COMPUTED_VALUE"""),1545.0)</f>
        <v>1545</v>
      </c>
      <c r="C4425" s="2">
        <f>IFERROR(__xludf.DUMMYFUNCTION("""COMPUTED_VALUE"""),1560.0)</f>
        <v>1560</v>
      </c>
      <c r="D4425" s="2">
        <f>IFERROR(__xludf.DUMMYFUNCTION("""COMPUTED_VALUE"""),1533.35)</f>
        <v>1533.35</v>
      </c>
      <c r="E4425" s="2">
        <f>IFERROR(__xludf.DUMMYFUNCTION("""COMPUTED_VALUE"""),1541.65)</f>
        <v>1541.65</v>
      </c>
      <c r="F4425" s="2">
        <f>IFERROR(__xludf.DUMMYFUNCTION("""COMPUTED_VALUE"""),1.1713666E7)</f>
        <v>11713666</v>
      </c>
    </row>
    <row r="4426">
      <c r="A4426" s="3">
        <f>IFERROR(__xludf.DUMMYFUNCTION("""COMPUTED_VALUE"""),43986.64583333333)</f>
        <v>43986.64583</v>
      </c>
      <c r="B4426" s="2">
        <f>IFERROR(__xludf.DUMMYFUNCTION("""COMPUTED_VALUE"""),1544.0)</f>
        <v>1544</v>
      </c>
      <c r="C4426" s="2">
        <f>IFERROR(__xludf.DUMMYFUNCTION("""COMPUTED_VALUE"""),1589.5)</f>
        <v>1589.5</v>
      </c>
      <c r="D4426" s="2">
        <f>IFERROR(__xludf.DUMMYFUNCTION("""COMPUTED_VALUE"""),1541.0)</f>
        <v>1541</v>
      </c>
      <c r="E4426" s="2">
        <f>IFERROR(__xludf.DUMMYFUNCTION("""COMPUTED_VALUE"""),1579.8)</f>
        <v>1579.8</v>
      </c>
      <c r="F4426" s="2">
        <f>IFERROR(__xludf.DUMMYFUNCTION("""COMPUTED_VALUE"""),1.5784612E7)</f>
        <v>15784612</v>
      </c>
    </row>
    <row r="4427">
      <c r="A4427" s="3">
        <f>IFERROR(__xludf.DUMMYFUNCTION("""COMPUTED_VALUE"""),43987.64583333333)</f>
        <v>43987.64583</v>
      </c>
      <c r="B4427" s="2">
        <f>IFERROR(__xludf.DUMMYFUNCTION("""COMPUTED_VALUE"""),1595.0)</f>
        <v>1595</v>
      </c>
      <c r="C4427" s="2">
        <f>IFERROR(__xludf.DUMMYFUNCTION("""COMPUTED_VALUE"""),1618.0)</f>
        <v>1618</v>
      </c>
      <c r="D4427" s="2">
        <f>IFERROR(__xludf.DUMMYFUNCTION("""COMPUTED_VALUE"""),1573.7)</f>
        <v>1573.7</v>
      </c>
      <c r="E4427" s="2">
        <f>IFERROR(__xludf.DUMMYFUNCTION("""COMPUTED_VALUE"""),1581.7)</f>
        <v>1581.7</v>
      </c>
      <c r="F4427" s="2">
        <f>IFERROR(__xludf.DUMMYFUNCTION("""COMPUTED_VALUE"""),1.5270435E7)</f>
        <v>15270435</v>
      </c>
    </row>
    <row r="4428">
      <c r="A4428" s="3">
        <f>IFERROR(__xludf.DUMMYFUNCTION("""COMPUTED_VALUE"""),43990.64583333333)</f>
        <v>43990.64583</v>
      </c>
      <c r="B4428" s="2">
        <f>IFERROR(__xludf.DUMMYFUNCTION("""COMPUTED_VALUE"""),1618.4)</f>
        <v>1618.4</v>
      </c>
      <c r="C4428" s="2">
        <f>IFERROR(__xludf.DUMMYFUNCTION("""COMPUTED_VALUE"""),1618.4)</f>
        <v>1618.4</v>
      </c>
      <c r="D4428" s="2">
        <f>IFERROR(__xludf.DUMMYFUNCTION("""COMPUTED_VALUE"""),1565.0)</f>
        <v>1565</v>
      </c>
      <c r="E4428" s="2">
        <f>IFERROR(__xludf.DUMMYFUNCTION("""COMPUTED_VALUE"""),1569.5)</f>
        <v>1569.5</v>
      </c>
      <c r="F4428" s="2">
        <f>IFERROR(__xludf.DUMMYFUNCTION("""COMPUTED_VALUE"""),1.4498055E7)</f>
        <v>14498055</v>
      </c>
    </row>
    <row r="4429">
      <c r="A4429" s="3">
        <f>IFERROR(__xludf.DUMMYFUNCTION("""COMPUTED_VALUE"""),43991.64583333333)</f>
        <v>43991.64583</v>
      </c>
      <c r="B4429" s="2">
        <f>IFERROR(__xludf.DUMMYFUNCTION("""COMPUTED_VALUE"""),1560.3)</f>
        <v>1560.3</v>
      </c>
      <c r="C4429" s="2">
        <f>IFERROR(__xludf.DUMMYFUNCTION("""COMPUTED_VALUE"""),1583.0)</f>
        <v>1583</v>
      </c>
      <c r="D4429" s="2">
        <f>IFERROR(__xludf.DUMMYFUNCTION("""COMPUTED_VALUE"""),1533.0)</f>
        <v>1533</v>
      </c>
      <c r="E4429" s="2">
        <f>IFERROR(__xludf.DUMMYFUNCTION("""COMPUTED_VALUE"""),1537.15)</f>
        <v>1537.15</v>
      </c>
      <c r="F4429" s="2">
        <f>IFERROR(__xludf.DUMMYFUNCTION("""COMPUTED_VALUE"""),1.1934073E7)</f>
        <v>11934073</v>
      </c>
    </row>
    <row r="4430">
      <c r="A4430" s="3">
        <f>IFERROR(__xludf.DUMMYFUNCTION("""COMPUTED_VALUE"""),43992.64583333333)</f>
        <v>43992.64583</v>
      </c>
      <c r="B4430" s="2">
        <f>IFERROR(__xludf.DUMMYFUNCTION("""COMPUTED_VALUE"""),1543.1)</f>
        <v>1543.1</v>
      </c>
      <c r="C4430" s="2">
        <f>IFERROR(__xludf.DUMMYFUNCTION("""COMPUTED_VALUE"""),1579.55)</f>
        <v>1579.55</v>
      </c>
      <c r="D4430" s="2">
        <f>IFERROR(__xludf.DUMMYFUNCTION("""COMPUTED_VALUE"""),1540.05)</f>
        <v>1540.05</v>
      </c>
      <c r="E4430" s="2">
        <f>IFERROR(__xludf.DUMMYFUNCTION("""COMPUTED_VALUE"""),1572.15)</f>
        <v>1572.15</v>
      </c>
      <c r="F4430" s="2">
        <f>IFERROR(__xludf.DUMMYFUNCTION("""COMPUTED_VALUE"""),1.0214426E7)</f>
        <v>10214426</v>
      </c>
    </row>
    <row r="4431">
      <c r="A4431" s="3">
        <f>IFERROR(__xludf.DUMMYFUNCTION("""COMPUTED_VALUE"""),43993.64583333333)</f>
        <v>43993.64583</v>
      </c>
      <c r="B4431" s="2">
        <f>IFERROR(__xludf.DUMMYFUNCTION("""COMPUTED_VALUE"""),1566.0)</f>
        <v>1566</v>
      </c>
      <c r="C4431" s="2">
        <f>IFERROR(__xludf.DUMMYFUNCTION("""COMPUTED_VALUE"""),1567.95)</f>
        <v>1567.95</v>
      </c>
      <c r="D4431" s="2">
        <f>IFERROR(__xludf.DUMMYFUNCTION("""COMPUTED_VALUE"""),1531.0)</f>
        <v>1531</v>
      </c>
      <c r="E4431" s="2">
        <f>IFERROR(__xludf.DUMMYFUNCTION("""COMPUTED_VALUE"""),1537.7)</f>
        <v>1537.7</v>
      </c>
      <c r="F4431" s="2">
        <f>IFERROR(__xludf.DUMMYFUNCTION("""COMPUTED_VALUE"""),9408283.0)</f>
        <v>9408283</v>
      </c>
    </row>
    <row r="4432">
      <c r="A4432" s="3">
        <f>IFERROR(__xludf.DUMMYFUNCTION("""COMPUTED_VALUE"""),43994.64583333333)</f>
        <v>43994.64583</v>
      </c>
      <c r="B4432" s="2">
        <f>IFERROR(__xludf.DUMMYFUNCTION("""COMPUTED_VALUE"""),1500.0)</f>
        <v>1500</v>
      </c>
      <c r="C4432" s="2">
        <f>IFERROR(__xludf.DUMMYFUNCTION("""COMPUTED_VALUE"""),1593.0)</f>
        <v>1593</v>
      </c>
      <c r="D4432" s="2">
        <f>IFERROR(__xludf.DUMMYFUNCTION("""COMPUTED_VALUE"""),1497.0)</f>
        <v>1497</v>
      </c>
      <c r="E4432" s="2">
        <f>IFERROR(__xludf.DUMMYFUNCTION("""COMPUTED_VALUE"""),1588.8)</f>
        <v>1588.8</v>
      </c>
      <c r="F4432" s="2">
        <f>IFERROR(__xludf.DUMMYFUNCTION("""COMPUTED_VALUE"""),1.7790565E7)</f>
        <v>17790565</v>
      </c>
    </row>
    <row r="4433">
      <c r="A4433" s="3">
        <f>IFERROR(__xludf.DUMMYFUNCTION("""COMPUTED_VALUE"""),43997.64583333333)</f>
        <v>43997.64583</v>
      </c>
      <c r="B4433" s="2">
        <f>IFERROR(__xludf.DUMMYFUNCTION("""COMPUTED_VALUE"""),1565.0)</f>
        <v>1565</v>
      </c>
      <c r="C4433" s="2">
        <f>IFERROR(__xludf.DUMMYFUNCTION("""COMPUTED_VALUE"""),1626.95)</f>
        <v>1626.95</v>
      </c>
      <c r="D4433" s="2">
        <f>IFERROR(__xludf.DUMMYFUNCTION("""COMPUTED_VALUE"""),1561.1)</f>
        <v>1561.1</v>
      </c>
      <c r="E4433" s="2">
        <f>IFERROR(__xludf.DUMMYFUNCTION("""COMPUTED_VALUE"""),1614.55)</f>
        <v>1614.55</v>
      </c>
      <c r="F4433" s="2">
        <f>IFERROR(__xludf.DUMMYFUNCTION("""COMPUTED_VALUE"""),2.4509162E7)</f>
        <v>24509162</v>
      </c>
    </row>
    <row r="4434">
      <c r="A4434" s="3">
        <f>IFERROR(__xludf.DUMMYFUNCTION("""COMPUTED_VALUE"""),43998.64583333333)</f>
        <v>43998.64583</v>
      </c>
      <c r="B4434" s="2">
        <f>IFERROR(__xludf.DUMMYFUNCTION("""COMPUTED_VALUE"""),1643.0)</f>
        <v>1643</v>
      </c>
      <c r="C4434" s="2">
        <f>IFERROR(__xludf.DUMMYFUNCTION("""COMPUTED_VALUE"""),1648.55)</f>
        <v>1648.55</v>
      </c>
      <c r="D4434" s="2">
        <f>IFERROR(__xludf.DUMMYFUNCTION("""COMPUTED_VALUE"""),1585.3)</f>
        <v>1585.3</v>
      </c>
      <c r="E4434" s="2">
        <f>IFERROR(__xludf.DUMMYFUNCTION("""COMPUTED_VALUE"""),1617.7)</f>
        <v>1617.7</v>
      </c>
      <c r="F4434" s="2">
        <f>IFERROR(__xludf.DUMMYFUNCTION("""COMPUTED_VALUE"""),2.3623299E7)</f>
        <v>23623299</v>
      </c>
    </row>
    <row r="4435">
      <c r="A4435" s="3">
        <f>IFERROR(__xludf.DUMMYFUNCTION("""COMPUTED_VALUE"""),43999.64583333333)</f>
        <v>43999.64583</v>
      </c>
      <c r="B4435" s="2">
        <f>IFERROR(__xludf.DUMMYFUNCTION("""COMPUTED_VALUE"""),1608.25)</f>
        <v>1608.25</v>
      </c>
      <c r="C4435" s="2">
        <f>IFERROR(__xludf.DUMMYFUNCTION("""COMPUTED_VALUE"""),1635.45)</f>
        <v>1635.45</v>
      </c>
      <c r="D4435" s="2">
        <f>IFERROR(__xludf.DUMMYFUNCTION("""COMPUTED_VALUE"""),1602.1)</f>
        <v>1602.1</v>
      </c>
      <c r="E4435" s="2">
        <f>IFERROR(__xludf.DUMMYFUNCTION("""COMPUTED_VALUE"""),1615.35)</f>
        <v>1615.35</v>
      </c>
      <c r="F4435" s="2">
        <f>IFERROR(__xludf.DUMMYFUNCTION("""COMPUTED_VALUE"""),1.9282519E7)</f>
        <v>19282519</v>
      </c>
    </row>
    <row r="4436">
      <c r="A4436" s="3">
        <f>IFERROR(__xludf.DUMMYFUNCTION("""COMPUTED_VALUE"""),44000.64583333333)</f>
        <v>44000.64583</v>
      </c>
      <c r="B4436" s="2">
        <f>IFERROR(__xludf.DUMMYFUNCTION("""COMPUTED_VALUE"""),1607.0)</f>
        <v>1607</v>
      </c>
      <c r="C4436" s="2">
        <f>IFERROR(__xludf.DUMMYFUNCTION("""COMPUTED_VALUE"""),1665.0)</f>
        <v>1665</v>
      </c>
      <c r="D4436" s="2">
        <f>IFERROR(__xludf.DUMMYFUNCTION("""COMPUTED_VALUE"""),1605.6)</f>
        <v>1605.6</v>
      </c>
      <c r="E4436" s="2">
        <f>IFERROR(__xludf.DUMMYFUNCTION("""COMPUTED_VALUE"""),1655.9)</f>
        <v>1655.9</v>
      </c>
      <c r="F4436" s="2">
        <f>IFERROR(__xludf.DUMMYFUNCTION("""COMPUTED_VALUE"""),1.8677694E7)</f>
        <v>18677694</v>
      </c>
    </row>
    <row r="4437">
      <c r="A4437" s="3">
        <f>IFERROR(__xludf.DUMMYFUNCTION("""COMPUTED_VALUE"""),44001.64583333333)</f>
        <v>44001.64583</v>
      </c>
      <c r="B4437" s="2">
        <f>IFERROR(__xludf.DUMMYFUNCTION("""COMPUTED_VALUE"""),1670.0)</f>
        <v>1670</v>
      </c>
      <c r="C4437" s="2">
        <f>IFERROR(__xludf.DUMMYFUNCTION("""COMPUTED_VALUE"""),1788.8)</f>
        <v>1788.8</v>
      </c>
      <c r="D4437" s="2">
        <f>IFERROR(__xludf.DUMMYFUNCTION("""COMPUTED_VALUE"""),1662.0)</f>
        <v>1662</v>
      </c>
      <c r="E4437" s="2">
        <f>IFERROR(__xludf.DUMMYFUNCTION("""COMPUTED_VALUE"""),1759.4)</f>
        <v>1759.4</v>
      </c>
      <c r="F4437" s="2">
        <f>IFERROR(__xludf.DUMMYFUNCTION("""COMPUTED_VALUE"""),4.8828852E7)</f>
        <v>48828852</v>
      </c>
    </row>
    <row r="4438">
      <c r="A4438" s="3">
        <f>IFERROR(__xludf.DUMMYFUNCTION("""COMPUTED_VALUE"""),44004.64583333333)</f>
        <v>44004.64583</v>
      </c>
      <c r="B4438" s="2">
        <f>IFERROR(__xludf.DUMMYFUNCTION("""COMPUTED_VALUE"""),1773.4)</f>
        <v>1773.4</v>
      </c>
      <c r="C4438" s="2">
        <f>IFERROR(__xludf.DUMMYFUNCTION("""COMPUTED_VALUE"""),1804.2)</f>
        <v>1804.2</v>
      </c>
      <c r="D4438" s="2">
        <f>IFERROR(__xludf.DUMMYFUNCTION("""COMPUTED_VALUE"""),1735.0)</f>
        <v>1735</v>
      </c>
      <c r="E4438" s="2">
        <f>IFERROR(__xludf.DUMMYFUNCTION("""COMPUTED_VALUE"""),1746.15)</f>
        <v>1746.15</v>
      </c>
      <c r="F4438" s="2">
        <f>IFERROR(__xludf.DUMMYFUNCTION("""COMPUTED_VALUE"""),2.7781772E7)</f>
        <v>27781772</v>
      </c>
    </row>
    <row r="4439">
      <c r="A4439" s="3">
        <f>IFERROR(__xludf.DUMMYFUNCTION("""COMPUTED_VALUE"""),44005.64583333333)</f>
        <v>44005.64583</v>
      </c>
      <c r="B4439" s="2">
        <f>IFERROR(__xludf.DUMMYFUNCTION("""COMPUTED_VALUE"""),1750.0)</f>
        <v>1750</v>
      </c>
      <c r="C4439" s="2">
        <f>IFERROR(__xludf.DUMMYFUNCTION("""COMPUTED_VALUE"""),1763.75)</f>
        <v>1763.75</v>
      </c>
      <c r="D4439" s="2">
        <f>IFERROR(__xludf.DUMMYFUNCTION("""COMPUTED_VALUE"""),1716.1)</f>
        <v>1716.1</v>
      </c>
      <c r="E4439" s="2">
        <f>IFERROR(__xludf.DUMMYFUNCTION("""COMPUTED_VALUE"""),1720.9)</f>
        <v>1720.9</v>
      </c>
      <c r="F4439" s="2">
        <f>IFERROR(__xludf.DUMMYFUNCTION("""COMPUTED_VALUE"""),1.7521196E7)</f>
        <v>17521196</v>
      </c>
    </row>
    <row r="4440">
      <c r="A4440" s="3">
        <f>IFERROR(__xludf.DUMMYFUNCTION("""COMPUTED_VALUE"""),44006.64583333333)</f>
        <v>44006.64583</v>
      </c>
      <c r="B4440" s="2">
        <f>IFERROR(__xludf.DUMMYFUNCTION("""COMPUTED_VALUE"""),1735.9)</f>
        <v>1735.9</v>
      </c>
      <c r="C4440" s="2">
        <f>IFERROR(__xludf.DUMMYFUNCTION("""COMPUTED_VALUE"""),1772.7)</f>
        <v>1772.7</v>
      </c>
      <c r="D4440" s="2">
        <f>IFERROR(__xludf.DUMMYFUNCTION("""COMPUTED_VALUE"""),1711.7)</f>
        <v>1711.7</v>
      </c>
      <c r="E4440" s="2">
        <f>IFERROR(__xludf.DUMMYFUNCTION("""COMPUTED_VALUE"""),1727.85)</f>
        <v>1727.85</v>
      </c>
      <c r="F4440" s="2">
        <f>IFERROR(__xludf.DUMMYFUNCTION("""COMPUTED_VALUE"""),2.3808524E7)</f>
        <v>23808524</v>
      </c>
    </row>
    <row r="4441">
      <c r="A4441" s="3">
        <f>IFERROR(__xludf.DUMMYFUNCTION("""COMPUTED_VALUE"""),44007.64583333333)</f>
        <v>44007.64583</v>
      </c>
      <c r="B4441" s="2">
        <f>IFERROR(__xludf.DUMMYFUNCTION("""COMPUTED_VALUE"""),1727.0)</f>
        <v>1727</v>
      </c>
      <c r="C4441" s="2">
        <f>IFERROR(__xludf.DUMMYFUNCTION("""COMPUTED_VALUE"""),1749.0)</f>
        <v>1749</v>
      </c>
      <c r="D4441" s="2">
        <f>IFERROR(__xludf.DUMMYFUNCTION("""COMPUTED_VALUE"""),1713.05)</f>
        <v>1713.05</v>
      </c>
      <c r="E4441" s="2">
        <f>IFERROR(__xludf.DUMMYFUNCTION("""COMPUTED_VALUE"""),1717.9)</f>
        <v>1717.9</v>
      </c>
      <c r="F4441" s="2">
        <f>IFERROR(__xludf.DUMMYFUNCTION("""COMPUTED_VALUE"""),1.8312705E7)</f>
        <v>18312705</v>
      </c>
    </row>
    <row r="4442">
      <c r="A4442" s="3">
        <f>IFERROR(__xludf.DUMMYFUNCTION("""COMPUTED_VALUE"""),44008.64583333333)</f>
        <v>44008.64583</v>
      </c>
      <c r="B4442" s="2">
        <f>IFERROR(__xludf.DUMMYFUNCTION("""COMPUTED_VALUE"""),1728.8)</f>
        <v>1728.8</v>
      </c>
      <c r="C4442" s="2">
        <f>IFERROR(__xludf.DUMMYFUNCTION("""COMPUTED_VALUE"""),1752.0)</f>
        <v>1752</v>
      </c>
      <c r="D4442" s="2">
        <f>IFERROR(__xludf.DUMMYFUNCTION("""COMPUTED_VALUE"""),1717.0)</f>
        <v>1717</v>
      </c>
      <c r="E4442" s="2">
        <f>IFERROR(__xludf.DUMMYFUNCTION("""COMPUTED_VALUE"""),1741.65)</f>
        <v>1741.65</v>
      </c>
      <c r="F4442" s="2">
        <f>IFERROR(__xludf.DUMMYFUNCTION("""COMPUTED_VALUE"""),1.4270695E7)</f>
        <v>14270695</v>
      </c>
    </row>
    <row r="4443">
      <c r="A4443" s="3">
        <f>IFERROR(__xludf.DUMMYFUNCTION("""COMPUTED_VALUE"""),44011.64583333333)</f>
        <v>44011.64583</v>
      </c>
      <c r="B4443" s="2">
        <f>IFERROR(__xludf.DUMMYFUNCTION("""COMPUTED_VALUE"""),1728.05)</f>
        <v>1728.05</v>
      </c>
      <c r="C4443" s="2">
        <f>IFERROR(__xludf.DUMMYFUNCTION("""COMPUTED_VALUE"""),1739.75)</f>
        <v>1739.75</v>
      </c>
      <c r="D4443" s="2">
        <f>IFERROR(__xludf.DUMMYFUNCTION("""COMPUTED_VALUE"""),1715.55)</f>
        <v>1715.55</v>
      </c>
      <c r="E4443" s="2">
        <f>IFERROR(__xludf.DUMMYFUNCTION("""COMPUTED_VALUE"""),1723.15)</f>
        <v>1723.15</v>
      </c>
      <c r="F4443" s="2">
        <f>IFERROR(__xludf.DUMMYFUNCTION("""COMPUTED_VALUE"""),1.1825126E7)</f>
        <v>11825126</v>
      </c>
    </row>
    <row r="4444">
      <c r="A4444" s="3">
        <f>IFERROR(__xludf.DUMMYFUNCTION("""COMPUTED_VALUE"""),44012.64583333333)</f>
        <v>44012.64583</v>
      </c>
      <c r="B4444" s="2">
        <f>IFERROR(__xludf.DUMMYFUNCTION("""COMPUTED_VALUE"""),1737.0)</f>
        <v>1737</v>
      </c>
      <c r="C4444" s="2">
        <f>IFERROR(__xludf.DUMMYFUNCTION("""COMPUTED_VALUE"""),1741.0)</f>
        <v>1741</v>
      </c>
      <c r="D4444" s="2">
        <f>IFERROR(__xludf.DUMMYFUNCTION("""COMPUTED_VALUE"""),1695.55)</f>
        <v>1695.55</v>
      </c>
      <c r="E4444" s="2">
        <f>IFERROR(__xludf.DUMMYFUNCTION("""COMPUTED_VALUE"""),1704.1)</f>
        <v>1704.1</v>
      </c>
      <c r="F4444" s="2">
        <f>IFERROR(__xludf.DUMMYFUNCTION("""COMPUTED_VALUE"""),1.3973038E7)</f>
        <v>13973038</v>
      </c>
    </row>
    <row r="4445">
      <c r="A4445" s="3">
        <f>IFERROR(__xludf.DUMMYFUNCTION("""COMPUTED_VALUE"""),44013.64583333333)</f>
        <v>44013.64583</v>
      </c>
      <c r="B4445" s="2">
        <f>IFERROR(__xludf.DUMMYFUNCTION("""COMPUTED_VALUE"""),1720.0)</f>
        <v>1720</v>
      </c>
      <c r="C4445" s="2">
        <f>IFERROR(__xludf.DUMMYFUNCTION("""COMPUTED_VALUE"""),1749.0)</f>
        <v>1749</v>
      </c>
      <c r="D4445" s="2">
        <f>IFERROR(__xludf.DUMMYFUNCTION("""COMPUTED_VALUE"""),1708.05)</f>
        <v>1708.05</v>
      </c>
      <c r="E4445" s="2">
        <f>IFERROR(__xludf.DUMMYFUNCTION("""COMPUTED_VALUE"""),1737.6)</f>
        <v>1737.6</v>
      </c>
      <c r="F4445" s="2">
        <f>IFERROR(__xludf.DUMMYFUNCTION("""COMPUTED_VALUE"""),1.3136706E7)</f>
        <v>13136706</v>
      </c>
    </row>
    <row r="4446">
      <c r="A4446" s="3">
        <f>IFERROR(__xludf.DUMMYFUNCTION("""COMPUTED_VALUE"""),44014.64583333333)</f>
        <v>44014.64583</v>
      </c>
      <c r="B4446" s="2">
        <f>IFERROR(__xludf.DUMMYFUNCTION("""COMPUTED_VALUE"""),1743.0)</f>
        <v>1743</v>
      </c>
      <c r="C4446" s="2">
        <f>IFERROR(__xludf.DUMMYFUNCTION("""COMPUTED_VALUE"""),1767.6)</f>
        <v>1767.6</v>
      </c>
      <c r="D4446" s="2">
        <f>IFERROR(__xludf.DUMMYFUNCTION("""COMPUTED_VALUE"""),1735.05)</f>
        <v>1735.05</v>
      </c>
      <c r="E4446" s="2">
        <f>IFERROR(__xludf.DUMMYFUNCTION("""COMPUTED_VALUE"""),1760.35)</f>
        <v>1760.35</v>
      </c>
      <c r="F4446" s="2">
        <f>IFERROR(__xludf.DUMMYFUNCTION("""COMPUTED_VALUE"""),1.328676E7)</f>
        <v>13286760</v>
      </c>
    </row>
    <row r="4447">
      <c r="A4447" s="3">
        <f>IFERROR(__xludf.DUMMYFUNCTION("""COMPUTED_VALUE"""),44015.64583333333)</f>
        <v>44015.64583</v>
      </c>
      <c r="B4447" s="2">
        <f>IFERROR(__xludf.DUMMYFUNCTION("""COMPUTED_VALUE"""),1779.8)</f>
        <v>1779.8</v>
      </c>
      <c r="C4447" s="2">
        <f>IFERROR(__xludf.DUMMYFUNCTION("""COMPUTED_VALUE"""),1793.0)</f>
        <v>1793</v>
      </c>
      <c r="D4447" s="2">
        <f>IFERROR(__xludf.DUMMYFUNCTION("""COMPUTED_VALUE"""),1768.0)</f>
        <v>1768</v>
      </c>
      <c r="E4447" s="2">
        <f>IFERROR(__xludf.DUMMYFUNCTION("""COMPUTED_VALUE"""),1787.9)</f>
        <v>1787.9</v>
      </c>
      <c r="F4447" s="2">
        <f>IFERROR(__xludf.DUMMYFUNCTION("""COMPUTED_VALUE"""),1.3584004E7)</f>
        <v>13584004</v>
      </c>
    </row>
    <row r="4448">
      <c r="A4448" s="3">
        <f>IFERROR(__xludf.DUMMYFUNCTION("""COMPUTED_VALUE"""),44018.64583333333)</f>
        <v>44018.64583</v>
      </c>
      <c r="B4448" s="2">
        <f>IFERROR(__xludf.DUMMYFUNCTION("""COMPUTED_VALUE"""),1805.0)</f>
        <v>1805</v>
      </c>
      <c r="C4448" s="2">
        <f>IFERROR(__xludf.DUMMYFUNCTION("""COMPUTED_VALUE"""),1858.0)</f>
        <v>1858</v>
      </c>
      <c r="D4448" s="2">
        <f>IFERROR(__xludf.DUMMYFUNCTION("""COMPUTED_VALUE"""),1792.1)</f>
        <v>1792.1</v>
      </c>
      <c r="E4448" s="2">
        <f>IFERROR(__xludf.DUMMYFUNCTION("""COMPUTED_VALUE"""),1851.8)</f>
        <v>1851.8</v>
      </c>
      <c r="F4448" s="2">
        <f>IFERROR(__xludf.DUMMYFUNCTION("""COMPUTED_VALUE"""),2.1698149E7)</f>
        <v>21698149</v>
      </c>
    </row>
    <row r="4449">
      <c r="A4449" s="3">
        <f>IFERROR(__xludf.DUMMYFUNCTION("""COMPUTED_VALUE"""),44019.64583333333)</f>
        <v>44019.64583</v>
      </c>
      <c r="B4449" s="2">
        <f>IFERROR(__xludf.DUMMYFUNCTION("""COMPUTED_VALUE"""),1860.0)</f>
        <v>1860</v>
      </c>
      <c r="C4449" s="2">
        <f>IFERROR(__xludf.DUMMYFUNCTION("""COMPUTED_VALUE"""),1864.35)</f>
        <v>1864.35</v>
      </c>
      <c r="D4449" s="2">
        <f>IFERROR(__xludf.DUMMYFUNCTION("""COMPUTED_VALUE"""),1806.3)</f>
        <v>1806.3</v>
      </c>
      <c r="E4449" s="2">
        <f>IFERROR(__xludf.DUMMYFUNCTION("""COMPUTED_VALUE"""),1823.45)</f>
        <v>1823.45</v>
      </c>
      <c r="F4449" s="2">
        <f>IFERROR(__xludf.DUMMYFUNCTION("""COMPUTED_VALUE"""),1.6240102E7)</f>
        <v>16240102</v>
      </c>
    </row>
    <row r="4450">
      <c r="A4450" s="3">
        <f>IFERROR(__xludf.DUMMYFUNCTION("""COMPUTED_VALUE"""),44020.64583333333)</f>
        <v>44020.64583</v>
      </c>
      <c r="B4450" s="2">
        <f>IFERROR(__xludf.DUMMYFUNCTION("""COMPUTED_VALUE"""),1824.05)</f>
        <v>1824.05</v>
      </c>
      <c r="C4450" s="2">
        <f>IFERROR(__xludf.DUMMYFUNCTION("""COMPUTED_VALUE"""),1834.95)</f>
        <v>1834.95</v>
      </c>
      <c r="D4450" s="2">
        <f>IFERROR(__xludf.DUMMYFUNCTION("""COMPUTED_VALUE"""),1790.0)</f>
        <v>1790</v>
      </c>
      <c r="E4450" s="2">
        <f>IFERROR(__xludf.DUMMYFUNCTION("""COMPUTED_VALUE"""),1798.0)</f>
        <v>1798</v>
      </c>
      <c r="F4450" s="2">
        <f>IFERROR(__xludf.DUMMYFUNCTION("""COMPUTED_VALUE"""),1.2093523E7)</f>
        <v>12093523</v>
      </c>
    </row>
    <row r="4451">
      <c r="A4451" s="3">
        <f>IFERROR(__xludf.DUMMYFUNCTION("""COMPUTED_VALUE"""),44021.64583333333)</f>
        <v>44021.64583</v>
      </c>
      <c r="B4451" s="2">
        <f>IFERROR(__xludf.DUMMYFUNCTION("""COMPUTED_VALUE"""),1809.0)</f>
        <v>1809</v>
      </c>
      <c r="C4451" s="2">
        <f>IFERROR(__xludf.DUMMYFUNCTION("""COMPUTED_VALUE"""),1835.0)</f>
        <v>1835</v>
      </c>
      <c r="D4451" s="2">
        <f>IFERROR(__xludf.DUMMYFUNCTION("""COMPUTED_VALUE"""),1786.25)</f>
        <v>1786.25</v>
      </c>
      <c r="E4451" s="2">
        <f>IFERROR(__xludf.DUMMYFUNCTION("""COMPUTED_VALUE"""),1824.25)</f>
        <v>1824.25</v>
      </c>
      <c r="F4451" s="2">
        <f>IFERROR(__xludf.DUMMYFUNCTION("""COMPUTED_VALUE"""),1.6807403E7)</f>
        <v>16807403</v>
      </c>
    </row>
    <row r="4452">
      <c r="A4452" s="3">
        <f>IFERROR(__xludf.DUMMYFUNCTION("""COMPUTED_VALUE"""),44022.64583333333)</f>
        <v>44022.64583</v>
      </c>
      <c r="B4452" s="2">
        <f>IFERROR(__xludf.DUMMYFUNCTION("""COMPUTED_VALUE"""),1828.5)</f>
        <v>1828.5</v>
      </c>
      <c r="C4452" s="2">
        <f>IFERROR(__xludf.DUMMYFUNCTION("""COMPUTED_VALUE"""),1884.6)</f>
        <v>1884.6</v>
      </c>
      <c r="D4452" s="2">
        <f>IFERROR(__xludf.DUMMYFUNCTION("""COMPUTED_VALUE"""),1824.25)</f>
        <v>1824.25</v>
      </c>
      <c r="E4452" s="2">
        <f>IFERROR(__xludf.DUMMYFUNCTION("""COMPUTED_VALUE"""),1878.05)</f>
        <v>1878.05</v>
      </c>
      <c r="F4452" s="2">
        <f>IFERROR(__xludf.DUMMYFUNCTION("""COMPUTED_VALUE"""),2.019549E7)</f>
        <v>20195490</v>
      </c>
    </row>
    <row r="4453">
      <c r="A4453" s="3">
        <f>IFERROR(__xludf.DUMMYFUNCTION("""COMPUTED_VALUE"""),44025.64583333333)</f>
        <v>44025.64583</v>
      </c>
      <c r="B4453" s="2">
        <f>IFERROR(__xludf.DUMMYFUNCTION("""COMPUTED_VALUE"""),1903.35)</f>
        <v>1903.35</v>
      </c>
      <c r="C4453" s="2">
        <f>IFERROR(__xludf.DUMMYFUNCTION("""COMPUTED_VALUE"""),1947.7)</f>
        <v>1947.7</v>
      </c>
      <c r="D4453" s="2">
        <f>IFERROR(__xludf.DUMMYFUNCTION("""COMPUTED_VALUE"""),1900.0)</f>
        <v>1900</v>
      </c>
      <c r="E4453" s="2">
        <f>IFERROR(__xludf.DUMMYFUNCTION("""COMPUTED_VALUE"""),1935.0)</f>
        <v>1935</v>
      </c>
      <c r="F4453" s="2">
        <f>IFERROR(__xludf.DUMMYFUNCTION("""COMPUTED_VALUE"""),3.2124397E7)</f>
        <v>32124397</v>
      </c>
    </row>
    <row r="4454">
      <c r="A4454" s="3">
        <f>IFERROR(__xludf.DUMMYFUNCTION("""COMPUTED_VALUE"""),44026.64583333333)</f>
        <v>44026.64583</v>
      </c>
      <c r="B4454" s="2">
        <f>IFERROR(__xludf.DUMMYFUNCTION("""COMPUTED_VALUE"""),1934.0)</f>
        <v>1934</v>
      </c>
      <c r="C4454" s="2">
        <f>IFERROR(__xludf.DUMMYFUNCTION("""COMPUTED_VALUE"""),1941.7)</f>
        <v>1941.7</v>
      </c>
      <c r="D4454" s="2">
        <f>IFERROR(__xludf.DUMMYFUNCTION("""COMPUTED_VALUE"""),1887.3)</f>
        <v>1887.3</v>
      </c>
      <c r="E4454" s="2">
        <f>IFERROR(__xludf.DUMMYFUNCTION("""COMPUTED_VALUE"""),1917.0)</f>
        <v>1917</v>
      </c>
      <c r="F4454" s="2">
        <f>IFERROR(__xludf.DUMMYFUNCTION("""COMPUTED_VALUE"""),3.1073591E7)</f>
        <v>31073591</v>
      </c>
    </row>
    <row r="4455">
      <c r="A4455" s="3">
        <f>IFERROR(__xludf.DUMMYFUNCTION("""COMPUTED_VALUE"""),44027.64583333333)</f>
        <v>44027.64583</v>
      </c>
      <c r="B4455" s="2">
        <f>IFERROR(__xludf.DUMMYFUNCTION("""COMPUTED_VALUE"""),1937.95)</f>
        <v>1937.95</v>
      </c>
      <c r="C4455" s="2">
        <f>IFERROR(__xludf.DUMMYFUNCTION("""COMPUTED_VALUE"""),1978.8)</f>
        <v>1978.8</v>
      </c>
      <c r="D4455" s="2">
        <f>IFERROR(__xludf.DUMMYFUNCTION("""COMPUTED_VALUE"""),1798.0)</f>
        <v>1798</v>
      </c>
      <c r="E4455" s="2">
        <f>IFERROR(__xludf.DUMMYFUNCTION("""COMPUTED_VALUE"""),1844.0)</f>
        <v>1844</v>
      </c>
      <c r="F4455" s="2">
        <f>IFERROR(__xludf.DUMMYFUNCTION("""COMPUTED_VALUE"""),6.4458598E7)</f>
        <v>64458598</v>
      </c>
    </row>
    <row r="4456">
      <c r="A4456" s="3">
        <f>IFERROR(__xludf.DUMMYFUNCTION("""COMPUTED_VALUE"""),44028.64583333333)</f>
        <v>44028.64583</v>
      </c>
      <c r="B4456" s="2">
        <f>IFERROR(__xludf.DUMMYFUNCTION("""COMPUTED_VALUE"""),1847.0)</f>
        <v>1847</v>
      </c>
      <c r="C4456" s="2">
        <f>IFERROR(__xludf.DUMMYFUNCTION("""COMPUTED_VALUE"""),1869.0)</f>
        <v>1869</v>
      </c>
      <c r="D4456" s="2">
        <f>IFERROR(__xludf.DUMMYFUNCTION("""COMPUTED_VALUE"""),1812.45)</f>
        <v>1812.45</v>
      </c>
      <c r="E4456" s="2">
        <f>IFERROR(__xludf.DUMMYFUNCTION("""COMPUTED_VALUE"""),1843.4)</f>
        <v>1843.4</v>
      </c>
      <c r="F4456" s="2">
        <f>IFERROR(__xludf.DUMMYFUNCTION("""COMPUTED_VALUE"""),2.8133993E7)</f>
        <v>28133993</v>
      </c>
    </row>
    <row r="4457">
      <c r="A4457" s="3">
        <f>IFERROR(__xludf.DUMMYFUNCTION("""COMPUTED_VALUE"""),44029.64583333333)</f>
        <v>44029.64583</v>
      </c>
      <c r="B4457" s="2">
        <f>IFERROR(__xludf.DUMMYFUNCTION("""COMPUTED_VALUE"""),1845.0)</f>
        <v>1845</v>
      </c>
      <c r="C4457" s="2">
        <f>IFERROR(__xludf.DUMMYFUNCTION("""COMPUTED_VALUE"""),1920.0)</f>
        <v>1920</v>
      </c>
      <c r="D4457" s="2">
        <f>IFERROR(__xludf.DUMMYFUNCTION("""COMPUTED_VALUE"""),1838.0)</f>
        <v>1838</v>
      </c>
      <c r="E4457" s="2">
        <f>IFERROR(__xludf.DUMMYFUNCTION("""COMPUTED_VALUE"""),1911.7)</f>
        <v>1911.7</v>
      </c>
      <c r="F4457" s="2">
        <f>IFERROR(__xludf.DUMMYFUNCTION("""COMPUTED_VALUE"""),2.2949535E7)</f>
        <v>22949535</v>
      </c>
    </row>
    <row r="4458">
      <c r="A4458" s="3">
        <f>IFERROR(__xludf.DUMMYFUNCTION("""COMPUTED_VALUE"""),44032.64583333333)</f>
        <v>44032.64583</v>
      </c>
      <c r="B4458" s="2">
        <f>IFERROR(__xludf.DUMMYFUNCTION("""COMPUTED_VALUE"""),1917.8)</f>
        <v>1917.8</v>
      </c>
      <c r="C4458" s="2">
        <f>IFERROR(__xludf.DUMMYFUNCTION("""COMPUTED_VALUE"""),1932.0)</f>
        <v>1932</v>
      </c>
      <c r="D4458" s="2">
        <f>IFERROR(__xludf.DUMMYFUNCTION("""COMPUTED_VALUE"""),1899.65)</f>
        <v>1899.65</v>
      </c>
      <c r="E4458" s="2">
        <f>IFERROR(__xludf.DUMMYFUNCTION("""COMPUTED_VALUE"""),1919.9)</f>
        <v>1919.9</v>
      </c>
      <c r="F4458" s="2">
        <f>IFERROR(__xludf.DUMMYFUNCTION("""COMPUTED_VALUE"""),1.6887752E7)</f>
        <v>16887752</v>
      </c>
    </row>
    <row r="4459">
      <c r="A4459" s="3">
        <f>IFERROR(__xludf.DUMMYFUNCTION("""COMPUTED_VALUE"""),44033.64583333333)</f>
        <v>44033.64583</v>
      </c>
      <c r="B4459" s="2">
        <f>IFERROR(__xludf.DUMMYFUNCTION("""COMPUTED_VALUE"""),1939.0)</f>
        <v>1939</v>
      </c>
      <c r="C4459" s="2">
        <f>IFERROR(__xludf.DUMMYFUNCTION("""COMPUTED_VALUE"""),1977.0)</f>
        <v>1977</v>
      </c>
      <c r="D4459" s="2">
        <f>IFERROR(__xludf.DUMMYFUNCTION("""COMPUTED_VALUE"""),1936.5)</f>
        <v>1936.5</v>
      </c>
      <c r="E4459" s="2">
        <f>IFERROR(__xludf.DUMMYFUNCTION("""COMPUTED_VALUE"""),1971.55)</f>
        <v>1971.55</v>
      </c>
      <c r="F4459" s="2">
        <f>IFERROR(__xludf.DUMMYFUNCTION("""COMPUTED_VALUE"""),1.9463498E7)</f>
        <v>19463498</v>
      </c>
    </row>
    <row r="4460">
      <c r="A4460" s="3">
        <f>IFERROR(__xludf.DUMMYFUNCTION("""COMPUTED_VALUE"""),44034.64583333333)</f>
        <v>44034.64583</v>
      </c>
      <c r="B4460" s="2">
        <f>IFERROR(__xludf.DUMMYFUNCTION("""COMPUTED_VALUE"""),1983.0)</f>
        <v>1983</v>
      </c>
      <c r="C4460" s="2">
        <f>IFERROR(__xludf.DUMMYFUNCTION("""COMPUTED_VALUE"""),2010.0)</f>
        <v>2010</v>
      </c>
      <c r="D4460" s="2">
        <f>IFERROR(__xludf.DUMMYFUNCTION("""COMPUTED_VALUE"""),1960.7)</f>
        <v>1960.7</v>
      </c>
      <c r="E4460" s="2">
        <f>IFERROR(__xludf.DUMMYFUNCTION("""COMPUTED_VALUE"""),2004.0)</f>
        <v>2004</v>
      </c>
      <c r="F4460" s="2">
        <f>IFERROR(__xludf.DUMMYFUNCTION("""COMPUTED_VALUE"""),2.7584769E7)</f>
        <v>27584769</v>
      </c>
    </row>
    <row r="4461">
      <c r="A4461" s="3">
        <f>IFERROR(__xludf.DUMMYFUNCTION("""COMPUTED_VALUE"""),44035.64583333333)</f>
        <v>44035.64583</v>
      </c>
      <c r="B4461" s="2">
        <f>IFERROR(__xludf.DUMMYFUNCTION("""COMPUTED_VALUE"""),2003.95)</f>
        <v>2003.95</v>
      </c>
      <c r="C4461" s="2">
        <f>IFERROR(__xludf.DUMMYFUNCTION("""COMPUTED_VALUE"""),2079.7)</f>
        <v>2079.7</v>
      </c>
      <c r="D4461" s="2">
        <f>IFERROR(__xludf.DUMMYFUNCTION("""COMPUTED_VALUE"""),1991.35)</f>
        <v>1991.35</v>
      </c>
      <c r="E4461" s="2">
        <f>IFERROR(__xludf.DUMMYFUNCTION("""COMPUTED_VALUE"""),2057.8)</f>
        <v>2057.8</v>
      </c>
      <c r="F4461" s="2">
        <f>IFERROR(__xludf.DUMMYFUNCTION("""COMPUTED_VALUE"""),2.6921058E7)</f>
        <v>26921058</v>
      </c>
    </row>
    <row r="4462">
      <c r="A4462" s="3">
        <f>IFERROR(__xludf.DUMMYFUNCTION("""COMPUTED_VALUE"""),44036.64583333333)</f>
        <v>44036.64583</v>
      </c>
      <c r="B4462" s="2">
        <f>IFERROR(__xludf.DUMMYFUNCTION("""COMPUTED_VALUE"""),2058.0)</f>
        <v>2058</v>
      </c>
      <c r="C4462" s="2">
        <f>IFERROR(__xludf.DUMMYFUNCTION("""COMPUTED_VALUE"""),2163.0)</f>
        <v>2163</v>
      </c>
      <c r="D4462" s="2">
        <f>IFERROR(__xludf.DUMMYFUNCTION("""COMPUTED_VALUE"""),2057.8)</f>
        <v>2057.8</v>
      </c>
      <c r="E4462" s="2">
        <f>IFERROR(__xludf.DUMMYFUNCTION("""COMPUTED_VALUE"""),2146.15)</f>
        <v>2146.15</v>
      </c>
      <c r="F4462" s="2">
        <f>IFERROR(__xludf.DUMMYFUNCTION("""COMPUTED_VALUE"""),5.5656793E7)</f>
        <v>55656793</v>
      </c>
    </row>
    <row r="4463">
      <c r="A4463" s="3">
        <f>IFERROR(__xludf.DUMMYFUNCTION("""COMPUTED_VALUE"""),44039.64583333333)</f>
        <v>44039.64583</v>
      </c>
      <c r="B4463" s="2">
        <f>IFERROR(__xludf.DUMMYFUNCTION("""COMPUTED_VALUE"""),2178.8)</f>
        <v>2178.8</v>
      </c>
      <c r="C4463" s="2">
        <f>IFERROR(__xludf.DUMMYFUNCTION("""COMPUTED_VALUE"""),2198.8)</f>
        <v>2198.8</v>
      </c>
      <c r="D4463" s="2">
        <f>IFERROR(__xludf.DUMMYFUNCTION("""COMPUTED_VALUE"""),2127.9)</f>
        <v>2127.9</v>
      </c>
      <c r="E4463" s="2">
        <f>IFERROR(__xludf.DUMMYFUNCTION("""COMPUTED_VALUE"""),2156.2)</f>
        <v>2156.2</v>
      </c>
      <c r="F4463" s="2">
        <f>IFERROR(__xludf.DUMMYFUNCTION("""COMPUTED_VALUE"""),3.7060949E7)</f>
        <v>37060949</v>
      </c>
    </row>
    <row r="4464">
      <c r="A4464" s="3">
        <f>IFERROR(__xludf.DUMMYFUNCTION("""COMPUTED_VALUE"""),44040.64583333333)</f>
        <v>44040.64583</v>
      </c>
      <c r="B4464" s="2">
        <f>IFERROR(__xludf.DUMMYFUNCTION("""COMPUTED_VALUE"""),2156.2)</f>
        <v>2156.2</v>
      </c>
      <c r="C4464" s="2">
        <f>IFERROR(__xludf.DUMMYFUNCTION("""COMPUTED_VALUE"""),2194.0)</f>
        <v>2194</v>
      </c>
      <c r="D4464" s="2">
        <f>IFERROR(__xludf.DUMMYFUNCTION("""COMPUTED_VALUE"""),2150.65)</f>
        <v>2150.65</v>
      </c>
      <c r="E4464" s="2">
        <f>IFERROR(__xludf.DUMMYFUNCTION("""COMPUTED_VALUE"""),2177.7)</f>
        <v>2177.7</v>
      </c>
      <c r="F4464" s="2">
        <f>IFERROR(__xludf.DUMMYFUNCTION("""COMPUTED_VALUE"""),2.5435618E7)</f>
        <v>25435618</v>
      </c>
    </row>
    <row r="4465">
      <c r="A4465" s="3">
        <f>IFERROR(__xludf.DUMMYFUNCTION("""COMPUTED_VALUE"""),44041.64583333333)</f>
        <v>44041.64583</v>
      </c>
      <c r="B4465" s="2">
        <f>IFERROR(__xludf.DUMMYFUNCTION("""COMPUTED_VALUE"""),2177.9)</f>
        <v>2177.9</v>
      </c>
      <c r="C4465" s="2">
        <f>IFERROR(__xludf.DUMMYFUNCTION("""COMPUTED_VALUE"""),2182.8)</f>
        <v>2182.8</v>
      </c>
      <c r="D4465" s="2">
        <f>IFERROR(__xludf.DUMMYFUNCTION("""COMPUTED_VALUE"""),2070.45)</f>
        <v>2070.45</v>
      </c>
      <c r="E4465" s="2">
        <f>IFERROR(__xludf.DUMMYFUNCTION("""COMPUTED_VALUE"""),2096.65)</f>
        <v>2096.65</v>
      </c>
      <c r="F4465" s="2">
        <f>IFERROR(__xludf.DUMMYFUNCTION("""COMPUTED_VALUE"""),3.3536361E7)</f>
        <v>33536361</v>
      </c>
    </row>
    <row r="4466">
      <c r="A4466" s="3">
        <f>IFERROR(__xludf.DUMMYFUNCTION("""COMPUTED_VALUE"""),44042.64583333333)</f>
        <v>44042.64583</v>
      </c>
      <c r="B4466" s="2">
        <f>IFERROR(__xludf.DUMMYFUNCTION("""COMPUTED_VALUE"""),2099.0)</f>
        <v>2099</v>
      </c>
      <c r="C4466" s="2">
        <f>IFERROR(__xludf.DUMMYFUNCTION("""COMPUTED_VALUE"""),2139.7)</f>
        <v>2139.7</v>
      </c>
      <c r="D4466" s="2">
        <f>IFERROR(__xludf.DUMMYFUNCTION("""COMPUTED_VALUE"""),2072.0)</f>
        <v>2072</v>
      </c>
      <c r="E4466" s="2">
        <f>IFERROR(__xludf.DUMMYFUNCTION("""COMPUTED_VALUE"""),2108.85)</f>
        <v>2108.85</v>
      </c>
      <c r="F4466" s="2">
        <f>IFERROR(__xludf.DUMMYFUNCTION("""COMPUTED_VALUE"""),3.3624516E7)</f>
        <v>33624516</v>
      </c>
    </row>
    <row r="4467">
      <c r="A4467" s="3">
        <f>IFERROR(__xludf.DUMMYFUNCTION("""COMPUTED_VALUE"""),44043.64583333333)</f>
        <v>44043.64583</v>
      </c>
      <c r="B4467" s="2">
        <f>IFERROR(__xludf.DUMMYFUNCTION("""COMPUTED_VALUE"""),2114.5)</f>
        <v>2114.5</v>
      </c>
      <c r="C4467" s="2">
        <f>IFERROR(__xludf.DUMMYFUNCTION("""COMPUTED_VALUE"""),2129.0)</f>
        <v>2129</v>
      </c>
      <c r="D4467" s="2">
        <f>IFERROR(__xludf.DUMMYFUNCTION("""COMPUTED_VALUE"""),2052.8)</f>
        <v>2052.8</v>
      </c>
      <c r="E4467" s="2">
        <f>IFERROR(__xludf.DUMMYFUNCTION("""COMPUTED_VALUE"""),2067.1)</f>
        <v>2067.1</v>
      </c>
      <c r="F4467" s="2">
        <f>IFERROR(__xludf.DUMMYFUNCTION("""COMPUTED_VALUE"""),3.4593375E7)</f>
        <v>34593375</v>
      </c>
    </row>
    <row r="4468">
      <c r="A4468" s="3">
        <f>IFERROR(__xludf.DUMMYFUNCTION("""COMPUTED_VALUE"""),44046.64583333333)</f>
        <v>44046.64583</v>
      </c>
      <c r="B4468" s="2">
        <f>IFERROR(__xludf.DUMMYFUNCTION("""COMPUTED_VALUE"""),2051.3)</f>
        <v>2051.3</v>
      </c>
      <c r="C4468" s="2">
        <f>IFERROR(__xludf.DUMMYFUNCTION("""COMPUTED_VALUE"""),2057.0)</f>
        <v>2057</v>
      </c>
      <c r="D4468" s="2">
        <f>IFERROR(__xludf.DUMMYFUNCTION("""COMPUTED_VALUE"""),2003.1)</f>
        <v>2003.1</v>
      </c>
      <c r="E4468" s="2">
        <f>IFERROR(__xludf.DUMMYFUNCTION("""COMPUTED_VALUE"""),2009.0)</f>
        <v>2009</v>
      </c>
      <c r="F4468" s="2">
        <f>IFERROR(__xludf.DUMMYFUNCTION("""COMPUTED_VALUE"""),2.1560137E7)</f>
        <v>21560137</v>
      </c>
    </row>
    <row r="4469">
      <c r="A4469" s="3">
        <f>IFERROR(__xludf.DUMMYFUNCTION("""COMPUTED_VALUE"""),44047.64583333333)</f>
        <v>44047.64583</v>
      </c>
      <c r="B4469" s="2">
        <f>IFERROR(__xludf.DUMMYFUNCTION("""COMPUTED_VALUE"""),2020.6)</f>
        <v>2020.6</v>
      </c>
      <c r="C4469" s="2">
        <f>IFERROR(__xludf.DUMMYFUNCTION("""COMPUTED_VALUE"""),2167.0)</f>
        <v>2167</v>
      </c>
      <c r="D4469" s="2">
        <f>IFERROR(__xludf.DUMMYFUNCTION("""COMPUTED_VALUE"""),2000.25)</f>
        <v>2000.25</v>
      </c>
      <c r="E4469" s="2">
        <f>IFERROR(__xludf.DUMMYFUNCTION("""COMPUTED_VALUE"""),2150.6)</f>
        <v>2150.6</v>
      </c>
      <c r="F4469" s="2">
        <f>IFERROR(__xludf.DUMMYFUNCTION("""COMPUTED_VALUE"""),4.2477225E7)</f>
        <v>42477225</v>
      </c>
    </row>
    <row r="4470">
      <c r="A4470" s="3">
        <f>IFERROR(__xludf.DUMMYFUNCTION("""COMPUTED_VALUE"""),44048.64583333333)</f>
        <v>44048.64583</v>
      </c>
      <c r="B4470" s="2">
        <f>IFERROR(__xludf.DUMMYFUNCTION("""COMPUTED_VALUE"""),2169.0)</f>
        <v>2169</v>
      </c>
      <c r="C4470" s="2">
        <f>IFERROR(__xludf.DUMMYFUNCTION("""COMPUTED_VALUE"""),2196.0)</f>
        <v>2196</v>
      </c>
      <c r="D4470" s="2">
        <f>IFERROR(__xludf.DUMMYFUNCTION("""COMPUTED_VALUE"""),2118.3)</f>
        <v>2118.3</v>
      </c>
      <c r="E4470" s="2">
        <f>IFERROR(__xludf.DUMMYFUNCTION("""COMPUTED_VALUE"""),2126.45)</f>
        <v>2126.45</v>
      </c>
      <c r="F4470" s="2">
        <f>IFERROR(__xludf.DUMMYFUNCTION("""COMPUTED_VALUE"""),3.4405886E7)</f>
        <v>34405886</v>
      </c>
    </row>
    <row r="4471">
      <c r="A4471" s="3">
        <f>IFERROR(__xludf.DUMMYFUNCTION("""COMPUTED_VALUE"""),44049.64583333333)</f>
        <v>44049.64583</v>
      </c>
      <c r="B4471" s="2">
        <f>IFERROR(__xludf.DUMMYFUNCTION("""COMPUTED_VALUE"""),2157.0)</f>
        <v>2157</v>
      </c>
      <c r="C4471" s="2">
        <f>IFERROR(__xludf.DUMMYFUNCTION("""COMPUTED_VALUE"""),2167.7)</f>
        <v>2167.7</v>
      </c>
      <c r="D4471" s="2">
        <f>IFERROR(__xludf.DUMMYFUNCTION("""COMPUTED_VALUE"""),2107.8)</f>
        <v>2107.8</v>
      </c>
      <c r="E4471" s="2">
        <f>IFERROR(__xludf.DUMMYFUNCTION("""COMPUTED_VALUE"""),2134.1)</f>
        <v>2134.1</v>
      </c>
      <c r="F4471" s="2">
        <f>IFERROR(__xludf.DUMMYFUNCTION("""COMPUTED_VALUE"""),2.2762726E7)</f>
        <v>22762726</v>
      </c>
    </row>
    <row r="4472">
      <c r="A4472" s="3">
        <f>IFERROR(__xludf.DUMMYFUNCTION("""COMPUTED_VALUE"""),44050.64583333333)</f>
        <v>44050.64583</v>
      </c>
      <c r="B4472" s="2">
        <f>IFERROR(__xludf.DUMMYFUNCTION("""COMPUTED_VALUE"""),2129.8)</f>
        <v>2129.8</v>
      </c>
      <c r="C4472" s="2">
        <f>IFERROR(__xludf.DUMMYFUNCTION("""COMPUTED_VALUE"""),2157.8)</f>
        <v>2157.8</v>
      </c>
      <c r="D4472" s="2">
        <f>IFERROR(__xludf.DUMMYFUNCTION("""COMPUTED_VALUE"""),2120.2)</f>
        <v>2120.2</v>
      </c>
      <c r="E4472" s="2">
        <f>IFERROR(__xludf.DUMMYFUNCTION("""COMPUTED_VALUE"""),2146.45)</f>
        <v>2146.45</v>
      </c>
      <c r="F4472" s="2">
        <f>IFERROR(__xludf.DUMMYFUNCTION("""COMPUTED_VALUE"""),1.5222384E7)</f>
        <v>15222384</v>
      </c>
    </row>
    <row r="4473">
      <c r="A4473" s="3">
        <f>IFERROR(__xludf.DUMMYFUNCTION("""COMPUTED_VALUE"""),44053.64583333333)</f>
        <v>44053.64583</v>
      </c>
      <c r="B4473" s="2">
        <f>IFERROR(__xludf.DUMMYFUNCTION("""COMPUTED_VALUE"""),2159.1)</f>
        <v>2159.1</v>
      </c>
      <c r="C4473" s="2">
        <f>IFERROR(__xludf.DUMMYFUNCTION("""COMPUTED_VALUE"""),2165.0)</f>
        <v>2165</v>
      </c>
      <c r="D4473" s="2">
        <f>IFERROR(__xludf.DUMMYFUNCTION("""COMPUTED_VALUE"""),2108.1)</f>
        <v>2108.1</v>
      </c>
      <c r="E4473" s="2">
        <f>IFERROR(__xludf.DUMMYFUNCTION("""COMPUTED_VALUE"""),2119.85)</f>
        <v>2119.85</v>
      </c>
      <c r="F4473" s="2">
        <f>IFERROR(__xludf.DUMMYFUNCTION("""COMPUTED_VALUE"""),1.2441939E7)</f>
        <v>12441939</v>
      </c>
    </row>
    <row r="4474">
      <c r="A4474" s="3">
        <f>IFERROR(__xludf.DUMMYFUNCTION("""COMPUTED_VALUE"""),44054.64583333333)</f>
        <v>44054.64583</v>
      </c>
      <c r="B4474" s="2">
        <f>IFERROR(__xludf.DUMMYFUNCTION("""COMPUTED_VALUE"""),2134.8)</f>
        <v>2134.8</v>
      </c>
      <c r="C4474" s="2">
        <f>IFERROR(__xludf.DUMMYFUNCTION("""COMPUTED_VALUE"""),2160.0)</f>
        <v>2160</v>
      </c>
      <c r="D4474" s="2">
        <f>IFERROR(__xludf.DUMMYFUNCTION("""COMPUTED_VALUE"""),2100.35)</f>
        <v>2100.35</v>
      </c>
      <c r="E4474" s="2">
        <f>IFERROR(__xludf.DUMMYFUNCTION("""COMPUTED_VALUE"""),2133.8)</f>
        <v>2133.8</v>
      </c>
      <c r="F4474" s="2">
        <f>IFERROR(__xludf.DUMMYFUNCTION("""COMPUTED_VALUE"""),2.1611359E7)</f>
        <v>21611359</v>
      </c>
    </row>
    <row r="4475">
      <c r="A4475" s="3">
        <f>IFERROR(__xludf.DUMMYFUNCTION("""COMPUTED_VALUE"""),44055.64583333333)</f>
        <v>44055.64583</v>
      </c>
      <c r="B4475" s="2">
        <f>IFERROR(__xludf.DUMMYFUNCTION("""COMPUTED_VALUE"""),2121.0)</f>
        <v>2121</v>
      </c>
      <c r="C4475" s="2">
        <f>IFERROR(__xludf.DUMMYFUNCTION("""COMPUTED_VALUE"""),2145.0)</f>
        <v>2145</v>
      </c>
      <c r="D4475" s="2">
        <f>IFERROR(__xludf.DUMMYFUNCTION("""COMPUTED_VALUE"""),2106.8)</f>
        <v>2106.8</v>
      </c>
      <c r="E4475" s="2">
        <f>IFERROR(__xludf.DUMMYFUNCTION("""COMPUTED_VALUE"""),2127.6)</f>
        <v>2127.6</v>
      </c>
      <c r="F4475" s="2">
        <f>IFERROR(__xludf.DUMMYFUNCTION("""COMPUTED_VALUE"""),1.3967529E7)</f>
        <v>13967529</v>
      </c>
    </row>
    <row r="4476">
      <c r="A4476" s="3">
        <f>IFERROR(__xludf.DUMMYFUNCTION("""COMPUTED_VALUE"""),44056.64583333333)</f>
        <v>44056.64583</v>
      </c>
      <c r="B4476" s="2">
        <f>IFERROR(__xludf.DUMMYFUNCTION("""COMPUTED_VALUE"""),2128.0)</f>
        <v>2128</v>
      </c>
      <c r="C4476" s="2">
        <f>IFERROR(__xludf.DUMMYFUNCTION("""COMPUTED_VALUE"""),2138.9)</f>
        <v>2138.9</v>
      </c>
      <c r="D4476" s="2">
        <f>IFERROR(__xludf.DUMMYFUNCTION("""COMPUTED_VALUE"""),2110.0)</f>
        <v>2110</v>
      </c>
      <c r="E4476" s="2">
        <f>IFERROR(__xludf.DUMMYFUNCTION("""COMPUTED_VALUE"""),2122.05)</f>
        <v>2122.05</v>
      </c>
      <c r="F4476" s="2">
        <f>IFERROR(__xludf.DUMMYFUNCTION("""COMPUTED_VALUE"""),1.1459251E7)</f>
        <v>11459251</v>
      </c>
    </row>
    <row r="4477">
      <c r="A4477" s="3">
        <f>IFERROR(__xludf.DUMMYFUNCTION("""COMPUTED_VALUE"""),44057.64583333333)</f>
        <v>44057.64583</v>
      </c>
      <c r="B4477" s="2">
        <f>IFERROR(__xludf.DUMMYFUNCTION("""COMPUTED_VALUE"""),2122.55)</f>
        <v>2122.55</v>
      </c>
      <c r="C4477" s="2">
        <f>IFERROR(__xludf.DUMMYFUNCTION("""COMPUTED_VALUE"""),2157.0)</f>
        <v>2157</v>
      </c>
      <c r="D4477" s="2">
        <f>IFERROR(__xludf.DUMMYFUNCTION("""COMPUTED_VALUE"""),2089.25)</f>
        <v>2089.25</v>
      </c>
      <c r="E4477" s="2">
        <f>IFERROR(__xludf.DUMMYFUNCTION("""COMPUTED_VALUE"""),2113.8)</f>
        <v>2113.8</v>
      </c>
      <c r="F4477" s="2">
        <f>IFERROR(__xludf.DUMMYFUNCTION("""COMPUTED_VALUE"""),1.5333759E7)</f>
        <v>15333759</v>
      </c>
    </row>
    <row r="4478">
      <c r="A4478" s="3">
        <f>IFERROR(__xludf.DUMMYFUNCTION("""COMPUTED_VALUE"""),44060.64583333333)</f>
        <v>44060.64583</v>
      </c>
      <c r="B4478" s="2">
        <f>IFERROR(__xludf.DUMMYFUNCTION("""COMPUTED_VALUE"""),2105.0)</f>
        <v>2105</v>
      </c>
      <c r="C4478" s="2">
        <f>IFERROR(__xludf.DUMMYFUNCTION("""COMPUTED_VALUE"""),2105.0)</f>
        <v>2105</v>
      </c>
      <c r="D4478" s="2">
        <f>IFERROR(__xludf.DUMMYFUNCTION("""COMPUTED_VALUE"""),2070.1)</f>
        <v>2070.1</v>
      </c>
      <c r="E4478" s="2">
        <f>IFERROR(__xludf.DUMMYFUNCTION("""COMPUTED_VALUE"""),2091.35)</f>
        <v>2091.35</v>
      </c>
      <c r="F4478" s="2">
        <f>IFERROR(__xludf.DUMMYFUNCTION("""COMPUTED_VALUE"""),1.4297224E7)</f>
        <v>14297224</v>
      </c>
    </row>
    <row r="4479">
      <c r="A4479" s="3">
        <f>IFERROR(__xludf.DUMMYFUNCTION("""COMPUTED_VALUE"""),44061.64583333333)</f>
        <v>44061.64583</v>
      </c>
      <c r="B4479" s="2">
        <f>IFERROR(__xludf.DUMMYFUNCTION("""COMPUTED_VALUE"""),2085.0)</f>
        <v>2085</v>
      </c>
      <c r="C4479" s="2">
        <f>IFERROR(__xludf.DUMMYFUNCTION("""COMPUTED_VALUE"""),2134.3)</f>
        <v>2134.3</v>
      </c>
      <c r="D4479" s="2">
        <f>IFERROR(__xludf.DUMMYFUNCTION("""COMPUTED_VALUE"""),2082.35)</f>
        <v>2082.35</v>
      </c>
      <c r="E4479" s="2">
        <f>IFERROR(__xludf.DUMMYFUNCTION("""COMPUTED_VALUE"""),2118.55)</f>
        <v>2118.55</v>
      </c>
      <c r="F4479" s="2">
        <f>IFERROR(__xludf.DUMMYFUNCTION("""COMPUTED_VALUE"""),1.4097932E7)</f>
        <v>14097932</v>
      </c>
    </row>
    <row r="4480">
      <c r="A4480" s="3">
        <f>IFERROR(__xludf.DUMMYFUNCTION("""COMPUTED_VALUE"""),44062.64583333333)</f>
        <v>44062.64583</v>
      </c>
      <c r="B4480" s="2">
        <f>IFERROR(__xludf.DUMMYFUNCTION("""COMPUTED_VALUE"""),2141.0)</f>
        <v>2141</v>
      </c>
      <c r="C4480" s="2">
        <f>IFERROR(__xludf.DUMMYFUNCTION("""COMPUTED_VALUE"""),2154.0)</f>
        <v>2154</v>
      </c>
      <c r="D4480" s="2">
        <f>IFERROR(__xludf.DUMMYFUNCTION("""COMPUTED_VALUE"""),2121.35)</f>
        <v>2121.35</v>
      </c>
      <c r="E4480" s="2">
        <f>IFERROR(__xludf.DUMMYFUNCTION("""COMPUTED_VALUE"""),2131.55)</f>
        <v>2131.55</v>
      </c>
      <c r="F4480" s="2">
        <f>IFERROR(__xludf.DUMMYFUNCTION("""COMPUTED_VALUE"""),1.5731409E7)</f>
        <v>15731409</v>
      </c>
    </row>
    <row r="4481">
      <c r="A4481" s="3">
        <f>IFERROR(__xludf.DUMMYFUNCTION("""COMPUTED_VALUE"""),44063.64583333333)</f>
        <v>44063.64583</v>
      </c>
      <c r="B4481" s="2">
        <f>IFERROR(__xludf.DUMMYFUNCTION("""COMPUTED_VALUE"""),2120.0)</f>
        <v>2120</v>
      </c>
      <c r="C4481" s="2">
        <f>IFERROR(__xludf.DUMMYFUNCTION("""COMPUTED_VALUE"""),2123.9)</f>
        <v>2123.9</v>
      </c>
      <c r="D4481" s="2">
        <f>IFERROR(__xludf.DUMMYFUNCTION("""COMPUTED_VALUE"""),2088.0)</f>
        <v>2088</v>
      </c>
      <c r="E4481" s="2">
        <f>IFERROR(__xludf.DUMMYFUNCTION("""COMPUTED_VALUE"""),2097.05)</f>
        <v>2097.05</v>
      </c>
      <c r="F4481" s="2">
        <f>IFERROR(__xludf.DUMMYFUNCTION("""COMPUTED_VALUE"""),1.0402292E7)</f>
        <v>10402292</v>
      </c>
    </row>
    <row r="4482">
      <c r="A4482" s="3">
        <f>IFERROR(__xludf.DUMMYFUNCTION("""COMPUTED_VALUE"""),44064.64583333333)</f>
        <v>44064.64583</v>
      </c>
      <c r="B4482" s="2">
        <f>IFERROR(__xludf.DUMMYFUNCTION("""COMPUTED_VALUE"""),2118.0)</f>
        <v>2118</v>
      </c>
      <c r="C4482" s="2">
        <f>IFERROR(__xludf.DUMMYFUNCTION("""COMPUTED_VALUE"""),2122.0)</f>
        <v>2122</v>
      </c>
      <c r="D4482" s="2">
        <f>IFERROR(__xludf.DUMMYFUNCTION("""COMPUTED_VALUE"""),2077.0)</f>
        <v>2077</v>
      </c>
      <c r="E4482" s="2">
        <f>IFERROR(__xludf.DUMMYFUNCTION("""COMPUTED_VALUE"""),2081.85)</f>
        <v>2081.85</v>
      </c>
      <c r="F4482" s="2">
        <f>IFERROR(__xludf.DUMMYFUNCTION("""COMPUTED_VALUE"""),1.1667281E7)</f>
        <v>11667281</v>
      </c>
    </row>
    <row r="4483">
      <c r="A4483" s="3">
        <f>IFERROR(__xludf.DUMMYFUNCTION("""COMPUTED_VALUE"""),44067.64583333333)</f>
        <v>44067.64583</v>
      </c>
      <c r="B4483" s="2">
        <f>IFERROR(__xludf.DUMMYFUNCTION("""COMPUTED_VALUE"""),2091.4)</f>
        <v>2091.4</v>
      </c>
      <c r="C4483" s="2">
        <f>IFERROR(__xludf.DUMMYFUNCTION("""COMPUTED_VALUE"""),2104.5)</f>
        <v>2104.5</v>
      </c>
      <c r="D4483" s="2">
        <f>IFERROR(__xludf.DUMMYFUNCTION("""COMPUTED_VALUE"""),2070.5)</f>
        <v>2070.5</v>
      </c>
      <c r="E4483" s="2">
        <f>IFERROR(__xludf.DUMMYFUNCTION("""COMPUTED_VALUE"""),2095.75)</f>
        <v>2095.75</v>
      </c>
      <c r="F4483" s="2">
        <f>IFERROR(__xludf.DUMMYFUNCTION("""COMPUTED_VALUE"""),1.509903E7)</f>
        <v>15099030</v>
      </c>
    </row>
    <row r="4484">
      <c r="A4484" s="3">
        <f>IFERROR(__xludf.DUMMYFUNCTION("""COMPUTED_VALUE"""),44068.64583333333)</f>
        <v>44068.64583</v>
      </c>
      <c r="B4484" s="2">
        <f>IFERROR(__xludf.DUMMYFUNCTION("""COMPUTED_VALUE"""),2106.0)</f>
        <v>2106</v>
      </c>
      <c r="C4484" s="2">
        <f>IFERROR(__xludf.DUMMYFUNCTION("""COMPUTED_VALUE"""),2111.3)</f>
        <v>2111.3</v>
      </c>
      <c r="D4484" s="2">
        <f>IFERROR(__xludf.DUMMYFUNCTION("""COMPUTED_VALUE"""),2078.0)</f>
        <v>2078</v>
      </c>
      <c r="E4484" s="2">
        <f>IFERROR(__xludf.DUMMYFUNCTION("""COMPUTED_VALUE"""),2082.1)</f>
        <v>2082.1</v>
      </c>
      <c r="F4484" s="2">
        <f>IFERROR(__xludf.DUMMYFUNCTION("""COMPUTED_VALUE"""),8947709.0)</f>
        <v>8947709</v>
      </c>
    </row>
    <row r="4485">
      <c r="A4485" s="3">
        <f>IFERROR(__xludf.DUMMYFUNCTION("""COMPUTED_VALUE"""),44069.64583333333)</f>
        <v>44069.64583</v>
      </c>
      <c r="B4485" s="2">
        <f>IFERROR(__xludf.DUMMYFUNCTION("""COMPUTED_VALUE"""),2085.0)</f>
        <v>2085</v>
      </c>
      <c r="C4485" s="2">
        <f>IFERROR(__xludf.DUMMYFUNCTION("""COMPUTED_VALUE"""),2147.95)</f>
        <v>2147.95</v>
      </c>
      <c r="D4485" s="2">
        <f>IFERROR(__xludf.DUMMYFUNCTION("""COMPUTED_VALUE"""),2047.0)</f>
        <v>2047</v>
      </c>
      <c r="E4485" s="2">
        <f>IFERROR(__xludf.DUMMYFUNCTION("""COMPUTED_VALUE"""),2137.3)</f>
        <v>2137.3</v>
      </c>
      <c r="F4485" s="2">
        <f>IFERROR(__xludf.DUMMYFUNCTION("""COMPUTED_VALUE"""),2.7631028E7)</f>
        <v>27631028</v>
      </c>
    </row>
    <row r="4486">
      <c r="A4486" s="3">
        <f>IFERROR(__xludf.DUMMYFUNCTION("""COMPUTED_VALUE"""),44070.64583333333)</f>
        <v>44070.64583</v>
      </c>
      <c r="B4486" s="2">
        <f>IFERROR(__xludf.DUMMYFUNCTION("""COMPUTED_VALUE"""),2148.0)</f>
        <v>2148</v>
      </c>
      <c r="C4486" s="2">
        <f>IFERROR(__xludf.DUMMYFUNCTION("""COMPUTED_VALUE"""),2150.0)</f>
        <v>2150</v>
      </c>
      <c r="D4486" s="2">
        <f>IFERROR(__xludf.DUMMYFUNCTION("""COMPUTED_VALUE"""),2103.25)</f>
        <v>2103.25</v>
      </c>
      <c r="E4486" s="2">
        <f>IFERROR(__xludf.DUMMYFUNCTION("""COMPUTED_VALUE"""),2110.6)</f>
        <v>2110.6</v>
      </c>
      <c r="F4486" s="2">
        <f>IFERROR(__xludf.DUMMYFUNCTION("""COMPUTED_VALUE"""),1.2962139E7)</f>
        <v>12962139</v>
      </c>
    </row>
    <row r="4487">
      <c r="A4487" s="3">
        <f>IFERROR(__xludf.DUMMYFUNCTION("""COMPUTED_VALUE"""),44071.64583333333)</f>
        <v>44071.64583</v>
      </c>
      <c r="B4487" s="2">
        <f>IFERROR(__xludf.DUMMYFUNCTION("""COMPUTED_VALUE"""),2120.0)</f>
        <v>2120</v>
      </c>
      <c r="C4487" s="2">
        <f>IFERROR(__xludf.DUMMYFUNCTION("""COMPUTED_VALUE"""),2132.9)</f>
        <v>2132.9</v>
      </c>
      <c r="D4487" s="2">
        <f>IFERROR(__xludf.DUMMYFUNCTION("""COMPUTED_VALUE"""),2106.25)</f>
        <v>2106.25</v>
      </c>
      <c r="E4487" s="2">
        <f>IFERROR(__xludf.DUMMYFUNCTION("""COMPUTED_VALUE"""),2116.15)</f>
        <v>2116.15</v>
      </c>
      <c r="F4487" s="2">
        <f>IFERROR(__xludf.DUMMYFUNCTION("""COMPUTED_VALUE"""),1.2537684E7)</f>
        <v>12537684</v>
      </c>
    </row>
    <row r="4488">
      <c r="A4488" s="3">
        <f>IFERROR(__xludf.DUMMYFUNCTION("""COMPUTED_VALUE"""),44074.64583333333)</f>
        <v>44074.64583</v>
      </c>
      <c r="B4488" s="2">
        <f>IFERROR(__xludf.DUMMYFUNCTION("""COMPUTED_VALUE"""),2174.0)</f>
        <v>2174</v>
      </c>
      <c r="C4488" s="2">
        <f>IFERROR(__xludf.DUMMYFUNCTION("""COMPUTED_VALUE"""),2174.0)</f>
        <v>2174</v>
      </c>
      <c r="D4488" s="2">
        <f>IFERROR(__xludf.DUMMYFUNCTION("""COMPUTED_VALUE"""),2060.35)</f>
        <v>2060.35</v>
      </c>
      <c r="E4488" s="2">
        <f>IFERROR(__xludf.DUMMYFUNCTION("""COMPUTED_VALUE"""),2080.7)</f>
        <v>2080.7</v>
      </c>
      <c r="F4488" s="2">
        <f>IFERROR(__xludf.DUMMYFUNCTION("""COMPUTED_VALUE"""),2.8649141E7)</f>
        <v>28649141</v>
      </c>
    </row>
    <row r="4489">
      <c r="A4489" s="3">
        <f>IFERROR(__xludf.DUMMYFUNCTION("""COMPUTED_VALUE"""),44075.64583333333)</f>
        <v>44075.64583</v>
      </c>
      <c r="B4489" s="2">
        <f>IFERROR(__xludf.DUMMYFUNCTION("""COMPUTED_VALUE"""),2100.0)</f>
        <v>2100</v>
      </c>
      <c r="C4489" s="2">
        <f>IFERROR(__xludf.DUMMYFUNCTION("""COMPUTED_VALUE"""),2122.4)</f>
        <v>2122.4</v>
      </c>
      <c r="D4489" s="2">
        <f>IFERROR(__xludf.DUMMYFUNCTION("""COMPUTED_VALUE"""),2062.4)</f>
        <v>2062.4</v>
      </c>
      <c r="E4489" s="2">
        <f>IFERROR(__xludf.DUMMYFUNCTION("""COMPUTED_VALUE"""),2087.25)</f>
        <v>2087.25</v>
      </c>
      <c r="F4489" s="2">
        <f>IFERROR(__xludf.DUMMYFUNCTION("""COMPUTED_VALUE"""),1.7821488E7)</f>
        <v>17821488</v>
      </c>
    </row>
    <row r="4490">
      <c r="A4490" s="3">
        <f>IFERROR(__xludf.DUMMYFUNCTION("""COMPUTED_VALUE"""),44076.64583333333)</f>
        <v>44076.64583</v>
      </c>
      <c r="B4490" s="2">
        <f>IFERROR(__xludf.DUMMYFUNCTION("""COMPUTED_VALUE"""),2092.0)</f>
        <v>2092</v>
      </c>
      <c r="C4490" s="2">
        <f>IFERROR(__xludf.DUMMYFUNCTION("""COMPUTED_VALUE"""),2138.0)</f>
        <v>2138</v>
      </c>
      <c r="D4490" s="2">
        <f>IFERROR(__xludf.DUMMYFUNCTION("""COMPUTED_VALUE"""),2085.0)</f>
        <v>2085</v>
      </c>
      <c r="E4490" s="2">
        <f>IFERROR(__xludf.DUMMYFUNCTION("""COMPUTED_VALUE"""),2128.2)</f>
        <v>2128.2</v>
      </c>
      <c r="F4490" s="2">
        <f>IFERROR(__xludf.DUMMYFUNCTION("""COMPUTED_VALUE"""),1.2437209E7)</f>
        <v>12437209</v>
      </c>
    </row>
    <row r="4491">
      <c r="A4491" s="3">
        <f>IFERROR(__xludf.DUMMYFUNCTION("""COMPUTED_VALUE"""),44077.64583333333)</f>
        <v>44077.64583</v>
      </c>
      <c r="B4491" s="2">
        <f>IFERROR(__xludf.DUMMYFUNCTION("""COMPUTED_VALUE"""),2128.0)</f>
        <v>2128</v>
      </c>
      <c r="C4491" s="2">
        <f>IFERROR(__xludf.DUMMYFUNCTION("""COMPUTED_VALUE"""),2138.75)</f>
        <v>2138.75</v>
      </c>
      <c r="D4491" s="2">
        <f>IFERROR(__xludf.DUMMYFUNCTION("""COMPUTED_VALUE"""),2103.0)</f>
        <v>2103</v>
      </c>
      <c r="E4491" s="2">
        <f>IFERROR(__xludf.DUMMYFUNCTION("""COMPUTED_VALUE"""),2112.1)</f>
        <v>2112.1</v>
      </c>
      <c r="F4491" s="2">
        <f>IFERROR(__xludf.DUMMYFUNCTION("""COMPUTED_VALUE"""),8577741.0)</f>
        <v>8577741</v>
      </c>
    </row>
    <row r="4492">
      <c r="A4492" s="3">
        <f>IFERROR(__xludf.DUMMYFUNCTION("""COMPUTED_VALUE"""),44078.64583333333)</f>
        <v>44078.64583</v>
      </c>
      <c r="B4492" s="2">
        <f>IFERROR(__xludf.DUMMYFUNCTION("""COMPUTED_VALUE"""),2083.55)</f>
        <v>2083.55</v>
      </c>
      <c r="C4492" s="2">
        <f>IFERROR(__xludf.DUMMYFUNCTION("""COMPUTED_VALUE"""),2096.95)</f>
        <v>2096.95</v>
      </c>
      <c r="D4492" s="2">
        <f>IFERROR(__xludf.DUMMYFUNCTION("""COMPUTED_VALUE"""),2072.2)</f>
        <v>2072.2</v>
      </c>
      <c r="E4492" s="2">
        <f>IFERROR(__xludf.DUMMYFUNCTION("""COMPUTED_VALUE"""),2077.25)</f>
        <v>2077.25</v>
      </c>
      <c r="F4492" s="2">
        <f>IFERROR(__xludf.DUMMYFUNCTION("""COMPUTED_VALUE"""),1.3141705E7)</f>
        <v>13141705</v>
      </c>
    </row>
    <row r="4493">
      <c r="A4493" s="3">
        <f>IFERROR(__xludf.DUMMYFUNCTION("""COMPUTED_VALUE"""),44081.64583333333)</f>
        <v>44081.64583</v>
      </c>
      <c r="B4493" s="2">
        <f>IFERROR(__xludf.DUMMYFUNCTION("""COMPUTED_VALUE"""),2084.0)</f>
        <v>2084</v>
      </c>
      <c r="C4493" s="2">
        <f>IFERROR(__xludf.DUMMYFUNCTION("""COMPUTED_VALUE"""),2105.75)</f>
        <v>2105.75</v>
      </c>
      <c r="D4493" s="2">
        <f>IFERROR(__xludf.DUMMYFUNCTION("""COMPUTED_VALUE"""),2044.25)</f>
        <v>2044.25</v>
      </c>
      <c r="E4493" s="2">
        <f>IFERROR(__xludf.DUMMYFUNCTION("""COMPUTED_VALUE"""),2082.65)</f>
        <v>2082.65</v>
      </c>
      <c r="F4493" s="2">
        <f>IFERROR(__xludf.DUMMYFUNCTION("""COMPUTED_VALUE"""),1.0119099E7)</f>
        <v>10119099</v>
      </c>
    </row>
    <row r="4494">
      <c r="A4494" s="3">
        <f>IFERROR(__xludf.DUMMYFUNCTION("""COMPUTED_VALUE"""),44082.64583333333)</f>
        <v>44082.64583</v>
      </c>
      <c r="B4494" s="2">
        <f>IFERROR(__xludf.DUMMYFUNCTION("""COMPUTED_VALUE"""),2092.0)</f>
        <v>2092</v>
      </c>
      <c r="C4494" s="2">
        <f>IFERROR(__xludf.DUMMYFUNCTION("""COMPUTED_VALUE"""),2121.0)</f>
        <v>2121</v>
      </c>
      <c r="D4494" s="2">
        <f>IFERROR(__xludf.DUMMYFUNCTION("""COMPUTED_VALUE"""),2080.5)</f>
        <v>2080.5</v>
      </c>
      <c r="E4494" s="2">
        <f>IFERROR(__xludf.DUMMYFUNCTION("""COMPUTED_VALUE"""),2107.1)</f>
        <v>2107.1</v>
      </c>
      <c r="F4494" s="2">
        <f>IFERROR(__xludf.DUMMYFUNCTION("""COMPUTED_VALUE"""),1.2643762E7)</f>
        <v>12643762</v>
      </c>
    </row>
    <row r="4495">
      <c r="A4495" s="3">
        <f>IFERROR(__xludf.DUMMYFUNCTION("""COMPUTED_VALUE"""),44083.64583333333)</f>
        <v>44083.64583</v>
      </c>
      <c r="B4495" s="2">
        <f>IFERROR(__xludf.DUMMYFUNCTION("""COMPUTED_VALUE"""),2085.0)</f>
        <v>2085</v>
      </c>
      <c r="C4495" s="2">
        <f>IFERROR(__xludf.DUMMYFUNCTION("""COMPUTED_VALUE"""),2167.8)</f>
        <v>2167.8</v>
      </c>
      <c r="D4495" s="2">
        <f>IFERROR(__xludf.DUMMYFUNCTION("""COMPUTED_VALUE"""),2081.45)</f>
        <v>2081.45</v>
      </c>
      <c r="E4495" s="2">
        <f>IFERROR(__xludf.DUMMYFUNCTION("""COMPUTED_VALUE"""),2161.35)</f>
        <v>2161.35</v>
      </c>
      <c r="F4495" s="2">
        <f>IFERROR(__xludf.DUMMYFUNCTION("""COMPUTED_VALUE"""),2.5526055E7)</f>
        <v>25526055</v>
      </c>
    </row>
    <row r="4496">
      <c r="A4496" s="3">
        <f>IFERROR(__xludf.DUMMYFUNCTION("""COMPUTED_VALUE"""),44084.64583333333)</f>
        <v>44084.64583</v>
      </c>
      <c r="B4496" s="2">
        <f>IFERROR(__xludf.DUMMYFUNCTION("""COMPUTED_VALUE"""),2183.1)</f>
        <v>2183.1</v>
      </c>
      <c r="C4496" s="2">
        <f>IFERROR(__xludf.DUMMYFUNCTION("""COMPUTED_VALUE"""),2344.95)</f>
        <v>2344.95</v>
      </c>
      <c r="D4496" s="2">
        <f>IFERROR(__xludf.DUMMYFUNCTION("""COMPUTED_VALUE"""),2175.35)</f>
        <v>2175.35</v>
      </c>
      <c r="E4496" s="2">
        <f>IFERROR(__xludf.DUMMYFUNCTION("""COMPUTED_VALUE"""),2314.0)</f>
        <v>2314</v>
      </c>
      <c r="F4496" s="2">
        <f>IFERROR(__xludf.DUMMYFUNCTION("""COMPUTED_VALUE"""),6.4751766E7)</f>
        <v>64751766</v>
      </c>
    </row>
    <row r="4497">
      <c r="A4497" s="3">
        <f>IFERROR(__xludf.DUMMYFUNCTION("""COMPUTED_VALUE"""),44085.64583333333)</f>
        <v>44085.64583</v>
      </c>
      <c r="B4497" s="2">
        <f>IFERROR(__xludf.DUMMYFUNCTION("""COMPUTED_VALUE"""),2312.0)</f>
        <v>2312</v>
      </c>
      <c r="C4497" s="2">
        <f>IFERROR(__xludf.DUMMYFUNCTION("""COMPUTED_VALUE"""),2337.85)</f>
        <v>2337.85</v>
      </c>
      <c r="D4497" s="2">
        <f>IFERROR(__xludf.DUMMYFUNCTION("""COMPUTED_VALUE"""),2287.1)</f>
        <v>2287.1</v>
      </c>
      <c r="E4497" s="2">
        <f>IFERROR(__xludf.DUMMYFUNCTION("""COMPUTED_VALUE"""),2319.75)</f>
        <v>2319.75</v>
      </c>
      <c r="F4497" s="2">
        <f>IFERROR(__xludf.DUMMYFUNCTION("""COMPUTED_VALUE"""),2.7445883E7)</f>
        <v>27445883</v>
      </c>
    </row>
    <row r="4498">
      <c r="A4498" s="3">
        <f>IFERROR(__xludf.DUMMYFUNCTION("""COMPUTED_VALUE"""),44088.64583333333)</f>
        <v>44088.64583</v>
      </c>
      <c r="B4498" s="2">
        <f>IFERROR(__xludf.DUMMYFUNCTION("""COMPUTED_VALUE"""),2325.0)</f>
        <v>2325</v>
      </c>
      <c r="C4498" s="2">
        <f>IFERROR(__xludf.DUMMYFUNCTION("""COMPUTED_VALUE"""),2360.0)</f>
        <v>2360</v>
      </c>
      <c r="D4498" s="2">
        <f>IFERROR(__xludf.DUMMYFUNCTION("""COMPUTED_VALUE"""),2282.0)</f>
        <v>2282</v>
      </c>
      <c r="E4498" s="2">
        <f>IFERROR(__xludf.DUMMYFUNCTION("""COMPUTED_VALUE"""),2302.55)</f>
        <v>2302.55</v>
      </c>
      <c r="F4498" s="2">
        <f>IFERROR(__xludf.DUMMYFUNCTION("""COMPUTED_VALUE"""),2.033548E7)</f>
        <v>20335480</v>
      </c>
    </row>
    <row r="4499">
      <c r="A4499" s="3">
        <f>IFERROR(__xludf.DUMMYFUNCTION("""COMPUTED_VALUE"""),44089.64583333333)</f>
        <v>44089.64583</v>
      </c>
      <c r="B4499" s="2">
        <f>IFERROR(__xludf.DUMMYFUNCTION("""COMPUTED_VALUE"""),2311.95)</f>
        <v>2311.95</v>
      </c>
      <c r="C4499" s="2">
        <f>IFERROR(__xludf.DUMMYFUNCTION("""COMPUTED_VALUE"""),2325.75)</f>
        <v>2325.75</v>
      </c>
      <c r="D4499" s="2">
        <f>IFERROR(__xludf.DUMMYFUNCTION("""COMPUTED_VALUE"""),2288.15)</f>
        <v>2288.15</v>
      </c>
      <c r="E4499" s="2">
        <f>IFERROR(__xludf.DUMMYFUNCTION("""COMPUTED_VALUE"""),2318.85)</f>
        <v>2318.85</v>
      </c>
      <c r="F4499" s="2">
        <f>IFERROR(__xludf.DUMMYFUNCTION("""COMPUTED_VALUE"""),1.2543161E7)</f>
        <v>12543161</v>
      </c>
    </row>
    <row r="4500">
      <c r="A4500" s="3">
        <f>IFERROR(__xludf.DUMMYFUNCTION("""COMPUTED_VALUE"""),44090.64583333333)</f>
        <v>44090.64583</v>
      </c>
      <c r="B4500" s="2">
        <f>IFERROR(__xludf.DUMMYFUNCTION("""COMPUTED_VALUE"""),2320.0)</f>
        <v>2320</v>
      </c>
      <c r="C4500" s="2">
        <f>IFERROR(__xludf.DUMMYFUNCTION("""COMPUTED_VALUE"""),2369.35)</f>
        <v>2369.35</v>
      </c>
      <c r="D4500" s="2">
        <f>IFERROR(__xludf.DUMMYFUNCTION("""COMPUTED_VALUE"""),2310.55)</f>
        <v>2310.55</v>
      </c>
      <c r="E4500" s="2">
        <f>IFERROR(__xludf.DUMMYFUNCTION("""COMPUTED_VALUE"""),2324.55)</f>
        <v>2324.55</v>
      </c>
      <c r="F4500" s="2">
        <f>IFERROR(__xludf.DUMMYFUNCTION("""COMPUTED_VALUE"""),1.5669133E7)</f>
        <v>15669133</v>
      </c>
    </row>
    <row r="4501">
      <c r="A4501" s="3">
        <f>IFERROR(__xludf.DUMMYFUNCTION("""COMPUTED_VALUE"""),44091.64583333333)</f>
        <v>44091.64583</v>
      </c>
      <c r="B4501" s="2">
        <f>IFERROR(__xludf.DUMMYFUNCTION("""COMPUTED_VALUE"""),2320.0)</f>
        <v>2320</v>
      </c>
      <c r="C4501" s="2">
        <f>IFERROR(__xludf.DUMMYFUNCTION("""COMPUTED_VALUE"""),2333.7)</f>
        <v>2333.7</v>
      </c>
      <c r="D4501" s="2">
        <f>IFERROR(__xludf.DUMMYFUNCTION("""COMPUTED_VALUE"""),2291.85)</f>
        <v>2291.85</v>
      </c>
      <c r="E4501" s="2">
        <f>IFERROR(__xludf.DUMMYFUNCTION("""COMPUTED_VALUE"""),2298.75)</f>
        <v>2298.75</v>
      </c>
      <c r="F4501" s="2">
        <f>IFERROR(__xludf.DUMMYFUNCTION("""COMPUTED_VALUE"""),1.1919991E7)</f>
        <v>11919991</v>
      </c>
    </row>
    <row r="4502">
      <c r="A4502" s="3">
        <f>IFERROR(__xludf.DUMMYFUNCTION("""COMPUTED_VALUE"""),44092.64583333333)</f>
        <v>44092.64583</v>
      </c>
      <c r="B4502" s="2">
        <f>IFERROR(__xludf.DUMMYFUNCTION("""COMPUTED_VALUE"""),2314.25)</f>
        <v>2314.25</v>
      </c>
      <c r="C4502" s="2">
        <f>IFERROR(__xludf.DUMMYFUNCTION("""COMPUTED_VALUE"""),2319.45)</f>
        <v>2319.45</v>
      </c>
      <c r="D4502" s="2">
        <f>IFERROR(__xludf.DUMMYFUNCTION("""COMPUTED_VALUE"""),2276.55)</f>
        <v>2276.55</v>
      </c>
      <c r="E4502" s="2">
        <f>IFERROR(__xludf.DUMMYFUNCTION("""COMPUTED_VALUE"""),2305.7)</f>
        <v>2305.7</v>
      </c>
      <c r="F4502" s="2">
        <f>IFERROR(__xludf.DUMMYFUNCTION("""COMPUTED_VALUE"""),1.5264101E7)</f>
        <v>15264101</v>
      </c>
    </row>
    <row r="4503">
      <c r="A4503" s="3">
        <f>IFERROR(__xludf.DUMMYFUNCTION("""COMPUTED_VALUE"""),44095.64583333333)</f>
        <v>44095.64583</v>
      </c>
      <c r="B4503" s="2">
        <f>IFERROR(__xludf.DUMMYFUNCTION("""COMPUTED_VALUE"""),2300.0)</f>
        <v>2300</v>
      </c>
      <c r="C4503" s="2">
        <f>IFERROR(__xludf.DUMMYFUNCTION("""COMPUTED_VALUE"""),2336.0)</f>
        <v>2336</v>
      </c>
      <c r="D4503" s="2">
        <f>IFERROR(__xludf.DUMMYFUNCTION("""COMPUTED_VALUE"""),2247.35)</f>
        <v>2247.35</v>
      </c>
      <c r="E4503" s="2">
        <f>IFERROR(__xludf.DUMMYFUNCTION("""COMPUTED_VALUE"""),2255.85)</f>
        <v>2255.85</v>
      </c>
      <c r="F4503" s="2">
        <f>IFERROR(__xludf.DUMMYFUNCTION("""COMPUTED_VALUE"""),1.5519433E7)</f>
        <v>15519433</v>
      </c>
    </row>
    <row r="4504">
      <c r="A4504" s="3">
        <f>IFERROR(__xludf.DUMMYFUNCTION("""COMPUTED_VALUE"""),44096.64583333333)</f>
        <v>44096.64583</v>
      </c>
      <c r="B4504" s="2">
        <f>IFERROR(__xludf.DUMMYFUNCTION("""COMPUTED_VALUE"""),2277.0)</f>
        <v>2277</v>
      </c>
      <c r="C4504" s="2">
        <f>IFERROR(__xludf.DUMMYFUNCTION("""COMPUTED_VALUE"""),2277.0)</f>
        <v>2277</v>
      </c>
      <c r="D4504" s="2">
        <f>IFERROR(__xludf.DUMMYFUNCTION("""COMPUTED_VALUE"""),2201.55)</f>
        <v>2201.55</v>
      </c>
      <c r="E4504" s="2">
        <f>IFERROR(__xludf.DUMMYFUNCTION("""COMPUTED_VALUE"""),2211.15)</f>
        <v>2211.15</v>
      </c>
      <c r="F4504" s="2">
        <f>IFERROR(__xludf.DUMMYFUNCTION("""COMPUTED_VALUE"""),1.6056621E7)</f>
        <v>16056621</v>
      </c>
    </row>
    <row r="4505">
      <c r="A4505" s="3">
        <f>IFERROR(__xludf.DUMMYFUNCTION("""COMPUTED_VALUE"""),44097.64583333333)</f>
        <v>44097.64583</v>
      </c>
      <c r="B4505" s="2">
        <f>IFERROR(__xludf.DUMMYFUNCTION("""COMPUTED_VALUE"""),2260.0)</f>
        <v>2260</v>
      </c>
      <c r="C4505" s="2">
        <f>IFERROR(__xludf.DUMMYFUNCTION("""COMPUTED_VALUE"""),2276.75)</f>
        <v>2276.75</v>
      </c>
      <c r="D4505" s="2">
        <f>IFERROR(__xludf.DUMMYFUNCTION("""COMPUTED_VALUE"""),2205.3)</f>
        <v>2205.3</v>
      </c>
      <c r="E4505" s="2">
        <f>IFERROR(__xludf.DUMMYFUNCTION("""COMPUTED_VALUE"""),2230.8)</f>
        <v>2230.8</v>
      </c>
      <c r="F4505" s="2">
        <f>IFERROR(__xludf.DUMMYFUNCTION("""COMPUTED_VALUE"""),1.9839809E7)</f>
        <v>19839809</v>
      </c>
    </row>
    <row r="4506">
      <c r="A4506" s="3">
        <f>IFERROR(__xludf.DUMMYFUNCTION("""COMPUTED_VALUE"""),44098.64583333333)</f>
        <v>44098.64583</v>
      </c>
      <c r="B4506" s="2">
        <f>IFERROR(__xludf.DUMMYFUNCTION("""COMPUTED_VALUE"""),2207.9)</f>
        <v>2207.9</v>
      </c>
      <c r="C4506" s="2">
        <f>IFERROR(__xludf.DUMMYFUNCTION("""COMPUTED_VALUE"""),2226.0)</f>
        <v>2226</v>
      </c>
      <c r="D4506" s="2">
        <f>IFERROR(__xludf.DUMMYFUNCTION("""COMPUTED_VALUE"""),2176.05)</f>
        <v>2176.05</v>
      </c>
      <c r="E4506" s="2">
        <f>IFERROR(__xludf.DUMMYFUNCTION("""COMPUTED_VALUE"""),2181.2)</f>
        <v>2181.2</v>
      </c>
      <c r="F4506" s="2">
        <f>IFERROR(__xludf.DUMMYFUNCTION("""COMPUTED_VALUE"""),1.3765321E7)</f>
        <v>13765321</v>
      </c>
    </row>
    <row r="4507">
      <c r="A4507" s="3">
        <f>IFERROR(__xludf.DUMMYFUNCTION("""COMPUTED_VALUE"""),44099.64583333333)</f>
        <v>44099.64583</v>
      </c>
      <c r="B4507" s="2">
        <f>IFERROR(__xludf.DUMMYFUNCTION("""COMPUTED_VALUE"""),2189.0)</f>
        <v>2189</v>
      </c>
      <c r="C4507" s="2">
        <f>IFERROR(__xludf.DUMMYFUNCTION("""COMPUTED_VALUE"""),2212.8)</f>
        <v>2212.8</v>
      </c>
      <c r="D4507" s="2">
        <f>IFERROR(__xludf.DUMMYFUNCTION("""COMPUTED_VALUE"""),2167.3)</f>
        <v>2167.3</v>
      </c>
      <c r="E4507" s="2">
        <f>IFERROR(__xludf.DUMMYFUNCTION("""COMPUTED_VALUE"""),2201.7)</f>
        <v>2201.7</v>
      </c>
      <c r="F4507" s="2">
        <f>IFERROR(__xludf.DUMMYFUNCTION("""COMPUTED_VALUE"""),1.309595E7)</f>
        <v>13095950</v>
      </c>
    </row>
    <row r="4508">
      <c r="A4508" s="3">
        <f>IFERROR(__xludf.DUMMYFUNCTION("""COMPUTED_VALUE"""),44102.64583333333)</f>
        <v>44102.64583</v>
      </c>
      <c r="B4508" s="2">
        <f>IFERROR(__xludf.DUMMYFUNCTION("""COMPUTED_VALUE"""),2227.0)</f>
        <v>2227</v>
      </c>
      <c r="C4508" s="2">
        <f>IFERROR(__xludf.DUMMYFUNCTION("""COMPUTED_VALUE"""),2238.0)</f>
        <v>2238</v>
      </c>
      <c r="D4508" s="2">
        <f>IFERROR(__xludf.DUMMYFUNCTION("""COMPUTED_VALUE"""),2207.05)</f>
        <v>2207.05</v>
      </c>
      <c r="E4508" s="2">
        <f>IFERROR(__xludf.DUMMYFUNCTION("""COMPUTED_VALUE"""),2216.25)</f>
        <v>2216.25</v>
      </c>
      <c r="F4508" s="2">
        <f>IFERROR(__xludf.DUMMYFUNCTION("""COMPUTED_VALUE"""),9076787.0)</f>
        <v>9076787</v>
      </c>
    </row>
    <row r="4509">
      <c r="A4509" s="3">
        <f>IFERROR(__xludf.DUMMYFUNCTION("""COMPUTED_VALUE"""),44103.64583333333)</f>
        <v>44103.64583</v>
      </c>
      <c r="B4509" s="2">
        <f>IFERROR(__xludf.DUMMYFUNCTION("""COMPUTED_VALUE"""),2225.0)</f>
        <v>2225</v>
      </c>
      <c r="C4509" s="2">
        <f>IFERROR(__xludf.DUMMYFUNCTION("""COMPUTED_VALUE"""),2264.0)</f>
        <v>2264</v>
      </c>
      <c r="D4509" s="2">
        <f>IFERROR(__xludf.DUMMYFUNCTION("""COMPUTED_VALUE"""),2216.25)</f>
        <v>2216.25</v>
      </c>
      <c r="E4509" s="2">
        <f>IFERROR(__xludf.DUMMYFUNCTION("""COMPUTED_VALUE"""),2245.05)</f>
        <v>2245.05</v>
      </c>
      <c r="F4509" s="2">
        <f>IFERROR(__xludf.DUMMYFUNCTION("""COMPUTED_VALUE"""),1.1927459E7)</f>
        <v>11927459</v>
      </c>
    </row>
    <row r="4510">
      <c r="A4510" s="3">
        <f>IFERROR(__xludf.DUMMYFUNCTION("""COMPUTED_VALUE"""),44104.64583333333)</f>
        <v>44104.64583</v>
      </c>
      <c r="B4510" s="2">
        <f>IFERROR(__xludf.DUMMYFUNCTION("""COMPUTED_VALUE"""),2260.0)</f>
        <v>2260</v>
      </c>
      <c r="C4510" s="2">
        <f>IFERROR(__xludf.DUMMYFUNCTION("""COMPUTED_VALUE"""),2267.0)</f>
        <v>2267</v>
      </c>
      <c r="D4510" s="2">
        <f>IFERROR(__xludf.DUMMYFUNCTION("""COMPUTED_VALUE"""),2225.0)</f>
        <v>2225</v>
      </c>
      <c r="E4510" s="2">
        <f>IFERROR(__xludf.DUMMYFUNCTION("""COMPUTED_VALUE"""),2234.35)</f>
        <v>2234.35</v>
      </c>
      <c r="F4510" s="2">
        <f>IFERROR(__xludf.DUMMYFUNCTION("""COMPUTED_VALUE"""),1.129128E7)</f>
        <v>11291280</v>
      </c>
    </row>
    <row r="4511">
      <c r="A4511" s="3">
        <f>IFERROR(__xludf.DUMMYFUNCTION("""COMPUTED_VALUE"""),44105.64583333333)</f>
        <v>44105.64583</v>
      </c>
      <c r="B4511" s="2">
        <f>IFERROR(__xludf.DUMMYFUNCTION("""COMPUTED_VALUE"""),2263.8)</f>
        <v>2263.8</v>
      </c>
      <c r="C4511" s="2">
        <f>IFERROR(__xludf.DUMMYFUNCTION("""COMPUTED_VALUE"""),2263.8)</f>
        <v>2263.8</v>
      </c>
      <c r="D4511" s="2">
        <f>IFERROR(__xludf.DUMMYFUNCTION("""COMPUTED_VALUE"""),2214.0)</f>
        <v>2214</v>
      </c>
      <c r="E4511" s="2">
        <f>IFERROR(__xludf.DUMMYFUNCTION("""COMPUTED_VALUE"""),2225.25)</f>
        <v>2225.25</v>
      </c>
      <c r="F4511" s="2">
        <f>IFERROR(__xludf.DUMMYFUNCTION("""COMPUTED_VALUE"""),9591467.0)</f>
        <v>9591467</v>
      </c>
    </row>
    <row r="4512">
      <c r="A4512" s="3">
        <f>IFERROR(__xludf.DUMMYFUNCTION("""COMPUTED_VALUE"""),44109.64583333333)</f>
        <v>44109.64583</v>
      </c>
      <c r="B4512" s="2">
        <f>IFERROR(__xludf.DUMMYFUNCTION("""COMPUTED_VALUE"""),2244.0)</f>
        <v>2244</v>
      </c>
      <c r="C4512" s="2">
        <f>IFERROR(__xludf.DUMMYFUNCTION("""COMPUTED_VALUE"""),2249.15)</f>
        <v>2249.15</v>
      </c>
      <c r="D4512" s="2">
        <f>IFERROR(__xludf.DUMMYFUNCTION("""COMPUTED_VALUE"""),2206.0)</f>
        <v>2206</v>
      </c>
      <c r="E4512" s="2">
        <f>IFERROR(__xludf.DUMMYFUNCTION("""COMPUTED_VALUE"""),2212.2)</f>
        <v>2212.2</v>
      </c>
      <c r="F4512" s="2">
        <f>IFERROR(__xludf.DUMMYFUNCTION("""COMPUTED_VALUE"""),8732890.0)</f>
        <v>8732890</v>
      </c>
    </row>
    <row r="4513">
      <c r="A4513" s="3">
        <f>IFERROR(__xludf.DUMMYFUNCTION("""COMPUTED_VALUE"""),44110.64583333333)</f>
        <v>44110.64583</v>
      </c>
      <c r="B4513" s="2">
        <f>IFERROR(__xludf.DUMMYFUNCTION("""COMPUTED_VALUE"""),2225.25)</f>
        <v>2225.25</v>
      </c>
      <c r="C4513" s="2">
        <f>IFERROR(__xludf.DUMMYFUNCTION("""COMPUTED_VALUE"""),2233.9)</f>
        <v>2233.9</v>
      </c>
      <c r="D4513" s="2">
        <f>IFERROR(__xludf.DUMMYFUNCTION("""COMPUTED_VALUE"""),2201.65)</f>
        <v>2201.65</v>
      </c>
      <c r="E4513" s="2">
        <f>IFERROR(__xludf.DUMMYFUNCTION("""COMPUTED_VALUE"""),2210.35)</f>
        <v>2210.35</v>
      </c>
      <c r="F4513" s="2">
        <f>IFERROR(__xludf.DUMMYFUNCTION("""COMPUTED_VALUE"""),8497352.0)</f>
        <v>8497352</v>
      </c>
    </row>
    <row r="4514">
      <c r="A4514" s="3">
        <f>IFERROR(__xludf.DUMMYFUNCTION("""COMPUTED_VALUE"""),44111.64583333333)</f>
        <v>44111.64583</v>
      </c>
      <c r="B4514" s="2">
        <f>IFERROR(__xludf.DUMMYFUNCTION("""COMPUTED_VALUE"""),2235.0)</f>
        <v>2235</v>
      </c>
      <c r="C4514" s="2">
        <f>IFERROR(__xludf.DUMMYFUNCTION("""COMPUTED_VALUE"""),2309.0)</f>
        <v>2309</v>
      </c>
      <c r="D4514" s="2">
        <f>IFERROR(__xludf.DUMMYFUNCTION("""COMPUTED_VALUE"""),2220.0)</f>
        <v>2220</v>
      </c>
      <c r="E4514" s="2">
        <f>IFERROR(__xludf.DUMMYFUNCTION("""COMPUTED_VALUE"""),2257.5)</f>
        <v>2257.5</v>
      </c>
      <c r="F4514" s="2">
        <f>IFERROR(__xludf.DUMMYFUNCTION("""COMPUTED_VALUE"""),2.453862E7)</f>
        <v>24538620</v>
      </c>
    </row>
    <row r="4515">
      <c r="A4515" s="3">
        <f>IFERROR(__xludf.DUMMYFUNCTION("""COMPUTED_VALUE"""),44112.64583333333)</f>
        <v>44112.64583</v>
      </c>
      <c r="B4515" s="2">
        <f>IFERROR(__xludf.DUMMYFUNCTION("""COMPUTED_VALUE"""),2259.0)</f>
        <v>2259</v>
      </c>
      <c r="C4515" s="2">
        <f>IFERROR(__xludf.DUMMYFUNCTION("""COMPUTED_VALUE"""),2268.0)</f>
        <v>2268</v>
      </c>
      <c r="D4515" s="2">
        <f>IFERROR(__xludf.DUMMYFUNCTION("""COMPUTED_VALUE"""),2222.1)</f>
        <v>2222.1</v>
      </c>
      <c r="E4515" s="2">
        <f>IFERROR(__xludf.DUMMYFUNCTION("""COMPUTED_VALUE"""),2239.25)</f>
        <v>2239.25</v>
      </c>
      <c r="F4515" s="2">
        <f>IFERROR(__xludf.DUMMYFUNCTION("""COMPUTED_VALUE"""),9727508.0)</f>
        <v>9727508</v>
      </c>
    </row>
    <row r="4516">
      <c r="A4516" s="3">
        <f>IFERROR(__xludf.DUMMYFUNCTION("""COMPUTED_VALUE"""),44113.64583333333)</f>
        <v>44113.64583</v>
      </c>
      <c r="B4516" s="2">
        <f>IFERROR(__xludf.DUMMYFUNCTION("""COMPUTED_VALUE"""),2235.0)</f>
        <v>2235</v>
      </c>
      <c r="C4516" s="2">
        <f>IFERROR(__xludf.DUMMYFUNCTION("""COMPUTED_VALUE"""),2253.0)</f>
        <v>2253</v>
      </c>
      <c r="D4516" s="2">
        <f>IFERROR(__xludf.DUMMYFUNCTION("""COMPUTED_VALUE"""),2217.1)</f>
        <v>2217.1</v>
      </c>
      <c r="E4516" s="2">
        <f>IFERROR(__xludf.DUMMYFUNCTION("""COMPUTED_VALUE"""),2233.45)</f>
        <v>2233.45</v>
      </c>
      <c r="F4516" s="2">
        <f>IFERROR(__xludf.DUMMYFUNCTION("""COMPUTED_VALUE"""),8558747.0)</f>
        <v>8558747</v>
      </c>
    </row>
    <row r="4517">
      <c r="A4517" s="3">
        <f>IFERROR(__xludf.DUMMYFUNCTION("""COMPUTED_VALUE"""),44116.64583333333)</f>
        <v>44116.64583</v>
      </c>
      <c r="B4517" s="2">
        <f>IFERROR(__xludf.DUMMYFUNCTION("""COMPUTED_VALUE"""),2235.0)</f>
        <v>2235</v>
      </c>
      <c r="C4517" s="2">
        <f>IFERROR(__xludf.DUMMYFUNCTION("""COMPUTED_VALUE"""),2255.75)</f>
        <v>2255.75</v>
      </c>
      <c r="D4517" s="2">
        <f>IFERROR(__xludf.DUMMYFUNCTION("""COMPUTED_VALUE"""),2226.25)</f>
        <v>2226.25</v>
      </c>
      <c r="E4517" s="2">
        <f>IFERROR(__xludf.DUMMYFUNCTION("""COMPUTED_VALUE"""),2237.05)</f>
        <v>2237.05</v>
      </c>
      <c r="F4517" s="2">
        <f>IFERROR(__xludf.DUMMYFUNCTION("""COMPUTED_VALUE"""),6565525.0)</f>
        <v>6565525</v>
      </c>
    </row>
    <row r="4518">
      <c r="A4518" s="3">
        <f>IFERROR(__xludf.DUMMYFUNCTION("""COMPUTED_VALUE"""),44117.64583333333)</f>
        <v>44117.64583</v>
      </c>
      <c r="B4518" s="2">
        <f>IFERROR(__xludf.DUMMYFUNCTION("""COMPUTED_VALUE"""),2230.6)</f>
        <v>2230.6</v>
      </c>
      <c r="C4518" s="2">
        <f>IFERROR(__xludf.DUMMYFUNCTION("""COMPUTED_VALUE"""),2285.75)</f>
        <v>2285.75</v>
      </c>
      <c r="D4518" s="2">
        <f>IFERROR(__xludf.DUMMYFUNCTION("""COMPUTED_VALUE"""),2225.85)</f>
        <v>2225.85</v>
      </c>
      <c r="E4518" s="2">
        <f>IFERROR(__xludf.DUMMYFUNCTION("""COMPUTED_VALUE"""),2280.7)</f>
        <v>2280.7</v>
      </c>
      <c r="F4518" s="2">
        <f>IFERROR(__xludf.DUMMYFUNCTION("""COMPUTED_VALUE"""),1.066628E7)</f>
        <v>10666280</v>
      </c>
    </row>
    <row r="4519">
      <c r="A4519" s="3">
        <f>IFERROR(__xludf.DUMMYFUNCTION("""COMPUTED_VALUE"""),44118.64583333333)</f>
        <v>44118.64583</v>
      </c>
      <c r="B4519" s="2">
        <f>IFERROR(__xludf.DUMMYFUNCTION("""COMPUTED_VALUE"""),2278.9)</f>
        <v>2278.9</v>
      </c>
      <c r="C4519" s="2">
        <f>IFERROR(__xludf.DUMMYFUNCTION("""COMPUTED_VALUE"""),2304.0)</f>
        <v>2304</v>
      </c>
      <c r="D4519" s="2">
        <f>IFERROR(__xludf.DUMMYFUNCTION("""COMPUTED_VALUE"""),2268.5)</f>
        <v>2268.5</v>
      </c>
      <c r="E4519" s="2">
        <f>IFERROR(__xludf.DUMMYFUNCTION("""COMPUTED_VALUE"""),2287.5)</f>
        <v>2287.5</v>
      </c>
      <c r="F4519" s="2">
        <f>IFERROR(__xludf.DUMMYFUNCTION("""COMPUTED_VALUE"""),1.2341487E7)</f>
        <v>12341487</v>
      </c>
    </row>
    <row r="4520">
      <c r="A4520" s="3">
        <f>IFERROR(__xludf.DUMMYFUNCTION("""COMPUTED_VALUE"""),44119.64583333333)</f>
        <v>44119.64583</v>
      </c>
      <c r="B4520" s="2">
        <f>IFERROR(__xludf.DUMMYFUNCTION("""COMPUTED_VALUE"""),2290.0)</f>
        <v>2290</v>
      </c>
      <c r="C4520" s="2">
        <f>IFERROR(__xludf.DUMMYFUNCTION("""COMPUTED_VALUE"""),2290.0)</f>
        <v>2290</v>
      </c>
      <c r="D4520" s="2">
        <f>IFERROR(__xludf.DUMMYFUNCTION("""COMPUTED_VALUE"""),2195.0)</f>
        <v>2195</v>
      </c>
      <c r="E4520" s="2">
        <f>IFERROR(__xludf.DUMMYFUNCTION("""COMPUTED_VALUE"""),2206.5)</f>
        <v>2206.5</v>
      </c>
      <c r="F4520" s="2">
        <f>IFERROR(__xludf.DUMMYFUNCTION("""COMPUTED_VALUE"""),9246893.0)</f>
        <v>9246893</v>
      </c>
    </row>
    <row r="4521">
      <c r="A4521" s="3">
        <f>IFERROR(__xludf.DUMMYFUNCTION("""COMPUTED_VALUE"""),44120.64583333333)</f>
        <v>44120.64583</v>
      </c>
      <c r="B4521" s="2">
        <f>IFERROR(__xludf.DUMMYFUNCTION("""COMPUTED_VALUE"""),2215.0)</f>
        <v>2215</v>
      </c>
      <c r="C4521" s="2">
        <f>IFERROR(__xludf.DUMMYFUNCTION("""COMPUTED_VALUE"""),2232.5)</f>
        <v>2232.5</v>
      </c>
      <c r="D4521" s="2">
        <f>IFERROR(__xludf.DUMMYFUNCTION("""COMPUTED_VALUE"""),2172.65)</f>
        <v>2172.65</v>
      </c>
      <c r="E4521" s="2">
        <f>IFERROR(__xludf.DUMMYFUNCTION("""COMPUTED_VALUE"""),2175.8)</f>
        <v>2175.8</v>
      </c>
      <c r="F4521" s="2">
        <f>IFERROR(__xludf.DUMMYFUNCTION("""COMPUTED_VALUE"""),9961080.0)</f>
        <v>9961080</v>
      </c>
    </row>
    <row r="4522">
      <c r="A4522" s="3">
        <f>IFERROR(__xludf.DUMMYFUNCTION("""COMPUTED_VALUE"""),44123.64583333333)</f>
        <v>44123.64583</v>
      </c>
      <c r="B4522" s="2">
        <f>IFERROR(__xludf.DUMMYFUNCTION("""COMPUTED_VALUE"""),2190.05)</f>
        <v>2190.05</v>
      </c>
      <c r="C4522" s="2">
        <f>IFERROR(__xludf.DUMMYFUNCTION("""COMPUTED_VALUE"""),2228.7)</f>
        <v>2228.7</v>
      </c>
      <c r="D4522" s="2">
        <f>IFERROR(__xludf.DUMMYFUNCTION("""COMPUTED_VALUE"""),2155.15)</f>
        <v>2155.15</v>
      </c>
      <c r="E4522" s="2">
        <f>IFERROR(__xludf.DUMMYFUNCTION("""COMPUTED_VALUE"""),2176.2)</f>
        <v>2176.2</v>
      </c>
      <c r="F4522" s="2">
        <f>IFERROR(__xludf.DUMMYFUNCTION("""COMPUTED_VALUE"""),1.4399062E7)</f>
        <v>14399062</v>
      </c>
    </row>
    <row r="4523">
      <c r="A4523" s="3">
        <f>IFERROR(__xludf.DUMMYFUNCTION("""COMPUTED_VALUE"""),44124.64583333333)</f>
        <v>44124.64583</v>
      </c>
      <c r="B4523" s="2">
        <f>IFERROR(__xludf.DUMMYFUNCTION("""COMPUTED_VALUE"""),2179.0)</f>
        <v>2179</v>
      </c>
      <c r="C4523" s="2">
        <f>IFERROR(__xludf.DUMMYFUNCTION("""COMPUTED_VALUE"""),2193.0)</f>
        <v>2193</v>
      </c>
      <c r="D4523" s="2">
        <f>IFERROR(__xludf.DUMMYFUNCTION("""COMPUTED_VALUE"""),2152.25)</f>
        <v>2152.25</v>
      </c>
      <c r="E4523" s="2">
        <f>IFERROR(__xludf.DUMMYFUNCTION("""COMPUTED_VALUE"""),2155.9)</f>
        <v>2155.9</v>
      </c>
      <c r="F4523" s="2">
        <f>IFERROR(__xludf.DUMMYFUNCTION("""COMPUTED_VALUE"""),8529621.0)</f>
        <v>8529621</v>
      </c>
    </row>
    <row r="4524">
      <c r="A4524" s="3">
        <f>IFERROR(__xludf.DUMMYFUNCTION("""COMPUTED_VALUE"""),44125.64583333333)</f>
        <v>44125.64583</v>
      </c>
      <c r="B4524" s="2">
        <f>IFERROR(__xludf.DUMMYFUNCTION("""COMPUTED_VALUE"""),2168.0)</f>
        <v>2168</v>
      </c>
      <c r="C4524" s="2">
        <f>IFERROR(__xludf.DUMMYFUNCTION("""COMPUTED_VALUE"""),2192.0)</f>
        <v>2192</v>
      </c>
      <c r="D4524" s="2">
        <f>IFERROR(__xludf.DUMMYFUNCTION("""COMPUTED_VALUE"""),2097.75)</f>
        <v>2097.75</v>
      </c>
      <c r="E4524" s="2">
        <f>IFERROR(__xludf.DUMMYFUNCTION("""COMPUTED_VALUE"""),2124.6)</f>
        <v>2124.6</v>
      </c>
      <c r="F4524" s="2">
        <f>IFERROR(__xludf.DUMMYFUNCTION("""COMPUTED_VALUE"""),1.5729989E7)</f>
        <v>15729989</v>
      </c>
    </row>
    <row r="4525">
      <c r="A4525" s="3">
        <f>IFERROR(__xludf.DUMMYFUNCTION("""COMPUTED_VALUE"""),44126.64583333333)</f>
        <v>44126.64583</v>
      </c>
      <c r="B4525" s="2">
        <f>IFERROR(__xludf.DUMMYFUNCTION("""COMPUTED_VALUE"""),2127.4)</f>
        <v>2127.4</v>
      </c>
      <c r="C4525" s="2">
        <f>IFERROR(__xludf.DUMMYFUNCTION("""COMPUTED_VALUE"""),2132.5)</f>
        <v>2132.5</v>
      </c>
      <c r="D4525" s="2">
        <f>IFERROR(__xludf.DUMMYFUNCTION("""COMPUTED_VALUE"""),2091.0)</f>
        <v>2091</v>
      </c>
      <c r="E4525" s="2">
        <f>IFERROR(__xludf.DUMMYFUNCTION("""COMPUTED_VALUE"""),2106.95)</f>
        <v>2106.95</v>
      </c>
      <c r="F4525" s="2">
        <f>IFERROR(__xludf.DUMMYFUNCTION("""COMPUTED_VALUE"""),1.4215255E7)</f>
        <v>14215255</v>
      </c>
    </row>
    <row r="4526">
      <c r="A4526" s="3">
        <f>IFERROR(__xludf.DUMMYFUNCTION("""COMPUTED_VALUE"""),44127.64583333333)</f>
        <v>44127.64583</v>
      </c>
      <c r="B4526" s="2">
        <f>IFERROR(__xludf.DUMMYFUNCTION("""COMPUTED_VALUE"""),2106.0)</f>
        <v>2106</v>
      </c>
      <c r="C4526" s="2">
        <f>IFERROR(__xludf.DUMMYFUNCTION("""COMPUTED_VALUE"""),2135.0)</f>
        <v>2135</v>
      </c>
      <c r="D4526" s="2">
        <f>IFERROR(__xludf.DUMMYFUNCTION("""COMPUTED_VALUE"""),2096.4)</f>
        <v>2096.4</v>
      </c>
      <c r="E4526" s="2">
        <f>IFERROR(__xludf.DUMMYFUNCTION("""COMPUTED_VALUE"""),2113.05)</f>
        <v>2113.05</v>
      </c>
      <c r="F4526" s="2">
        <f>IFERROR(__xludf.DUMMYFUNCTION("""COMPUTED_VALUE"""),1.0809383E7)</f>
        <v>10809383</v>
      </c>
    </row>
    <row r="4527">
      <c r="A4527" s="3">
        <f>IFERROR(__xludf.DUMMYFUNCTION("""COMPUTED_VALUE"""),44130.64583333333)</f>
        <v>44130.64583</v>
      </c>
      <c r="B4527" s="2">
        <f>IFERROR(__xludf.DUMMYFUNCTION("""COMPUTED_VALUE"""),2101.95)</f>
        <v>2101.95</v>
      </c>
      <c r="C4527" s="2">
        <f>IFERROR(__xludf.DUMMYFUNCTION("""COMPUTED_VALUE"""),2101.95)</f>
        <v>2101.95</v>
      </c>
      <c r="D4527" s="2">
        <f>IFERROR(__xludf.DUMMYFUNCTION("""COMPUTED_VALUE"""),2018.5)</f>
        <v>2018.5</v>
      </c>
      <c r="E4527" s="2">
        <f>IFERROR(__xludf.DUMMYFUNCTION("""COMPUTED_VALUE"""),2029.1)</f>
        <v>2029.1</v>
      </c>
      <c r="F4527" s="2">
        <f>IFERROR(__xludf.DUMMYFUNCTION("""COMPUTED_VALUE"""),1.722534E7)</f>
        <v>17225340</v>
      </c>
    </row>
    <row r="4528">
      <c r="A4528" s="3">
        <f>IFERROR(__xludf.DUMMYFUNCTION("""COMPUTED_VALUE"""),44131.64583333333)</f>
        <v>44131.64583</v>
      </c>
      <c r="B4528" s="2">
        <f>IFERROR(__xludf.DUMMYFUNCTION("""COMPUTED_VALUE"""),2034.9)</f>
        <v>2034.9</v>
      </c>
      <c r="C4528" s="2">
        <f>IFERROR(__xludf.DUMMYFUNCTION("""COMPUTED_VALUE"""),2059.85)</f>
        <v>2059.85</v>
      </c>
      <c r="D4528" s="2">
        <f>IFERROR(__xludf.DUMMYFUNCTION("""COMPUTED_VALUE"""),2005.0)</f>
        <v>2005</v>
      </c>
      <c r="E4528" s="2">
        <f>IFERROR(__xludf.DUMMYFUNCTION("""COMPUTED_VALUE"""),2034.5)</f>
        <v>2034.5</v>
      </c>
      <c r="F4528" s="2">
        <f>IFERROR(__xludf.DUMMYFUNCTION("""COMPUTED_VALUE"""),1.6835011E7)</f>
        <v>16835011</v>
      </c>
    </row>
    <row r="4529">
      <c r="A4529" s="3">
        <f>IFERROR(__xludf.DUMMYFUNCTION("""COMPUTED_VALUE"""),44132.64583333333)</f>
        <v>44132.64583</v>
      </c>
      <c r="B4529" s="2">
        <f>IFERROR(__xludf.DUMMYFUNCTION("""COMPUTED_VALUE"""),2041.8)</f>
        <v>2041.8</v>
      </c>
      <c r="C4529" s="2">
        <f>IFERROR(__xludf.DUMMYFUNCTION("""COMPUTED_VALUE"""),2057.7)</f>
        <v>2057.7</v>
      </c>
      <c r="D4529" s="2">
        <f>IFERROR(__xludf.DUMMYFUNCTION("""COMPUTED_VALUE"""),2007.4)</f>
        <v>2007.4</v>
      </c>
      <c r="E4529" s="2">
        <f>IFERROR(__xludf.DUMMYFUNCTION("""COMPUTED_VALUE"""),2011.45)</f>
        <v>2011.45</v>
      </c>
      <c r="F4529" s="2">
        <f>IFERROR(__xludf.DUMMYFUNCTION("""COMPUTED_VALUE"""),1.3810054E7)</f>
        <v>13810054</v>
      </c>
    </row>
    <row r="4530">
      <c r="A4530" s="3">
        <f>IFERROR(__xludf.DUMMYFUNCTION("""COMPUTED_VALUE"""),44133.64583333333)</f>
        <v>44133.64583</v>
      </c>
      <c r="B4530" s="2">
        <f>IFERROR(__xludf.DUMMYFUNCTION("""COMPUTED_VALUE"""),1997.0)</f>
        <v>1997</v>
      </c>
      <c r="C4530" s="2">
        <f>IFERROR(__xludf.DUMMYFUNCTION("""COMPUTED_VALUE"""),2042.0)</f>
        <v>2042</v>
      </c>
      <c r="D4530" s="2">
        <f>IFERROR(__xludf.DUMMYFUNCTION("""COMPUTED_VALUE"""),1991.0)</f>
        <v>1991</v>
      </c>
      <c r="E4530" s="2">
        <f>IFERROR(__xludf.DUMMYFUNCTION("""COMPUTED_VALUE"""),2026.9)</f>
        <v>2026.9</v>
      </c>
      <c r="F4530" s="2">
        <f>IFERROR(__xludf.DUMMYFUNCTION("""COMPUTED_VALUE"""),1.4147681E7)</f>
        <v>14147681</v>
      </c>
    </row>
    <row r="4531">
      <c r="A4531" s="3">
        <f>IFERROR(__xludf.DUMMYFUNCTION("""COMPUTED_VALUE"""),44134.64583333333)</f>
        <v>44134.64583</v>
      </c>
      <c r="B4531" s="2">
        <f>IFERROR(__xludf.DUMMYFUNCTION("""COMPUTED_VALUE"""),2033.5)</f>
        <v>2033.5</v>
      </c>
      <c r="C4531" s="2">
        <f>IFERROR(__xludf.DUMMYFUNCTION("""COMPUTED_VALUE"""),2065.1)</f>
        <v>2065.1</v>
      </c>
      <c r="D4531" s="2">
        <f>IFERROR(__xludf.DUMMYFUNCTION("""COMPUTED_VALUE"""),2021.8)</f>
        <v>2021.8</v>
      </c>
      <c r="E4531" s="2">
        <f>IFERROR(__xludf.DUMMYFUNCTION("""COMPUTED_VALUE"""),2054.5)</f>
        <v>2054.5</v>
      </c>
      <c r="F4531" s="2">
        <f>IFERROR(__xludf.DUMMYFUNCTION("""COMPUTED_VALUE"""),1.5701123E7)</f>
        <v>15701123</v>
      </c>
    </row>
    <row r="4532">
      <c r="A4532" s="3">
        <f>IFERROR(__xludf.DUMMYFUNCTION("""COMPUTED_VALUE"""),44137.64583333333)</f>
        <v>44137.64583</v>
      </c>
      <c r="B4532" s="2">
        <f>IFERROR(__xludf.DUMMYFUNCTION("""COMPUTED_VALUE"""),2027.0)</f>
        <v>2027</v>
      </c>
      <c r="C4532" s="2">
        <f>IFERROR(__xludf.DUMMYFUNCTION("""COMPUTED_VALUE"""),2027.0)</f>
        <v>2027</v>
      </c>
      <c r="D4532" s="2">
        <f>IFERROR(__xludf.DUMMYFUNCTION("""COMPUTED_VALUE"""),1859.15)</f>
        <v>1859.15</v>
      </c>
      <c r="E4532" s="2">
        <f>IFERROR(__xludf.DUMMYFUNCTION("""COMPUTED_VALUE"""),1877.45)</f>
        <v>1877.45</v>
      </c>
      <c r="F4532" s="2">
        <f>IFERROR(__xludf.DUMMYFUNCTION("""COMPUTED_VALUE"""),4.5857806E7)</f>
        <v>45857806</v>
      </c>
    </row>
    <row r="4533">
      <c r="A4533" s="3">
        <f>IFERROR(__xludf.DUMMYFUNCTION("""COMPUTED_VALUE"""),44138.64583333333)</f>
        <v>44138.64583</v>
      </c>
      <c r="B4533" s="2">
        <f>IFERROR(__xludf.DUMMYFUNCTION("""COMPUTED_VALUE"""),1890.0)</f>
        <v>1890</v>
      </c>
      <c r="C4533" s="2">
        <f>IFERROR(__xludf.DUMMYFUNCTION("""COMPUTED_VALUE"""),1909.0)</f>
        <v>1909</v>
      </c>
      <c r="D4533" s="2">
        <f>IFERROR(__xludf.DUMMYFUNCTION("""COMPUTED_VALUE"""),1835.1)</f>
        <v>1835.1</v>
      </c>
      <c r="E4533" s="2">
        <f>IFERROR(__xludf.DUMMYFUNCTION("""COMPUTED_VALUE"""),1850.4)</f>
        <v>1850.4</v>
      </c>
      <c r="F4533" s="2">
        <f>IFERROR(__xludf.DUMMYFUNCTION("""COMPUTED_VALUE"""),4.093117E7)</f>
        <v>40931170</v>
      </c>
    </row>
    <row r="4534">
      <c r="A4534" s="3">
        <f>IFERROR(__xludf.DUMMYFUNCTION("""COMPUTED_VALUE"""),44139.64583333333)</f>
        <v>44139.64583</v>
      </c>
      <c r="B4534" s="2">
        <f>IFERROR(__xludf.DUMMYFUNCTION("""COMPUTED_VALUE"""),1837.0)</f>
        <v>1837</v>
      </c>
      <c r="C4534" s="2">
        <f>IFERROR(__xludf.DUMMYFUNCTION("""COMPUTED_VALUE"""),1929.0)</f>
        <v>1929</v>
      </c>
      <c r="D4534" s="2">
        <f>IFERROR(__xludf.DUMMYFUNCTION("""COMPUTED_VALUE"""),1837.0)</f>
        <v>1837</v>
      </c>
      <c r="E4534" s="2">
        <f>IFERROR(__xludf.DUMMYFUNCTION("""COMPUTED_VALUE"""),1913.2)</f>
        <v>1913.2</v>
      </c>
      <c r="F4534" s="2">
        <f>IFERROR(__xludf.DUMMYFUNCTION("""COMPUTED_VALUE"""),3.7003111E7)</f>
        <v>37003111</v>
      </c>
    </row>
    <row r="4535">
      <c r="A4535" s="3">
        <f>IFERROR(__xludf.DUMMYFUNCTION("""COMPUTED_VALUE"""),44140.64583333333)</f>
        <v>44140.64583</v>
      </c>
      <c r="B4535" s="2">
        <f>IFERROR(__xludf.DUMMYFUNCTION("""COMPUTED_VALUE"""),1954.95)</f>
        <v>1954.95</v>
      </c>
      <c r="C4535" s="2">
        <f>IFERROR(__xludf.DUMMYFUNCTION("""COMPUTED_VALUE"""),1960.95)</f>
        <v>1960.95</v>
      </c>
      <c r="D4535" s="2">
        <f>IFERROR(__xludf.DUMMYFUNCTION("""COMPUTED_VALUE"""),1932.0)</f>
        <v>1932</v>
      </c>
      <c r="E4535" s="2">
        <f>IFERROR(__xludf.DUMMYFUNCTION("""COMPUTED_VALUE"""),1955.0)</f>
        <v>1955</v>
      </c>
      <c r="F4535" s="2">
        <f>IFERROR(__xludf.DUMMYFUNCTION("""COMPUTED_VALUE"""),1.7170274E7)</f>
        <v>17170274</v>
      </c>
    </row>
    <row r="4536">
      <c r="A4536" s="3">
        <f>IFERROR(__xludf.DUMMYFUNCTION("""COMPUTED_VALUE"""),44141.64583333333)</f>
        <v>44141.64583</v>
      </c>
      <c r="B4536" s="2">
        <f>IFERROR(__xludf.DUMMYFUNCTION("""COMPUTED_VALUE"""),1990.0)</f>
        <v>1990</v>
      </c>
      <c r="C4536" s="2">
        <f>IFERROR(__xludf.DUMMYFUNCTION("""COMPUTED_VALUE"""),2040.0)</f>
        <v>2040</v>
      </c>
      <c r="D4536" s="2">
        <f>IFERROR(__xludf.DUMMYFUNCTION("""COMPUTED_VALUE"""),1978.15)</f>
        <v>1978.15</v>
      </c>
      <c r="E4536" s="2">
        <f>IFERROR(__xludf.DUMMYFUNCTION("""COMPUTED_VALUE"""),2029.15)</f>
        <v>2029.15</v>
      </c>
      <c r="F4536" s="2">
        <f>IFERROR(__xludf.DUMMYFUNCTION("""COMPUTED_VALUE"""),3.077008E7)</f>
        <v>30770080</v>
      </c>
    </row>
    <row r="4537">
      <c r="A4537" s="3">
        <f>IFERROR(__xludf.DUMMYFUNCTION("""COMPUTED_VALUE"""),44144.64583333333)</f>
        <v>44144.64583</v>
      </c>
      <c r="B4537" s="2">
        <f>IFERROR(__xludf.DUMMYFUNCTION("""COMPUTED_VALUE"""),2062.1)</f>
        <v>2062.1</v>
      </c>
      <c r="C4537" s="2">
        <f>IFERROR(__xludf.DUMMYFUNCTION("""COMPUTED_VALUE"""),2069.0)</f>
        <v>2069</v>
      </c>
      <c r="D4537" s="2">
        <f>IFERROR(__xludf.DUMMYFUNCTION("""COMPUTED_VALUE"""),2036.0)</f>
        <v>2036</v>
      </c>
      <c r="E4537" s="2">
        <f>IFERROR(__xludf.DUMMYFUNCTION("""COMPUTED_VALUE"""),2050.7)</f>
        <v>2050.7</v>
      </c>
      <c r="F4537" s="2">
        <f>IFERROR(__xludf.DUMMYFUNCTION("""COMPUTED_VALUE"""),1.6539467E7)</f>
        <v>16539467</v>
      </c>
    </row>
    <row r="4538">
      <c r="A4538" s="3">
        <f>IFERROR(__xludf.DUMMYFUNCTION("""COMPUTED_VALUE"""),44145.64583333333)</f>
        <v>44145.64583</v>
      </c>
      <c r="B4538" s="2">
        <f>IFERROR(__xludf.DUMMYFUNCTION("""COMPUTED_VALUE"""),2077.0)</f>
        <v>2077</v>
      </c>
      <c r="C4538" s="2">
        <f>IFERROR(__xludf.DUMMYFUNCTION("""COMPUTED_VALUE"""),2090.0)</f>
        <v>2090</v>
      </c>
      <c r="D4538" s="2">
        <f>IFERROR(__xludf.DUMMYFUNCTION("""COMPUTED_VALUE"""),2041.2)</f>
        <v>2041.2</v>
      </c>
      <c r="E4538" s="2">
        <f>IFERROR(__xludf.DUMMYFUNCTION("""COMPUTED_VALUE"""),2084.55)</f>
        <v>2084.55</v>
      </c>
      <c r="F4538" s="2">
        <f>IFERROR(__xludf.DUMMYFUNCTION("""COMPUTED_VALUE"""),1.7045147E7)</f>
        <v>17045147</v>
      </c>
    </row>
    <row r="4539">
      <c r="A4539" s="3">
        <f>IFERROR(__xludf.DUMMYFUNCTION("""COMPUTED_VALUE"""),44146.64583333333)</f>
        <v>44146.64583</v>
      </c>
      <c r="B4539" s="2">
        <f>IFERROR(__xludf.DUMMYFUNCTION("""COMPUTED_VALUE"""),2089.0)</f>
        <v>2089</v>
      </c>
      <c r="C4539" s="2">
        <f>IFERROR(__xludf.DUMMYFUNCTION("""COMPUTED_VALUE"""),2095.0)</f>
        <v>2095</v>
      </c>
      <c r="D4539" s="2">
        <f>IFERROR(__xludf.DUMMYFUNCTION("""COMPUTED_VALUE"""),1978.1)</f>
        <v>1978.1</v>
      </c>
      <c r="E4539" s="2">
        <f>IFERROR(__xludf.DUMMYFUNCTION("""COMPUTED_VALUE"""),1997.2)</f>
        <v>1997.2</v>
      </c>
      <c r="F4539" s="2">
        <f>IFERROR(__xludf.DUMMYFUNCTION("""COMPUTED_VALUE"""),2.6178477E7)</f>
        <v>26178477</v>
      </c>
    </row>
    <row r="4540">
      <c r="A4540" s="3">
        <f>IFERROR(__xludf.DUMMYFUNCTION("""COMPUTED_VALUE"""),44147.64583333333)</f>
        <v>44147.64583</v>
      </c>
      <c r="B4540" s="2">
        <f>IFERROR(__xludf.DUMMYFUNCTION("""COMPUTED_VALUE"""),1981.0)</f>
        <v>1981</v>
      </c>
      <c r="C4540" s="2">
        <f>IFERROR(__xludf.DUMMYFUNCTION("""COMPUTED_VALUE"""),2008.45)</f>
        <v>2008.45</v>
      </c>
      <c r="D4540" s="2">
        <f>IFERROR(__xludf.DUMMYFUNCTION("""COMPUTED_VALUE"""),1965.0)</f>
        <v>1965</v>
      </c>
      <c r="E4540" s="2">
        <f>IFERROR(__xludf.DUMMYFUNCTION("""COMPUTED_VALUE"""),1980.0)</f>
        <v>1980</v>
      </c>
      <c r="F4540" s="2">
        <f>IFERROR(__xludf.DUMMYFUNCTION("""COMPUTED_VALUE"""),1.8481466E7)</f>
        <v>18481466</v>
      </c>
    </row>
    <row r="4541">
      <c r="A4541" s="3">
        <f>IFERROR(__xludf.DUMMYFUNCTION("""COMPUTED_VALUE"""),44148.64583333333)</f>
        <v>44148.64583</v>
      </c>
      <c r="B4541" s="2">
        <f>IFERROR(__xludf.DUMMYFUNCTION("""COMPUTED_VALUE"""),1982.0)</f>
        <v>1982</v>
      </c>
      <c r="C4541" s="2">
        <f>IFERROR(__xludf.DUMMYFUNCTION("""COMPUTED_VALUE"""),2036.65)</f>
        <v>2036.65</v>
      </c>
      <c r="D4541" s="2">
        <f>IFERROR(__xludf.DUMMYFUNCTION("""COMPUTED_VALUE"""),1981.75)</f>
        <v>1981.75</v>
      </c>
      <c r="E4541" s="2">
        <f>IFERROR(__xludf.DUMMYFUNCTION("""COMPUTED_VALUE"""),1996.4)</f>
        <v>1996.4</v>
      </c>
      <c r="F4541" s="2">
        <f>IFERROR(__xludf.DUMMYFUNCTION("""COMPUTED_VALUE"""),2.0946864E7)</f>
        <v>20946864</v>
      </c>
    </row>
    <row r="4542">
      <c r="A4542" s="3">
        <f>IFERROR(__xludf.DUMMYFUNCTION("""COMPUTED_VALUE"""),44152.64583333333)</f>
        <v>44152.64583</v>
      </c>
      <c r="B4542" s="2">
        <f>IFERROR(__xludf.DUMMYFUNCTION("""COMPUTED_VALUE"""),2085.0)</f>
        <v>2085</v>
      </c>
      <c r="C4542" s="2">
        <f>IFERROR(__xludf.DUMMYFUNCTION("""COMPUTED_VALUE"""),2085.0)</f>
        <v>2085</v>
      </c>
      <c r="D4542" s="2">
        <f>IFERROR(__xludf.DUMMYFUNCTION("""COMPUTED_VALUE"""),1985.0)</f>
        <v>1985</v>
      </c>
      <c r="E4542" s="2">
        <f>IFERROR(__xludf.DUMMYFUNCTION("""COMPUTED_VALUE"""),1993.25)</f>
        <v>1993.25</v>
      </c>
      <c r="F4542" s="2">
        <f>IFERROR(__xludf.DUMMYFUNCTION("""COMPUTED_VALUE"""),2.1479385E7)</f>
        <v>21479385</v>
      </c>
    </row>
    <row r="4543">
      <c r="A4543" s="3">
        <f>IFERROR(__xludf.DUMMYFUNCTION("""COMPUTED_VALUE"""),44153.64583333333)</f>
        <v>44153.64583</v>
      </c>
      <c r="B4543" s="2">
        <f>IFERROR(__xludf.DUMMYFUNCTION("""COMPUTED_VALUE"""),1993.25)</f>
        <v>1993.25</v>
      </c>
      <c r="C4543" s="2">
        <f>IFERROR(__xludf.DUMMYFUNCTION("""COMPUTED_VALUE"""),2006.5)</f>
        <v>2006.5</v>
      </c>
      <c r="D4543" s="2">
        <f>IFERROR(__xludf.DUMMYFUNCTION("""COMPUTED_VALUE"""),1960.1)</f>
        <v>1960.1</v>
      </c>
      <c r="E4543" s="2">
        <f>IFERROR(__xludf.DUMMYFUNCTION("""COMPUTED_VALUE"""),1987.2)</f>
        <v>1987.2</v>
      </c>
      <c r="F4543" s="2">
        <f>IFERROR(__xludf.DUMMYFUNCTION("""COMPUTED_VALUE"""),1.4030652E7)</f>
        <v>14030652</v>
      </c>
    </row>
    <row r="4544">
      <c r="A4544" s="3">
        <f>IFERROR(__xludf.DUMMYFUNCTION("""COMPUTED_VALUE"""),44154.64583333333)</f>
        <v>44154.64583</v>
      </c>
      <c r="B4544" s="2">
        <f>IFERROR(__xludf.DUMMYFUNCTION("""COMPUTED_VALUE"""),1987.2)</f>
        <v>1987.2</v>
      </c>
      <c r="C4544" s="2">
        <f>IFERROR(__xludf.DUMMYFUNCTION("""COMPUTED_VALUE"""),2010.45)</f>
        <v>2010.45</v>
      </c>
      <c r="D4544" s="2">
        <f>IFERROR(__xludf.DUMMYFUNCTION("""COMPUTED_VALUE"""),1968.2)</f>
        <v>1968.2</v>
      </c>
      <c r="E4544" s="2">
        <f>IFERROR(__xludf.DUMMYFUNCTION("""COMPUTED_VALUE"""),1973.15)</f>
        <v>1973.15</v>
      </c>
      <c r="F4544" s="2">
        <f>IFERROR(__xludf.DUMMYFUNCTION("""COMPUTED_VALUE"""),1.2828008E7)</f>
        <v>12828008</v>
      </c>
    </row>
    <row r="4545">
      <c r="A4545" s="3">
        <f>IFERROR(__xludf.DUMMYFUNCTION("""COMPUTED_VALUE"""),44155.64583333333)</f>
        <v>44155.64583</v>
      </c>
      <c r="B4545" s="2">
        <f>IFERROR(__xludf.DUMMYFUNCTION("""COMPUTED_VALUE"""),1975.0)</f>
        <v>1975</v>
      </c>
      <c r="C4545" s="2">
        <f>IFERROR(__xludf.DUMMYFUNCTION("""COMPUTED_VALUE"""),1983.8)</f>
        <v>1983.8</v>
      </c>
      <c r="D4545" s="2">
        <f>IFERROR(__xludf.DUMMYFUNCTION("""COMPUTED_VALUE"""),1895.0)</f>
        <v>1895</v>
      </c>
      <c r="E4545" s="2">
        <f>IFERROR(__xludf.DUMMYFUNCTION("""COMPUTED_VALUE"""),1899.5)</f>
        <v>1899.5</v>
      </c>
      <c r="F4545" s="2">
        <f>IFERROR(__xludf.DUMMYFUNCTION("""COMPUTED_VALUE"""),2.6522972E7)</f>
        <v>26522972</v>
      </c>
    </row>
    <row r="4546">
      <c r="A4546" s="3">
        <f>IFERROR(__xludf.DUMMYFUNCTION("""COMPUTED_VALUE"""),44158.64583333333)</f>
        <v>44158.64583</v>
      </c>
      <c r="B4546" s="2">
        <f>IFERROR(__xludf.DUMMYFUNCTION("""COMPUTED_VALUE"""),1951.0)</f>
        <v>1951</v>
      </c>
      <c r="C4546" s="2">
        <f>IFERROR(__xludf.DUMMYFUNCTION("""COMPUTED_VALUE"""),1970.0)</f>
        <v>1970</v>
      </c>
      <c r="D4546" s="2">
        <f>IFERROR(__xludf.DUMMYFUNCTION("""COMPUTED_VALUE"""),1926.25)</f>
        <v>1926.25</v>
      </c>
      <c r="E4546" s="2">
        <f>IFERROR(__xludf.DUMMYFUNCTION("""COMPUTED_VALUE"""),1950.7)</f>
        <v>1950.7</v>
      </c>
      <c r="F4546" s="2">
        <f>IFERROR(__xludf.DUMMYFUNCTION("""COMPUTED_VALUE"""),2.0918665E7)</f>
        <v>20918665</v>
      </c>
    </row>
    <row r="4547">
      <c r="A4547" s="3">
        <f>IFERROR(__xludf.DUMMYFUNCTION("""COMPUTED_VALUE"""),44159.64583333333)</f>
        <v>44159.64583</v>
      </c>
      <c r="B4547" s="2">
        <f>IFERROR(__xludf.DUMMYFUNCTION("""COMPUTED_VALUE"""),1964.0)</f>
        <v>1964</v>
      </c>
      <c r="C4547" s="2">
        <f>IFERROR(__xludf.DUMMYFUNCTION("""COMPUTED_VALUE"""),1974.0)</f>
        <v>1974</v>
      </c>
      <c r="D4547" s="2">
        <f>IFERROR(__xludf.DUMMYFUNCTION("""COMPUTED_VALUE"""),1932.0)</f>
        <v>1932</v>
      </c>
      <c r="E4547" s="2">
        <f>IFERROR(__xludf.DUMMYFUNCTION("""COMPUTED_VALUE"""),1964.05)</f>
        <v>1964.05</v>
      </c>
      <c r="F4547" s="2">
        <f>IFERROR(__xludf.DUMMYFUNCTION("""COMPUTED_VALUE"""),1.4277083E7)</f>
        <v>14277083</v>
      </c>
    </row>
    <row r="4548">
      <c r="A4548" s="3">
        <f>IFERROR(__xludf.DUMMYFUNCTION("""COMPUTED_VALUE"""),44160.64583333333)</f>
        <v>44160.64583</v>
      </c>
      <c r="B4548" s="2">
        <f>IFERROR(__xludf.DUMMYFUNCTION("""COMPUTED_VALUE"""),1980.0)</f>
        <v>1980</v>
      </c>
      <c r="C4548" s="2">
        <f>IFERROR(__xludf.DUMMYFUNCTION("""COMPUTED_VALUE"""),1992.95)</f>
        <v>1992.95</v>
      </c>
      <c r="D4548" s="2">
        <f>IFERROR(__xludf.DUMMYFUNCTION("""COMPUTED_VALUE"""),1942.2)</f>
        <v>1942.2</v>
      </c>
      <c r="E4548" s="2">
        <f>IFERROR(__xludf.DUMMYFUNCTION("""COMPUTED_VALUE"""),1947.8)</f>
        <v>1947.8</v>
      </c>
      <c r="F4548" s="2">
        <f>IFERROR(__xludf.DUMMYFUNCTION("""COMPUTED_VALUE"""),1.5062376E7)</f>
        <v>15062376</v>
      </c>
    </row>
    <row r="4549">
      <c r="A4549" s="3">
        <f>IFERROR(__xludf.DUMMYFUNCTION("""COMPUTED_VALUE"""),44161.64583333333)</f>
        <v>44161.64583</v>
      </c>
      <c r="B4549" s="2">
        <f>IFERROR(__xludf.DUMMYFUNCTION("""COMPUTED_VALUE"""),1953.05)</f>
        <v>1953.05</v>
      </c>
      <c r="C4549" s="2">
        <f>IFERROR(__xludf.DUMMYFUNCTION("""COMPUTED_VALUE"""),1965.0)</f>
        <v>1965</v>
      </c>
      <c r="D4549" s="2">
        <f>IFERROR(__xludf.DUMMYFUNCTION("""COMPUTED_VALUE"""),1930.05)</f>
        <v>1930.05</v>
      </c>
      <c r="E4549" s="2">
        <f>IFERROR(__xludf.DUMMYFUNCTION("""COMPUTED_VALUE"""),1952.6)</f>
        <v>1952.6</v>
      </c>
      <c r="F4549" s="2">
        <f>IFERROR(__xludf.DUMMYFUNCTION("""COMPUTED_VALUE"""),1.1924527E7)</f>
        <v>11924527</v>
      </c>
    </row>
    <row r="4550">
      <c r="A4550" s="3">
        <f>IFERROR(__xludf.DUMMYFUNCTION("""COMPUTED_VALUE"""),44162.64583333333)</f>
        <v>44162.64583</v>
      </c>
      <c r="B4550" s="2">
        <f>IFERROR(__xludf.DUMMYFUNCTION("""COMPUTED_VALUE"""),1940.5)</f>
        <v>1940.5</v>
      </c>
      <c r="C4550" s="2">
        <f>IFERROR(__xludf.DUMMYFUNCTION("""COMPUTED_VALUE"""),1956.1)</f>
        <v>1956.1</v>
      </c>
      <c r="D4550" s="2">
        <f>IFERROR(__xludf.DUMMYFUNCTION("""COMPUTED_VALUE"""),1921.4)</f>
        <v>1921.4</v>
      </c>
      <c r="E4550" s="2">
        <f>IFERROR(__xludf.DUMMYFUNCTION("""COMPUTED_VALUE"""),1929.8)</f>
        <v>1929.8</v>
      </c>
      <c r="F4550" s="2">
        <f>IFERROR(__xludf.DUMMYFUNCTION("""COMPUTED_VALUE"""),2.1845931E7)</f>
        <v>21845931</v>
      </c>
    </row>
    <row r="4551">
      <c r="A4551" s="3">
        <f>IFERROR(__xludf.DUMMYFUNCTION("""COMPUTED_VALUE"""),44166.64583333333)</f>
        <v>44166.64583</v>
      </c>
      <c r="B4551" s="2">
        <f>IFERROR(__xludf.DUMMYFUNCTION("""COMPUTED_VALUE"""),1940.35)</f>
        <v>1940.35</v>
      </c>
      <c r="C4551" s="2">
        <f>IFERROR(__xludf.DUMMYFUNCTION("""COMPUTED_VALUE"""),1966.25)</f>
        <v>1966.25</v>
      </c>
      <c r="D4551" s="2">
        <f>IFERROR(__xludf.DUMMYFUNCTION("""COMPUTED_VALUE"""),1930.05)</f>
        <v>1930.05</v>
      </c>
      <c r="E4551" s="2">
        <f>IFERROR(__xludf.DUMMYFUNCTION("""COMPUTED_VALUE"""),1954.9)</f>
        <v>1954.9</v>
      </c>
      <c r="F4551" s="2">
        <f>IFERROR(__xludf.DUMMYFUNCTION("""COMPUTED_VALUE"""),9114939.0)</f>
        <v>9114939</v>
      </c>
    </row>
    <row r="4552">
      <c r="A4552" s="3">
        <f>IFERROR(__xludf.DUMMYFUNCTION("""COMPUTED_VALUE"""),44167.64583333333)</f>
        <v>44167.64583</v>
      </c>
      <c r="B4552" s="2">
        <f>IFERROR(__xludf.DUMMYFUNCTION("""COMPUTED_VALUE"""),1958.5)</f>
        <v>1958.5</v>
      </c>
      <c r="C4552" s="2">
        <f>IFERROR(__xludf.DUMMYFUNCTION("""COMPUTED_VALUE"""),1962.0)</f>
        <v>1962</v>
      </c>
      <c r="D4552" s="2">
        <f>IFERROR(__xludf.DUMMYFUNCTION("""COMPUTED_VALUE"""),1935.0)</f>
        <v>1935</v>
      </c>
      <c r="E4552" s="2">
        <f>IFERROR(__xludf.DUMMYFUNCTION("""COMPUTED_VALUE"""),1958.15)</f>
        <v>1958.15</v>
      </c>
      <c r="F4552" s="2">
        <f>IFERROR(__xludf.DUMMYFUNCTION("""COMPUTED_VALUE"""),1.0240168E7)</f>
        <v>10240168</v>
      </c>
    </row>
    <row r="4553">
      <c r="A4553" s="3">
        <f>IFERROR(__xludf.DUMMYFUNCTION("""COMPUTED_VALUE"""),44168.64583333333)</f>
        <v>44168.64583</v>
      </c>
      <c r="B4553" s="2">
        <f>IFERROR(__xludf.DUMMYFUNCTION("""COMPUTED_VALUE"""),1972.0)</f>
        <v>1972</v>
      </c>
      <c r="C4553" s="2">
        <f>IFERROR(__xludf.DUMMYFUNCTION("""COMPUTED_VALUE"""),1981.1)</f>
        <v>1981.1</v>
      </c>
      <c r="D4553" s="2">
        <f>IFERROR(__xludf.DUMMYFUNCTION("""COMPUTED_VALUE"""),1958.65)</f>
        <v>1958.65</v>
      </c>
      <c r="E4553" s="2">
        <f>IFERROR(__xludf.DUMMYFUNCTION("""COMPUTED_VALUE"""),1964.05)</f>
        <v>1964.05</v>
      </c>
      <c r="F4553" s="2">
        <f>IFERROR(__xludf.DUMMYFUNCTION("""COMPUTED_VALUE"""),1.2822945E7)</f>
        <v>12822945</v>
      </c>
    </row>
    <row r="4554">
      <c r="A4554" s="3">
        <f>IFERROR(__xludf.DUMMYFUNCTION("""COMPUTED_VALUE"""),44169.64583333333)</f>
        <v>44169.64583</v>
      </c>
      <c r="B4554" s="2">
        <f>IFERROR(__xludf.DUMMYFUNCTION("""COMPUTED_VALUE"""),1969.0)</f>
        <v>1969</v>
      </c>
      <c r="C4554" s="2">
        <f>IFERROR(__xludf.DUMMYFUNCTION("""COMPUTED_VALUE"""),1969.0)</f>
        <v>1969</v>
      </c>
      <c r="D4554" s="2">
        <f>IFERROR(__xludf.DUMMYFUNCTION("""COMPUTED_VALUE"""),1940.0)</f>
        <v>1940</v>
      </c>
      <c r="E4554" s="2">
        <f>IFERROR(__xludf.DUMMYFUNCTION("""COMPUTED_VALUE"""),1946.75)</f>
        <v>1946.75</v>
      </c>
      <c r="F4554" s="2">
        <f>IFERROR(__xludf.DUMMYFUNCTION("""COMPUTED_VALUE"""),8521388.0)</f>
        <v>8521388</v>
      </c>
    </row>
    <row r="4555">
      <c r="A4555" s="3">
        <f>IFERROR(__xludf.DUMMYFUNCTION("""COMPUTED_VALUE"""),44172.64583333333)</f>
        <v>44172.64583</v>
      </c>
      <c r="B4555" s="2">
        <f>IFERROR(__xludf.DUMMYFUNCTION("""COMPUTED_VALUE"""),1940.6)</f>
        <v>1940.6</v>
      </c>
      <c r="C4555" s="2">
        <f>IFERROR(__xludf.DUMMYFUNCTION("""COMPUTED_VALUE"""),1965.0)</f>
        <v>1965</v>
      </c>
      <c r="D4555" s="2">
        <f>IFERROR(__xludf.DUMMYFUNCTION("""COMPUTED_VALUE"""),1940.6)</f>
        <v>1940.6</v>
      </c>
      <c r="E4555" s="2">
        <f>IFERROR(__xludf.DUMMYFUNCTION("""COMPUTED_VALUE"""),1958.2)</f>
        <v>1958.2</v>
      </c>
      <c r="F4555" s="2">
        <f>IFERROR(__xludf.DUMMYFUNCTION("""COMPUTED_VALUE"""),8418767.0)</f>
        <v>8418767</v>
      </c>
    </row>
    <row r="4556">
      <c r="A4556" s="3">
        <f>IFERROR(__xludf.DUMMYFUNCTION("""COMPUTED_VALUE"""),44173.64583333333)</f>
        <v>44173.64583</v>
      </c>
      <c r="B4556" s="2">
        <f>IFERROR(__xludf.DUMMYFUNCTION("""COMPUTED_VALUE"""),1961.15)</f>
        <v>1961.15</v>
      </c>
      <c r="C4556" s="2">
        <f>IFERROR(__xludf.DUMMYFUNCTION("""COMPUTED_VALUE"""),2014.25)</f>
        <v>2014.25</v>
      </c>
      <c r="D4556" s="2">
        <f>IFERROR(__xludf.DUMMYFUNCTION("""COMPUTED_VALUE"""),1950.0)</f>
        <v>1950</v>
      </c>
      <c r="E4556" s="2">
        <f>IFERROR(__xludf.DUMMYFUNCTION("""COMPUTED_VALUE"""),1993.75)</f>
        <v>1993.75</v>
      </c>
      <c r="F4556" s="2">
        <f>IFERROR(__xludf.DUMMYFUNCTION("""COMPUTED_VALUE"""),2.0030506E7)</f>
        <v>20030506</v>
      </c>
    </row>
    <row r="4557">
      <c r="A4557" s="3">
        <f>IFERROR(__xludf.DUMMYFUNCTION("""COMPUTED_VALUE"""),44174.64583333333)</f>
        <v>44174.64583</v>
      </c>
      <c r="B4557" s="2">
        <f>IFERROR(__xludf.DUMMYFUNCTION("""COMPUTED_VALUE"""),2009.95)</f>
        <v>2009.95</v>
      </c>
      <c r="C4557" s="2">
        <f>IFERROR(__xludf.DUMMYFUNCTION("""COMPUTED_VALUE"""),2033.8)</f>
        <v>2033.8</v>
      </c>
      <c r="D4557" s="2">
        <f>IFERROR(__xludf.DUMMYFUNCTION("""COMPUTED_VALUE"""),1999.25)</f>
        <v>1999.25</v>
      </c>
      <c r="E4557" s="2">
        <f>IFERROR(__xludf.DUMMYFUNCTION("""COMPUTED_VALUE"""),2026.95)</f>
        <v>2026.95</v>
      </c>
      <c r="F4557" s="2">
        <f>IFERROR(__xludf.DUMMYFUNCTION("""COMPUTED_VALUE"""),1.3464375E7)</f>
        <v>13464375</v>
      </c>
    </row>
    <row r="4558">
      <c r="A4558" s="3">
        <f>IFERROR(__xludf.DUMMYFUNCTION("""COMPUTED_VALUE"""),44175.64583333333)</f>
        <v>44175.64583</v>
      </c>
      <c r="B4558" s="2">
        <f>IFERROR(__xludf.DUMMYFUNCTION("""COMPUTED_VALUE"""),2021.6)</f>
        <v>2021.6</v>
      </c>
      <c r="C4558" s="2">
        <f>IFERROR(__xludf.DUMMYFUNCTION("""COMPUTED_VALUE"""),2028.5)</f>
        <v>2028.5</v>
      </c>
      <c r="D4558" s="2">
        <f>IFERROR(__xludf.DUMMYFUNCTION("""COMPUTED_VALUE"""),2001.0)</f>
        <v>2001</v>
      </c>
      <c r="E4558" s="2">
        <f>IFERROR(__xludf.DUMMYFUNCTION("""COMPUTED_VALUE"""),2007.0)</f>
        <v>2007</v>
      </c>
      <c r="F4558" s="2">
        <f>IFERROR(__xludf.DUMMYFUNCTION("""COMPUTED_VALUE"""),7414229.0)</f>
        <v>7414229</v>
      </c>
    </row>
    <row r="4559">
      <c r="A4559" s="3">
        <f>IFERROR(__xludf.DUMMYFUNCTION("""COMPUTED_VALUE"""),44176.64583333333)</f>
        <v>44176.64583</v>
      </c>
      <c r="B4559" s="2">
        <f>IFERROR(__xludf.DUMMYFUNCTION("""COMPUTED_VALUE"""),2013.0)</f>
        <v>2013</v>
      </c>
      <c r="C4559" s="2">
        <f>IFERROR(__xludf.DUMMYFUNCTION("""COMPUTED_VALUE"""),2038.0)</f>
        <v>2038</v>
      </c>
      <c r="D4559" s="2">
        <f>IFERROR(__xludf.DUMMYFUNCTION("""COMPUTED_VALUE"""),1974.25)</f>
        <v>1974.25</v>
      </c>
      <c r="E4559" s="2">
        <f>IFERROR(__xludf.DUMMYFUNCTION("""COMPUTED_VALUE"""),2005.8)</f>
        <v>2005.8</v>
      </c>
      <c r="F4559" s="2">
        <f>IFERROR(__xludf.DUMMYFUNCTION("""COMPUTED_VALUE"""),1.2434745E7)</f>
        <v>12434745</v>
      </c>
    </row>
    <row r="4560">
      <c r="A4560" s="3">
        <f>IFERROR(__xludf.DUMMYFUNCTION("""COMPUTED_VALUE"""),44179.64583333333)</f>
        <v>44179.64583</v>
      </c>
      <c r="B4560" s="2">
        <f>IFERROR(__xludf.DUMMYFUNCTION("""COMPUTED_VALUE"""),2007.95)</f>
        <v>2007.95</v>
      </c>
      <c r="C4560" s="2">
        <f>IFERROR(__xludf.DUMMYFUNCTION("""COMPUTED_VALUE"""),2015.0)</f>
        <v>2015</v>
      </c>
      <c r="D4560" s="2">
        <f>IFERROR(__xludf.DUMMYFUNCTION("""COMPUTED_VALUE"""),1986.35)</f>
        <v>1986.35</v>
      </c>
      <c r="E4560" s="2">
        <f>IFERROR(__xludf.DUMMYFUNCTION("""COMPUTED_VALUE"""),1991.3)</f>
        <v>1991.3</v>
      </c>
      <c r="F4560" s="2">
        <f>IFERROR(__xludf.DUMMYFUNCTION("""COMPUTED_VALUE"""),7989830.0)</f>
        <v>7989830</v>
      </c>
    </row>
    <row r="4561">
      <c r="A4561" s="3">
        <f>IFERROR(__xludf.DUMMYFUNCTION("""COMPUTED_VALUE"""),44180.64583333333)</f>
        <v>44180.64583</v>
      </c>
      <c r="B4561" s="2">
        <f>IFERROR(__xludf.DUMMYFUNCTION("""COMPUTED_VALUE"""),1989.7)</f>
        <v>1989.7</v>
      </c>
      <c r="C4561" s="2">
        <f>IFERROR(__xludf.DUMMYFUNCTION("""COMPUTED_VALUE"""),1989.7)</f>
        <v>1989.7</v>
      </c>
      <c r="D4561" s="2">
        <f>IFERROR(__xludf.DUMMYFUNCTION("""COMPUTED_VALUE"""),1961.1)</f>
        <v>1961.1</v>
      </c>
      <c r="E4561" s="2">
        <f>IFERROR(__xludf.DUMMYFUNCTION("""COMPUTED_VALUE"""),1974.35)</f>
        <v>1974.35</v>
      </c>
      <c r="F4561" s="2">
        <f>IFERROR(__xludf.DUMMYFUNCTION("""COMPUTED_VALUE"""),8561406.0)</f>
        <v>8561406</v>
      </c>
    </row>
    <row r="4562">
      <c r="A4562" s="3">
        <f>IFERROR(__xludf.DUMMYFUNCTION("""COMPUTED_VALUE"""),44181.64583333333)</f>
        <v>44181.64583</v>
      </c>
      <c r="B4562" s="2">
        <f>IFERROR(__xludf.DUMMYFUNCTION("""COMPUTED_VALUE"""),1988.0)</f>
        <v>1988</v>
      </c>
      <c r="C4562" s="2">
        <f>IFERROR(__xludf.DUMMYFUNCTION("""COMPUTED_VALUE"""),1994.95)</f>
        <v>1994.95</v>
      </c>
      <c r="D4562" s="2">
        <f>IFERROR(__xludf.DUMMYFUNCTION("""COMPUTED_VALUE"""),1965.7)</f>
        <v>1965.7</v>
      </c>
      <c r="E4562" s="2">
        <f>IFERROR(__xludf.DUMMYFUNCTION("""COMPUTED_VALUE"""),1976.55)</f>
        <v>1976.55</v>
      </c>
      <c r="F4562" s="2">
        <f>IFERROR(__xludf.DUMMYFUNCTION("""COMPUTED_VALUE"""),8565904.0)</f>
        <v>8565904</v>
      </c>
    </row>
    <row r="4563">
      <c r="A4563" s="3">
        <f>IFERROR(__xludf.DUMMYFUNCTION("""COMPUTED_VALUE"""),44182.64583333333)</f>
        <v>44182.64583</v>
      </c>
      <c r="B4563" s="2">
        <f>IFERROR(__xludf.DUMMYFUNCTION("""COMPUTED_VALUE"""),1984.5)</f>
        <v>1984.5</v>
      </c>
      <c r="C4563" s="2">
        <f>IFERROR(__xludf.DUMMYFUNCTION("""COMPUTED_VALUE"""),2005.0)</f>
        <v>2005</v>
      </c>
      <c r="D4563" s="2">
        <f>IFERROR(__xludf.DUMMYFUNCTION("""COMPUTED_VALUE"""),1977.15)</f>
        <v>1977.15</v>
      </c>
      <c r="E4563" s="2">
        <f>IFERROR(__xludf.DUMMYFUNCTION("""COMPUTED_VALUE"""),1985.6)</f>
        <v>1985.6</v>
      </c>
      <c r="F4563" s="2">
        <f>IFERROR(__xludf.DUMMYFUNCTION("""COMPUTED_VALUE"""),9346460.0)</f>
        <v>9346460</v>
      </c>
    </row>
    <row r="4564">
      <c r="A4564" s="3">
        <f>IFERROR(__xludf.DUMMYFUNCTION("""COMPUTED_VALUE"""),44183.64583333333)</f>
        <v>44183.64583</v>
      </c>
      <c r="B4564" s="2">
        <f>IFERROR(__xludf.DUMMYFUNCTION("""COMPUTED_VALUE"""),1980.1)</f>
        <v>1980.1</v>
      </c>
      <c r="C4564" s="2">
        <f>IFERROR(__xludf.DUMMYFUNCTION("""COMPUTED_VALUE"""),2004.9)</f>
        <v>2004.9</v>
      </c>
      <c r="D4564" s="2">
        <f>IFERROR(__xludf.DUMMYFUNCTION("""COMPUTED_VALUE"""),1965.0)</f>
        <v>1965</v>
      </c>
      <c r="E4564" s="2">
        <f>IFERROR(__xludf.DUMMYFUNCTION("""COMPUTED_VALUE"""),1991.55)</f>
        <v>1991.55</v>
      </c>
      <c r="F4564" s="2">
        <f>IFERROR(__xludf.DUMMYFUNCTION("""COMPUTED_VALUE"""),8522215.0)</f>
        <v>8522215</v>
      </c>
    </row>
    <row r="4565">
      <c r="A4565" s="3">
        <f>IFERROR(__xludf.DUMMYFUNCTION("""COMPUTED_VALUE"""),44186.64583333333)</f>
        <v>44186.64583</v>
      </c>
      <c r="B4565" s="2">
        <f>IFERROR(__xludf.DUMMYFUNCTION("""COMPUTED_VALUE"""),2010.0)</f>
        <v>2010</v>
      </c>
      <c r="C4565" s="2">
        <f>IFERROR(__xludf.DUMMYFUNCTION("""COMPUTED_VALUE"""),2022.0)</f>
        <v>2022</v>
      </c>
      <c r="D4565" s="2">
        <f>IFERROR(__xludf.DUMMYFUNCTION("""COMPUTED_VALUE"""),1855.25)</f>
        <v>1855.25</v>
      </c>
      <c r="E4565" s="2">
        <f>IFERROR(__xludf.DUMMYFUNCTION("""COMPUTED_VALUE"""),1939.7)</f>
        <v>1939.7</v>
      </c>
      <c r="F4565" s="2">
        <f>IFERROR(__xludf.DUMMYFUNCTION("""COMPUTED_VALUE"""),2.0368545E7)</f>
        <v>20368545</v>
      </c>
    </row>
    <row r="4566">
      <c r="A4566" s="3">
        <f>IFERROR(__xludf.DUMMYFUNCTION("""COMPUTED_VALUE"""),44187.64583333333)</f>
        <v>44187.64583</v>
      </c>
      <c r="B4566" s="2">
        <f>IFERROR(__xludf.DUMMYFUNCTION("""COMPUTED_VALUE"""),1949.0)</f>
        <v>1949</v>
      </c>
      <c r="C4566" s="2">
        <f>IFERROR(__xludf.DUMMYFUNCTION("""COMPUTED_VALUE"""),1958.9)</f>
        <v>1958.9</v>
      </c>
      <c r="D4566" s="2">
        <f>IFERROR(__xludf.DUMMYFUNCTION("""COMPUTED_VALUE"""),1888.45)</f>
        <v>1888.45</v>
      </c>
      <c r="E4566" s="2">
        <f>IFERROR(__xludf.DUMMYFUNCTION("""COMPUTED_VALUE"""),1936.7)</f>
        <v>1936.7</v>
      </c>
      <c r="F4566" s="2">
        <f>IFERROR(__xludf.DUMMYFUNCTION("""COMPUTED_VALUE"""),1.2986606E7)</f>
        <v>12986606</v>
      </c>
    </row>
    <row r="4567">
      <c r="A4567" s="3">
        <f>IFERROR(__xludf.DUMMYFUNCTION("""COMPUTED_VALUE"""),44188.64583333333)</f>
        <v>44188.64583</v>
      </c>
      <c r="B4567" s="2">
        <f>IFERROR(__xludf.DUMMYFUNCTION("""COMPUTED_VALUE"""),1930.0)</f>
        <v>1930</v>
      </c>
      <c r="C4567" s="2">
        <f>IFERROR(__xludf.DUMMYFUNCTION("""COMPUTED_VALUE"""),1951.45)</f>
        <v>1951.45</v>
      </c>
      <c r="D4567" s="2">
        <f>IFERROR(__xludf.DUMMYFUNCTION("""COMPUTED_VALUE"""),1920.65)</f>
        <v>1920.65</v>
      </c>
      <c r="E4567" s="2">
        <f>IFERROR(__xludf.DUMMYFUNCTION("""COMPUTED_VALUE"""),1943.85)</f>
        <v>1943.85</v>
      </c>
      <c r="F4567" s="2">
        <f>IFERROR(__xludf.DUMMYFUNCTION("""COMPUTED_VALUE"""),8999898.0)</f>
        <v>8999898</v>
      </c>
    </row>
    <row r="4568">
      <c r="A4568" s="3">
        <f>IFERROR(__xludf.DUMMYFUNCTION("""COMPUTED_VALUE"""),44189.64583333333)</f>
        <v>44189.64583</v>
      </c>
      <c r="B4568" s="2">
        <f>IFERROR(__xludf.DUMMYFUNCTION("""COMPUTED_VALUE"""),1947.0)</f>
        <v>1947</v>
      </c>
      <c r="C4568" s="2">
        <f>IFERROR(__xludf.DUMMYFUNCTION("""COMPUTED_VALUE"""),1998.8)</f>
        <v>1998.8</v>
      </c>
      <c r="D4568" s="2">
        <f>IFERROR(__xludf.DUMMYFUNCTION("""COMPUTED_VALUE"""),1945.9)</f>
        <v>1945.9</v>
      </c>
      <c r="E4568" s="2">
        <f>IFERROR(__xludf.DUMMYFUNCTION("""COMPUTED_VALUE"""),1994.15)</f>
        <v>1994.15</v>
      </c>
      <c r="F4568" s="2">
        <f>IFERROR(__xludf.DUMMYFUNCTION("""COMPUTED_VALUE"""),9588577.0)</f>
        <v>9588577</v>
      </c>
    </row>
    <row r="4569">
      <c r="A4569" s="3">
        <f>IFERROR(__xludf.DUMMYFUNCTION("""COMPUTED_VALUE"""),44193.64583333333)</f>
        <v>44193.64583</v>
      </c>
      <c r="B4569" s="2">
        <f>IFERROR(__xludf.DUMMYFUNCTION("""COMPUTED_VALUE"""),2006.7)</f>
        <v>2006.7</v>
      </c>
      <c r="C4569" s="2">
        <f>IFERROR(__xludf.DUMMYFUNCTION("""COMPUTED_VALUE"""),2018.0)</f>
        <v>2018</v>
      </c>
      <c r="D4569" s="2">
        <f>IFERROR(__xludf.DUMMYFUNCTION("""COMPUTED_VALUE"""),1995.3)</f>
        <v>1995.3</v>
      </c>
      <c r="E4569" s="2">
        <f>IFERROR(__xludf.DUMMYFUNCTION("""COMPUTED_VALUE"""),2003.3)</f>
        <v>2003.3</v>
      </c>
      <c r="F4569" s="2">
        <f>IFERROR(__xludf.DUMMYFUNCTION("""COMPUTED_VALUE"""),7947719.0)</f>
        <v>7947719</v>
      </c>
    </row>
    <row r="4570">
      <c r="A4570" s="3">
        <f>IFERROR(__xludf.DUMMYFUNCTION("""COMPUTED_VALUE"""),44194.64583333333)</f>
        <v>44194.64583</v>
      </c>
      <c r="B4570" s="2">
        <f>IFERROR(__xludf.DUMMYFUNCTION("""COMPUTED_VALUE"""),2009.0)</f>
        <v>2009</v>
      </c>
      <c r="C4570" s="2">
        <f>IFERROR(__xludf.DUMMYFUNCTION("""COMPUTED_VALUE"""),2012.3)</f>
        <v>2012.3</v>
      </c>
      <c r="D4570" s="2">
        <f>IFERROR(__xludf.DUMMYFUNCTION("""COMPUTED_VALUE"""),1982.55)</f>
        <v>1982.55</v>
      </c>
      <c r="E4570" s="2">
        <f>IFERROR(__xludf.DUMMYFUNCTION("""COMPUTED_VALUE"""),1990.05)</f>
        <v>1990.05</v>
      </c>
      <c r="F4570" s="2">
        <f>IFERROR(__xludf.DUMMYFUNCTION("""COMPUTED_VALUE"""),8589407.0)</f>
        <v>8589407</v>
      </c>
    </row>
    <row r="4571">
      <c r="A4571" s="3">
        <f>IFERROR(__xludf.DUMMYFUNCTION("""COMPUTED_VALUE"""),44195.64583333333)</f>
        <v>44195.64583</v>
      </c>
      <c r="B4571" s="2">
        <f>IFERROR(__xludf.DUMMYFUNCTION("""COMPUTED_VALUE"""),1995.25)</f>
        <v>1995.25</v>
      </c>
      <c r="C4571" s="2">
        <f>IFERROR(__xludf.DUMMYFUNCTION("""COMPUTED_VALUE"""),2007.2)</f>
        <v>2007.2</v>
      </c>
      <c r="D4571" s="2">
        <f>IFERROR(__xludf.DUMMYFUNCTION("""COMPUTED_VALUE"""),1975.55)</f>
        <v>1975.55</v>
      </c>
      <c r="E4571" s="2">
        <f>IFERROR(__xludf.DUMMYFUNCTION("""COMPUTED_VALUE"""),1995.5)</f>
        <v>1995.5</v>
      </c>
      <c r="F4571" s="2">
        <f>IFERROR(__xludf.DUMMYFUNCTION("""COMPUTED_VALUE"""),1.0173132E7)</f>
        <v>10173132</v>
      </c>
    </row>
    <row r="4572">
      <c r="A4572" s="3">
        <f>IFERROR(__xludf.DUMMYFUNCTION("""COMPUTED_VALUE"""),44196.64583333333)</f>
        <v>44196.64583</v>
      </c>
      <c r="B4572" s="2">
        <f>IFERROR(__xludf.DUMMYFUNCTION("""COMPUTED_VALUE"""),1993.5)</f>
        <v>1993.5</v>
      </c>
      <c r="C4572" s="2">
        <f>IFERROR(__xludf.DUMMYFUNCTION("""COMPUTED_VALUE"""),2011.9)</f>
        <v>2011.9</v>
      </c>
      <c r="D4572" s="2">
        <f>IFERROR(__xludf.DUMMYFUNCTION("""COMPUTED_VALUE"""),1978.6)</f>
        <v>1978.6</v>
      </c>
      <c r="E4572" s="2">
        <f>IFERROR(__xludf.DUMMYFUNCTION("""COMPUTED_VALUE"""),1985.3)</f>
        <v>1985.3</v>
      </c>
      <c r="F4572" s="2">
        <f>IFERROR(__xludf.DUMMYFUNCTION("""COMPUTED_VALUE"""),8667516.0)</f>
        <v>8667516</v>
      </c>
    </row>
    <row r="4573">
      <c r="A4573" s="3">
        <f>IFERROR(__xludf.DUMMYFUNCTION("""COMPUTED_VALUE"""),44197.64583333333)</f>
        <v>44197.64583</v>
      </c>
      <c r="B4573" s="2">
        <f>IFERROR(__xludf.DUMMYFUNCTION("""COMPUTED_VALUE"""),1988.0)</f>
        <v>1988</v>
      </c>
      <c r="C4573" s="2">
        <f>IFERROR(__xludf.DUMMYFUNCTION("""COMPUTED_VALUE"""),1997.0)</f>
        <v>1997</v>
      </c>
      <c r="D4573" s="2">
        <f>IFERROR(__xludf.DUMMYFUNCTION("""COMPUTED_VALUE"""),1982.0)</f>
        <v>1982</v>
      </c>
      <c r="E4573" s="2">
        <f>IFERROR(__xludf.DUMMYFUNCTION("""COMPUTED_VALUE"""),1987.5)</f>
        <v>1987.5</v>
      </c>
      <c r="F4573" s="2">
        <f>IFERROR(__xludf.DUMMYFUNCTION("""COMPUTED_VALUE"""),4622002.0)</f>
        <v>4622002</v>
      </c>
    </row>
    <row r="4574">
      <c r="A4574" s="3">
        <f>IFERROR(__xludf.DUMMYFUNCTION("""COMPUTED_VALUE"""),44200.64583333333)</f>
        <v>44200.64583</v>
      </c>
      <c r="B4574" s="2">
        <f>IFERROR(__xludf.DUMMYFUNCTION("""COMPUTED_VALUE"""),1995.1)</f>
        <v>1995.1</v>
      </c>
      <c r="C4574" s="2">
        <f>IFERROR(__xludf.DUMMYFUNCTION("""COMPUTED_VALUE"""),1998.9)</f>
        <v>1998.9</v>
      </c>
      <c r="D4574" s="2">
        <f>IFERROR(__xludf.DUMMYFUNCTION("""COMPUTED_VALUE"""),1968.0)</f>
        <v>1968</v>
      </c>
      <c r="E4574" s="2">
        <f>IFERROR(__xludf.DUMMYFUNCTION("""COMPUTED_VALUE"""),1990.85)</f>
        <v>1990.85</v>
      </c>
      <c r="F4574" s="2">
        <f>IFERROR(__xludf.DUMMYFUNCTION("""COMPUTED_VALUE"""),1.1312992E7)</f>
        <v>11312992</v>
      </c>
    </row>
    <row r="4575">
      <c r="A4575" s="3">
        <f>IFERROR(__xludf.DUMMYFUNCTION("""COMPUTED_VALUE"""),44201.64583333333)</f>
        <v>44201.64583</v>
      </c>
      <c r="B4575" s="2">
        <f>IFERROR(__xludf.DUMMYFUNCTION("""COMPUTED_VALUE"""),1969.0)</f>
        <v>1969</v>
      </c>
      <c r="C4575" s="2">
        <f>IFERROR(__xludf.DUMMYFUNCTION("""COMPUTED_VALUE"""),1983.6)</f>
        <v>1983.6</v>
      </c>
      <c r="D4575" s="2">
        <f>IFERROR(__xludf.DUMMYFUNCTION("""COMPUTED_VALUE"""),1956.0)</f>
        <v>1956</v>
      </c>
      <c r="E4575" s="2">
        <f>IFERROR(__xludf.DUMMYFUNCTION("""COMPUTED_VALUE"""),1966.1)</f>
        <v>1966.1</v>
      </c>
      <c r="F4575" s="2">
        <f>IFERROR(__xludf.DUMMYFUNCTION("""COMPUTED_VALUE"""),1.1132803E7)</f>
        <v>11132803</v>
      </c>
    </row>
    <row r="4576">
      <c r="A4576" s="3">
        <f>IFERROR(__xludf.DUMMYFUNCTION("""COMPUTED_VALUE"""),44202.64583333333)</f>
        <v>44202.64583</v>
      </c>
      <c r="B4576" s="2">
        <f>IFERROR(__xludf.DUMMYFUNCTION("""COMPUTED_VALUE"""),1965.9)</f>
        <v>1965.9</v>
      </c>
      <c r="C4576" s="2">
        <f>IFERROR(__xludf.DUMMYFUNCTION("""COMPUTED_VALUE"""),1966.0)</f>
        <v>1966</v>
      </c>
      <c r="D4576" s="2">
        <f>IFERROR(__xludf.DUMMYFUNCTION("""COMPUTED_VALUE"""),1905.15)</f>
        <v>1905.15</v>
      </c>
      <c r="E4576" s="2">
        <f>IFERROR(__xludf.DUMMYFUNCTION("""COMPUTED_VALUE"""),1914.25)</f>
        <v>1914.25</v>
      </c>
      <c r="F4576" s="2">
        <f>IFERROR(__xludf.DUMMYFUNCTION("""COMPUTED_VALUE"""),2.141427E7)</f>
        <v>21414270</v>
      </c>
    </row>
    <row r="4577">
      <c r="A4577" s="3">
        <f>IFERROR(__xludf.DUMMYFUNCTION("""COMPUTED_VALUE"""),44203.64583333333)</f>
        <v>44203.64583</v>
      </c>
      <c r="B4577" s="2">
        <f>IFERROR(__xludf.DUMMYFUNCTION("""COMPUTED_VALUE"""),1920.5)</f>
        <v>1920.5</v>
      </c>
      <c r="C4577" s="2">
        <f>IFERROR(__xludf.DUMMYFUNCTION("""COMPUTED_VALUE"""),1945.0)</f>
        <v>1945</v>
      </c>
      <c r="D4577" s="2">
        <f>IFERROR(__xludf.DUMMYFUNCTION("""COMPUTED_VALUE"""),1905.15)</f>
        <v>1905.15</v>
      </c>
      <c r="E4577" s="2">
        <f>IFERROR(__xludf.DUMMYFUNCTION("""COMPUTED_VALUE"""),1911.15)</f>
        <v>1911.15</v>
      </c>
      <c r="F4577" s="2">
        <f>IFERROR(__xludf.DUMMYFUNCTION("""COMPUTED_VALUE"""),1.4918406E7)</f>
        <v>14918406</v>
      </c>
    </row>
    <row r="4578">
      <c r="A4578" s="3">
        <f>IFERROR(__xludf.DUMMYFUNCTION("""COMPUTED_VALUE"""),44204.64583333333)</f>
        <v>44204.64583</v>
      </c>
      <c r="B4578" s="2">
        <f>IFERROR(__xludf.DUMMYFUNCTION("""COMPUTED_VALUE"""),1918.0)</f>
        <v>1918</v>
      </c>
      <c r="C4578" s="2">
        <f>IFERROR(__xludf.DUMMYFUNCTION("""COMPUTED_VALUE"""),1938.4)</f>
        <v>1938.4</v>
      </c>
      <c r="D4578" s="2">
        <f>IFERROR(__xludf.DUMMYFUNCTION("""COMPUTED_VALUE"""),1912.1)</f>
        <v>1912.1</v>
      </c>
      <c r="E4578" s="2">
        <f>IFERROR(__xludf.DUMMYFUNCTION("""COMPUTED_VALUE"""),1933.7)</f>
        <v>1933.7</v>
      </c>
      <c r="F4578" s="2">
        <f>IFERROR(__xludf.DUMMYFUNCTION("""COMPUTED_VALUE"""),1.2709792E7)</f>
        <v>12709792</v>
      </c>
    </row>
    <row r="4579">
      <c r="A4579" s="3">
        <f>IFERROR(__xludf.DUMMYFUNCTION("""COMPUTED_VALUE"""),44207.64583333333)</f>
        <v>44207.64583</v>
      </c>
      <c r="B4579" s="2">
        <f>IFERROR(__xludf.DUMMYFUNCTION("""COMPUTED_VALUE"""),1938.8)</f>
        <v>1938.8</v>
      </c>
      <c r="C4579" s="2">
        <f>IFERROR(__xludf.DUMMYFUNCTION("""COMPUTED_VALUE"""),1938.8)</f>
        <v>1938.8</v>
      </c>
      <c r="D4579" s="2">
        <f>IFERROR(__xludf.DUMMYFUNCTION("""COMPUTED_VALUE"""),1892.5)</f>
        <v>1892.5</v>
      </c>
      <c r="E4579" s="2">
        <f>IFERROR(__xludf.DUMMYFUNCTION("""COMPUTED_VALUE"""),1897.25)</f>
        <v>1897.25</v>
      </c>
      <c r="F4579" s="2">
        <f>IFERROR(__xludf.DUMMYFUNCTION("""COMPUTED_VALUE"""),1.5371556E7)</f>
        <v>15371556</v>
      </c>
    </row>
    <row r="4580">
      <c r="A4580" s="3">
        <f>IFERROR(__xludf.DUMMYFUNCTION("""COMPUTED_VALUE"""),44208.64583333333)</f>
        <v>44208.64583</v>
      </c>
      <c r="B4580" s="2">
        <f>IFERROR(__xludf.DUMMYFUNCTION("""COMPUTED_VALUE"""),1903.0)</f>
        <v>1903</v>
      </c>
      <c r="C4580" s="2">
        <f>IFERROR(__xludf.DUMMYFUNCTION("""COMPUTED_VALUE"""),1960.0)</f>
        <v>1960</v>
      </c>
      <c r="D4580" s="2">
        <f>IFERROR(__xludf.DUMMYFUNCTION("""COMPUTED_VALUE"""),1899.9)</f>
        <v>1899.9</v>
      </c>
      <c r="E4580" s="2">
        <f>IFERROR(__xludf.DUMMYFUNCTION("""COMPUTED_VALUE"""),1957.05)</f>
        <v>1957.05</v>
      </c>
      <c r="F4580" s="2">
        <f>IFERROR(__xludf.DUMMYFUNCTION("""COMPUTED_VALUE"""),1.8996047E7)</f>
        <v>18996047</v>
      </c>
    </row>
    <row r="4581">
      <c r="A4581" s="3">
        <f>IFERROR(__xludf.DUMMYFUNCTION("""COMPUTED_VALUE"""),44209.64583333333)</f>
        <v>44209.64583</v>
      </c>
      <c r="B4581" s="2">
        <f>IFERROR(__xludf.DUMMYFUNCTION("""COMPUTED_VALUE"""),1963.55)</f>
        <v>1963.55</v>
      </c>
      <c r="C4581" s="2">
        <f>IFERROR(__xludf.DUMMYFUNCTION("""COMPUTED_VALUE"""),1974.95)</f>
        <v>1974.95</v>
      </c>
      <c r="D4581" s="2">
        <f>IFERROR(__xludf.DUMMYFUNCTION("""COMPUTED_VALUE"""),1918.45)</f>
        <v>1918.45</v>
      </c>
      <c r="E4581" s="2">
        <f>IFERROR(__xludf.DUMMYFUNCTION("""COMPUTED_VALUE"""),1938.8)</f>
        <v>1938.8</v>
      </c>
      <c r="F4581" s="2">
        <f>IFERROR(__xludf.DUMMYFUNCTION("""COMPUTED_VALUE"""),1.2284876E7)</f>
        <v>12284876</v>
      </c>
    </row>
    <row r="4582">
      <c r="A4582" s="3">
        <f>IFERROR(__xludf.DUMMYFUNCTION("""COMPUTED_VALUE"""),44210.64583333333)</f>
        <v>44210.64583</v>
      </c>
      <c r="B4582" s="2">
        <f>IFERROR(__xludf.DUMMYFUNCTION("""COMPUTED_VALUE"""),1945.0)</f>
        <v>1945</v>
      </c>
      <c r="C4582" s="2">
        <f>IFERROR(__xludf.DUMMYFUNCTION("""COMPUTED_VALUE"""),1966.9)</f>
        <v>1966.9</v>
      </c>
      <c r="D4582" s="2">
        <f>IFERROR(__xludf.DUMMYFUNCTION("""COMPUTED_VALUE"""),1939.05)</f>
        <v>1939.05</v>
      </c>
      <c r="E4582" s="2">
        <f>IFERROR(__xludf.DUMMYFUNCTION("""COMPUTED_VALUE"""),1960.6)</f>
        <v>1960.6</v>
      </c>
      <c r="F4582" s="2">
        <f>IFERROR(__xludf.DUMMYFUNCTION("""COMPUTED_VALUE"""),9946818.0)</f>
        <v>9946818</v>
      </c>
    </row>
    <row r="4583">
      <c r="A4583" s="3">
        <f>IFERROR(__xludf.DUMMYFUNCTION("""COMPUTED_VALUE"""),44211.64583333333)</f>
        <v>44211.64583</v>
      </c>
      <c r="B4583" s="2">
        <f>IFERROR(__xludf.DUMMYFUNCTION("""COMPUTED_VALUE"""),1960.6)</f>
        <v>1960.6</v>
      </c>
      <c r="C4583" s="2">
        <f>IFERROR(__xludf.DUMMYFUNCTION("""COMPUTED_VALUE"""),1973.8)</f>
        <v>1973.8</v>
      </c>
      <c r="D4583" s="2">
        <f>IFERROR(__xludf.DUMMYFUNCTION("""COMPUTED_VALUE"""),1920.05)</f>
        <v>1920.05</v>
      </c>
      <c r="E4583" s="2">
        <f>IFERROR(__xludf.DUMMYFUNCTION("""COMPUTED_VALUE"""),1937.45)</f>
        <v>1937.45</v>
      </c>
      <c r="F4583" s="2">
        <f>IFERROR(__xludf.DUMMYFUNCTION("""COMPUTED_VALUE"""),9503790.0)</f>
        <v>9503790</v>
      </c>
    </row>
    <row r="4584">
      <c r="A4584" s="3">
        <f>IFERROR(__xludf.DUMMYFUNCTION("""COMPUTED_VALUE"""),44214.64583333333)</f>
        <v>44214.64583</v>
      </c>
      <c r="B4584" s="2">
        <f>IFERROR(__xludf.DUMMYFUNCTION("""COMPUTED_VALUE"""),1949.1)</f>
        <v>1949.1</v>
      </c>
      <c r="C4584" s="2">
        <f>IFERROR(__xludf.DUMMYFUNCTION("""COMPUTED_VALUE"""),1997.0)</f>
        <v>1997</v>
      </c>
      <c r="D4584" s="2">
        <f>IFERROR(__xludf.DUMMYFUNCTION("""COMPUTED_VALUE"""),1923.35)</f>
        <v>1923.35</v>
      </c>
      <c r="E4584" s="2">
        <f>IFERROR(__xludf.DUMMYFUNCTION("""COMPUTED_VALUE"""),1983.95)</f>
        <v>1983.95</v>
      </c>
      <c r="F4584" s="2">
        <f>IFERROR(__xludf.DUMMYFUNCTION("""COMPUTED_VALUE"""),1.6198856E7)</f>
        <v>16198856</v>
      </c>
    </row>
    <row r="4585">
      <c r="A4585" s="3">
        <f>IFERROR(__xludf.DUMMYFUNCTION("""COMPUTED_VALUE"""),44215.64583333333)</f>
        <v>44215.64583</v>
      </c>
      <c r="B4585" s="2">
        <f>IFERROR(__xludf.DUMMYFUNCTION("""COMPUTED_VALUE"""),1994.65)</f>
        <v>1994.65</v>
      </c>
      <c r="C4585" s="2">
        <f>IFERROR(__xludf.DUMMYFUNCTION("""COMPUTED_VALUE"""),2031.0)</f>
        <v>2031</v>
      </c>
      <c r="D4585" s="2">
        <f>IFERROR(__xludf.DUMMYFUNCTION("""COMPUTED_VALUE"""),1994.65)</f>
        <v>1994.65</v>
      </c>
      <c r="E4585" s="2">
        <f>IFERROR(__xludf.DUMMYFUNCTION("""COMPUTED_VALUE"""),2016.4)</f>
        <v>2016.4</v>
      </c>
      <c r="F4585" s="2">
        <f>IFERROR(__xludf.DUMMYFUNCTION("""COMPUTED_VALUE"""),1.4771048E7)</f>
        <v>14771048</v>
      </c>
    </row>
    <row r="4586">
      <c r="A4586" s="3">
        <f>IFERROR(__xludf.DUMMYFUNCTION("""COMPUTED_VALUE"""),44216.64583333333)</f>
        <v>44216.64583</v>
      </c>
      <c r="B4586" s="2">
        <f>IFERROR(__xludf.DUMMYFUNCTION("""COMPUTED_VALUE"""),2021.4)</f>
        <v>2021.4</v>
      </c>
      <c r="C4586" s="2">
        <f>IFERROR(__xludf.DUMMYFUNCTION("""COMPUTED_VALUE"""),2058.0)</f>
        <v>2058</v>
      </c>
      <c r="D4586" s="2">
        <f>IFERROR(__xludf.DUMMYFUNCTION("""COMPUTED_VALUE"""),2001.4)</f>
        <v>2001.4</v>
      </c>
      <c r="E4586" s="2">
        <f>IFERROR(__xludf.DUMMYFUNCTION("""COMPUTED_VALUE"""),2054.7)</f>
        <v>2054.7</v>
      </c>
      <c r="F4586" s="2">
        <f>IFERROR(__xludf.DUMMYFUNCTION("""COMPUTED_VALUE"""),1.4271669E7)</f>
        <v>14271669</v>
      </c>
    </row>
    <row r="4587">
      <c r="A4587" s="3">
        <f>IFERROR(__xludf.DUMMYFUNCTION("""COMPUTED_VALUE"""),44217.64583333333)</f>
        <v>44217.64583</v>
      </c>
      <c r="B4587" s="2">
        <f>IFERROR(__xludf.DUMMYFUNCTION("""COMPUTED_VALUE"""),2082.0)</f>
        <v>2082</v>
      </c>
      <c r="C4587" s="2">
        <f>IFERROR(__xludf.DUMMYFUNCTION("""COMPUTED_VALUE"""),2120.0)</f>
        <v>2120</v>
      </c>
      <c r="D4587" s="2">
        <f>IFERROR(__xludf.DUMMYFUNCTION("""COMPUTED_VALUE"""),2075.0)</f>
        <v>2075</v>
      </c>
      <c r="E4587" s="2">
        <f>IFERROR(__xludf.DUMMYFUNCTION("""COMPUTED_VALUE"""),2099.4)</f>
        <v>2099.4</v>
      </c>
      <c r="F4587" s="2">
        <f>IFERROR(__xludf.DUMMYFUNCTION("""COMPUTED_VALUE"""),1.8038987E7)</f>
        <v>18038987</v>
      </c>
    </row>
    <row r="4588">
      <c r="A4588" s="3">
        <f>IFERROR(__xludf.DUMMYFUNCTION("""COMPUTED_VALUE"""),44218.64583333333)</f>
        <v>44218.64583</v>
      </c>
      <c r="B4588" s="2">
        <f>IFERROR(__xludf.DUMMYFUNCTION("""COMPUTED_VALUE"""),2111.0)</f>
        <v>2111</v>
      </c>
      <c r="C4588" s="2">
        <f>IFERROR(__xludf.DUMMYFUNCTION("""COMPUTED_VALUE"""),2115.35)</f>
        <v>2115.35</v>
      </c>
      <c r="D4588" s="2">
        <f>IFERROR(__xludf.DUMMYFUNCTION("""COMPUTED_VALUE"""),2035.15)</f>
        <v>2035.15</v>
      </c>
      <c r="E4588" s="2">
        <f>IFERROR(__xludf.DUMMYFUNCTION("""COMPUTED_VALUE"""),2049.6)</f>
        <v>2049.6</v>
      </c>
      <c r="F4588" s="2">
        <f>IFERROR(__xludf.DUMMYFUNCTION("""COMPUTED_VALUE"""),1.4090818E7)</f>
        <v>14090818</v>
      </c>
    </row>
    <row r="4589">
      <c r="A4589" s="3">
        <f>IFERROR(__xludf.DUMMYFUNCTION("""COMPUTED_VALUE"""),44221.64583333333)</f>
        <v>44221.64583</v>
      </c>
      <c r="B4589" s="2">
        <f>IFERROR(__xludf.DUMMYFUNCTION("""COMPUTED_VALUE"""),2034.95)</f>
        <v>2034.95</v>
      </c>
      <c r="C4589" s="2">
        <f>IFERROR(__xludf.DUMMYFUNCTION("""COMPUTED_VALUE"""),2034.95)</f>
        <v>2034.95</v>
      </c>
      <c r="D4589" s="2">
        <f>IFERROR(__xludf.DUMMYFUNCTION("""COMPUTED_VALUE"""),1932.0)</f>
        <v>1932</v>
      </c>
      <c r="E4589" s="2">
        <f>IFERROR(__xludf.DUMMYFUNCTION("""COMPUTED_VALUE"""),1941.0)</f>
        <v>1941</v>
      </c>
      <c r="F4589" s="2">
        <f>IFERROR(__xludf.DUMMYFUNCTION("""COMPUTED_VALUE"""),2.501657E7)</f>
        <v>25016570</v>
      </c>
    </row>
  </sheetData>
  <drawing r:id="rId1"/>
</worksheet>
</file>