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IFERROR(__xludf.DUMMYFUNCTION("GOOGLEFINANCE(""NSE:TCS"", ""all"", DATE(2000,1,1),TODAY(), ""DAILY"")"),"Date")</f>
        <v>Date</v>
      </c>
      <c r="B1" s="2" t="str">
        <f>IFERROR(__xludf.DUMMYFUNCTION("""COMPUTED_VALUE"""),"Open")</f>
        <v>Open</v>
      </c>
      <c r="C1" s="2" t="str">
        <f>IFERROR(__xludf.DUMMYFUNCTION("""COMPUTED_VALUE"""),"High")</f>
        <v>High</v>
      </c>
      <c r="D1" s="2" t="str">
        <f>IFERROR(__xludf.DUMMYFUNCTION("""COMPUTED_VALUE"""),"Low")</f>
        <v>Low</v>
      </c>
      <c r="E1" s="2" t="str">
        <f>IFERROR(__xludf.DUMMYFUNCTION("""COMPUTED_VALUE"""),"Close")</f>
        <v>Close</v>
      </c>
      <c r="F1" s="2" t="str">
        <f>IFERROR(__xludf.DUMMYFUNCTION("""COMPUTED_VALUE"""),"Volume")</f>
        <v>Volume</v>
      </c>
    </row>
    <row r="2">
      <c r="A2" s="3">
        <f>IFERROR(__xludf.DUMMYFUNCTION("""COMPUTED_VALUE"""),38224.645833333336)</f>
        <v>38224.64583</v>
      </c>
      <c r="B2" s="2">
        <f>IFERROR(__xludf.DUMMYFUNCTION("""COMPUTED_VALUE"""),149.84)</f>
        <v>149.84</v>
      </c>
      <c r="C2" s="2">
        <f>IFERROR(__xludf.DUMMYFUNCTION("""COMPUTED_VALUE"""),149.84)</f>
        <v>149.84</v>
      </c>
      <c r="D2" s="2">
        <f>IFERROR(__xludf.DUMMYFUNCTION("""COMPUTED_VALUE"""),122.38)</f>
        <v>122.38</v>
      </c>
      <c r="E2" s="2">
        <f>IFERROR(__xludf.DUMMYFUNCTION("""COMPUTED_VALUE"""),123.5)</f>
        <v>123.5</v>
      </c>
      <c r="F2" s="2">
        <f>IFERROR(__xludf.DUMMYFUNCTION("""COMPUTED_VALUE"""),1.7116372E7)</f>
        <v>17116372</v>
      </c>
    </row>
    <row r="3">
      <c r="A3" s="3">
        <f>IFERROR(__xludf.DUMMYFUNCTION("""COMPUTED_VALUE"""),38225.645833333336)</f>
        <v>38225.64583</v>
      </c>
      <c r="B3" s="2">
        <f>IFERROR(__xludf.DUMMYFUNCTION("""COMPUTED_VALUE"""),124.0)</f>
        <v>124</v>
      </c>
      <c r="C3" s="2">
        <f>IFERROR(__xludf.DUMMYFUNCTION("""COMPUTED_VALUE"""),124.63)</f>
        <v>124.63</v>
      </c>
      <c r="D3" s="2">
        <f>IFERROR(__xludf.DUMMYFUNCTION("""COMPUTED_VALUE"""),121.91)</f>
        <v>121.91</v>
      </c>
      <c r="E3" s="2">
        <f>IFERROR(__xludf.DUMMYFUNCTION("""COMPUTED_VALUE"""),122.38)</f>
        <v>122.38</v>
      </c>
      <c r="F3" s="2">
        <f>IFERROR(__xludf.DUMMYFUNCTION("""COMPUTED_VALUE"""),5055400.0)</f>
        <v>5055400</v>
      </c>
    </row>
    <row r="4">
      <c r="A4" s="3">
        <f>IFERROR(__xludf.DUMMYFUNCTION("""COMPUTED_VALUE"""),38226.645833333336)</f>
        <v>38226.64583</v>
      </c>
      <c r="B4" s="2">
        <f>IFERROR(__xludf.DUMMYFUNCTION("""COMPUTED_VALUE"""),122.8)</f>
        <v>122.8</v>
      </c>
      <c r="C4" s="2">
        <f>IFERROR(__xludf.DUMMYFUNCTION("""COMPUTED_VALUE"""),122.8)</f>
        <v>122.8</v>
      </c>
      <c r="D4" s="2">
        <f>IFERROR(__xludf.DUMMYFUNCTION("""COMPUTED_VALUE"""),119.82)</f>
        <v>119.82</v>
      </c>
      <c r="E4" s="2">
        <f>IFERROR(__xludf.DUMMYFUNCTION("""COMPUTED_VALUE"""),120.33)</f>
        <v>120.33</v>
      </c>
      <c r="F4" s="2">
        <f>IFERROR(__xludf.DUMMYFUNCTION("""COMPUTED_VALUE"""),3830750.0)</f>
        <v>3830750</v>
      </c>
    </row>
    <row r="5">
      <c r="A5" s="3">
        <f>IFERROR(__xludf.DUMMYFUNCTION("""COMPUTED_VALUE"""),38229.645833333336)</f>
        <v>38229.64583</v>
      </c>
      <c r="B5" s="2">
        <f>IFERROR(__xludf.DUMMYFUNCTION("""COMPUTED_VALUE"""),121.24)</f>
        <v>121.24</v>
      </c>
      <c r="C5" s="2">
        <f>IFERROR(__xludf.DUMMYFUNCTION("""COMPUTED_VALUE"""),123.75)</f>
        <v>123.75</v>
      </c>
      <c r="D5" s="2">
        <f>IFERROR(__xludf.DUMMYFUNCTION("""COMPUTED_VALUE"""),120.63)</f>
        <v>120.63</v>
      </c>
      <c r="E5" s="2">
        <f>IFERROR(__xludf.DUMMYFUNCTION("""COMPUTED_VALUE"""),123.35)</f>
        <v>123.35</v>
      </c>
      <c r="F5" s="2">
        <f>IFERROR(__xludf.DUMMYFUNCTION("""COMPUTED_VALUE"""),3058151.0)</f>
        <v>3058151</v>
      </c>
    </row>
    <row r="6">
      <c r="A6" s="3">
        <f>IFERROR(__xludf.DUMMYFUNCTION("""COMPUTED_VALUE"""),38230.645833333336)</f>
        <v>38230.64583</v>
      </c>
      <c r="B6" s="2">
        <f>IFERROR(__xludf.DUMMYFUNCTION("""COMPUTED_VALUE"""),123.31)</f>
        <v>123.31</v>
      </c>
      <c r="C6" s="2">
        <f>IFERROR(__xludf.DUMMYFUNCTION("""COMPUTED_VALUE"""),123.75)</f>
        <v>123.75</v>
      </c>
      <c r="D6" s="2">
        <f>IFERROR(__xludf.DUMMYFUNCTION("""COMPUTED_VALUE"""),122.0)</f>
        <v>122</v>
      </c>
      <c r="E6" s="2">
        <f>IFERROR(__xludf.DUMMYFUNCTION("""COMPUTED_VALUE"""),123.51)</f>
        <v>123.51</v>
      </c>
      <c r="F6" s="2">
        <f>IFERROR(__xludf.DUMMYFUNCTION("""COMPUTED_VALUE"""),2649332.0)</f>
        <v>2649332</v>
      </c>
    </row>
    <row r="7">
      <c r="A7" s="3">
        <f>IFERROR(__xludf.DUMMYFUNCTION("""COMPUTED_VALUE"""),38231.645833333336)</f>
        <v>38231.64583</v>
      </c>
      <c r="B7" s="2">
        <f>IFERROR(__xludf.DUMMYFUNCTION("""COMPUTED_VALUE"""),123.75)</f>
        <v>123.75</v>
      </c>
      <c r="C7" s="2">
        <f>IFERROR(__xludf.DUMMYFUNCTION("""COMPUTED_VALUE"""),124.38)</f>
        <v>124.38</v>
      </c>
      <c r="D7" s="2">
        <f>IFERROR(__xludf.DUMMYFUNCTION("""COMPUTED_VALUE"""),122.95)</f>
        <v>122.95</v>
      </c>
      <c r="E7" s="2">
        <f>IFERROR(__xludf.DUMMYFUNCTION("""COMPUTED_VALUE"""),123.49)</f>
        <v>123.49</v>
      </c>
      <c r="F7" s="2">
        <f>IFERROR(__xludf.DUMMYFUNCTION("""COMPUTED_VALUE"""),2491943.0)</f>
        <v>2491943</v>
      </c>
    </row>
    <row r="8">
      <c r="A8" s="3">
        <f>IFERROR(__xludf.DUMMYFUNCTION("""COMPUTED_VALUE"""),38232.645833333336)</f>
        <v>38232.64583</v>
      </c>
      <c r="B8" s="2">
        <f>IFERROR(__xludf.DUMMYFUNCTION("""COMPUTED_VALUE"""),123.74)</f>
        <v>123.74</v>
      </c>
      <c r="C8" s="2">
        <f>IFERROR(__xludf.DUMMYFUNCTION("""COMPUTED_VALUE"""),125.58)</f>
        <v>125.58</v>
      </c>
      <c r="D8" s="2">
        <f>IFERROR(__xludf.DUMMYFUNCTION("""COMPUTED_VALUE"""),123.25)</f>
        <v>123.25</v>
      </c>
      <c r="E8" s="2">
        <f>IFERROR(__xludf.DUMMYFUNCTION("""COMPUTED_VALUE"""),124.21)</f>
        <v>124.21</v>
      </c>
      <c r="F8" s="2">
        <f>IFERROR(__xludf.DUMMYFUNCTION("""COMPUTED_VALUE"""),2669544.0)</f>
        <v>2669544</v>
      </c>
    </row>
    <row r="9">
      <c r="A9" s="3">
        <f>IFERROR(__xludf.DUMMYFUNCTION("""COMPUTED_VALUE"""),38233.645833333336)</f>
        <v>38233.64583</v>
      </c>
      <c r="B9" s="2">
        <f>IFERROR(__xludf.DUMMYFUNCTION("""COMPUTED_VALUE"""),125.75)</f>
        <v>125.75</v>
      </c>
      <c r="C9" s="2">
        <f>IFERROR(__xludf.DUMMYFUNCTION("""COMPUTED_VALUE"""),137.5)</f>
        <v>137.5</v>
      </c>
      <c r="D9" s="2">
        <f>IFERROR(__xludf.DUMMYFUNCTION("""COMPUTED_VALUE"""),123.8)</f>
        <v>123.8</v>
      </c>
      <c r="E9" s="2">
        <f>IFERROR(__xludf.DUMMYFUNCTION("""COMPUTED_VALUE"""),124.73)</f>
        <v>124.73</v>
      </c>
      <c r="F9" s="2">
        <f>IFERROR(__xludf.DUMMYFUNCTION("""COMPUTED_VALUE"""),1233732.0)</f>
        <v>1233732</v>
      </c>
    </row>
    <row r="10">
      <c r="A10" s="3">
        <f>IFERROR(__xludf.DUMMYFUNCTION("""COMPUTED_VALUE"""),38236.645833333336)</f>
        <v>38236.64583</v>
      </c>
      <c r="B10" s="2">
        <f>IFERROR(__xludf.DUMMYFUNCTION("""COMPUTED_VALUE"""),129.99)</f>
        <v>129.99</v>
      </c>
      <c r="C10" s="2">
        <f>IFERROR(__xludf.DUMMYFUNCTION("""COMPUTED_VALUE"""),129.99)</f>
        <v>129.99</v>
      </c>
      <c r="D10" s="2">
        <f>IFERROR(__xludf.DUMMYFUNCTION("""COMPUTED_VALUE"""),124.11)</f>
        <v>124.11</v>
      </c>
      <c r="E10" s="2">
        <f>IFERROR(__xludf.DUMMYFUNCTION("""COMPUTED_VALUE"""),124.36)</f>
        <v>124.36</v>
      </c>
      <c r="F10" s="2">
        <f>IFERROR(__xludf.DUMMYFUNCTION("""COMPUTED_VALUE"""),1129834.0)</f>
        <v>1129834</v>
      </c>
    </row>
    <row r="11">
      <c r="A11" s="3">
        <f>IFERROR(__xludf.DUMMYFUNCTION("""COMPUTED_VALUE"""),38237.645833333336)</f>
        <v>38237.64583</v>
      </c>
      <c r="B11" s="2">
        <f>IFERROR(__xludf.DUMMYFUNCTION("""COMPUTED_VALUE"""),129.38)</f>
        <v>129.38</v>
      </c>
      <c r="C11" s="2">
        <f>IFERROR(__xludf.DUMMYFUNCTION("""COMPUTED_VALUE"""),129.38)</f>
        <v>129.38</v>
      </c>
      <c r="D11" s="2">
        <f>IFERROR(__xludf.DUMMYFUNCTION("""COMPUTED_VALUE"""),124.38)</f>
        <v>124.38</v>
      </c>
      <c r="E11" s="2">
        <f>IFERROR(__xludf.DUMMYFUNCTION("""COMPUTED_VALUE"""),124.45)</f>
        <v>124.45</v>
      </c>
      <c r="F11" s="2">
        <f>IFERROR(__xludf.DUMMYFUNCTION("""COMPUTED_VALUE"""),721529.0)</f>
        <v>721529</v>
      </c>
    </row>
    <row r="12">
      <c r="A12" s="3">
        <f>IFERROR(__xludf.DUMMYFUNCTION("""COMPUTED_VALUE"""),38238.645833333336)</f>
        <v>38238.64583</v>
      </c>
      <c r="B12" s="2">
        <f>IFERROR(__xludf.DUMMYFUNCTION("""COMPUTED_VALUE"""),124.5)</f>
        <v>124.5</v>
      </c>
      <c r="C12" s="2">
        <f>IFERROR(__xludf.DUMMYFUNCTION("""COMPUTED_VALUE"""),125.1)</f>
        <v>125.1</v>
      </c>
      <c r="D12" s="2">
        <f>IFERROR(__xludf.DUMMYFUNCTION("""COMPUTED_VALUE"""),123.89)</f>
        <v>123.89</v>
      </c>
      <c r="E12" s="2">
        <f>IFERROR(__xludf.DUMMYFUNCTION("""COMPUTED_VALUE"""),124.21)</f>
        <v>124.21</v>
      </c>
      <c r="F12" s="2">
        <f>IFERROR(__xludf.DUMMYFUNCTION("""COMPUTED_VALUE"""),824248.0)</f>
        <v>824248</v>
      </c>
    </row>
    <row r="13">
      <c r="A13" s="3">
        <f>IFERROR(__xludf.DUMMYFUNCTION("""COMPUTED_VALUE"""),38239.645833333336)</f>
        <v>38239.64583</v>
      </c>
      <c r="B13" s="2">
        <f>IFERROR(__xludf.DUMMYFUNCTION("""COMPUTED_VALUE"""),124.63)</f>
        <v>124.63</v>
      </c>
      <c r="C13" s="2">
        <f>IFERROR(__xludf.DUMMYFUNCTION("""COMPUTED_VALUE"""),124.74)</f>
        <v>124.74</v>
      </c>
      <c r="D13" s="2">
        <f>IFERROR(__xludf.DUMMYFUNCTION("""COMPUTED_VALUE"""),122.31)</f>
        <v>122.31</v>
      </c>
      <c r="E13" s="2">
        <f>IFERROR(__xludf.DUMMYFUNCTION("""COMPUTED_VALUE"""),122.5)</f>
        <v>122.5</v>
      </c>
      <c r="F13" s="2">
        <f>IFERROR(__xludf.DUMMYFUNCTION("""COMPUTED_VALUE"""),993398.0)</f>
        <v>993398</v>
      </c>
    </row>
    <row r="14">
      <c r="A14" s="3">
        <f>IFERROR(__xludf.DUMMYFUNCTION("""COMPUTED_VALUE"""),38240.645833333336)</f>
        <v>38240.64583</v>
      </c>
      <c r="B14" s="2">
        <f>IFERROR(__xludf.DUMMYFUNCTION("""COMPUTED_VALUE"""),123.75)</f>
        <v>123.75</v>
      </c>
      <c r="C14" s="2">
        <f>IFERROR(__xludf.DUMMYFUNCTION("""COMPUTED_VALUE"""),123.75)</f>
        <v>123.75</v>
      </c>
      <c r="D14" s="2">
        <f>IFERROR(__xludf.DUMMYFUNCTION("""COMPUTED_VALUE"""),122.0)</f>
        <v>122</v>
      </c>
      <c r="E14" s="2">
        <f>IFERROR(__xludf.DUMMYFUNCTION("""COMPUTED_VALUE"""),123.6)</f>
        <v>123.6</v>
      </c>
      <c r="F14" s="2">
        <f>IFERROR(__xludf.DUMMYFUNCTION("""COMPUTED_VALUE"""),801884.0)</f>
        <v>801884</v>
      </c>
    </row>
    <row r="15">
      <c r="A15" s="3">
        <f>IFERROR(__xludf.DUMMYFUNCTION("""COMPUTED_VALUE"""),38243.645833333336)</f>
        <v>38243.64583</v>
      </c>
      <c r="B15" s="2">
        <f>IFERROR(__xludf.DUMMYFUNCTION("""COMPUTED_VALUE"""),123.88)</f>
        <v>123.88</v>
      </c>
      <c r="C15" s="2">
        <f>IFERROR(__xludf.DUMMYFUNCTION("""COMPUTED_VALUE"""),126.94)</f>
        <v>126.94</v>
      </c>
      <c r="D15" s="2">
        <f>IFERROR(__xludf.DUMMYFUNCTION("""COMPUTED_VALUE"""),123.88)</f>
        <v>123.88</v>
      </c>
      <c r="E15" s="2">
        <f>IFERROR(__xludf.DUMMYFUNCTION("""COMPUTED_VALUE"""),125.44)</f>
        <v>125.44</v>
      </c>
      <c r="F15" s="2">
        <f>IFERROR(__xludf.DUMMYFUNCTION("""COMPUTED_VALUE"""),2613114.0)</f>
        <v>2613114</v>
      </c>
    </row>
    <row r="16">
      <c r="A16" s="3">
        <f>IFERROR(__xludf.DUMMYFUNCTION("""COMPUTED_VALUE"""),38244.645833333336)</f>
        <v>38244.64583</v>
      </c>
      <c r="B16" s="2">
        <f>IFERROR(__xludf.DUMMYFUNCTION("""COMPUTED_VALUE"""),125.63)</f>
        <v>125.63</v>
      </c>
      <c r="C16" s="2">
        <f>IFERROR(__xludf.DUMMYFUNCTION("""COMPUTED_VALUE"""),127.35)</f>
        <v>127.35</v>
      </c>
      <c r="D16" s="2">
        <f>IFERROR(__xludf.DUMMYFUNCTION("""COMPUTED_VALUE"""),125.37)</f>
        <v>125.37</v>
      </c>
      <c r="E16" s="2">
        <f>IFERROR(__xludf.DUMMYFUNCTION("""COMPUTED_VALUE"""),126.96)</f>
        <v>126.96</v>
      </c>
      <c r="F16" s="2">
        <f>IFERROR(__xludf.DUMMYFUNCTION("""COMPUTED_VALUE"""),1916934.0)</f>
        <v>1916934</v>
      </c>
    </row>
    <row r="17">
      <c r="A17" s="3">
        <f>IFERROR(__xludf.DUMMYFUNCTION("""COMPUTED_VALUE"""),38245.645833333336)</f>
        <v>38245.64583</v>
      </c>
      <c r="B17" s="2">
        <f>IFERROR(__xludf.DUMMYFUNCTION("""COMPUTED_VALUE"""),127.25)</f>
        <v>127.25</v>
      </c>
      <c r="C17" s="2">
        <f>IFERROR(__xludf.DUMMYFUNCTION("""COMPUTED_VALUE"""),127.5)</f>
        <v>127.5</v>
      </c>
      <c r="D17" s="2">
        <f>IFERROR(__xludf.DUMMYFUNCTION("""COMPUTED_VALUE"""),125.15)</f>
        <v>125.15</v>
      </c>
      <c r="E17" s="2">
        <f>IFERROR(__xludf.DUMMYFUNCTION("""COMPUTED_VALUE"""),125.76)</f>
        <v>125.76</v>
      </c>
      <c r="F17" s="2">
        <f>IFERROR(__xludf.DUMMYFUNCTION("""COMPUTED_VALUE"""),1498536.0)</f>
        <v>1498536</v>
      </c>
    </row>
    <row r="18">
      <c r="A18" s="3">
        <f>IFERROR(__xludf.DUMMYFUNCTION("""COMPUTED_VALUE"""),38246.645833333336)</f>
        <v>38246.64583</v>
      </c>
      <c r="B18" s="2">
        <f>IFERROR(__xludf.DUMMYFUNCTION("""COMPUTED_VALUE"""),125.88)</f>
        <v>125.88</v>
      </c>
      <c r="C18" s="2">
        <f>IFERROR(__xludf.DUMMYFUNCTION("""COMPUTED_VALUE"""),126.88)</f>
        <v>126.88</v>
      </c>
      <c r="D18" s="2">
        <f>IFERROR(__xludf.DUMMYFUNCTION("""COMPUTED_VALUE"""),125.31)</f>
        <v>125.31</v>
      </c>
      <c r="E18" s="2">
        <f>IFERROR(__xludf.DUMMYFUNCTION("""COMPUTED_VALUE"""),126.06)</f>
        <v>126.06</v>
      </c>
      <c r="F18" s="2">
        <f>IFERROR(__xludf.DUMMYFUNCTION("""COMPUTED_VALUE"""),919778.0)</f>
        <v>919778</v>
      </c>
    </row>
    <row r="19">
      <c r="A19" s="3">
        <f>IFERROR(__xludf.DUMMYFUNCTION("""COMPUTED_VALUE"""),38247.645833333336)</f>
        <v>38247.64583</v>
      </c>
      <c r="B19" s="2">
        <f>IFERROR(__xludf.DUMMYFUNCTION("""COMPUTED_VALUE"""),126.5)</f>
        <v>126.5</v>
      </c>
      <c r="C19" s="2">
        <f>IFERROR(__xludf.DUMMYFUNCTION("""COMPUTED_VALUE"""),128.74)</f>
        <v>128.74</v>
      </c>
      <c r="D19" s="2">
        <f>IFERROR(__xludf.DUMMYFUNCTION("""COMPUTED_VALUE"""),126.29)</f>
        <v>126.29</v>
      </c>
      <c r="E19" s="2">
        <f>IFERROR(__xludf.DUMMYFUNCTION("""COMPUTED_VALUE"""),128.06)</f>
        <v>128.06</v>
      </c>
      <c r="F19" s="2">
        <f>IFERROR(__xludf.DUMMYFUNCTION("""COMPUTED_VALUE"""),1828487.0)</f>
        <v>1828487</v>
      </c>
    </row>
    <row r="20">
      <c r="A20" s="3">
        <f>IFERROR(__xludf.DUMMYFUNCTION("""COMPUTED_VALUE"""),38250.645833333336)</f>
        <v>38250.64583</v>
      </c>
      <c r="B20" s="2">
        <f>IFERROR(__xludf.DUMMYFUNCTION("""COMPUTED_VALUE"""),129.05)</f>
        <v>129.05</v>
      </c>
      <c r="C20" s="2">
        <f>IFERROR(__xludf.DUMMYFUNCTION("""COMPUTED_VALUE"""),129.61)</f>
        <v>129.61</v>
      </c>
      <c r="D20" s="2">
        <f>IFERROR(__xludf.DUMMYFUNCTION("""COMPUTED_VALUE"""),127.52)</f>
        <v>127.52</v>
      </c>
      <c r="E20" s="2">
        <f>IFERROR(__xludf.DUMMYFUNCTION("""COMPUTED_VALUE"""),127.86)</f>
        <v>127.86</v>
      </c>
      <c r="F20" s="2">
        <f>IFERROR(__xludf.DUMMYFUNCTION("""COMPUTED_VALUE"""),1069028.0)</f>
        <v>1069028</v>
      </c>
    </row>
    <row r="21">
      <c r="A21" s="3">
        <f>IFERROR(__xludf.DUMMYFUNCTION("""COMPUTED_VALUE"""),38251.645833333336)</f>
        <v>38251.64583</v>
      </c>
      <c r="B21" s="2">
        <f>IFERROR(__xludf.DUMMYFUNCTION("""COMPUTED_VALUE"""),128.11)</f>
        <v>128.11</v>
      </c>
      <c r="C21" s="2">
        <f>IFERROR(__xludf.DUMMYFUNCTION("""COMPUTED_VALUE"""),131.06)</f>
        <v>131.06</v>
      </c>
      <c r="D21" s="2">
        <f>IFERROR(__xludf.DUMMYFUNCTION("""COMPUTED_VALUE"""),127.75)</f>
        <v>127.75</v>
      </c>
      <c r="E21" s="2">
        <f>IFERROR(__xludf.DUMMYFUNCTION("""COMPUTED_VALUE"""),130.73)</f>
        <v>130.73</v>
      </c>
      <c r="F21" s="2">
        <f>IFERROR(__xludf.DUMMYFUNCTION("""COMPUTED_VALUE"""),1737135.0)</f>
        <v>1737135</v>
      </c>
    </row>
    <row r="22">
      <c r="A22" s="3">
        <f>IFERROR(__xludf.DUMMYFUNCTION("""COMPUTED_VALUE"""),38252.645833333336)</f>
        <v>38252.64583</v>
      </c>
      <c r="B22" s="2">
        <f>IFERROR(__xludf.DUMMYFUNCTION("""COMPUTED_VALUE"""),131.05)</f>
        <v>131.05</v>
      </c>
      <c r="C22" s="2">
        <f>IFERROR(__xludf.DUMMYFUNCTION("""COMPUTED_VALUE"""),132.0)</f>
        <v>132</v>
      </c>
      <c r="D22" s="2">
        <f>IFERROR(__xludf.DUMMYFUNCTION("""COMPUTED_VALUE"""),129.64)</f>
        <v>129.64</v>
      </c>
      <c r="E22" s="2">
        <f>IFERROR(__xludf.DUMMYFUNCTION("""COMPUTED_VALUE"""),131.51)</f>
        <v>131.51</v>
      </c>
      <c r="F22" s="2">
        <f>IFERROR(__xludf.DUMMYFUNCTION("""COMPUTED_VALUE"""),1921448.0)</f>
        <v>1921448</v>
      </c>
    </row>
    <row r="23">
      <c r="A23" s="3">
        <f>IFERROR(__xludf.DUMMYFUNCTION("""COMPUTED_VALUE"""),38253.645833333336)</f>
        <v>38253.64583</v>
      </c>
      <c r="B23" s="2">
        <f>IFERROR(__xludf.DUMMYFUNCTION("""COMPUTED_VALUE"""),131.0)</f>
        <v>131</v>
      </c>
      <c r="C23" s="2">
        <f>IFERROR(__xludf.DUMMYFUNCTION("""COMPUTED_VALUE"""),131.13)</f>
        <v>131.13</v>
      </c>
      <c r="D23" s="2">
        <f>IFERROR(__xludf.DUMMYFUNCTION("""COMPUTED_VALUE"""),128.38)</f>
        <v>128.38</v>
      </c>
      <c r="E23" s="2">
        <f>IFERROR(__xludf.DUMMYFUNCTION("""COMPUTED_VALUE"""),128.78)</f>
        <v>128.78</v>
      </c>
      <c r="F23" s="2">
        <f>IFERROR(__xludf.DUMMYFUNCTION("""COMPUTED_VALUE"""),1977460.0)</f>
        <v>1977460</v>
      </c>
    </row>
    <row r="24">
      <c r="A24" s="3">
        <f>IFERROR(__xludf.DUMMYFUNCTION("""COMPUTED_VALUE"""),38254.645833333336)</f>
        <v>38254.64583</v>
      </c>
      <c r="B24" s="2">
        <f>IFERROR(__xludf.DUMMYFUNCTION("""COMPUTED_VALUE"""),128.64)</f>
        <v>128.64</v>
      </c>
      <c r="C24" s="2">
        <f>IFERROR(__xludf.DUMMYFUNCTION("""COMPUTED_VALUE"""),130.0)</f>
        <v>130</v>
      </c>
      <c r="D24" s="2">
        <f>IFERROR(__xludf.DUMMYFUNCTION("""COMPUTED_VALUE"""),128.25)</f>
        <v>128.25</v>
      </c>
      <c r="E24" s="2">
        <f>IFERROR(__xludf.DUMMYFUNCTION("""COMPUTED_VALUE"""),128.6)</f>
        <v>128.6</v>
      </c>
      <c r="F24" s="2">
        <f>IFERROR(__xludf.DUMMYFUNCTION("""COMPUTED_VALUE"""),1010401.0)</f>
        <v>1010401</v>
      </c>
    </row>
    <row r="25">
      <c r="A25" s="3">
        <f>IFERROR(__xludf.DUMMYFUNCTION("""COMPUTED_VALUE"""),38257.645833333336)</f>
        <v>38257.64583</v>
      </c>
      <c r="B25" s="2">
        <f>IFERROR(__xludf.DUMMYFUNCTION("""COMPUTED_VALUE"""),128.44)</f>
        <v>128.44</v>
      </c>
      <c r="C25" s="2">
        <f>IFERROR(__xludf.DUMMYFUNCTION("""COMPUTED_VALUE"""),129.06)</f>
        <v>129.06</v>
      </c>
      <c r="D25" s="2">
        <f>IFERROR(__xludf.DUMMYFUNCTION("""COMPUTED_VALUE"""),126.88)</f>
        <v>126.88</v>
      </c>
      <c r="E25" s="2">
        <f>IFERROR(__xludf.DUMMYFUNCTION("""COMPUTED_VALUE"""),127.6)</f>
        <v>127.6</v>
      </c>
      <c r="F25" s="2">
        <f>IFERROR(__xludf.DUMMYFUNCTION("""COMPUTED_VALUE"""),1028689.0)</f>
        <v>1028689</v>
      </c>
    </row>
    <row r="26">
      <c r="A26" s="3">
        <f>IFERROR(__xludf.DUMMYFUNCTION("""COMPUTED_VALUE"""),38258.645833333336)</f>
        <v>38258.64583</v>
      </c>
      <c r="B26" s="2">
        <f>IFERROR(__xludf.DUMMYFUNCTION("""COMPUTED_VALUE"""),127.0)</f>
        <v>127</v>
      </c>
      <c r="C26" s="2">
        <f>IFERROR(__xludf.DUMMYFUNCTION("""COMPUTED_VALUE"""),128.43)</f>
        <v>128.43</v>
      </c>
      <c r="D26" s="2">
        <f>IFERROR(__xludf.DUMMYFUNCTION("""COMPUTED_VALUE"""),126.56)</f>
        <v>126.56</v>
      </c>
      <c r="E26" s="2">
        <f>IFERROR(__xludf.DUMMYFUNCTION("""COMPUTED_VALUE"""),126.95)</f>
        <v>126.95</v>
      </c>
      <c r="F26" s="2">
        <f>IFERROR(__xludf.DUMMYFUNCTION("""COMPUTED_VALUE"""),792427.0)</f>
        <v>792427</v>
      </c>
    </row>
    <row r="27">
      <c r="A27" s="3">
        <f>IFERROR(__xludf.DUMMYFUNCTION("""COMPUTED_VALUE"""),38259.645833333336)</f>
        <v>38259.64583</v>
      </c>
      <c r="B27" s="2">
        <f>IFERROR(__xludf.DUMMYFUNCTION("""COMPUTED_VALUE"""),127.41)</f>
        <v>127.41</v>
      </c>
      <c r="C27" s="2">
        <f>IFERROR(__xludf.DUMMYFUNCTION("""COMPUTED_VALUE"""),129.13)</f>
        <v>129.13</v>
      </c>
      <c r="D27" s="2">
        <f>IFERROR(__xludf.DUMMYFUNCTION("""COMPUTED_VALUE"""),127.02)</f>
        <v>127.02</v>
      </c>
      <c r="E27" s="2">
        <f>IFERROR(__xludf.DUMMYFUNCTION("""COMPUTED_VALUE"""),128.88)</f>
        <v>128.88</v>
      </c>
      <c r="F27" s="2">
        <f>IFERROR(__xludf.DUMMYFUNCTION("""COMPUTED_VALUE"""),1467147.0)</f>
        <v>1467147</v>
      </c>
    </row>
    <row r="28">
      <c r="A28" s="3">
        <f>IFERROR(__xludf.DUMMYFUNCTION("""COMPUTED_VALUE"""),38260.645833333336)</f>
        <v>38260.64583</v>
      </c>
      <c r="B28" s="2">
        <f>IFERROR(__xludf.DUMMYFUNCTION("""COMPUTED_VALUE"""),129.45)</f>
        <v>129.45</v>
      </c>
      <c r="C28" s="2">
        <f>IFERROR(__xludf.DUMMYFUNCTION("""COMPUTED_VALUE"""),130.11)</f>
        <v>130.11</v>
      </c>
      <c r="D28" s="2">
        <f>IFERROR(__xludf.DUMMYFUNCTION("""COMPUTED_VALUE"""),127.58)</f>
        <v>127.58</v>
      </c>
      <c r="E28" s="2">
        <f>IFERROR(__xludf.DUMMYFUNCTION("""COMPUTED_VALUE"""),128.39)</f>
        <v>128.39</v>
      </c>
      <c r="F28" s="2">
        <f>IFERROR(__xludf.DUMMYFUNCTION("""COMPUTED_VALUE"""),1565179.0)</f>
        <v>1565179</v>
      </c>
    </row>
    <row r="29">
      <c r="A29" s="3">
        <f>IFERROR(__xludf.DUMMYFUNCTION("""COMPUTED_VALUE"""),38261.645833333336)</f>
        <v>38261.64583</v>
      </c>
      <c r="B29" s="2">
        <f>IFERROR(__xludf.DUMMYFUNCTION("""COMPUTED_VALUE"""),128.63)</f>
        <v>128.63</v>
      </c>
      <c r="C29" s="2">
        <f>IFERROR(__xludf.DUMMYFUNCTION("""COMPUTED_VALUE"""),132.06)</f>
        <v>132.06</v>
      </c>
      <c r="D29" s="2">
        <f>IFERROR(__xludf.DUMMYFUNCTION("""COMPUTED_VALUE"""),128.29)</f>
        <v>128.29</v>
      </c>
      <c r="E29" s="2">
        <f>IFERROR(__xludf.DUMMYFUNCTION("""COMPUTED_VALUE"""),130.96)</f>
        <v>130.96</v>
      </c>
      <c r="F29" s="2">
        <f>IFERROR(__xludf.DUMMYFUNCTION("""COMPUTED_VALUE"""),1371111.0)</f>
        <v>1371111</v>
      </c>
    </row>
    <row r="30">
      <c r="A30" s="3">
        <f>IFERROR(__xludf.DUMMYFUNCTION("""COMPUTED_VALUE"""),38264.645833333336)</f>
        <v>38264.64583</v>
      </c>
      <c r="B30" s="2">
        <f>IFERROR(__xludf.DUMMYFUNCTION("""COMPUTED_VALUE"""),132.13)</f>
        <v>132.13</v>
      </c>
      <c r="C30" s="2">
        <f>IFERROR(__xludf.DUMMYFUNCTION("""COMPUTED_VALUE"""),135.13)</f>
        <v>135.13</v>
      </c>
      <c r="D30" s="2">
        <f>IFERROR(__xludf.DUMMYFUNCTION("""COMPUTED_VALUE"""),131.81)</f>
        <v>131.81</v>
      </c>
      <c r="E30" s="2">
        <f>IFERROR(__xludf.DUMMYFUNCTION("""COMPUTED_VALUE"""),134.56)</f>
        <v>134.56</v>
      </c>
      <c r="F30" s="2">
        <f>IFERROR(__xludf.DUMMYFUNCTION("""COMPUTED_VALUE"""),1891228.0)</f>
        <v>1891228</v>
      </c>
    </row>
    <row r="31">
      <c r="A31" s="3">
        <f>IFERROR(__xludf.DUMMYFUNCTION("""COMPUTED_VALUE"""),38265.645833333336)</f>
        <v>38265.64583</v>
      </c>
      <c r="B31" s="2">
        <f>IFERROR(__xludf.DUMMYFUNCTION("""COMPUTED_VALUE"""),135.04)</f>
        <v>135.04</v>
      </c>
      <c r="C31" s="2">
        <f>IFERROR(__xludf.DUMMYFUNCTION("""COMPUTED_VALUE"""),136.13)</f>
        <v>136.13</v>
      </c>
      <c r="D31" s="2">
        <f>IFERROR(__xludf.DUMMYFUNCTION("""COMPUTED_VALUE"""),134.44)</f>
        <v>134.44</v>
      </c>
      <c r="E31" s="2">
        <f>IFERROR(__xludf.DUMMYFUNCTION("""COMPUTED_VALUE"""),135.09)</f>
        <v>135.09</v>
      </c>
      <c r="F31" s="2">
        <f>IFERROR(__xludf.DUMMYFUNCTION("""COMPUTED_VALUE"""),1792661.0)</f>
        <v>1792661</v>
      </c>
    </row>
    <row r="32">
      <c r="A32" s="3">
        <f>IFERROR(__xludf.DUMMYFUNCTION("""COMPUTED_VALUE"""),38266.645833333336)</f>
        <v>38266.64583</v>
      </c>
      <c r="B32" s="2">
        <f>IFERROR(__xludf.DUMMYFUNCTION("""COMPUTED_VALUE"""),135.13)</f>
        <v>135.13</v>
      </c>
      <c r="C32" s="2">
        <f>IFERROR(__xludf.DUMMYFUNCTION("""COMPUTED_VALUE"""),137.85)</f>
        <v>137.85</v>
      </c>
      <c r="D32" s="2">
        <f>IFERROR(__xludf.DUMMYFUNCTION("""COMPUTED_VALUE"""),134.38)</f>
        <v>134.38</v>
      </c>
      <c r="E32" s="2">
        <f>IFERROR(__xludf.DUMMYFUNCTION("""COMPUTED_VALUE"""),135.2)</f>
        <v>135.2</v>
      </c>
      <c r="F32" s="2">
        <f>IFERROR(__xludf.DUMMYFUNCTION("""COMPUTED_VALUE"""),2208833.0)</f>
        <v>2208833</v>
      </c>
    </row>
    <row r="33">
      <c r="A33" s="3">
        <f>IFERROR(__xludf.DUMMYFUNCTION("""COMPUTED_VALUE"""),38267.645833333336)</f>
        <v>38267.64583</v>
      </c>
      <c r="B33" s="2">
        <f>IFERROR(__xludf.DUMMYFUNCTION("""COMPUTED_VALUE"""),135.38)</f>
        <v>135.38</v>
      </c>
      <c r="C33" s="2">
        <f>IFERROR(__xludf.DUMMYFUNCTION("""COMPUTED_VALUE"""),137.5)</f>
        <v>137.5</v>
      </c>
      <c r="D33" s="2">
        <f>IFERROR(__xludf.DUMMYFUNCTION("""COMPUTED_VALUE"""),135.38)</f>
        <v>135.38</v>
      </c>
      <c r="E33" s="2">
        <f>IFERROR(__xludf.DUMMYFUNCTION("""COMPUTED_VALUE"""),137.14)</f>
        <v>137.14</v>
      </c>
      <c r="F33" s="2">
        <f>IFERROR(__xludf.DUMMYFUNCTION("""COMPUTED_VALUE"""),1260016.0)</f>
        <v>1260016</v>
      </c>
    </row>
    <row r="34">
      <c r="A34" s="3">
        <f>IFERROR(__xludf.DUMMYFUNCTION("""COMPUTED_VALUE"""),38268.645833333336)</f>
        <v>38268.64583</v>
      </c>
      <c r="B34" s="2">
        <f>IFERROR(__xludf.DUMMYFUNCTION("""COMPUTED_VALUE"""),137.25)</f>
        <v>137.25</v>
      </c>
      <c r="C34" s="2">
        <f>IFERROR(__xludf.DUMMYFUNCTION("""COMPUTED_VALUE"""),138.88)</f>
        <v>138.88</v>
      </c>
      <c r="D34" s="2">
        <f>IFERROR(__xludf.DUMMYFUNCTION("""COMPUTED_VALUE"""),136.88)</f>
        <v>136.88</v>
      </c>
      <c r="E34" s="2">
        <f>IFERROR(__xludf.DUMMYFUNCTION("""COMPUTED_VALUE"""),137.26)</f>
        <v>137.26</v>
      </c>
      <c r="F34" s="2">
        <f>IFERROR(__xludf.DUMMYFUNCTION("""COMPUTED_VALUE"""),1069865.0)</f>
        <v>1069865</v>
      </c>
    </row>
    <row r="35">
      <c r="A35" s="3">
        <f>IFERROR(__xludf.DUMMYFUNCTION("""COMPUTED_VALUE"""),38271.645833333336)</f>
        <v>38271.64583</v>
      </c>
      <c r="B35" s="2">
        <f>IFERROR(__xludf.DUMMYFUNCTION("""COMPUTED_VALUE"""),137.5)</f>
        <v>137.5</v>
      </c>
      <c r="C35" s="2">
        <f>IFERROR(__xludf.DUMMYFUNCTION("""COMPUTED_VALUE"""),138.94)</f>
        <v>138.94</v>
      </c>
      <c r="D35" s="2">
        <f>IFERROR(__xludf.DUMMYFUNCTION("""COMPUTED_VALUE"""),135.63)</f>
        <v>135.63</v>
      </c>
      <c r="E35" s="2">
        <f>IFERROR(__xludf.DUMMYFUNCTION("""COMPUTED_VALUE"""),136.16)</f>
        <v>136.16</v>
      </c>
      <c r="F35" s="2">
        <f>IFERROR(__xludf.DUMMYFUNCTION("""COMPUTED_VALUE"""),1166507.0)</f>
        <v>1166507</v>
      </c>
    </row>
    <row r="36">
      <c r="A36" s="3">
        <f>IFERROR(__xludf.DUMMYFUNCTION("""COMPUTED_VALUE"""),38272.645833333336)</f>
        <v>38272.64583</v>
      </c>
      <c r="B36" s="2">
        <f>IFERROR(__xludf.DUMMYFUNCTION("""COMPUTED_VALUE"""),138.75)</f>
        <v>138.75</v>
      </c>
      <c r="C36" s="2">
        <f>IFERROR(__xludf.DUMMYFUNCTION("""COMPUTED_VALUE"""),139.38)</f>
        <v>139.38</v>
      </c>
      <c r="D36" s="2">
        <f>IFERROR(__xludf.DUMMYFUNCTION("""COMPUTED_VALUE"""),134.71)</f>
        <v>134.71</v>
      </c>
      <c r="E36" s="2">
        <f>IFERROR(__xludf.DUMMYFUNCTION("""COMPUTED_VALUE"""),135.56)</f>
        <v>135.56</v>
      </c>
      <c r="F36" s="2">
        <f>IFERROR(__xludf.DUMMYFUNCTION("""COMPUTED_VALUE"""),1950064.0)</f>
        <v>1950064</v>
      </c>
    </row>
    <row r="37">
      <c r="A37" s="3">
        <f>IFERROR(__xludf.DUMMYFUNCTION("""COMPUTED_VALUE"""),38274.645833333336)</f>
        <v>38274.64583</v>
      </c>
      <c r="B37" s="2">
        <f>IFERROR(__xludf.DUMMYFUNCTION("""COMPUTED_VALUE"""),137.88)</f>
        <v>137.88</v>
      </c>
      <c r="C37" s="2">
        <f>IFERROR(__xludf.DUMMYFUNCTION("""COMPUTED_VALUE"""),140.5)</f>
        <v>140.5</v>
      </c>
      <c r="D37" s="2">
        <f>IFERROR(__xludf.DUMMYFUNCTION("""COMPUTED_VALUE"""),136.01)</f>
        <v>136.01</v>
      </c>
      <c r="E37" s="2">
        <f>IFERROR(__xludf.DUMMYFUNCTION("""COMPUTED_VALUE"""),139.53)</f>
        <v>139.53</v>
      </c>
      <c r="F37" s="2">
        <f>IFERROR(__xludf.DUMMYFUNCTION("""COMPUTED_VALUE"""),2403248.0)</f>
        <v>2403248</v>
      </c>
    </row>
    <row r="38">
      <c r="A38" s="3">
        <f>IFERROR(__xludf.DUMMYFUNCTION("""COMPUTED_VALUE"""),38275.645833333336)</f>
        <v>38275.64583</v>
      </c>
      <c r="B38" s="2">
        <f>IFERROR(__xludf.DUMMYFUNCTION("""COMPUTED_VALUE"""),140.21)</f>
        <v>140.21</v>
      </c>
      <c r="C38" s="2">
        <f>IFERROR(__xludf.DUMMYFUNCTION("""COMPUTED_VALUE"""),142.63)</f>
        <v>142.63</v>
      </c>
      <c r="D38" s="2">
        <f>IFERROR(__xludf.DUMMYFUNCTION("""COMPUTED_VALUE"""),139.66)</f>
        <v>139.66</v>
      </c>
      <c r="E38" s="2">
        <f>IFERROR(__xludf.DUMMYFUNCTION("""COMPUTED_VALUE"""),140.75)</f>
        <v>140.75</v>
      </c>
      <c r="F38" s="2">
        <f>IFERROR(__xludf.DUMMYFUNCTION("""COMPUTED_VALUE"""),2224968.0)</f>
        <v>2224968</v>
      </c>
    </row>
    <row r="39">
      <c r="A39" s="3">
        <f>IFERROR(__xludf.DUMMYFUNCTION("""COMPUTED_VALUE"""),38278.645833333336)</f>
        <v>38278.64583</v>
      </c>
      <c r="B39" s="2">
        <f>IFERROR(__xludf.DUMMYFUNCTION("""COMPUTED_VALUE"""),141.75)</f>
        <v>141.75</v>
      </c>
      <c r="C39" s="2">
        <f>IFERROR(__xludf.DUMMYFUNCTION("""COMPUTED_VALUE"""),142.75)</f>
        <v>142.75</v>
      </c>
      <c r="D39" s="2">
        <f>IFERROR(__xludf.DUMMYFUNCTION("""COMPUTED_VALUE"""),140.66)</f>
        <v>140.66</v>
      </c>
      <c r="E39" s="2">
        <f>IFERROR(__xludf.DUMMYFUNCTION("""COMPUTED_VALUE"""),142.16)</f>
        <v>142.16</v>
      </c>
      <c r="F39" s="2">
        <f>IFERROR(__xludf.DUMMYFUNCTION("""COMPUTED_VALUE"""),1711668.0)</f>
        <v>1711668</v>
      </c>
    </row>
    <row r="40">
      <c r="A40" s="3">
        <f>IFERROR(__xludf.DUMMYFUNCTION("""COMPUTED_VALUE"""),38279.645833333336)</f>
        <v>38279.64583</v>
      </c>
      <c r="B40" s="2">
        <f>IFERROR(__xludf.DUMMYFUNCTION("""COMPUTED_VALUE"""),142.52)</f>
        <v>142.52</v>
      </c>
      <c r="C40" s="2">
        <f>IFERROR(__xludf.DUMMYFUNCTION("""COMPUTED_VALUE"""),143.59)</f>
        <v>143.59</v>
      </c>
      <c r="D40" s="2">
        <f>IFERROR(__xludf.DUMMYFUNCTION("""COMPUTED_VALUE"""),142.01)</f>
        <v>142.01</v>
      </c>
      <c r="E40" s="2">
        <f>IFERROR(__xludf.DUMMYFUNCTION("""COMPUTED_VALUE"""),142.9)</f>
        <v>142.9</v>
      </c>
      <c r="F40" s="2">
        <f>IFERROR(__xludf.DUMMYFUNCTION("""COMPUTED_VALUE"""),1470891.0)</f>
        <v>1470891</v>
      </c>
    </row>
    <row r="41">
      <c r="A41" s="3">
        <f>IFERROR(__xludf.DUMMYFUNCTION("""COMPUTED_VALUE"""),38280.645833333336)</f>
        <v>38280.64583</v>
      </c>
      <c r="B41" s="2">
        <f>IFERROR(__xludf.DUMMYFUNCTION("""COMPUTED_VALUE"""),143.1)</f>
        <v>143.1</v>
      </c>
      <c r="C41" s="2">
        <f>IFERROR(__xludf.DUMMYFUNCTION("""COMPUTED_VALUE"""),143.74)</f>
        <v>143.74</v>
      </c>
      <c r="D41" s="2">
        <f>IFERROR(__xludf.DUMMYFUNCTION("""COMPUTED_VALUE"""),141.13)</f>
        <v>141.13</v>
      </c>
      <c r="E41" s="2">
        <f>IFERROR(__xludf.DUMMYFUNCTION("""COMPUTED_VALUE"""),141.66)</f>
        <v>141.66</v>
      </c>
      <c r="F41" s="2">
        <f>IFERROR(__xludf.DUMMYFUNCTION("""COMPUTED_VALUE"""),900854.0)</f>
        <v>900854</v>
      </c>
    </row>
    <row r="42">
      <c r="A42" s="3">
        <f>IFERROR(__xludf.DUMMYFUNCTION("""COMPUTED_VALUE"""),38281.645833333336)</f>
        <v>38281.64583</v>
      </c>
      <c r="B42" s="2">
        <f>IFERROR(__xludf.DUMMYFUNCTION("""COMPUTED_VALUE"""),142.16)</f>
        <v>142.16</v>
      </c>
      <c r="C42" s="2">
        <f>IFERROR(__xludf.DUMMYFUNCTION("""COMPUTED_VALUE"""),142.38)</f>
        <v>142.38</v>
      </c>
      <c r="D42" s="2">
        <f>IFERROR(__xludf.DUMMYFUNCTION("""COMPUTED_VALUE"""),140.25)</f>
        <v>140.25</v>
      </c>
      <c r="E42" s="2">
        <f>IFERROR(__xludf.DUMMYFUNCTION("""COMPUTED_VALUE"""),140.7)</f>
        <v>140.7</v>
      </c>
      <c r="F42" s="2">
        <f>IFERROR(__xludf.DUMMYFUNCTION("""COMPUTED_VALUE"""),801690.0)</f>
        <v>801690</v>
      </c>
    </row>
    <row r="43">
      <c r="A43" s="3">
        <f>IFERROR(__xludf.DUMMYFUNCTION("""COMPUTED_VALUE"""),38285.645833333336)</f>
        <v>38285.64583</v>
      </c>
      <c r="B43" s="2">
        <f>IFERROR(__xludf.DUMMYFUNCTION("""COMPUTED_VALUE"""),140.63)</f>
        <v>140.63</v>
      </c>
      <c r="C43" s="2">
        <f>IFERROR(__xludf.DUMMYFUNCTION("""COMPUTED_VALUE"""),140.88)</f>
        <v>140.88</v>
      </c>
      <c r="D43" s="2">
        <f>IFERROR(__xludf.DUMMYFUNCTION("""COMPUTED_VALUE"""),138.85)</f>
        <v>138.85</v>
      </c>
      <c r="E43" s="2">
        <f>IFERROR(__xludf.DUMMYFUNCTION("""COMPUTED_VALUE"""),139.67)</f>
        <v>139.67</v>
      </c>
      <c r="F43" s="2">
        <f>IFERROR(__xludf.DUMMYFUNCTION("""COMPUTED_VALUE"""),1173784.0)</f>
        <v>1173784</v>
      </c>
    </row>
    <row r="44">
      <c r="A44" s="3">
        <f>IFERROR(__xludf.DUMMYFUNCTION("""COMPUTED_VALUE"""),38286.645833333336)</f>
        <v>38286.64583</v>
      </c>
      <c r="B44" s="2">
        <f>IFERROR(__xludf.DUMMYFUNCTION("""COMPUTED_VALUE"""),139.45)</f>
        <v>139.45</v>
      </c>
      <c r="C44" s="2">
        <f>IFERROR(__xludf.DUMMYFUNCTION("""COMPUTED_VALUE"""),142.62)</f>
        <v>142.62</v>
      </c>
      <c r="D44" s="2">
        <f>IFERROR(__xludf.DUMMYFUNCTION("""COMPUTED_VALUE"""),139.45)</f>
        <v>139.45</v>
      </c>
      <c r="E44" s="2">
        <f>IFERROR(__xludf.DUMMYFUNCTION("""COMPUTED_VALUE"""),142.15)</f>
        <v>142.15</v>
      </c>
      <c r="F44" s="2">
        <f>IFERROR(__xludf.DUMMYFUNCTION("""COMPUTED_VALUE"""),866595.0)</f>
        <v>866595</v>
      </c>
    </row>
    <row r="45">
      <c r="A45" s="3">
        <f>IFERROR(__xludf.DUMMYFUNCTION("""COMPUTED_VALUE"""),38287.645833333336)</f>
        <v>38287.64583</v>
      </c>
      <c r="B45" s="2">
        <f>IFERROR(__xludf.DUMMYFUNCTION("""COMPUTED_VALUE"""),142.78)</f>
        <v>142.78</v>
      </c>
      <c r="C45" s="2">
        <f>IFERROR(__xludf.DUMMYFUNCTION("""COMPUTED_VALUE"""),143.5)</f>
        <v>143.5</v>
      </c>
      <c r="D45" s="2">
        <f>IFERROR(__xludf.DUMMYFUNCTION("""COMPUTED_VALUE"""),141.9)</f>
        <v>141.9</v>
      </c>
      <c r="E45" s="2">
        <f>IFERROR(__xludf.DUMMYFUNCTION("""COMPUTED_VALUE"""),142.49)</f>
        <v>142.49</v>
      </c>
      <c r="F45" s="2">
        <f>IFERROR(__xludf.DUMMYFUNCTION("""COMPUTED_VALUE"""),979707.0)</f>
        <v>979707</v>
      </c>
    </row>
    <row r="46">
      <c r="A46" s="3">
        <f>IFERROR(__xludf.DUMMYFUNCTION("""COMPUTED_VALUE"""),38288.645833333336)</f>
        <v>38288.64583</v>
      </c>
      <c r="B46" s="2">
        <f>IFERROR(__xludf.DUMMYFUNCTION("""COMPUTED_VALUE"""),143.13)</f>
        <v>143.13</v>
      </c>
      <c r="C46" s="2">
        <f>IFERROR(__xludf.DUMMYFUNCTION("""COMPUTED_VALUE"""),146.85)</f>
        <v>146.85</v>
      </c>
      <c r="D46" s="2">
        <f>IFERROR(__xludf.DUMMYFUNCTION("""COMPUTED_VALUE"""),143.13)</f>
        <v>143.13</v>
      </c>
      <c r="E46" s="2">
        <f>IFERROR(__xludf.DUMMYFUNCTION("""COMPUTED_VALUE"""),145.74)</f>
        <v>145.74</v>
      </c>
      <c r="F46" s="2">
        <f>IFERROR(__xludf.DUMMYFUNCTION("""COMPUTED_VALUE"""),2323927.0)</f>
        <v>2323927</v>
      </c>
    </row>
    <row r="47">
      <c r="A47" s="3">
        <f>IFERROR(__xludf.DUMMYFUNCTION("""COMPUTED_VALUE"""),38289.645833333336)</f>
        <v>38289.64583</v>
      </c>
      <c r="B47" s="2">
        <f>IFERROR(__xludf.DUMMYFUNCTION("""COMPUTED_VALUE"""),145.99)</f>
        <v>145.99</v>
      </c>
      <c r="C47" s="2">
        <f>IFERROR(__xludf.DUMMYFUNCTION("""COMPUTED_VALUE"""),145.99)</f>
        <v>145.99</v>
      </c>
      <c r="D47" s="2">
        <f>IFERROR(__xludf.DUMMYFUNCTION("""COMPUTED_VALUE"""),143.15)</f>
        <v>143.15</v>
      </c>
      <c r="E47" s="2">
        <f>IFERROR(__xludf.DUMMYFUNCTION("""COMPUTED_VALUE"""),144.53)</f>
        <v>144.53</v>
      </c>
      <c r="F47" s="2">
        <f>IFERROR(__xludf.DUMMYFUNCTION("""COMPUTED_VALUE"""),1082722.0)</f>
        <v>1082722</v>
      </c>
    </row>
    <row r="48">
      <c r="A48" s="3">
        <f>IFERROR(__xludf.DUMMYFUNCTION("""COMPUTED_VALUE"""),38292.645833333336)</f>
        <v>38292.64583</v>
      </c>
      <c r="B48" s="2">
        <f>IFERROR(__xludf.DUMMYFUNCTION("""COMPUTED_VALUE"""),143.75)</f>
        <v>143.75</v>
      </c>
      <c r="C48" s="2">
        <f>IFERROR(__xludf.DUMMYFUNCTION("""COMPUTED_VALUE"""),146.81)</f>
        <v>146.81</v>
      </c>
      <c r="D48" s="2">
        <f>IFERROR(__xludf.DUMMYFUNCTION("""COMPUTED_VALUE"""),142.79)</f>
        <v>142.79</v>
      </c>
      <c r="E48" s="2">
        <f>IFERROR(__xludf.DUMMYFUNCTION("""COMPUTED_VALUE"""),146.33)</f>
        <v>146.33</v>
      </c>
      <c r="F48" s="2">
        <f>IFERROR(__xludf.DUMMYFUNCTION("""COMPUTED_VALUE"""),767196.0)</f>
        <v>767196</v>
      </c>
    </row>
    <row r="49">
      <c r="A49" s="3">
        <f>IFERROR(__xludf.DUMMYFUNCTION("""COMPUTED_VALUE"""),38293.645833333336)</f>
        <v>38293.64583</v>
      </c>
      <c r="B49" s="2">
        <f>IFERROR(__xludf.DUMMYFUNCTION("""COMPUTED_VALUE"""),141.25)</f>
        <v>141.25</v>
      </c>
      <c r="C49" s="2">
        <f>IFERROR(__xludf.DUMMYFUNCTION("""COMPUTED_VALUE"""),147.47)</f>
        <v>147.47</v>
      </c>
      <c r="D49" s="2">
        <f>IFERROR(__xludf.DUMMYFUNCTION("""COMPUTED_VALUE"""),140.63)</f>
        <v>140.63</v>
      </c>
      <c r="E49" s="2">
        <f>IFERROR(__xludf.DUMMYFUNCTION("""COMPUTED_VALUE"""),144.96)</f>
        <v>144.96</v>
      </c>
      <c r="F49" s="2">
        <f>IFERROR(__xludf.DUMMYFUNCTION("""COMPUTED_VALUE"""),1108005.0)</f>
        <v>1108005</v>
      </c>
    </row>
    <row r="50">
      <c r="A50" s="3">
        <f>IFERROR(__xludf.DUMMYFUNCTION("""COMPUTED_VALUE"""),38294.645833333336)</f>
        <v>38294.64583</v>
      </c>
      <c r="B50" s="2">
        <f>IFERROR(__xludf.DUMMYFUNCTION("""COMPUTED_VALUE"""),145.13)</f>
        <v>145.13</v>
      </c>
      <c r="C50" s="2">
        <f>IFERROR(__xludf.DUMMYFUNCTION("""COMPUTED_VALUE"""),148.0)</f>
        <v>148</v>
      </c>
      <c r="D50" s="2">
        <f>IFERROR(__xludf.DUMMYFUNCTION("""COMPUTED_VALUE"""),145.13)</f>
        <v>145.13</v>
      </c>
      <c r="E50" s="2">
        <f>IFERROR(__xludf.DUMMYFUNCTION("""COMPUTED_VALUE"""),146.9)</f>
        <v>146.9</v>
      </c>
      <c r="F50" s="2">
        <f>IFERROR(__xludf.DUMMYFUNCTION("""COMPUTED_VALUE"""),1122267.0)</f>
        <v>1122267</v>
      </c>
    </row>
    <row r="51">
      <c r="A51" s="3">
        <f>IFERROR(__xludf.DUMMYFUNCTION("""COMPUTED_VALUE"""),38295.645833333336)</f>
        <v>38295.64583</v>
      </c>
      <c r="B51" s="2">
        <f>IFERROR(__xludf.DUMMYFUNCTION("""COMPUTED_VALUE"""),147.72)</f>
        <v>147.72</v>
      </c>
      <c r="C51" s="2">
        <f>IFERROR(__xludf.DUMMYFUNCTION("""COMPUTED_VALUE"""),148.49)</f>
        <v>148.49</v>
      </c>
      <c r="D51" s="2">
        <f>IFERROR(__xludf.DUMMYFUNCTION("""COMPUTED_VALUE"""),145.96)</f>
        <v>145.96</v>
      </c>
      <c r="E51" s="2">
        <f>IFERROR(__xludf.DUMMYFUNCTION("""COMPUTED_VALUE"""),146.3)</f>
        <v>146.3</v>
      </c>
      <c r="F51" s="2">
        <f>IFERROR(__xludf.DUMMYFUNCTION("""COMPUTED_VALUE"""),819476.0)</f>
        <v>819476</v>
      </c>
    </row>
    <row r="52">
      <c r="A52" s="3">
        <f>IFERROR(__xludf.DUMMYFUNCTION("""COMPUTED_VALUE"""),38296.645833333336)</f>
        <v>38296.64583</v>
      </c>
      <c r="B52" s="2">
        <f>IFERROR(__xludf.DUMMYFUNCTION("""COMPUTED_VALUE"""),146.74)</f>
        <v>146.74</v>
      </c>
      <c r="C52" s="2">
        <f>IFERROR(__xludf.DUMMYFUNCTION("""COMPUTED_VALUE"""),147.5)</f>
        <v>147.5</v>
      </c>
      <c r="D52" s="2">
        <f>IFERROR(__xludf.DUMMYFUNCTION("""COMPUTED_VALUE"""),145.0)</f>
        <v>145</v>
      </c>
      <c r="E52" s="2">
        <f>IFERROR(__xludf.DUMMYFUNCTION("""COMPUTED_VALUE"""),145.68)</f>
        <v>145.68</v>
      </c>
      <c r="F52" s="2">
        <f>IFERROR(__xludf.DUMMYFUNCTION("""COMPUTED_VALUE"""),627981.0)</f>
        <v>627981</v>
      </c>
    </row>
    <row r="53">
      <c r="A53" s="3">
        <f>IFERROR(__xludf.DUMMYFUNCTION("""COMPUTED_VALUE"""),38299.645833333336)</f>
        <v>38299.64583</v>
      </c>
      <c r="B53" s="2">
        <f>IFERROR(__xludf.DUMMYFUNCTION("""COMPUTED_VALUE"""),145.63)</f>
        <v>145.63</v>
      </c>
      <c r="C53" s="2">
        <f>IFERROR(__xludf.DUMMYFUNCTION("""COMPUTED_VALUE"""),148.61)</f>
        <v>148.61</v>
      </c>
      <c r="D53" s="2">
        <f>IFERROR(__xludf.DUMMYFUNCTION("""COMPUTED_VALUE"""),144.5)</f>
        <v>144.5</v>
      </c>
      <c r="E53" s="2">
        <f>IFERROR(__xludf.DUMMYFUNCTION("""COMPUTED_VALUE"""),148.02)</f>
        <v>148.02</v>
      </c>
      <c r="F53" s="2">
        <f>IFERROR(__xludf.DUMMYFUNCTION("""COMPUTED_VALUE"""),1286466.0)</f>
        <v>1286466</v>
      </c>
    </row>
    <row r="54">
      <c r="A54" s="3">
        <f>IFERROR(__xludf.DUMMYFUNCTION("""COMPUTED_VALUE"""),38300.645833333336)</f>
        <v>38300.64583</v>
      </c>
      <c r="B54" s="2">
        <f>IFERROR(__xludf.DUMMYFUNCTION("""COMPUTED_VALUE"""),148.38)</f>
        <v>148.38</v>
      </c>
      <c r="C54" s="2">
        <f>IFERROR(__xludf.DUMMYFUNCTION("""COMPUTED_VALUE"""),149.74)</f>
        <v>149.74</v>
      </c>
      <c r="D54" s="2">
        <f>IFERROR(__xludf.DUMMYFUNCTION("""COMPUTED_VALUE"""),147.13)</f>
        <v>147.13</v>
      </c>
      <c r="E54" s="2">
        <f>IFERROR(__xludf.DUMMYFUNCTION("""COMPUTED_VALUE"""),148.55)</f>
        <v>148.55</v>
      </c>
      <c r="F54" s="2">
        <f>IFERROR(__xludf.DUMMYFUNCTION("""COMPUTED_VALUE"""),917339.0)</f>
        <v>917339</v>
      </c>
    </row>
    <row r="55">
      <c r="A55" s="3">
        <f>IFERROR(__xludf.DUMMYFUNCTION("""COMPUTED_VALUE"""),38301.645833333336)</f>
        <v>38301.64583</v>
      </c>
      <c r="B55" s="2">
        <f>IFERROR(__xludf.DUMMYFUNCTION("""COMPUTED_VALUE"""),148.88)</f>
        <v>148.88</v>
      </c>
      <c r="C55" s="2">
        <f>IFERROR(__xludf.DUMMYFUNCTION("""COMPUTED_VALUE"""),149.88)</f>
        <v>149.88</v>
      </c>
      <c r="D55" s="2">
        <f>IFERROR(__xludf.DUMMYFUNCTION("""COMPUTED_VALUE"""),148.76)</f>
        <v>148.76</v>
      </c>
      <c r="E55" s="2">
        <f>IFERROR(__xludf.DUMMYFUNCTION("""COMPUTED_VALUE"""),149.29)</f>
        <v>149.29</v>
      </c>
      <c r="F55" s="2">
        <f>IFERROR(__xludf.DUMMYFUNCTION("""COMPUTED_VALUE"""),716799.0)</f>
        <v>716799</v>
      </c>
    </row>
    <row r="56">
      <c r="A56" s="3">
        <f>IFERROR(__xludf.DUMMYFUNCTION("""COMPUTED_VALUE"""),38302.645833333336)</f>
        <v>38302.64583</v>
      </c>
      <c r="B56" s="2">
        <f>IFERROR(__xludf.DUMMYFUNCTION("""COMPUTED_VALUE"""),149.88)</f>
        <v>149.88</v>
      </c>
      <c r="C56" s="2">
        <f>IFERROR(__xludf.DUMMYFUNCTION("""COMPUTED_VALUE"""),150.43)</f>
        <v>150.43</v>
      </c>
      <c r="D56" s="2">
        <f>IFERROR(__xludf.DUMMYFUNCTION("""COMPUTED_VALUE"""),148.89)</f>
        <v>148.89</v>
      </c>
      <c r="E56" s="2">
        <f>IFERROR(__xludf.DUMMYFUNCTION("""COMPUTED_VALUE"""),149.53)</f>
        <v>149.53</v>
      </c>
      <c r="F56" s="2">
        <f>IFERROR(__xludf.DUMMYFUNCTION("""COMPUTED_VALUE"""),654391.0)</f>
        <v>654391</v>
      </c>
    </row>
    <row r="57">
      <c r="A57" s="3">
        <f>IFERROR(__xludf.DUMMYFUNCTION("""COMPUTED_VALUE"""),38303.645833333336)</f>
        <v>38303.64583</v>
      </c>
      <c r="B57" s="2">
        <f>IFERROR(__xludf.DUMMYFUNCTION("""COMPUTED_VALUE"""),150.5)</f>
        <v>150.5</v>
      </c>
      <c r="C57" s="2">
        <f>IFERROR(__xludf.DUMMYFUNCTION("""COMPUTED_VALUE"""),151.0)</f>
        <v>151</v>
      </c>
      <c r="D57" s="2">
        <f>IFERROR(__xludf.DUMMYFUNCTION("""COMPUTED_VALUE"""),148.78)</f>
        <v>148.78</v>
      </c>
      <c r="E57" s="2">
        <f>IFERROR(__xludf.DUMMYFUNCTION("""COMPUTED_VALUE"""),149.6)</f>
        <v>149.6</v>
      </c>
      <c r="F57" s="2">
        <f>IFERROR(__xludf.DUMMYFUNCTION("""COMPUTED_VALUE"""),226676.0)</f>
        <v>226676</v>
      </c>
    </row>
    <row r="58">
      <c r="A58" s="3">
        <f>IFERROR(__xludf.DUMMYFUNCTION("""COMPUTED_VALUE"""),38307.645833333336)</f>
        <v>38307.64583</v>
      </c>
      <c r="B58" s="2">
        <f>IFERROR(__xludf.DUMMYFUNCTION("""COMPUTED_VALUE"""),149.75)</f>
        <v>149.75</v>
      </c>
      <c r="C58" s="2">
        <f>IFERROR(__xludf.DUMMYFUNCTION("""COMPUTED_VALUE"""),149.75)</f>
        <v>149.75</v>
      </c>
      <c r="D58" s="2">
        <f>IFERROR(__xludf.DUMMYFUNCTION("""COMPUTED_VALUE"""),148.0)</f>
        <v>148</v>
      </c>
      <c r="E58" s="2">
        <f>IFERROR(__xludf.DUMMYFUNCTION("""COMPUTED_VALUE"""),148.86)</f>
        <v>148.86</v>
      </c>
      <c r="F58" s="2">
        <f>IFERROR(__xludf.DUMMYFUNCTION("""COMPUTED_VALUE"""),500688.0)</f>
        <v>500688</v>
      </c>
    </row>
    <row r="59">
      <c r="A59" s="3">
        <f>IFERROR(__xludf.DUMMYFUNCTION("""COMPUTED_VALUE"""),38308.645833333336)</f>
        <v>38308.64583</v>
      </c>
      <c r="B59" s="2">
        <f>IFERROR(__xludf.DUMMYFUNCTION("""COMPUTED_VALUE"""),148.94)</f>
        <v>148.94</v>
      </c>
      <c r="C59" s="2">
        <f>IFERROR(__xludf.DUMMYFUNCTION("""COMPUTED_VALUE"""),151.24)</f>
        <v>151.24</v>
      </c>
      <c r="D59" s="2">
        <f>IFERROR(__xludf.DUMMYFUNCTION("""COMPUTED_VALUE"""),148.94)</f>
        <v>148.94</v>
      </c>
      <c r="E59" s="2">
        <f>IFERROR(__xludf.DUMMYFUNCTION("""COMPUTED_VALUE"""),150.68)</f>
        <v>150.68</v>
      </c>
      <c r="F59" s="2">
        <f>IFERROR(__xludf.DUMMYFUNCTION("""COMPUTED_VALUE"""),683492.0)</f>
        <v>683492</v>
      </c>
    </row>
    <row r="60">
      <c r="A60" s="3">
        <f>IFERROR(__xludf.DUMMYFUNCTION("""COMPUTED_VALUE"""),38309.645833333336)</f>
        <v>38309.64583</v>
      </c>
      <c r="B60" s="2">
        <f>IFERROR(__xludf.DUMMYFUNCTION("""COMPUTED_VALUE"""),151.18)</f>
        <v>151.18</v>
      </c>
      <c r="C60" s="2">
        <f>IFERROR(__xludf.DUMMYFUNCTION("""COMPUTED_VALUE"""),154.32)</f>
        <v>154.32</v>
      </c>
      <c r="D60" s="2">
        <f>IFERROR(__xludf.DUMMYFUNCTION("""COMPUTED_VALUE"""),150.81)</f>
        <v>150.81</v>
      </c>
      <c r="E60" s="2">
        <f>IFERROR(__xludf.DUMMYFUNCTION("""COMPUTED_VALUE"""),153.88)</f>
        <v>153.88</v>
      </c>
      <c r="F60" s="2">
        <f>IFERROR(__xludf.DUMMYFUNCTION("""COMPUTED_VALUE"""),934016.0)</f>
        <v>934016</v>
      </c>
    </row>
    <row r="61">
      <c r="A61" s="3">
        <f>IFERROR(__xludf.DUMMYFUNCTION("""COMPUTED_VALUE"""),38310.645833333336)</f>
        <v>38310.64583</v>
      </c>
      <c r="B61" s="2">
        <f>IFERROR(__xludf.DUMMYFUNCTION("""COMPUTED_VALUE"""),154.13)</f>
        <v>154.13</v>
      </c>
      <c r="C61" s="2">
        <f>IFERROR(__xludf.DUMMYFUNCTION("""COMPUTED_VALUE"""),154.63)</f>
        <v>154.63</v>
      </c>
      <c r="D61" s="2">
        <f>IFERROR(__xludf.DUMMYFUNCTION("""COMPUTED_VALUE"""),151.39)</f>
        <v>151.39</v>
      </c>
      <c r="E61" s="2">
        <f>IFERROR(__xludf.DUMMYFUNCTION("""COMPUTED_VALUE"""),152.14)</f>
        <v>152.14</v>
      </c>
      <c r="F61" s="2">
        <f>IFERROR(__xludf.DUMMYFUNCTION("""COMPUTED_VALUE"""),851595.0)</f>
        <v>851595</v>
      </c>
    </row>
    <row r="62">
      <c r="A62" s="3">
        <f>IFERROR(__xludf.DUMMYFUNCTION("""COMPUTED_VALUE"""),38313.645833333336)</f>
        <v>38313.64583</v>
      </c>
      <c r="B62" s="2">
        <f>IFERROR(__xludf.DUMMYFUNCTION("""COMPUTED_VALUE"""),150.98)</f>
        <v>150.98</v>
      </c>
      <c r="C62" s="2">
        <f>IFERROR(__xludf.DUMMYFUNCTION("""COMPUTED_VALUE"""),153.25)</f>
        <v>153.25</v>
      </c>
      <c r="D62" s="2">
        <f>IFERROR(__xludf.DUMMYFUNCTION("""COMPUTED_VALUE"""),149.38)</f>
        <v>149.38</v>
      </c>
      <c r="E62" s="2">
        <f>IFERROR(__xludf.DUMMYFUNCTION("""COMPUTED_VALUE"""),152.81)</f>
        <v>152.81</v>
      </c>
      <c r="F62" s="2">
        <f>IFERROR(__xludf.DUMMYFUNCTION("""COMPUTED_VALUE"""),592284.0)</f>
        <v>592284</v>
      </c>
    </row>
    <row r="63">
      <c r="A63" s="3">
        <f>IFERROR(__xludf.DUMMYFUNCTION("""COMPUTED_VALUE"""),38314.645833333336)</f>
        <v>38314.64583</v>
      </c>
      <c r="B63" s="2">
        <f>IFERROR(__xludf.DUMMYFUNCTION("""COMPUTED_VALUE"""),153.82)</f>
        <v>153.82</v>
      </c>
      <c r="C63" s="2">
        <f>IFERROR(__xludf.DUMMYFUNCTION("""COMPUTED_VALUE"""),155.25)</f>
        <v>155.25</v>
      </c>
      <c r="D63" s="2">
        <f>IFERROR(__xludf.DUMMYFUNCTION("""COMPUTED_VALUE"""),153.02)</f>
        <v>153.02</v>
      </c>
      <c r="E63" s="2">
        <f>IFERROR(__xludf.DUMMYFUNCTION("""COMPUTED_VALUE"""),154.45)</f>
        <v>154.45</v>
      </c>
      <c r="F63" s="2">
        <f>IFERROR(__xludf.DUMMYFUNCTION("""COMPUTED_VALUE"""),539099.0)</f>
        <v>539099</v>
      </c>
    </row>
    <row r="64">
      <c r="A64" s="3">
        <f>IFERROR(__xludf.DUMMYFUNCTION("""COMPUTED_VALUE"""),38315.645833333336)</f>
        <v>38315.64583</v>
      </c>
      <c r="B64" s="2">
        <f>IFERROR(__xludf.DUMMYFUNCTION("""COMPUTED_VALUE"""),154.88)</f>
        <v>154.88</v>
      </c>
      <c r="C64" s="2">
        <f>IFERROR(__xludf.DUMMYFUNCTION("""COMPUTED_VALUE"""),155.63)</f>
        <v>155.63</v>
      </c>
      <c r="D64" s="2">
        <f>IFERROR(__xludf.DUMMYFUNCTION("""COMPUTED_VALUE"""),153.77)</f>
        <v>153.77</v>
      </c>
      <c r="E64" s="2">
        <f>IFERROR(__xludf.DUMMYFUNCTION("""COMPUTED_VALUE"""),154.24)</f>
        <v>154.24</v>
      </c>
      <c r="F64" s="2">
        <f>IFERROR(__xludf.DUMMYFUNCTION("""COMPUTED_VALUE"""),402913.0)</f>
        <v>402913</v>
      </c>
    </row>
    <row r="65">
      <c r="A65" s="3">
        <f>IFERROR(__xludf.DUMMYFUNCTION("""COMPUTED_VALUE"""),38316.645833333336)</f>
        <v>38316.64583</v>
      </c>
      <c r="B65" s="2">
        <f>IFERROR(__xludf.DUMMYFUNCTION("""COMPUTED_VALUE"""),154.25)</f>
        <v>154.25</v>
      </c>
      <c r="C65" s="2">
        <f>IFERROR(__xludf.DUMMYFUNCTION("""COMPUTED_VALUE"""),155.5)</f>
        <v>155.5</v>
      </c>
      <c r="D65" s="2">
        <f>IFERROR(__xludf.DUMMYFUNCTION("""COMPUTED_VALUE"""),151.08)</f>
        <v>151.08</v>
      </c>
      <c r="E65" s="2">
        <f>IFERROR(__xludf.DUMMYFUNCTION("""COMPUTED_VALUE"""),152.11)</f>
        <v>152.11</v>
      </c>
      <c r="F65" s="2">
        <f>IFERROR(__xludf.DUMMYFUNCTION("""COMPUTED_VALUE"""),788859.0)</f>
        <v>788859</v>
      </c>
    </row>
    <row r="66">
      <c r="A66" s="3">
        <f>IFERROR(__xludf.DUMMYFUNCTION("""COMPUTED_VALUE"""),38320.645833333336)</f>
        <v>38320.64583</v>
      </c>
      <c r="B66" s="2">
        <f>IFERROR(__xludf.DUMMYFUNCTION("""COMPUTED_VALUE"""),152.0)</f>
        <v>152</v>
      </c>
      <c r="C66" s="2">
        <f>IFERROR(__xludf.DUMMYFUNCTION("""COMPUTED_VALUE"""),155.96)</f>
        <v>155.96</v>
      </c>
      <c r="D66" s="2">
        <f>IFERROR(__xludf.DUMMYFUNCTION("""COMPUTED_VALUE"""),150.7)</f>
        <v>150.7</v>
      </c>
      <c r="E66" s="2">
        <f>IFERROR(__xludf.DUMMYFUNCTION("""COMPUTED_VALUE"""),155.49)</f>
        <v>155.49</v>
      </c>
      <c r="F66" s="2">
        <f>IFERROR(__xludf.DUMMYFUNCTION("""COMPUTED_VALUE"""),660186.0)</f>
        <v>660186</v>
      </c>
    </row>
    <row r="67">
      <c r="A67" s="3">
        <f>IFERROR(__xludf.DUMMYFUNCTION("""COMPUTED_VALUE"""),38321.645833333336)</f>
        <v>38321.64583</v>
      </c>
      <c r="B67" s="2">
        <f>IFERROR(__xludf.DUMMYFUNCTION("""COMPUTED_VALUE"""),156.02)</f>
        <v>156.02</v>
      </c>
      <c r="C67" s="2">
        <f>IFERROR(__xludf.DUMMYFUNCTION("""COMPUTED_VALUE"""),160.75)</f>
        <v>160.75</v>
      </c>
      <c r="D67" s="2">
        <f>IFERROR(__xludf.DUMMYFUNCTION("""COMPUTED_VALUE"""),155.63)</f>
        <v>155.63</v>
      </c>
      <c r="E67" s="2">
        <f>IFERROR(__xludf.DUMMYFUNCTION("""COMPUTED_VALUE"""),159.33)</f>
        <v>159.33</v>
      </c>
      <c r="F67" s="2">
        <f>IFERROR(__xludf.DUMMYFUNCTION("""COMPUTED_VALUE"""),1313518.0)</f>
        <v>1313518</v>
      </c>
    </row>
    <row r="68">
      <c r="A68" s="3">
        <f>IFERROR(__xludf.DUMMYFUNCTION("""COMPUTED_VALUE"""),38322.645833333336)</f>
        <v>38322.64583</v>
      </c>
      <c r="B68" s="2">
        <f>IFERROR(__xludf.DUMMYFUNCTION("""COMPUTED_VALUE"""),160.13)</f>
        <v>160.13</v>
      </c>
      <c r="C68" s="2">
        <f>IFERROR(__xludf.DUMMYFUNCTION("""COMPUTED_VALUE"""),160.13)</f>
        <v>160.13</v>
      </c>
      <c r="D68" s="2">
        <f>IFERROR(__xludf.DUMMYFUNCTION("""COMPUTED_VALUE"""),157.13)</f>
        <v>157.13</v>
      </c>
      <c r="E68" s="2">
        <f>IFERROR(__xludf.DUMMYFUNCTION("""COMPUTED_VALUE"""),157.7)</f>
        <v>157.7</v>
      </c>
      <c r="F68" s="2">
        <f>IFERROR(__xludf.DUMMYFUNCTION("""COMPUTED_VALUE"""),1060233.0)</f>
        <v>1060233</v>
      </c>
    </row>
    <row r="69">
      <c r="A69" s="3">
        <f>IFERROR(__xludf.DUMMYFUNCTION("""COMPUTED_VALUE"""),38323.645833333336)</f>
        <v>38323.64583</v>
      </c>
      <c r="B69" s="2">
        <f>IFERROR(__xludf.DUMMYFUNCTION("""COMPUTED_VALUE"""),158.13)</f>
        <v>158.13</v>
      </c>
      <c r="C69" s="2">
        <f>IFERROR(__xludf.DUMMYFUNCTION("""COMPUTED_VALUE"""),159.63)</f>
        <v>159.63</v>
      </c>
      <c r="D69" s="2">
        <f>IFERROR(__xludf.DUMMYFUNCTION("""COMPUTED_VALUE"""),154.89)</f>
        <v>154.89</v>
      </c>
      <c r="E69" s="2">
        <f>IFERROR(__xludf.DUMMYFUNCTION("""COMPUTED_VALUE"""),155.32)</f>
        <v>155.32</v>
      </c>
      <c r="F69" s="2">
        <f>IFERROR(__xludf.DUMMYFUNCTION("""COMPUTED_VALUE"""),1207213.0)</f>
        <v>1207213</v>
      </c>
    </row>
    <row r="70">
      <c r="A70" s="3">
        <f>IFERROR(__xludf.DUMMYFUNCTION("""COMPUTED_VALUE"""),38324.645833333336)</f>
        <v>38324.64583</v>
      </c>
      <c r="B70" s="2">
        <f>IFERROR(__xludf.DUMMYFUNCTION("""COMPUTED_VALUE"""),156.16)</f>
        <v>156.16</v>
      </c>
      <c r="C70" s="2">
        <f>IFERROR(__xludf.DUMMYFUNCTION("""COMPUTED_VALUE"""),156.99)</f>
        <v>156.99</v>
      </c>
      <c r="D70" s="2">
        <f>IFERROR(__xludf.DUMMYFUNCTION("""COMPUTED_VALUE"""),152.7)</f>
        <v>152.7</v>
      </c>
      <c r="E70" s="2">
        <f>IFERROR(__xludf.DUMMYFUNCTION("""COMPUTED_VALUE"""),154.6)</f>
        <v>154.6</v>
      </c>
      <c r="F70" s="2">
        <f>IFERROR(__xludf.DUMMYFUNCTION("""COMPUTED_VALUE"""),1222152.0)</f>
        <v>1222152</v>
      </c>
    </row>
    <row r="71">
      <c r="A71" s="3">
        <f>IFERROR(__xludf.DUMMYFUNCTION("""COMPUTED_VALUE"""),38327.645833333336)</f>
        <v>38327.64583</v>
      </c>
      <c r="B71" s="2">
        <f>IFERROR(__xludf.DUMMYFUNCTION("""COMPUTED_VALUE"""),155.0)</f>
        <v>155</v>
      </c>
      <c r="C71" s="2">
        <f>IFERROR(__xludf.DUMMYFUNCTION("""COMPUTED_VALUE"""),156.25)</f>
        <v>156.25</v>
      </c>
      <c r="D71" s="2">
        <f>IFERROR(__xludf.DUMMYFUNCTION("""COMPUTED_VALUE"""),151.06)</f>
        <v>151.06</v>
      </c>
      <c r="E71" s="2">
        <f>IFERROR(__xludf.DUMMYFUNCTION("""COMPUTED_VALUE"""),151.82)</f>
        <v>151.82</v>
      </c>
      <c r="F71" s="2">
        <f>IFERROR(__xludf.DUMMYFUNCTION("""COMPUTED_VALUE"""),1434234.0)</f>
        <v>1434234</v>
      </c>
    </row>
    <row r="72">
      <c r="A72" s="3">
        <f>IFERROR(__xludf.DUMMYFUNCTION("""COMPUTED_VALUE"""),38328.645833333336)</f>
        <v>38328.64583</v>
      </c>
      <c r="B72" s="2">
        <f>IFERROR(__xludf.DUMMYFUNCTION("""COMPUTED_VALUE"""),152.0)</f>
        <v>152</v>
      </c>
      <c r="C72" s="2">
        <f>IFERROR(__xludf.DUMMYFUNCTION("""COMPUTED_VALUE"""),154.11)</f>
        <v>154.11</v>
      </c>
      <c r="D72" s="2">
        <f>IFERROR(__xludf.DUMMYFUNCTION("""COMPUTED_VALUE"""),151.88)</f>
        <v>151.88</v>
      </c>
      <c r="E72" s="2">
        <f>IFERROR(__xludf.DUMMYFUNCTION("""COMPUTED_VALUE"""),152.28)</f>
        <v>152.28</v>
      </c>
      <c r="F72" s="2">
        <f>IFERROR(__xludf.DUMMYFUNCTION("""COMPUTED_VALUE"""),982903.0)</f>
        <v>982903</v>
      </c>
    </row>
    <row r="73">
      <c r="A73" s="3">
        <f>IFERROR(__xludf.DUMMYFUNCTION("""COMPUTED_VALUE"""),38329.645833333336)</f>
        <v>38329.64583</v>
      </c>
      <c r="B73" s="2">
        <f>IFERROR(__xludf.DUMMYFUNCTION("""COMPUTED_VALUE"""),152.25)</f>
        <v>152.25</v>
      </c>
      <c r="C73" s="2">
        <f>IFERROR(__xludf.DUMMYFUNCTION("""COMPUTED_VALUE"""),153.32)</f>
        <v>153.32</v>
      </c>
      <c r="D73" s="2">
        <f>IFERROR(__xludf.DUMMYFUNCTION("""COMPUTED_VALUE"""),149.51)</f>
        <v>149.51</v>
      </c>
      <c r="E73" s="2">
        <f>IFERROR(__xludf.DUMMYFUNCTION("""COMPUTED_VALUE"""),150.1)</f>
        <v>150.1</v>
      </c>
      <c r="F73" s="2">
        <f>IFERROR(__xludf.DUMMYFUNCTION("""COMPUTED_VALUE"""),916176.0)</f>
        <v>916176</v>
      </c>
    </row>
    <row r="74">
      <c r="A74" s="3">
        <f>IFERROR(__xludf.DUMMYFUNCTION("""COMPUTED_VALUE"""),38330.645833333336)</f>
        <v>38330.64583</v>
      </c>
      <c r="B74" s="2">
        <f>IFERROR(__xludf.DUMMYFUNCTION("""COMPUTED_VALUE"""),150.62)</f>
        <v>150.62</v>
      </c>
      <c r="C74" s="2">
        <f>IFERROR(__xludf.DUMMYFUNCTION("""COMPUTED_VALUE"""),152.13)</f>
        <v>152.13</v>
      </c>
      <c r="D74" s="2">
        <f>IFERROR(__xludf.DUMMYFUNCTION("""COMPUTED_VALUE"""),150.61)</f>
        <v>150.61</v>
      </c>
      <c r="E74" s="2">
        <f>IFERROR(__xludf.DUMMYFUNCTION("""COMPUTED_VALUE"""),151.43)</f>
        <v>151.43</v>
      </c>
      <c r="F74" s="2">
        <f>IFERROR(__xludf.DUMMYFUNCTION("""COMPUTED_VALUE"""),475153.0)</f>
        <v>475153</v>
      </c>
    </row>
    <row r="75">
      <c r="A75" s="3">
        <f>IFERROR(__xludf.DUMMYFUNCTION("""COMPUTED_VALUE"""),38331.645833333336)</f>
        <v>38331.64583</v>
      </c>
      <c r="B75" s="2">
        <f>IFERROR(__xludf.DUMMYFUNCTION("""COMPUTED_VALUE"""),152.5)</f>
        <v>152.5</v>
      </c>
      <c r="C75" s="2">
        <f>IFERROR(__xludf.DUMMYFUNCTION("""COMPUTED_VALUE"""),154.44)</f>
        <v>154.44</v>
      </c>
      <c r="D75" s="2">
        <f>IFERROR(__xludf.DUMMYFUNCTION("""COMPUTED_VALUE"""),151.75)</f>
        <v>151.75</v>
      </c>
      <c r="E75" s="2">
        <f>IFERROR(__xludf.DUMMYFUNCTION("""COMPUTED_VALUE"""),153.21)</f>
        <v>153.21</v>
      </c>
      <c r="F75" s="2">
        <f>IFERROR(__xludf.DUMMYFUNCTION("""COMPUTED_VALUE"""),777101.0)</f>
        <v>777101</v>
      </c>
    </row>
    <row r="76">
      <c r="A76" s="3">
        <f>IFERROR(__xludf.DUMMYFUNCTION("""COMPUTED_VALUE"""),38334.645833333336)</f>
        <v>38334.64583</v>
      </c>
      <c r="B76" s="2">
        <f>IFERROR(__xludf.DUMMYFUNCTION("""COMPUTED_VALUE"""),153.25)</f>
        <v>153.25</v>
      </c>
      <c r="C76" s="2">
        <f>IFERROR(__xludf.DUMMYFUNCTION("""COMPUTED_VALUE"""),155.21)</f>
        <v>155.21</v>
      </c>
      <c r="D76" s="2">
        <f>IFERROR(__xludf.DUMMYFUNCTION("""COMPUTED_VALUE"""),153.16)</f>
        <v>153.16</v>
      </c>
      <c r="E76" s="2">
        <f>IFERROR(__xludf.DUMMYFUNCTION("""COMPUTED_VALUE"""),154.52)</f>
        <v>154.52</v>
      </c>
      <c r="F76" s="2">
        <f>IFERROR(__xludf.DUMMYFUNCTION("""COMPUTED_VALUE"""),624529.0)</f>
        <v>624529</v>
      </c>
    </row>
    <row r="77">
      <c r="A77" s="3">
        <f>IFERROR(__xludf.DUMMYFUNCTION("""COMPUTED_VALUE"""),38335.645833333336)</f>
        <v>38335.64583</v>
      </c>
      <c r="B77" s="2">
        <f>IFERROR(__xludf.DUMMYFUNCTION("""COMPUTED_VALUE"""),155.25)</f>
        <v>155.25</v>
      </c>
      <c r="C77" s="2">
        <f>IFERROR(__xludf.DUMMYFUNCTION("""COMPUTED_VALUE"""),155.59)</f>
        <v>155.59</v>
      </c>
      <c r="D77" s="2">
        <f>IFERROR(__xludf.DUMMYFUNCTION("""COMPUTED_VALUE"""),153.79)</f>
        <v>153.79</v>
      </c>
      <c r="E77" s="2">
        <f>IFERROR(__xludf.DUMMYFUNCTION("""COMPUTED_VALUE"""),154.15)</f>
        <v>154.15</v>
      </c>
      <c r="F77" s="2">
        <f>IFERROR(__xludf.DUMMYFUNCTION("""COMPUTED_VALUE"""),385438.0)</f>
        <v>385438</v>
      </c>
    </row>
    <row r="78">
      <c r="A78" s="3">
        <f>IFERROR(__xludf.DUMMYFUNCTION("""COMPUTED_VALUE"""),38336.645833333336)</f>
        <v>38336.64583</v>
      </c>
      <c r="B78" s="2">
        <f>IFERROR(__xludf.DUMMYFUNCTION("""COMPUTED_VALUE"""),155.5)</f>
        <v>155.5</v>
      </c>
      <c r="C78" s="2">
        <f>IFERROR(__xludf.DUMMYFUNCTION("""COMPUTED_VALUE"""),156.85)</f>
        <v>156.85</v>
      </c>
      <c r="D78" s="2">
        <f>IFERROR(__xludf.DUMMYFUNCTION("""COMPUTED_VALUE"""),154.75)</f>
        <v>154.75</v>
      </c>
      <c r="E78" s="2">
        <f>IFERROR(__xludf.DUMMYFUNCTION("""COMPUTED_VALUE"""),155.69)</f>
        <v>155.69</v>
      </c>
      <c r="F78" s="2">
        <f>IFERROR(__xludf.DUMMYFUNCTION("""COMPUTED_VALUE"""),721584.0)</f>
        <v>721584</v>
      </c>
    </row>
    <row r="79">
      <c r="A79" s="3">
        <f>IFERROR(__xludf.DUMMYFUNCTION("""COMPUTED_VALUE"""),38337.645833333336)</f>
        <v>38337.64583</v>
      </c>
      <c r="B79" s="2">
        <f>IFERROR(__xludf.DUMMYFUNCTION("""COMPUTED_VALUE"""),156.06)</f>
        <v>156.06</v>
      </c>
      <c r="C79" s="2">
        <f>IFERROR(__xludf.DUMMYFUNCTION("""COMPUTED_VALUE"""),158.13)</f>
        <v>158.13</v>
      </c>
      <c r="D79" s="2">
        <f>IFERROR(__xludf.DUMMYFUNCTION("""COMPUTED_VALUE"""),154.75)</f>
        <v>154.75</v>
      </c>
      <c r="E79" s="2">
        <f>IFERROR(__xludf.DUMMYFUNCTION("""COMPUTED_VALUE"""),157.83)</f>
        <v>157.83</v>
      </c>
      <c r="F79" s="2">
        <f>IFERROR(__xludf.DUMMYFUNCTION("""COMPUTED_VALUE"""),543808.0)</f>
        <v>543808</v>
      </c>
    </row>
    <row r="80">
      <c r="A80" s="3">
        <f>IFERROR(__xludf.DUMMYFUNCTION("""COMPUTED_VALUE"""),38338.645833333336)</f>
        <v>38338.64583</v>
      </c>
      <c r="B80" s="2">
        <f>IFERROR(__xludf.DUMMYFUNCTION("""COMPUTED_VALUE"""),157.5)</f>
        <v>157.5</v>
      </c>
      <c r="C80" s="2">
        <f>IFERROR(__xludf.DUMMYFUNCTION("""COMPUTED_VALUE"""),159.35)</f>
        <v>159.35</v>
      </c>
      <c r="D80" s="2">
        <f>IFERROR(__xludf.DUMMYFUNCTION("""COMPUTED_VALUE"""),156.51)</f>
        <v>156.51</v>
      </c>
      <c r="E80" s="2">
        <f>IFERROR(__xludf.DUMMYFUNCTION("""COMPUTED_VALUE"""),157.06)</f>
        <v>157.06</v>
      </c>
      <c r="F80" s="2">
        <f>IFERROR(__xludf.DUMMYFUNCTION("""COMPUTED_VALUE"""),688719.0)</f>
        <v>688719</v>
      </c>
    </row>
    <row r="81">
      <c r="A81" s="3">
        <f>IFERROR(__xludf.DUMMYFUNCTION("""COMPUTED_VALUE"""),38341.645833333336)</f>
        <v>38341.64583</v>
      </c>
      <c r="B81" s="2">
        <f>IFERROR(__xludf.DUMMYFUNCTION("""COMPUTED_VALUE"""),157.5)</f>
        <v>157.5</v>
      </c>
      <c r="C81" s="2">
        <f>IFERROR(__xludf.DUMMYFUNCTION("""COMPUTED_VALUE"""),158.56)</f>
        <v>158.56</v>
      </c>
      <c r="D81" s="2">
        <f>IFERROR(__xludf.DUMMYFUNCTION("""COMPUTED_VALUE"""),157.06)</f>
        <v>157.06</v>
      </c>
      <c r="E81" s="2">
        <f>IFERROR(__xludf.DUMMYFUNCTION("""COMPUTED_VALUE"""),157.82)</f>
        <v>157.82</v>
      </c>
      <c r="F81" s="2">
        <f>IFERROR(__xludf.DUMMYFUNCTION("""COMPUTED_VALUE"""),283553.0)</f>
        <v>283553</v>
      </c>
    </row>
    <row r="82">
      <c r="A82" s="3">
        <f>IFERROR(__xludf.DUMMYFUNCTION("""COMPUTED_VALUE"""),38342.645833333336)</f>
        <v>38342.64583</v>
      </c>
      <c r="B82" s="2">
        <f>IFERROR(__xludf.DUMMYFUNCTION("""COMPUTED_VALUE"""),158.12)</f>
        <v>158.12</v>
      </c>
      <c r="C82" s="2">
        <f>IFERROR(__xludf.DUMMYFUNCTION("""COMPUTED_VALUE"""),159.63)</f>
        <v>159.63</v>
      </c>
      <c r="D82" s="2">
        <f>IFERROR(__xludf.DUMMYFUNCTION("""COMPUTED_VALUE"""),157.9)</f>
        <v>157.9</v>
      </c>
      <c r="E82" s="2">
        <f>IFERROR(__xludf.DUMMYFUNCTION("""COMPUTED_VALUE"""),159.09)</f>
        <v>159.09</v>
      </c>
      <c r="F82" s="2">
        <f>IFERROR(__xludf.DUMMYFUNCTION("""COMPUTED_VALUE"""),432314.0)</f>
        <v>432314</v>
      </c>
    </row>
    <row r="83">
      <c r="A83" s="3">
        <f>IFERROR(__xludf.DUMMYFUNCTION("""COMPUTED_VALUE"""),38343.645833333336)</f>
        <v>38343.64583</v>
      </c>
      <c r="B83" s="2">
        <f>IFERROR(__xludf.DUMMYFUNCTION("""COMPUTED_VALUE"""),159.39)</f>
        <v>159.39</v>
      </c>
      <c r="C83" s="2">
        <f>IFERROR(__xludf.DUMMYFUNCTION("""COMPUTED_VALUE"""),159.39)</f>
        <v>159.39</v>
      </c>
      <c r="D83" s="2">
        <f>IFERROR(__xludf.DUMMYFUNCTION("""COMPUTED_VALUE"""),153.75)</f>
        <v>153.75</v>
      </c>
      <c r="E83" s="2">
        <f>IFERROR(__xludf.DUMMYFUNCTION("""COMPUTED_VALUE"""),155.02)</f>
        <v>155.02</v>
      </c>
      <c r="F83" s="2">
        <f>IFERROR(__xludf.DUMMYFUNCTION("""COMPUTED_VALUE"""),750214.0)</f>
        <v>750214</v>
      </c>
    </row>
    <row r="84">
      <c r="A84" s="3">
        <f>IFERROR(__xludf.DUMMYFUNCTION("""COMPUTED_VALUE"""),38344.645833333336)</f>
        <v>38344.64583</v>
      </c>
      <c r="B84" s="2">
        <f>IFERROR(__xludf.DUMMYFUNCTION("""COMPUTED_VALUE"""),155.96)</f>
        <v>155.96</v>
      </c>
      <c r="C84" s="2">
        <f>IFERROR(__xludf.DUMMYFUNCTION("""COMPUTED_VALUE"""),155.96)</f>
        <v>155.96</v>
      </c>
      <c r="D84" s="2">
        <f>IFERROR(__xludf.DUMMYFUNCTION("""COMPUTED_VALUE"""),153.13)</f>
        <v>153.13</v>
      </c>
      <c r="E84" s="2">
        <f>IFERROR(__xludf.DUMMYFUNCTION("""COMPUTED_VALUE"""),153.48)</f>
        <v>153.48</v>
      </c>
      <c r="F84" s="2">
        <f>IFERROR(__xludf.DUMMYFUNCTION("""COMPUTED_VALUE"""),493614.0)</f>
        <v>493614</v>
      </c>
    </row>
    <row r="85">
      <c r="A85" s="3">
        <f>IFERROR(__xludf.DUMMYFUNCTION("""COMPUTED_VALUE"""),38345.645833333336)</f>
        <v>38345.64583</v>
      </c>
      <c r="B85" s="2">
        <f>IFERROR(__xludf.DUMMYFUNCTION("""COMPUTED_VALUE"""),154.12)</f>
        <v>154.12</v>
      </c>
      <c r="C85" s="2">
        <f>IFERROR(__xludf.DUMMYFUNCTION("""COMPUTED_VALUE"""),159.0)</f>
        <v>159</v>
      </c>
      <c r="D85" s="2">
        <f>IFERROR(__xludf.DUMMYFUNCTION("""COMPUTED_VALUE"""),152.7)</f>
        <v>152.7</v>
      </c>
      <c r="E85" s="2">
        <f>IFERROR(__xludf.DUMMYFUNCTION("""COMPUTED_VALUE"""),158.49)</f>
        <v>158.49</v>
      </c>
      <c r="F85" s="2">
        <f>IFERROR(__xludf.DUMMYFUNCTION("""COMPUTED_VALUE"""),832732.0)</f>
        <v>832732</v>
      </c>
    </row>
    <row r="86">
      <c r="A86" s="3">
        <f>IFERROR(__xludf.DUMMYFUNCTION("""COMPUTED_VALUE"""),38348.645833333336)</f>
        <v>38348.64583</v>
      </c>
      <c r="B86" s="2">
        <f>IFERROR(__xludf.DUMMYFUNCTION("""COMPUTED_VALUE"""),158.75)</f>
        <v>158.75</v>
      </c>
      <c r="C86" s="2">
        <f>IFERROR(__xludf.DUMMYFUNCTION("""COMPUTED_VALUE"""),160.63)</f>
        <v>160.63</v>
      </c>
      <c r="D86" s="2">
        <f>IFERROR(__xludf.DUMMYFUNCTION("""COMPUTED_VALUE"""),157.78)</f>
        <v>157.78</v>
      </c>
      <c r="E86" s="2">
        <f>IFERROR(__xludf.DUMMYFUNCTION("""COMPUTED_VALUE"""),158.82)</f>
        <v>158.82</v>
      </c>
      <c r="F86" s="2">
        <f>IFERROR(__xludf.DUMMYFUNCTION("""COMPUTED_VALUE"""),550063.0)</f>
        <v>550063</v>
      </c>
    </row>
    <row r="87">
      <c r="A87" s="3">
        <f>IFERROR(__xludf.DUMMYFUNCTION("""COMPUTED_VALUE"""),38349.645833333336)</f>
        <v>38349.64583</v>
      </c>
      <c r="B87" s="2">
        <f>IFERROR(__xludf.DUMMYFUNCTION("""COMPUTED_VALUE"""),159.0)</f>
        <v>159</v>
      </c>
      <c r="C87" s="2">
        <f>IFERROR(__xludf.DUMMYFUNCTION("""COMPUTED_VALUE"""),164.25)</f>
        <v>164.25</v>
      </c>
      <c r="D87" s="2">
        <f>IFERROR(__xludf.DUMMYFUNCTION("""COMPUTED_VALUE"""),158.28)</f>
        <v>158.28</v>
      </c>
      <c r="E87" s="2">
        <f>IFERROR(__xludf.DUMMYFUNCTION("""COMPUTED_VALUE"""),163.67)</f>
        <v>163.67</v>
      </c>
      <c r="F87" s="2">
        <f>IFERROR(__xludf.DUMMYFUNCTION("""COMPUTED_VALUE"""),1201806.0)</f>
        <v>1201806</v>
      </c>
    </row>
    <row r="88">
      <c r="A88" s="3">
        <f>IFERROR(__xludf.DUMMYFUNCTION("""COMPUTED_VALUE"""),38350.645833333336)</f>
        <v>38350.64583</v>
      </c>
      <c r="B88" s="2">
        <f>IFERROR(__xludf.DUMMYFUNCTION("""COMPUTED_VALUE"""),164.62)</f>
        <v>164.62</v>
      </c>
      <c r="C88" s="2">
        <f>IFERROR(__xludf.DUMMYFUNCTION("""COMPUTED_VALUE"""),167.11)</f>
        <v>167.11</v>
      </c>
      <c r="D88" s="2">
        <f>IFERROR(__xludf.DUMMYFUNCTION("""COMPUTED_VALUE"""),164.15)</f>
        <v>164.15</v>
      </c>
      <c r="E88" s="2">
        <f>IFERROR(__xludf.DUMMYFUNCTION("""COMPUTED_VALUE"""),165.03)</f>
        <v>165.03</v>
      </c>
      <c r="F88" s="2">
        <f>IFERROR(__xludf.DUMMYFUNCTION("""COMPUTED_VALUE"""),829153.0)</f>
        <v>829153</v>
      </c>
    </row>
    <row r="89">
      <c r="A89" s="3">
        <f>IFERROR(__xludf.DUMMYFUNCTION("""COMPUTED_VALUE"""),38351.645833333336)</f>
        <v>38351.64583</v>
      </c>
      <c r="B89" s="2">
        <f>IFERROR(__xludf.DUMMYFUNCTION("""COMPUTED_VALUE"""),164.75)</f>
        <v>164.75</v>
      </c>
      <c r="C89" s="2">
        <f>IFERROR(__xludf.DUMMYFUNCTION("""COMPUTED_VALUE"""),166.0)</f>
        <v>166</v>
      </c>
      <c r="D89" s="2">
        <f>IFERROR(__xludf.DUMMYFUNCTION("""COMPUTED_VALUE"""),161.48)</f>
        <v>161.48</v>
      </c>
      <c r="E89" s="2">
        <f>IFERROR(__xludf.DUMMYFUNCTION("""COMPUTED_VALUE"""),162.08)</f>
        <v>162.08</v>
      </c>
      <c r="F89" s="2">
        <f>IFERROR(__xludf.DUMMYFUNCTION("""COMPUTED_VALUE"""),703349.0)</f>
        <v>703349</v>
      </c>
    </row>
    <row r="90">
      <c r="A90" s="3">
        <f>IFERROR(__xludf.DUMMYFUNCTION("""COMPUTED_VALUE"""),38352.645833333336)</f>
        <v>38352.64583</v>
      </c>
      <c r="B90" s="2">
        <f>IFERROR(__xludf.DUMMYFUNCTION("""COMPUTED_VALUE"""),162.5)</f>
        <v>162.5</v>
      </c>
      <c r="C90" s="2">
        <f>IFERROR(__xludf.DUMMYFUNCTION("""COMPUTED_VALUE"""),167.35)</f>
        <v>167.35</v>
      </c>
      <c r="D90" s="2">
        <f>IFERROR(__xludf.DUMMYFUNCTION("""COMPUTED_VALUE"""),162.08)</f>
        <v>162.08</v>
      </c>
      <c r="E90" s="2">
        <f>IFERROR(__xludf.DUMMYFUNCTION("""COMPUTED_VALUE"""),166.93)</f>
        <v>166.93</v>
      </c>
      <c r="F90" s="2">
        <f>IFERROR(__xludf.DUMMYFUNCTION("""COMPUTED_VALUE"""),612414.0)</f>
        <v>612414</v>
      </c>
    </row>
    <row r="91">
      <c r="A91" s="3">
        <f>IFERROR(__xludf.DUMMYFUNCTION("""COMPUTED_VALUE"""),38355.645833333336)</f>
        <v>38355.64583</v>
      </c>
      <c r="B91" s="2">
        <f>IFERROR(__xludf.DUMMYFUNCTION("""COMPUTED_VALUE"""),166.93)</f>
        <v>166.93</v>
      </c>
      <c r="C91" s="2">
        <f>IFERROR(__xludf.DUMMYFUNCTION("""COMPUTED_VALUE"""),169.59)</f>
        <v>169.59</v>
      </c>
      <c r="D91" s="2">
        <f>IFERROR(__xludf.DUMMYFUNCTION("""COMPUTED_VALUE"""),166.93)</f>
        <v>166.93</v>
      </c>
      <c r="E91" s="2">
        <f>IFERROR(__xludf.DUMMYFUNCTION("""COMPUTED_VALUE"""),169.16)</f>
        <v>169.16</v>
      </c>
      <c r="F91" s="2">
        <f>IFERROR(__xludf.DUMMYFUNCTION("""COMPUTED_VALUE"""),591771.0)</f>
        <v>591771</v>
      </c>
    </row>
    <row r="92">
      <c r="A92" s="3">
        <f>IFERROR(__xludf.DUMMYFUNCTION("""COMPUTED_VALUE"""),38356.645833333336)</f>
        <v>38356.64583</v>
      </c>
      <c r="B92" s="2">
        <f>IFERROR(__xludf.DUMMYFUNCTION("""COMPUTED_VALUE"""),168.75)</f>
        <v>168.75</v>
      </c>
      <c r="C92" s="2">
        <f>IFERROR(__xludf.DUMMYFUNCTION("""COMPUTED_VALUE"""),169.25)</f>
        <v>169.25</v>
      </c>
      <c r="D92" s="2">
        <f>IFERROR(__xludf.DUMMYFUNCTION("""COMPUTED_VALUE"""),166.65)</f>
        <v>166.65</v>
      </c>
      <c r="E92" s="2">
        <f>IFERROR(__xludf.DUMMYFUNCTION("""COMPUTED_VALUE"""),167.66)</f>
        <v>167.66</v>
      </c>
      <c r="F92" s="2">
        <f>IFERROR(__xludf.DUMMYFUNCTION("""COMPUTED_VALUE"""),622388.0)</f>
        <v>622388</v>
      </c>
    </row>
    <row r="93">
      <c r="A93" s="3">
        <f>IFERROR(__xludf.DUMMYFUNCTION("""COMPUTED_VALUE"""),38357.645833333336)</f>
        <v>38357.64583</v>
      </c>
      <c r="B93" s="2">
        <f>IFERROR(__xludf.DUMMYFUNCTION("""COMPUTED_VALUE"""),167.53)</f>
        <v>167.53</v>
      </c>
      <c r="C93" s="2">
        <f>IFERROR(__xludf.DUMMYFUNCTION("""COMPUTED_VALUE"""),167.53)</f>
        <v>167.53</v>
      </c>
      <c r="D93" s="2">
        <f>IFERROR(__xludf.DUMMYFUNCTION("""COMPUTED_VALUE"""),160.04)</f>
        <v>160.04</v>
      </c>
      <c r="E93" s="2">
        <f>IFERROR(__xludf.DUMMYFUNCTION("""COMPUTED_VALUE"""),165.63)</f>
        <v>165.63</v>
      </c>
      <c r="F93" s="2">
        <f>IFERROR(__xludf.DUMMYFUNCTION("""COMPUTED_VALUE"""),1200540.0)</f>
        <v>1200540</v>
      </c>
    </row>
    <row r="94">
      <c r="A94" s="3">
        <f>IFERROR(__xludf.DUMMYFUNCTION("""COMPUTED_VALUE"""),38358.645833333336)</f>
        <v>38358.64583</v>
      </c>
      <c r="B94" s="2">
        <f>IFERROR(__xludf.DUMMYFUNCTION("""COMPUTED_VALUE"""),165.0)</f>
        <v>165</v>
      </c>
      <c r="C94" s="2">
        <f>IFERROR(__xludf.DUMMYFUNCTION("""COMPUTED_VALUE"""),168.25)</f>
        <v>168.25</v>
      </c>
      <c r="D94" s="2">
        <f>IFERROR(__xludf.DUMMYFUNCTION("""COMPUTED_VALUE"""),161.56)</f>
        <v>161.56</v>
      </c>
      <c r="E94" s="2">
        <f>IFERROR(__xludf.DUMMYFUNCTION("""COMPUTED_VALUE"""),165.06)</f>
        <v>165.06</v>
      </c>
      <c r="F94" s="2">
        <f>IFERROR(__xludf.DUMMYFUNCTION("""COMPUTED_VALUE"""),1000861.0)</f>
        <v>1000861</v>
      </c>
    </row>
    <row r="95">
      <c r="A95" s="3">
        <f>IFERROR(__xludf.DUMMYFUNCTION("""COMPUTED_VALUE"""),38359.645833333336)</f>
        <v>38359.64583</v>
      </c>
      <c r="B95" s="2">
        <f>IFERROR(__xludf.DUMMYFUNCTION("""COMPUTED_VALUE"""),166.25)</f>
        <v>166.25</v>
      </c>
      <c r="C95" s="2">
        <f>IFERROR(__xludf.DUMMYFUNCTION("""COMPUTED_VALUE"""),168.13)</f>
        <v>168.13</v>
      </c>
      <c r="D95" s="2">
        <f>IFERROR(__xludf.DUMMYFUNCTION("""COMPUTED_VALUE"""),164.08)</f>
        <v>164.08</v>
      </c>
      <c r="E95" s="2">
        <f>IFERROR(__xludf.DUMMYFUNCTION("""COMPUTED_VALUE"""),167.49)</f>
        <v>167.49</v>
      </c>
      <c r="F95" s="2">
        <f>IFERROR(__xludf.DUMMYFUNCTION("""COMPUTED_VALUE"""),952892.0)</f>
        <v>952892</v>
      </c>
    </row>
    <row r="96">
      <c r="A96" s="3">
        <f>IFERROR(__xludf.DUMMYFUNCTION("""COMPUTED_VALUE"""),38362.645833333336)</f>
        <v>38362.64583</v>
      </c>
      <c r="B96" s="2">
        <f>IFERROR(__xludf.DUMMYFUNCTION("""COMPUTED_VALUE"""),168.58)</f>
        <v>168.58</v>
      </c>
      <c r="C96" s="2">
        <f>IFERROR(__xludf.DUMMYFUNCTION("""COMPUTED_VALUE"""),169.93)</f>
        <v>169.93</v>
      </c>
      <c r="D96" s="2">
        <f>IFERROR(__xludf.DUMMYFUNCTION("""COMPUTED_VALUE"""),165.25)</f>
        <v>165.25</v>
      </c>
      <c r="E96" s="2">
        <f>IFERROR(__xludf.DUMMYFUNCTION("""COMPUTED_VALUE"""),165.93)</f>
        <v>165.93</v>
      </c>
      <c r="F96" s="2">
        <f>IFERROR(__xludf.DUMMYFUNCTION("""COMPUTED_VALUE"""),940196.0)</f>
        <v>940196</v>
      </c>
    </row>
    <row r="97">
      <c r="A97" s="3">
        <f>IFERROR(__xludf.DUMMYFUNCTION("""COMPUTED_VALUE"""),38363.645833333336)</f>
        <v>38363.64583</v>
      </c>
      <c r="B97" s="2">
        <f>IFERROR(__xludf.DUMMYFUNCTION("""COMPUTED_VALUE"""),166.25)</f>
        <v>166.25</v>
      </c>
      <c r="C97" s="2">
        <f>IFERROR(__xludf.DUMMYFUNCTION("""COMPUTED_VALUE"""),166.91)</f>
        <v>166.91</v>
      </c>
      <c r="D97" s="2">
        <f>IFERROR(__xludf.DUMMYFUNCTION("""COMPUTED_VALUE"""),162.63)</f>
        <v>162.63</v>
      </c>
      <c r="E97" s="2">
        <f>IFERROR(__xludf.DUMMYFUNCTION("""COMPUTED_VALUE"""),164.22)</f>
        <v>164.22</v>
      </c>
      <c r="F97" s="2">
        <f>IFERROR(__xludf.DUMMYFUNCTION("""COMPUTED_VALUE"""),998297.0)</f>
        <v>998297</v>
      </c>
    </row>
    <row r="98">
      <c r="A98" s="3">
        <f>IFERROR(__xludf.DUMMYFUNCTION("""COMPUTED_VALUE"""),38364.645833333336)</f>
        <v>38364.64583</v>
      </c>
      <c r="B98" s="2">
        <f>IFERROR(__xludf.DUMMYFUNCTION("""COMPUTED_VALUE"""),165.74)</f>
        <v>165.74</v>
      </c>
      <c r="C98" s="2">
        <f>IFERROR(__xludf.DUMMYFUNCTION("""COMPUTED_VALUE"""),170.99)</f>
        <v>170.99</v>
      </c>
      <c r="D98" s="2">
        <f>IFERROR(__xludf.DUMMYFUNCTION("""COMPUTED_VALUE"""),160.84)</f>
        <v>160.84</v>
      </c>
      <c r="E98" s="2">
        <f>IFERROR(__xludf.DUMMYFUNCTION("""COMPUTED_VALUE"""),162.26)</f>
        <v>162.26</v>
      </c>
      <c r="F98" s="2">
        <f>IFERROR(__xludf.DUMMYFUNCTION("""COMPUTED_VALUE"""),2590004.0)</f>
        <v>2590004</v>
      </c>
    </row>
    <row r="99">
      <c r="A99" s="3">
        <f>IFERROR(__xludf.DUMMYFUNCTION("""COMPUTED_VALUE"""),38365.645833333336)</f>
        <v>38365.64583</v>
      </c>
      <c r="B99" s="2">
        <f>IFERROR(__xludf.DUMMYFUNCTION("""COMPUTED_VALUE"""),163.75)</f>
        <v>163.75</v>
      </c>
      <c r="C99" s="2">
        <f>IFERROR(__xludf.DUMMYFUNCTION("""COMPUTED_VALUE"""),167.34)</f>
        <v>167.34</v>
      </c>
      <c r="D99" s="2">
        <f>IFERROR(__xludf.DUMMYFUNCTION("""COMPUTED_VALUE"""),159.38)</f>
        <v>159.38</v>
      </c>
      <c r="E99" s="2">
        <f>IFERROR(__xludf.DUMMYFUNCTION("""COMPUTED_VALUE"""),161.61)</f>
        <v>161.61</v>
      </c>
      <c r="F99" s="2">
        <f>IFERROR(__xludf.DUMMYFUNCTION("""COMPUTED_VALUE"""),3469744.0)</f>
        <v>3469744</v>
      </c>
    </row>
    <row r="100">
      <c r="A100" s="3">
        <f>IFERROR(__xludf.DUMMYFUNCTION("""COMPUTED_VALUE"""),38366.645833333336)</f>
        <v>38366.64583</v>
      </c>
      <c r="B100" s="2">
        <f>IFERROR(__xludf.DUMMYFUNCTION("""COMPUTED_VALUE"""),163.09)</f>
        <v>163.09</v>
      </c>
      <c r="C100" s="2">
        <f>IFERROR(__xludf.DUMMYFUNCTION("""COMPUTED_VALUE"""),164.74)</f>
        <v>164.74</v>
      </c>
      <c r="D100" s="2">
        <f>IFERROR(__xludf.DUMMYFUNCTION("""COMPUTED_VALUE"""),159.63)</f>
        <v>159.63</v>
      </c>
      <c r="E100" s="2">
        <f>IFERROR(__xludf.DUMMYFUNCTION("""COMPUTED_VALUE"""),162.05)</f>
        <v>162.05</v>
      </c>
      <c r="F100" s="2">
        <f>IFERROR(__xludf.DUMMYFUNCTION("""COMPUTED_VALUE"""),1969722.0)</f>
        <v>1969722</v>
      </c>
    </row>
    <row r="101">
      <c r="A101" s="3">
        <f>IFERROR(__xludf.DUMMYFUNCTION("""COMPUTED_VALUE"""),38369.645833333336)</f>
        <v>38369.64583</v>
      </c>
      <c r="B101" s="2">
        <f>IFERROR(__xludf.DUMMYFUNCTION("""COMPUTED_VALUE"""),163.7)</f>
        <v>163.7</v>
      </c>
      <c r="C101" s="2">
        <f>IFERROR(__xludf.DUMMYFUNCTION("""COMPUTED_VALUE"""),163.7)</f>
        <v>163.7</v>
      </c>
      <c r="D101" s="2">
        <f>IFERROR(__xludf.DUMMYFUNCTION("""COMPUTED_VALUE"""),155.03)</f>
        <v>155.03</v>
      </c>
      <c r="E101" s="2">
        <f>IFERROR(__xludf.DUMMYFUNCTION("""COMPUTED_VALUE"""),157.91)</f>
        <v>157.91</v>
      </c>
      <c r="F101" s="2">
        <f>IFERROR(__xludf.DUMMYFUNCTION("""COMPUTED_VALUE"""),1706398.0)</f>
        <v>1706398</v>
      </c>
    </row>
    <row r="102">
      <c r="A102" s="3">
        <f>IFERROR(__xludf.DUMMYFUNCTION("""COMPUTED_VALUE"""),38370.645833333336)</f>
        <v>38370.64583</v>
      </c>
      <c r="B102" s="2">
        <f>IFERROR(__xludf.DUMMYFUNCTION("""COMPUTED_VALUE"""),159.34)</f>
        <v>159.34</v>
      </c>
      <c r="C102" s="2">
        <f>IFERROR(__xludf.DUMMYFUNCTION("""COMPUTED_VALUE"""),160.5)</f>
        <v>160.5</v>
      </c>
      <c r="D102" s="2">
        <f>IFERROR(__xludf.DUMMYFUNCTION("""COMPUTED_VALUE"""),157.19)</f>
        <v>157.19</v>
      </c>
      <c r="E102" s="2">
        <f>IFERROR(__xludf.DUMMYFUNCTION("""COMPUTED_VALUE"""),157.98)</f>
        <v>157.98</v>
      </c>
      <c r="F102" s="2">
        <f>IFERROR(__xludf.DUMMYFUNCTION("""COMPUTED_VALUE"""),772908.0)</f>
        <v>772908</v>
      </c>
    </row>
    <row r="103">
      <c r="A103" s="3">
        <f>IFERROR(__xludf.DUMMYFUNCTION("""COMPUTED_VALUE"""),38371.645833333336)</f>
        <v>38371.64583</v>
      </c>
      <c r="B103" s="2">
        <f>IFERROR(__xludf.DUMMYFUNCTION("""COMPUTED_VALUE"""),158.25)</f>
        <v>158.25</v>
      </c>
      <c r="C103" s="2">
        <f>IFERROR(__xludf.DUMMYFUNCTION("""COMPUTED_VALUE"""),159.21)</f>
        <v>159.21</v>
      </c>
      <c r="D103" s="2">
        <f>IFERROR(__xludf.DUMMYFUNCTION("""COMPUTED_VALUE"""),156.39)</f>
        <v>156.39</v>
      </c>
      <c r="E103" s="2">
        <f>IFERROR(__xludf.DUMMYFUNCTION("""COMPUTED_VALUE"""),156.93)</f>
        <v>156.93</v>
      </c>
      <c r="F103" s="2">
        <f>IFERROR(__xludf.DUMMYFUNCTION("""COMPUTED_VALUE"""),442311.0)</f>
        <v>442311</v>
      </c>
    </row>
    <row r="104">
      <c r="A104" s="3">
        <f>IFERROR(__xludf.DUMMYFUNCTION("""COMPUTED_VALUE"""),38372.645833333336)</f>
        <v>38372.64583</v>
      </c>
      <c r="B104" s="2">
        <f>IFERROR(__xludf.DUMMYFUNCTION("""COMPUTED_VALUE"""),156.88)</f>
        <v>156.88</v>
      </c>
      <c r="C104" s="2">
        <f>IFERROR(__xludf.DUMMYFUNCTION("""COMPUTED_VALUE"""),156.88)</f>
        <v>156.88</v>
      </c>
      <c r="D104" s="2">
        <f>IFERROR(__xludf.DUMMYFUNCTION("""COMPUTED_VALUE"""),153.75)</f>
        <v>153.75</v>
      </c>
      <c r="E104" s="2">
        <f>IFERROR(__xludf.DUMMYFUNCTION("""COMPUTED_VALUE"""),155.46)</f>
        <v>155.46</v>
      </c>
      <c r="F104" s="2">
        <f>IFERROR(__xludf.DUMMYFUNCTION("""COMPUTED_VALUE"""),567025.0)</f>
        <v>567025</v>
      </c>
    </row>
    <row r="105">
      <c r="A105" s="3">
        <f>IFERROR(__xludf.DUMMYFUNCTION("""COMPUTED_VALUE"""),38376.645833333336)</f>
        <v>38376.64583</v>
      </c>
      <c r="B105" s="2">
        <f>IFERROR(__xludf.DUMMYFUNCTION("""COMPUTED_VALUE"""),155.46)</f>
        <v>155.46</v>
      </c>
      <c r="C105" s="2">
        <f>IFERROR(__xludf.DUMMYFUNCTION("""COMPUTED_VALUE"""),155.92)</f>
        <v>155.92</v>
      </c>
      <c r="D105" s="2">
        <f>IFERROR(__xludf.DUMMYFUNCTION("""COMPUTED_VALUE"""),151.92)</f>
        <v>151.92</v>
      </c>
      <c r="E105" s="2">
        <f>IFERROR(__xludf.DUMMYFUNCTION("""COMPUTED_VALUE"""),152.58)</f>
        <v>152.58</v>
      </c>
      <c r="F105" s="2">
        <f>IFERROR(__xludf.DUMMYFUNCTION("""COMPUTED_VALUE"""),453524.0)</f>
        <v>453524</v>
      </c>
    </row>
    <row r="106">
      <c r="A106" s="3">
        <f>IFERROR(__xludf.DUMMYFUNCTION("""COMPUTED_VALUE"""),38377.645833333336)</f>
        <v>38377.64583</v>
      </c>
      <c r="B106" s="2">
        <f>IFERROR(__xludf.DUMMYFUNCTION("""COMPUTED_VALUE"""),151.85)</f>
        <v>151.85</v>
      </c>
      <c r="C106" s="2">
        <f>IFERROR(__xludf.DUMMYFUNCTION("""COMPUTED_VALUE"""),154.99)</f>
        <v>154.99</v>
      </c>
      <c r="D106" s="2">
        <f>IFERROR(__xludf.DUMMYFUNCTION("""COMPUTED_VALUE"""),150.89)</f>
        <v>150.89</v>
      </c>
      <c r="E106" s="2">
        <f>IFERROR(__xludf.DUMMYFUNCTION("""COMPUTED_VALUE"""),154.43)</f>
        <v>154.43</v>
      </c>
      <c r="F106" s="2">
        <f>IFERROR(__xludf.DUMMYFUNCTION("""COMPUTED_VALUE"""),558241.0)</f>
        <v>558241</v>
      </c>
    </row>
    <row r="107">
      <c r="A107" s="3">
        <f>IFERROR(__xludf.DUMMYFUNCTION("""COMPUTED_VALUE"""),38379.645833333336)</f>
        <v>38379.64583</v>
      </c>
      <c r="B107" s="2">
        <f>IFERROR(__xludf.DUMMYFUNCTION("""COMPUTED_VALUE"""),155.41)</f>
        <v>155.41</v>
      </c>
      <c r="C107" s="2">
        <f>IFERROR(__xludf.DUMMYFUNCTION("""COMPUTED_VALUE"""),156.73)</f>
        <v>156.73</v>
      </c>
      <c r="D107" s="2">
        <f>IFERROR(__xludf.DUMMYFUNCTION("""COMPUTED_VALUE"""),154.41)</f>
        <v>154.41</v>
      </c>
      <c r="E107" s="2">
        <f>IFERROR(__xludf.DUMMYFUNCTION("""COMPUTED_VALUE"""),155.07)</f>
        <v>155.07</v>
      </c>
      <c r="F107" s="2">
        <f>IFERROR(__xludf.DUMMYFUNCTION("""COMPUTED_VALUE"""),681918.0)</f>
        <v>681918</v>
      </c>
    </row>
    <row r="108">
      <c r="A108" s="3">
        <f>IFERROR(__xludf.DUMMYFUNCTION("""COMPUTED_VALUE"""),38380.645833333336)</f>
        <v>38380.64583</v>
      </c>
      <c r="B108" s="2">
        <f>IFERROR(__xludf.DUMMYFUNCTION("""COMPUTED_VALUE"""),155.36)</f>
        <v>155.36</v>
      </c>
      <c r="C108" s="2">
        <f>IFERROR(__xludf.DUMMYFUNCTION("""COMPUTED_VALUE"""),161.85)</f>
        <v>161.85</v>
      </c>
      <c r="D108" s="2">
        <f>IFERROR(__xludf.DUMMYFUNCTION("""COMPUTED_VALUE"""),155.31)</f>
        <v>155.31</v>
      </c>
      <c r="E108" s="2">
        <f>IFERROR(__xludf.DUMMYFUNCTION("""COMPUTED_VALUE"""),161.15)</f>
        <v>161.15</v>
      </c>
      <c r="F108" s="2">
        <f>IFERROR(__xludf.DUMMYFUNCTION("""COMPUTED_VALUE"""),1049227.0)</f>
        <v>1049227</v>
      </c>
    </row>
    <row r="109">
      <c r="A109" s="3">
        <f>IFERROR(__xludf.DUMMYFUNCTION("""COMPUTED_VALUE"""),38383.645833333336)</f>
        <v>38383.64583</v>
      </c>
      <c r="B109" s="2">
        <f>IFERROR(__xludf.DUMMYFUNCTION("""COMPUTED_VALUE"""),162.25)</f>
        <v>162.25</v>
      </c>
      <c r="C109" s="2">
        <f>IFERROR(__xludf.DUMMYFUNCTION("""COMPUTED_VALUE"""),163.98)</f>
        <v>163.98</v>
      </c>
      <c r="D109" s="2">
        <f>IFERROR(__xludf.DUMMYFUNCTION("""COMPUTED_VALUE"""),161.28)</f>
        <v>161.28</v>
      </c>
      <c r="E109" s="2">
        <f>IFERROR(__xludf.DUMMYFUNCTION("""COMPUTED_VALUE"""),162.55)</f>
        <v>162.55</v>
      </c>
      <c r="F109" s="2">
        <f>IFERROR(__xludf.DUMMYFUNCTION("""COMPUTED_VALUE"""),731673.0)</f>
        <v>731673</v>
      </c>
    </row>
    <row r="110">
      <c r="A110" s="3">
        <f>IFERROR(__xludf.DUMMYFUNCTION("""COMPUTED_VALUE"""),38384.645833333336)</f>
        <v>38384.64583</v>
      </c>
      <c r="B110" s="2">
        <f>IFERROR(__xludf.DUMMYFUNCTION("""COMPUTED_VALUE"""),163.38)</f>
        <v>163.38</v>
      </c>
      <c r="C110" s="2">
        <f>IFERROR(__xludf.DUMMYFUNCTION("""COMPUTED_VALUE"""),165.0)</f>
        <v>165</v>
      </c>
      <c r="D110" s="2">
        <f>IFERROR(__xludf.DUMMYFUNCTION("""COMPUTED_VALUE"""),160.88)</f>
        <v>160.88</v>
      </c>
      <c r="E110" s="2">
        <f>IFERROR(__xludf.DUMMYFUNCTION("""COMPUTED_VALUE"""),164.41)</f>
        <v>164.41</v>
      </c>
      <c r="F110" s="2">
        <f>IFERROR(__xludf.DUMMYFUNCTION("""COMPUTED_VALUE"""),1002480.0)</f>
        <v>1002480</v>
      </c>
    </row>
    <row r="111">
      <c r="A111" s="3">
        <f>IFERROR(__xludf.DUMMYFUNCTION("""COMPUTED_VALUE"""),38385.645833333336)</f>
        <v>38385.64583</v>
      </c>
      <c r="B111" s="2">
        <f>IFERROR(__xludf.DUMMYFUNCTION("""COMPUTED_VALUE"""),164.88)</f>
        <v>164.88</v>
      </c>
      <c r="C111" s="2">
        <f>IFERROR(__xludf.DUMMYFUNCTION("""COMPUTED_VALUE"""),165.43)</f>
        <v>165.43</v>
      </c>
      <c r="D111" s="2">
        <f>IFERROR(__xludf.DUMMYFUNCTION("""COMPUTED_VALUE"""),162.88)</f>
        <v>162.88</v>
      </c>
      <c r="E111" s="2">
        <f>IFERROR(__xludf.DUMMYFUNCTION("""COMPUTED_VALUE"""),163.62)</f>
        <v>163.62</v>
      </c>
      <c r="F111" s="2">
        <f>IFERROR(__xludf.DUMMYFUNCTION("""COMPUTED_VALUE"""),608807.0)</f>
        <v>608807</v>
      </c>
    </row>
    <row r="112">
      <c r="A112" s="3">
        <f>IFERROR(__xludf.DUMMYFUNCTION("""COMPUTED_VALUE"""),38386.645833333336)</f>
        <v>38386.64583</v>
      </c>
      <c r="B112" s="2">
        <f>IFERROR(__xludf.DUMMYFUNCTION("""COMPUTED_VALUE"""),164.0)</f>
        <v>164</v>
      </c>
      <c r="C112" s="2">
        <f>IFERROR(__xludf.DUMMYFUNCTION("""COMPUTED_VALUE"""),164.35)</f>
        <v>164.35</v>
      </c>
      <c r="D112" s="2">
        <f>IFERROR(__xludf.DUMMYFUNCTION("""COMPUTED_VALUE"""),162.75)</f>
        <v>162.75</v>
      </c>
      <c r="E112" s="2">
        <f>IFERROR(__xludf.DUMMYFUNCTION("""COMPUTED_VALUE"""),163.89)</f>
        <v>163.89</v>
      </c>
      <c r="F112" s="2">
        <f>IFERROR(__xludf.DUMMYFUNCTION("""COMPUTED_VALUE"""),415952.0)</f>
        <v>415952</v>
      </c>
    </row>
    <row r="113">
      <c r="A113" s="3">
        <f>IFERROR(__xludf.DUMMYFUNCTION("""COMPUTED_VALUE"""),38387.645833333336)</f>
        <v>38387.64583</v>
      </c>
      <c r="B113" s="2">
        <f>IFERROR(__xludf.DUMMYFUNCTION("""COMPUTED_VALUE"""),163.75)</f>
        <v>163.75</v>
      </c>
      <c r="C113" s="2">
        <f>IFERROR(__xludf.DUMMYFUNCTION("""COMPUTED_VALUE"""),165.25)</f>
        <v>165.25</v>
      </c>
      <c r="D113" s="2">
        <f>IFERROR(__xludf.DUMMYFUNCTION("""COMPUTED_VALUE"""),162.57)</f>
        <v>162.57</v>
      </c>
      <c r="E113" s="2">
        <f>IFERROR(__xludf.DUMMYFUNCTION("""COMPUTED_VALUE"""),163.31)</f>
        <v>163.31</v>
      </c>
      <c r="F113" s="2">
        <f>IFERROR(__xludf.DUMMYFUNCTION("""COMPUTED_VALUE"""),335505.0)</f>
        <v>335505</v>
      </c>
    </row>
    <row r="114">
      <c r="A114" s="3">
        <f>IFERROR(__xludf.DUMMYFUNCTION("""COMPUTED_VALUE"""),38390.645833333336)</f>
        <v>38390.64583</v>
      </c>
      <c r="B114" s="2">
        <f>IFERROR(__xludf.DUMMYFUNCTION("""COMPUTED_VALUE"""),164.08)</f>
        <v>164.08</v>
      </c>
      <c r="C114" s="2">
        <f>IFERROR(__xludf.DUMMYFUNCTION("""COMPUTED_VALUE"""),166.34)</f>
        <v>166.34</v>
      </c>
      <c r="D114" s="2">
        <f>IFERROR(__xludf.DUMMYFUNCTION("""COMPUTED_VALUE"""),162.63)</f>
        <v>162.63</v>
      </c>
      <c r="E114" s="2">
        <f>IFERROR(__xludf.DUMMYFUNCTION("""COMPUTED_VALUE"""),164.22)</f>
        <v>164.22</v>
      </c>
      <c r="F114" s="2">
        <f>IFERROR(__xludf.DUMMYFUNCTION("""COMPUTED_VALUE"""),743027.0)</f>
        <v>743027</v>
      </c>
    </row>
    <row r="115">
      <c r="A115" s="3">
        <f>IFERROR(__xludf.DUMMYFUNCTION("""COMPUTED_VALUE"""),38391.645833333336)</f>
        <v>38391.64583</v>
      </c>
      <c r="B115" s="2">
        <f>IFERROR(__xludf.DUMMYFUNCTION("""COMPUTED_VALUE"""),164.22)</f>
        <v>164.22</v>
      </c>
      <c r="C115" s="2">
        <f>IFERROR(__xludf.DUMMYFUNCTION("""COMPUTED_VALUE"""),165.38)</f>
        <v>165.38</v>
      </c>
      <c r="D115" s="2">
        <f>IFERROR(__xludf.DUMMYFUNCTION("""COMPUTED_VALUE"""),163.5)</f>
        <v>163.5</v>
      </c>
      <c r="E115" s="2">
        <f>IFERROR(__xludf.DUMMYFUNCTION("""COMPUTED_VALUE"""),164.5)</f>
        <v>164.5</v>
      </c>
      <c r="F115" s="2">
        <f>IFERROR(__xludf.DUMMYFUNCTION("""COMPUTED_VALUE"""),410554.0)</f>
        <v>410554</v>
      </c>
    </row>
    <row r="116">
      <c r="A116" s="3">
        <f>IFERROR(__xludf.DUMMYFUNCTION("""COMPUTED_VALUE"""),38392.645833333336)</f>
        <v>38392.64583</v>
      </c>
      <c r="B116" s="2">
        <f>IFERROR(__xludf.DUMMYFUNCTION("""COMPUTED_VALUE"""),165.13)</f>
        <v>165.13</v>
      </c>
      <c r="C116" s="2">
        <f>IFERROR(__xludf.DUMMYFUNCTION("""COMPUTED_VALUE"""),167.95)</f>
        <v>167.95</v>
      </c>
      <c r="D116" s="2">
        <f>IFERROR(__xludf.DUMMYFUNCTION("""COMPUTED_VALUE"""),165.1)</f>
        <v>165.1</v>
      </c>
      <c r="E116" s="2">
        <f>IFERROR(__xludf.DUMMYFUNCTION("""COMPUTED_VALUE"""),166.6)</f>
        <v>166.6</v>
      </c>
      <c r="F116" s="2">
        <f>IFERROR(__xludf.DUMMYFUNCTION("""COMPUTED_VALUE"""),692242.0)</f>
        <v>692242</v>
      </c>
    </row>
    <row r="117">
      <c r="A117" s="3">
        <f>IFERROR(__xludf.DUMMYFUNCTION("""COMPUTED_VALUE"""),38393.645833333336)</f>
        <v>38393.64583</v>
      </c>
      <c r="B117" s="2">
        <f>IFERROR(__xludf.DUMMYFUNCTION("""COMPUTED_VALUE"""),166.25)</f>
        <v>166.25</v>
      </c>
      <c r="C117" s="2">
        <f>IFERROR(__xludf.DUMMYFUNCTION("""COMPUTED_VALUE"""),167.94)</f>
        <v>167.94</v>
      </c>
      <c r="D117" s="2">
        <f>IFERROR(__xludf.DUMMYFUNCTION("""COMPUTED_VALUE"""),165.38)</f>
        <v>165.38</v>
      </c>
      <c r="E117" s="2">
        <f>IFERROR(__xludf.DUMMYFUNCTION("""COMPUTED_VALUE"""),166.58)</f>
        <v>166.58</v>
      </c>
      <c r="F117" s="2">
        <f>IFERROR(__xludf.DUMMYFUNCTION("""COMPUTED_VALUE"""),547081.0)</f>
        <v>547081</v>
      </c>
    </row>
    <row r="118">
      <c r="A118" s="3">
        <f>IFERROR(__xludf.DUMMYFUNCTION("""COMPUTED_VALUE"""),38394.645833333336)</f>
        <v>38394.64583</v>
      </c>
      <c r="B118" s="2">
        <f>IFERROR(__xludf.DUMMYFUNCTION("""COMPUTED_VALUE"""),167.25)</f>
        <v>167.25</v>
      </c>
      <c r="C118" s="2">
        <f>IFERROR(__xludf.DUMMYFUNCTION("""COMPUTED_VALUE"""),173.38)</f>
        <v>173.38</v>
      </c>
      <c r="D118" s="2">
        <f>IFERROR(__xludf.DUMMYFUNCTION("""COMPUTED_VALUE"""),167.25)</f>
        <v>167.25</v>
      </c>
      <c r="E118" s="2">
        <f>IFERROR(__xludf.DUMMYFUNCTION("""COMPUTED_VALUE"""),172.72)</f>
        <v>172.72</v>
      </c>
      <c r="F118" s="2">
        <f>IFERROR(__xludf.DUMMYFUNCTION("""COMPUTED_VALUE"""),1295887.0)</f>
        <v>1295887</v>
      </c>
    </row>
    <row r="119">
      <c r="A119" s="3">
        <f>IFERROR(__xludf.DUMMYFUNCTION("""COMPUTED_VALUE"""),38397.645833333336)</f>
        <v>38397.64583</v>
      </c>
      <c r="B119" s="2">
        <f>IFERROR(__xludf.DUMMYFUNCTION("""COMPUTED_VALUE"""),173.88)</f>
        <v>173.88</v>
      </c>
      <c r="C119" s="2">
        <f>IFERROR(__xludf.DUMMYFUNCTION("""COMPUTED_VALUE"""),177.25)</f>
        <v>177.25</v>
      </c>
      <c r="D119" s="2">
        <f>IFERROR(__xludf.DUMMYFUNCTION("""COMPUTED_VALUE"""),173.88)</f>
        <v>173.88</v>
      </c>
      <c r="E119" s="2">
        <f>IFERROR(__xludf.DUMMYFUNCTION("""COMPUTED_VALUE"""),176.21)</f>
        <v>176.21</v>
      </c>
      <c r="F119" s="2">
        <f>IFERROR(__xludf.DUMMYFUNCTION("""COMPUTED_VALUE"""),1109408.0)</f>
        <v>1109408</v>
      </c>
    </row>
    <row r="120">
      <c r="A120" s="3">
        <f>IFERROR(__xludf.DUMMYFUNCTION("""COMPUTED_VALUE"""),38398.645833333336)</f>
        <v>38398.64583</v>
      </c>
      <c r="B120" s="2">
        <f>IFERROR(__xludf.DUMMYFUNCTION("""COMPUTED_VALUE"""),176.25)</f>
        <v>176.25</v>
      </c>
      <c r="C120" s="2">
        <f>IFERROR(__xludf.DUMMYFUNCTION("""COMPUTED_VALUE"""),176.88)</f>
        <v>176.88</v>
      </c>
      <c r="D120" s="2">
        <f>IFERROR(__xludf.DUMMYFUNCTION("""COMPUTED_VALUE"""),171.75)</f>
        <v>171.75</v>
      </c>
      <c r="E120" s="2">
        <f>IFERROR(__xludf.DUMMYFUNCTION("""COMPUTED_VALUE"""),172.67)</f>
        <v>172.67</v>
      </c>
      <c r="F120" s="2">
        <f>IFERROR(__xludf.DUMMYFUNCTION("""COMPUTED_VALUE"""),497090.0)</f>
        <v>497090</v>
      </c>
    </row>
    <row r="121">
      <c r="A121" s="3">
        <f>IFERROR(__xludf.DUMMYFUNCTION("""COMPUTED_VALUE"""),38399.645833333336)</f>
        <v>38399.64583</v>
      </c>
      <c r="B121" s="2">
        <f>IFERROR(__xludf.DUMMYFUNCTION("""COMPUTED_VALUE"""),174.88)</f>
        <v>174.88</v>
      </c>
      <c r="C121" s="2">
        <f>IFERROR(__xludf.DUMMYFUNCTION("""COMPUTED_VALUE"""),174.88)</f>
        <v>174.88</v>
      </c>
      <c r="D121" s="2">
        <f>IFERROR(__xludf.DUMMYFUNCTION("""COMPUTED_VALUE"""),170.13)</f>
        <v>170.13</v>
      </c>
      <c r="E121" s="2">
        <f>IFERROR(__xludf.DUMMYFUNCTION("""COMPUTED_VALUE"""),171.02)</f>
        <v>171.02</v>
      </c>
      <c r="F121" s="2">
        <f>IFERROR(__xludf.DUMMYFUNCTION("""COMPUTED_VALUE"""),390854.0)</f>
        <v>390854</v>
      </c>
    </row>
    <row r="122">
      <c r="A122" s="3">
        <f>IFERROR(__xludf.DUMMYFUNCTION("""COMPUTED_VALUE"""),38400.645833333336)</f>
        <v>38400.64583</v>
      </c>
      <c r="B122" s="2">
        <f>IFERROR(__xludf.DUMMYFUNCTION("""COMPUTED_VALUE"""),171.02)</f>
        <v>171.02</v>
      </c>
      <c r="C122" s="2">
        <f>IFERROR(__xludf.DUMMYFUNCTION("""COMPUTED_VALUE"""),173.25)</f>
        <v>173.25</v>
      </c>
      <c r="D122" s="2">
        <f>IFERROR(__xludf.DUMMYFUNCTION("""COMPUTED_VALUE"""),168.83)</f>
        <v>168.83</v>
      </c>
      <c r="E122" s="2">
        <f>IFERROR(__xludf.DUMMYFUNCTION("""COMPUTED_VALUE"""),172.73)</f>
        <v>172.73</v>
      </c>
      <c r="F122" s="2">
        <f>IFERROR(__xludf.DUMMYFUNCTION("""COMPUTED_VALUE"""),515622.0)</f>
        <v>515622</v>
      </c>
    </row>
    <row r="123">
      <c r="A123" s="3">
        <f>IFERROR(__xludf.DUMMYFUNCTION("""COMPUTED_VALUE"""),38401.645833333336)</f>
        <v>38401.64583</v>
      </c>
      <c r="B123" s="2">
        <f>IFERROR(__xludf.DUMMYFUNCTION("""COMPUTED_VALUE"""),172.5)</f>
        <v>172.5</v>
      </c>
      <c r="C123" s="2">
        <f>IFERROR(__xludf.DUMMYFUNCTION("""COMPUTED_VALUE"""),174.0)</f>
        <v>174</v>
      </c>
      <c r="D123" s="2">
        <f>IFERROR(__xludf.DUMMYFUNCTION("""COMPUTED_VALUE"""),169.38)</f>
        <v>169.38</v>
      </c>
      <c r="E123" s="2">
        <f>IFERROR(__xludf.DUMMYFUNCTION("""COMPUTED_VALUE"""),171.88)</f>
        <v>171.88</v>
      </c>
      <c r="F123" s="2">
        <f>IFERROR(__xludf.DUMMYFUNCTION("""COMPUTED_VALUE"""),318143.0)</f>
        <v>318143</v>
      </c>
    </row>
    <row r="124">
      <c r="A124" s="3">
        <f>IFERROR(__xludf.DUMMYFUNCTION("""COMPUTED_VALUE"""),38404.645833333336)</f>
        <v>38404.64583</v>
      </c>
      <c r="B124" s="2">
        <f>IFERROR(__xludf.DUMMYFUNCTION("""COMPUTED_VALUE"""),171.38)</f>
        <v>171.38</v>
      </c>
      <c r="C124" s="2">
        <f>IFERROR(__xludf.DUMMYFUNCTION("""COMPUTED_VALUE"""),171.98)</f>
        <v>171.98</v>
      </c>
      <c r="D124" s="2">
        <f>IFERROR(__xludf.DUMMYFUNCTION("""COMPUTED_VALUE"""),168.14)</f>
        <v>168.14</v>
      </c>
      <c r="E124" s="2">
        <f>IFERROR(__xludf.DUMMYFUNCTION("""COMPUTED_VALUE"""),170.7)</f>
        <v>170.7</v>
      </c>
      <c r="F124" s="2">
        <f>IFERROR(__xludf.DUMMYFUNCTION("""COMPUTED_VALUE"""),222144.0)</f>
        <v>222144</v>
      </c>
    </row>
    <row r="125">
      <c r="A125" s="3">
        <f>IFERROR(__xludf.DUMMYFUNCTION("""COMPUTED_VALUE"""),38405.645833333336)</f>
        <v>38405.64583</v>
      </c>
      <c r="B125" s="2">
        <f>IFERROR(__xludf.DUMMYFUNCTION("""COMPUTED_VALUE"""),170.59)</f>
        <v>170.59</v>
      </c>
      <c r="C125" s="2">
        <f>IFERROR(__xludf.DUMMYFUNCTION("""COMPUTED_VALUE"""),171.24)</f>
        <v>171.24</v>
      </c>
      <c r="D125" s="2">
        <f>IFERROR(__xludf.DUMMYFUNCTION("""COMPUTED_VALUE"""),168.88)</f>
        <v>168.88</v>
      </c>
      <c r="E125" s="2">
        <f>IFERROR(__xludf.DUMMYFUNCTION("""COMPUTED_VALUE"""),170.43)</f>
        <v>170.43</v>
      </c>
      <c r="F125" s="2">
        <f>IFERROR(__xludf.DUMMYFUNCTION("""COMPUTED_VALUE"""),267380.0)</f>
        <v>267380</v>
      </c>
    </row>
    <row r="126">
      <c r="A126" s="3">
        <f>IFERROR(__xludf.DUMMYFUNCTION("""COMPUTED_VALUE"""),38406.645833333336)</f>
        <v>38406.64583</v>
      </c>
      <c r="B126" s="2">
        <f>IFERROR(__xludf.DUMMYFUNCTION("""COMPUTED_VALUE"""),170.43)</f>
        <v>170.43</v>
      </c>
      <c r="C126" s="2">
        <f>IFERROR(__xludf.DUMMYFUNCTION("""COMPUTED_VALUE"""),172.76)</f>
        <v>172.76</v>
      </c>
      <c r="D126" s="2">
        <f>IFERROR(__xludf.DUMMYFUNCTION("""COMPUTED_VALUE"""),169.4)</f>
        <v>169.4</v>
      </c>
      <c r="E126" s="2">
        <f>IFERROR(__xludf.DUMMYFUNCTION("""COMPUTED_VALUE"""),171.87)</f>
        <v>171.87</v>
      </c>
      <c r="F126" s="2">
        <f>IFERROR(__xludf.DUMMYFUNCTION("""COMPUTED_VALUE"""),645852.0)</f>
        <v>645852</v>
      </c>
    </row>
    <row r="127">
      <c r="A127" s="3">
        <f>IFERROR(__xludf.DUMMYFUNCTION("""COMPUTED_VALUE"""),38407.645833333336)</f>
        <v>38407.64583</v>
      </c>
      <c r="B127" s="2">
        <f>IFERROR(__xludf.DUMMYFUNCTION("""COMPUTED_VALUE"""),171.87)</f>
        <v>171.87</v>
      </c>
      <c r="C127" s="2">
        <f>IFERROR(__xludf.DUMMYFUNCTION("""COMPUTED_VALUE"""),174.49)</f>
        <v>174.49</v>
      </c>
      <c r="D127" s="2">
        <f>IFERROR(__xludf.DUMMYFUNCTION("""COMPUTED_VALUE"""),170.15)</f>
        <v>170.15</v>
      </c>
      <c r="E127" s="2">
        <f>IFERROR(__xludf.DUMMYFUNCTION("""COMPUTED_VALUE"""),170.99)</f>
        <v>170.99</v>
      </c>
      <c r="F127" s="2">
        <f>IFERROR(__xludf.DUMMYFUNCTION("""COMPUTED_VALUE"""),1350805.0)</f>
        <v>1350805</v>
      </c>
    </row>
    <row r="128">
      <c r="A128" s="3">
        <f>IFERROR(__xludf.DUMMYFUNCTION("""COMPUTED_VALUE"""),38408.645833333336)</f>
        <v>38408.64583</v>
      </c>
      <c r="B128" s="2">
        <f>IFERROR(__xludf.DUMMYFUNCTION("""COMPUTED_VALUE"""),172.1)</f>
        <v>172.1</v>
      </c>
      <c r="C128" s="2">
        <f>IFERROR(__xludf.DUMMYFUNCTION("""COMPUTED_VALUE"""),172.38)</f>
        <v>172.38</v>
      </c>
      <c r="D128" s="2">
        <f>IFERROR(__xludf.DUMMYFUNCTION("""COMPUTED_VALUE"""),169.15)</f>
        <v>169.15</v>
      </c>
      <c r="E128" s="2">
        <f>IFERROR(__xludf.DUMMYFUNCTION("""COMPUTED_VALUE"""),170.51)</f>
        <v>170.51</v>
      </c>
      <c r="F128" s="2">
        <f>IFERROR(__xludf.DUMMYFUNCTION("""COMPUTED_VALUE"""),633862.0)</f>
        <v>633862</v>
      </c>
    </row>
    <row r="129">
      <c r="A129" s="3">
        <f>IFERROR(__xludf.DUMMYFUNCTION("""COMPUTED_VALUE"""),38411.645833333336)</f>
        <v>38411.64583</v>
      </c>
      <c r="B129" s="2">
        <f>IFERROR(__xludf.DUMMYFUNCTION("""COMPUTED_VALUE"""),172.38)</f>
        <v>172.38</v>
      </c>
      <c r="C129" s="2">
        <f>IFERROR(__xludf.DUMMYFUNCTION("""COMPUTED_VALUE"""),173.13)</f>
        <v>173.13</v>
      </c>
      <c r="D129" s="2">
        <f>IFERROR(__xludf.DUMMYFUNCTION("""COMPUTED_VALUE"""),167.5)</f>
        <v>167.5</v>
      </c>
      <c r="E129" s="2">
        <f>IFERROR(__xludf.DUMMYFUNCTION("""COMPUTED_VALUE"""),172.61)</f>
        <v>172.61</v>
      </c>
      <c r="F129" s="2">
        <f>IFERROR(__xludf.DUMMYFUNCTION("""COMPUTED_VALUE"""),800301.0)</f>
        <v>800301</v>
      </c>
    </row>
    <row r="130">
      <c r="A130" s="3">
        <f>IFERROR(__xludf.DUMMYFUNCTION("""COMPUTED_VALUE"""),38412.645833333336)</f>
        <v>38412.64583</v>
      </c>
      <c r="B130" s="2">
        <f>IFERROR(__xludf.DUMMYFUNCTION("""COMPUTED_VALUE"""),172.63)</f>
        <v>172.63</v>
      </c>
      <c r="C130" s="2">
        <f>IFERROR(__xludf.DUMMYFUNCTION("""COMPUTED_VALUE"""),180.0)</f>
        <v>180</v>
      </c>
      <c r="D130" s="2">
        <f>IFERROR(__xludf.DUMMYFUNCTION("""COMPUTED_VALUE"""),168.88)</f>
        <v>168.88</v>
      </c>
      <c r="E130" s="2">
        <f>IFERROR(__xludf.DUMMYFUNCTION("""COMPUTED_VALUE"""),169.68)</f>
        <v>169.68</v>
      </c>
      <c r="F130" s="2">
        <f>IFERROR(__xludf.DUMMYFUNCTION("""COMPUTED_VALUE"""),619769.0)</f>
        <v>619769</v>
      </c>
    </row>
    <row r="131">
      <c r="A131" s="3">
        <f>IFERROR(__xludf.DUMMYFUNCTION("""COMPUTED_VALUE"""),38413.645833333336)</f>
        <v>38413.64583</v>
      </c>
      <c r="B131" s="2">
        <f>IFERROR(__xludf.DUMMYFUNCTION("""COMPUTED_VALUE"""),171.88)</f>
        <v>171.88</v>
      </c>
      <c r="C131" s="2">
        <f>IFERROR(__xludf.DUMMYFUNCTION("""COMPUTED_VALUE"""),171.88)</f>
        <v>171.88</v>
      </c>
      <c r="D131" s="2">
        <f>IFERROR(__xludf.DUMMYFUNCTION("""COMPUTED_VALUE"""),170.2)</f>
        <v>170.2</v>
      </c>
      <c r="E131" s="2">
        <f>IFERROR(__xludf.DUMMYFUNCTION("""COMPUTED_VALUE"""),171.0)</f>
        <v>171</v>
      </c>
      <c r="F131" s="2">
        <f>IFERROR(__xludf.DUMMYFUNCTION("""COMPUTED_VALUE"""),332264.0)</f>
        <v>332264</v>
      </c>
    </row>
    <row r="132">
      <c r="A132" s="3">
        <f>IFERROR(__xludf.DUMMYFUNCTION("""COMPUTED_VALUE"""),38414.645833333336)</f>
        <v>38414.64583</v>
      </c>
      <c r="B132" s="2">
        <f>IFERROR(__xludf.DUMMYFUNCTION("""COMPUTED_VALUE"""),171.25)</f>
        <v>171.25</v>
      </c>
      <c r="C132" s="2">
        <f>IFERROR(__xludf.DUMMYFUNCTION("""COMPUTED_VALUE"""),174.38)</f>
        <v>174.38</v>
      </c>
      <c r="D132" s="2">
        <f>IFERROR(__xludf.DUMMYFUNCTION("""COMPUTED_VALUE"""),170.5)</f>
        <v>170.5</v>
      </c>
      <c r="E132" s="2">
        <f>IFERROR(__xludf.DUMMYFUNCTION("""COMPUTED_VALUE"""),173.7)</f>
        <v>173.7</v>
      </c>
      <c r="F132" s="2">
        <f>IFERROR(__xludf.DUMMYFUNCTION("""COMPUTED_VALUE"""),361395.0)</f>
        <v>361395</v>
      </c>
    </row>
    <row r="133">
      <c r="A133" s="3">
        <f>IFERROR(__xludf.DUMMYFUNCTION("""COMPUTED_VALUE"""),38415.645833333336)</f>
        <v>38415.64583</v>
      </c>
      <c r="B133" s="2">
        <f>IFERROR(__xludf.DUMMYFUNCTION("""COMPUTED_VALUE"""),174.25)</f>
        <v>174.25</v>
      </c>
      <c r="C133" s="2">
        <f>IFERROR(__xludf.DUMMYFUNCTION("""COMPUTED_VALUE"""),175.44)</f>
        <v>175.44</v>
      </c>
      <c r="D133" s="2">
        <f>IFERROR(__xludf.DUMMYFUNCTION("""COMPUTED_VALUE"""),172.75)</f>
        <v>172.75</v>
      </c>
      <c r="E133" s="2">
        <f>IFERROR(__xludf.DUMMYFUNCTION("""COMPUTED_VALUE"""),174.03)</f>
        <v>174.03</v>
      </c>
      <c r="F133" s="2">
        <f>IFERROR(__xludf.DUMMYFUNCTION("""COMPUTED_VALUE"""),502234.0)</f>
        <v>502234</v>
      </c>
    </row>
    <row r="134">
      <c r="A134" s="3">
        <f>IFERROR(__xludf.DUMMYFUNCTION("""COMPUTED_VALUE"""),38418.645833333336)</f>
        <v>38418.64583</v>
      </c>
      <c r="B134" s="2">
        <f>IFERROR(__xludf.DUMMYFUNCTION("""COMPUTED_VALUE"""),174.38)</f>
        <v>174.38</v>
      </c>
      <c r="C134" s="2">
        <f>IFERROR(__xludf.DUMMYFUNCTION("""COMPUTED_VALUE"""),176.0)</f>
        <v>176</v>
      </c>
      <c r="D134" s="2">
        <f>IFERROR(__xludf.DUMMYFUNCTION("""COMPUTED_VALUE"""),174.25)</f>
        <v>174.25</v>
      </c>
      <c r="E134" s="2">
        <f>IFERROR(__xludf.DUMMYFUNCTION("""COMPUTED_VALUE"""),175.03)</f>
        <v>175.03</v>
      </c>
      <c r="F134" s="2">
        <f>IFERROR(__xludf.DUMMYFUNCTION("""COMPUTED_VALUE"""),457254.0)</f>
        <v>457254</v>
      </c>
    </row>
    <row r="135">
      <c r="A135" s="3">
        <f>IFERROR(__xludf.DUMMYFUNCTION("""COMPUTED_VALUE"""),38419.645833333336)</f>
        <v>38419.64583</v>
      </c>
      <c r="B135" s="2">
        <f>IFERROR(__xludf.DUMMYFUNCTION("""COMPUTED_VALUE"""),175.5)</f>
        <v>175.5</v>
      </c>
      <c r="C135" s="2">
        <f>IFERROR(__xludf.DUMMYFUNCTION("""COMPUTED_VALUE"""),177.61)</f>
        <v>177.61</v>
      </c>
      <c r="D135" s="2">
        <f>IFERROR(__xludf.DUMMYFUNCTION("""COMPUTED_VALUE"""),174.42)</f>
        <v>174.42</v>
      </c>
      <c r="E135" s="2">
        <f>IFERROR(__xludf.DUMMYFUNCTION("""COMPUTED_VALUE"""),176.74)</f>
        <v>176.74</v>
      </c>
      <c r="F135" s="2">
        <f>IFERROR(__xludf.DUMMYFUNCTION("""COMPUTED_VALUE"""),628460.0)</f>
        <v>628460</v>
      </c>
    </row>
    <row r="136">
      <c r="A136" s="3">
        <f>IFERROR(__xludf.DUMMYFUNCTION("""COMPUTED_VALUE"""),38420.645833333336)</f>
        <v>38420.64583</v>
      </c>
      <c r="B136" s="2">
        <f>IFERROR(__xludf.DUMMYFUNCTION("""COMPUTED_VALUE"""),176.13)</f>
        <v>176.13</v>
      </c>
      <c r="C136" s="2">
        <f>IFERROR(__xludf.DUMMYFUNCTION("""COMPUTED_VALUE"""),178.31)</f>
        <v>178.31</v>
      </c>
      <c r="D136" s="2">
        <f>IFERROR(__xludf.DUMMYFUNCTION("""COMPUTED_VALUE"""),174.38)</f>
        <v>174.38</v>
      </c>
      <c r="E136" s="2">
        <f>IFERROR(__xludf.DUMMYFUNCTION("""COMPUTED_VALUE"""),175.94)</f>
        <v>175.94</v>
      </c>
      <c r="F136" s="2">
        <f>IFERROR(__xludf.DUMMYFUNCTION("""COMPUTED_VALUE"""),677761.0)</f>
        <v>677761</v>
      </c>
    </row>
    <row r="137">
      <c r="A137" s="3">
        <f>IFERROR(__xludf.DUMMYFUNCTION("""COMPUTED_VALUE"""),38421.645833333336)</f>
        <v>38421.64583</v>
      </c>
      <c r="B137" s="2">
        <f>IFERROR(__xludf.DUMMYFUNCTION("""COMPUTED_VALUE"""),176.25)</f>
        <v>176.25</v>
      </c>
      <c r="C137" s="2">
        <f>IFERROR(__xludf.DUMMYFUNCTION("""COMPUTED_VALUE"""),176.25)</f>
        <v>176.25</v>
      </c>
      <c r="D137" s="2">
        <f>IFERROR(__xludf.DUMMYFUNCTION("""COMPUTED_VALUE"""),173.78)</f>
        <v>173.78</v>
      </c>
      <c r="E137" s="2">
        <f>IFERROR(__xludf.DUMMYFUNCTION("""COMPUTED_VALUE"""),174.95)</f>
        <v>174.95</v>
      </c>
      <c r="F137" s="2">
        <f>IFERROR(__xludf.DUMMYFUNCTION("""COMPUTED_VALUE"""),287785.0)</f>
        <v>287785</v>
      </c>
    </row>
    <row r="138">
      <c r="A138" s="3">
        <f>IFERROR(__xludf.DUMMYFUNCTION("""COMPUTED_VALUE"""),38422.645833333336)</f>
        <v>38422.64583</v>
      </c>
      <c r="B138" s="2">
        <f>IFERROR(__xludf.DUMMYFUNCTION("""COMPUTED_VALUE"""),175.75)</f>
        <v>175.75</v>
      </c>
      <c r="C138" s="2">
        <f>IFERROR(__xludf.DUMMYFUNCTION("""COMPUTED_VALUE"""),179.36)</f>
        <v>179.36</v>
      </c>
      <c r="D138" s="2">
        <f>IFERROR(__xludf.DUMMYFUNCTION("""COMPUTED_VALUE"""),175.63)</f>
        <v>175.63</v>
      </c>
      <c r="E138" s="2">
        <f>IFERROR(__xludf.DUMMYFUNCTION("""COMPUTED_VALUE"""),178.43)</f>
        <v>178.43</v>
      </c>
      <c r="F138" s="2">
        <f>IFERROR(__xludf.DUMMYFUNCTION("""COMPUTED_VALUE"""),650718.0)</f>
        <v>650718</v>
      </c>
    </row>
    <row r="139">
      <c r="A139" s="3">
        <f>IFERROR(__xludf.DUMMYFUNCTION("""COMPUTED_VALUE"""),38425.645833333336)</f>
        <v>38425.64583</v>
      </c>
      <c r="B139" s="2">
        <f>IFERROR(__xludf.DUMMYFUNCTION("""COMPUTED_VALUE"""),178.5)</f>
        <v>178.5</v>
      </c>
      <c r="C139" s="2">
        <f>IFERROR(__xludf.DUMMYFUNCTION("""COMPUTED_VALUE"""),182.5)</f>
        <v>182.5</v>
      </c>
      <c r="D139" s="2">
        <f>IFERROR(__xludf.DUMMYFUNCTION("""COMPUTED_VALUE"""),177.5)</f>
        <v>177.5</v>
      </c>
      <c r="E139" s="2">
        <f>IFERROR(__xludf.DUMMYFUNCTION("""COMPUTED_VALUE"""),181.48)</f>
        <v>181.48</v>
      </c>
      <c r="F139" s="2">
        <f>IFERROR(__xludf.DUMMYFUNCTION("""COMPUTED_VALUE"""),816754.0)</f>
        <v>816754</v>
      </c>
    </row>
    <row r="140">
      <c r="A140" s="3">
        <f>IFERROR(__xludf.DUMMYFUNCTION("""COMPUTED_VALUE"""),38426.645833333336)</f>
        <v>38426.64583</v>
      </c>
      <c r="B140" s="2">
        <f>IFERROR(__xludf.DUMMYFUNCTION("""COMPUTED_VALUE"""),181.38)</f>
        <v>181.38</v>
      </c>
      <c r="C140" s="2">
        <f>IFERROR(__xludf.DUMMYFUNCTION("""COMPUTED_VALUE"""),182.75)</f>
        <v>182.75</v>
      </c>
      <c r="D140" s="2">
        <f>IFERROR(__xludf.DUMMYFUNCTION("""COMPUTED_VALUE"""),178.75)</f>
        <v>178.75</v>
      </c>
      <c r="E140" s="2">
        <f>IFERROR(__xludf.DUMMYFUNCTION("""COMPUTED_VALUE"""),180.33)</f>
        <v>180.33</v>
      </c>
      <c r="F140" s="2">
        <f>IFERROR(__xludf.DUMMYFUNCTION("""COMPUTED_VALUE"""),518310.0)</f>
        <v>518310</v>
      </c>
    </row>
    <row r="141">
      <c r="A141" s="3">
        <f>IFERROR(__xludf.DUMMYFUNCTION("""COMPUTED_VALUE"""),38427.645833333336)</f>
        <v>38427.64583</v>
      </c>
      <c r="B141" s="2">
        <f>IFERROR(__xludf.DUMMYFUNCTION("""COMPUTED_VALUE"""),180.0)</f>
        <v>180</v>
      </c>
      <c r="C141" s="2">
        <f>IFERROR(__xludf.DUMMYFUNCTION("""COMPUTED_VALUE"""),183.45)</f>
        <v>183.45</v>
      </c>
      <c r="D141" s="2">
        <f>IFERROR(__xludf.DUMMYFUNCTION("""COMPUTED_VALUE"""),180.0)</f>
        <v>180</v>
      </c>
      <c r="E141" s="2">
        <f>IFERROR(__xludf.DUMMYFUNCTION("""COMPUTED_VALUE"""),181.51)</f>
        <v>181.51</v>
      </c>
      <c r="F141" s="2">
        <f>IFERROR(__xludf.DUMMYFUNCTION("""COMPUTED_VALUE"""),684177.0)</f>
        <v>684177</v>
      </c>
    </row>
    <row r="142">
      <c r="A142" s="3">
        <f>IFERROR(__xludf.DUMMYFUNCTION("""COMPUTED_VALUE"""),38428.645833333336)</f>
        <v>38428.64583</v>
      </c>
      <c r="B142" s="2">
        <f>IFERROR(__xludf.DUMMYFUNCTION("""COMPUTED_VALUE"""),181.0)</f>
        <v>181</v>
      </c>
      <c r="C142" s="2">
        <f>IFERROR(__xludf.DUMMYFUNCTION("""COMPUTED_VALUE"""),184.21)</f>
        <v>184.21</v>
      </c>
      <c r="D142" s="2">
        <f>IFERROR(__xludf.DUMMYFUNCTION("""COMPUTED_VALUE"""),180.0)</f>
        <v>180</v>
      </c>
      <c r="E142" s="2">
        <f>IFERROR(__xludf.DUMMYFUNCTION("""COMPUTED_VALUE"""),182.62)</f>
        <v>182.62</v>
      </c>
      <c r="F142" s="2">
        <f>IFERROR(__xludf.DUMMYFUNCTION("""COMPUTED_VALUE"""),850666.0)</f>
        <v>850666</v>
      </c>
    </row>
    <row r="143">
      <c r="A143" s="3">
        <f>IFERROR(__xludf.DUMMYFUNCTION("""COMPUTED_VALUE"""),38429.645833333336)</f>
        <v>38429.64583</v>
      </c>
      <c r="B143" s="2">
        <f>IFERROR(__xludf.DUMMYFUNCTION("""COMPUTED_VALUE"""),182.38)</f>
        <v>182.38</v>
      </c>
      <c r="C143" s="2">
        <f>IFERROR(__xludf.DUMMYFUNCTION("""COMPUTED_VALUE"""),184.06)</f>
        <v>184.06</v>
      </c>
      <c r="D143" s="2">
        <f>IFERROR(__xludf.DUMMYFUNCTION("""COMPUTED_VALUE"""),178.13)</f>
        <v>178.13</v>
      </c>
      <c r="E143" s="2">
        <f>IFERROR(__xludf.DUMMYFUNCTION("""COMPUTED_VALUE"""),183.59)</f>
        <v>183.59</v>
      </c>
      <c r="F143" s="2">
        <f>IFERROR(__xludf.DUMMYFUNCTION("""COMPUTED_VALUE"""),765433.0)</f>
        <v>765433</v>
      </c>
    </row>
    <row r="144">
      <c r="A144" s="3">
        <f>IFERROR(__xludf.DUMMYFUNCTION("""COMPUTED_VALUE"""),38432.645833333336)</f>
        <v>38432.64583</v>
      </c>
      <c r="B144" s="2">
        <f>IFERROR(__xludf.DUMMYFUNCTION("""COMPUTED_VALUE"""),183.77)</f>
        <v>183.77</v>
      </c>
      <c r="C144" s="2">
        <f>IFERROR(__xludf.DUMMYFUNCTION("""COMPUTED_VALUE"""),184.38)</f>
        <v>184.38</v>
      </c>
      <c r="D144" s="2">
        <f>IFERROR(__xludf.DUMMYFUNCTION("""COMPUTED_VALUE"""),180.58)</f>
        <v>180.58</v>
      </c>
      <c r="E144" s="2">
        <f>IFERROR(__xludf.DUMMYFUNCTION("""COMPUTED_VALUE"""),182.06)</f>
        <v>182.06</v>
      </c>
      <c r="F144" s="2">
        <f>IFERROR(__xludf.DUMMYFUNCTION("""COMPUTED_VALUE"""),544265.0)</f>
        <v>544265</v>
      </c>
    </row>
    <row r="145">
      <c r="A145" s="3">
        <f>IFERROR(__xludf.DUMMYFUNCTION("""COMPUTED_VALUE"""),38433.645833333336)</f>
        <v>38433.64583</v>
      </c>
      <c r="B145" s="2">
        <f>IFERROR(__xludf.DUMMYFUNCTION("""COMPUTED_VALUE"""),181.85)</f>
        <v>181.85</v>
      </c>
      <c r="C145" s="2">
        <f>IFERROR(__xludf.DUMMYFUNCTION("""COMPUTED_VALUE"""),182.14)</f>
        <v>182.14</v>
      </c>
      <c r="D145" s="2">
        <f>IFERROR(__xludf.DUMMYFUNCTION("""COMPUTED_VALUE"""),180.01)</f>
        <v>180.01</v>
      </c>
      <c r="E145" s="2">
        <f>IFERROR(__xludf.DUMMYFUNCTION("""COMPUTED_VALUE"""),180.45)</f>
        <v>180.45</v>
      </c>
      <c r="F145" s="2">
        <f>IFERROR(__xludf.DUMMYFUNCTION("""COMPUTED_VALUE"""),335554.0)</f>
        <v>335554</v>
      </c>
    </row>
    <row r="146">
      <c r="A146" s="3">
        <f>IFERROR(__xludf.DUMMYFUNCTION("""COMPUTED_VALUE"""),38434.645833333336)</f>
        <v>38434.64583</v>
      </c>
      <c r="B146" s="2">
        <f>IFERROR(__xludf.DUMMYFUNCTION("""COMPUTED_VALUE"""),180.0)</f>
        <v>180</v>
      </c>
      <c r="C146" s="2">
        <f>IFERROR(__xludf.DUMMYFUNCTION("""COMPUTED_VALUE"""),181.0)</f>
        <v>181</v>
      </c>
      <c r="D146" s="2">
        <f>IFERROR(__xludf.DUMMYFUNCTION("""COMPUTED_VALUE"""),176.67)</f>
        <v>176.67</v>
      </c>
      <c r="E146" s="2">
        <f>IFERROR(__xludf.DUMMYFUNCTION("""COMPUTED_VALUE"""),177.66)</f>
        <v>177.66</v>
      </c>
      <c r="F146" s="2">
        <f>IFERROR(__xludf.DUMMYFUNCTION("""COMPUTED_VALUE"""),429927.0)</f>
        <v>429927</v>
      </c>
    </row>
    <row r="147">
      <c r="A147" s="3">
        <f>IFERROR(__xludf.DUMMYFUNCTION("""COMPUTED_VALUE"""),38435.645833333336)</f>
        <v>38435.64583</v>
      </c>
      <c r="B147" s="2">
        <f>IFERROR(__xludf.DUMMYFUNCTION("""COMPUTED_VALUE"""),178.75)</f>
        <v>178.75</v>
      </c>
      <c r="C147" s="2">
        <f>IFERROR(__xludf.DUMMYFUNCTION("""COMPUTED_VALUE"""),179.75)</f>
        <v>179.75</v>
      </c>
      <c r="D147" s="2">
        <f>IFERROR(__xludf.DUMMYFUNCTION("""COMPUTED_VALUE"""),172.21)</f>
        <v>172.21</v>
      </c>
      <c r="E147" s="2">
        <f>IFERROR(__xludf.DUMMYFUNCTION("""COMPUTED_VALUE"""),173.05)</f>
        <v>173.05</v>
      </c>
      <c r="F147" s="2">
        <f>IFERROR(__xludf.DUMMYFUNCTION("""COMPUTED_VALUE"""),744322.0)</f>
        <v>744322</v>
      </c>
    </row>
    <row r="148">
      <c r="A148" s="3">
        <f>IFERROR(__xludf.DUMMYFUNCTION("""COMPUTED_VALUE"""),38439.645833333336)</f>
        <v>38439.64583</v>
      </c>
      <c r="B148" s="2">
        <f>IFERROR(__xludf.DUMMYFUNCTION("""COMPUTED_VALUE"""),173.88)</f>
        <v>173.88</v>
      </c>
      <c r="C148" s="2">
        <f>IFERROR(__xludf.DUMMYFUNCTION("""COMPUTED_VALUE"""),176.11)</f>
        <v>176.11</v>
      </c>
      <c r="D148" s="2">
        <f>IFERROR(__xludf.DUMMYFUNCTION("""COMPUTED_VALUE"""),173.0)</f>
        <v>173</v>
      </c>
      <c r="E148" s="2">
        <f>IFERROR(__xludf.DUMMYFUNCTION("""COMPUTED_VALUE"""),174.05)</f>
        <v>174.05</v>
      </c>
      <c r="F148" s="2">
        <f>IFERROR(__xludf.DUMMYFUNCTION("""COMPUTED_VALUE"""),462466.0)</f>
        <v>462466</v>
      </c>
    </row>
    <row r="149">
      <c r="A149" s="3">
        <f>IFERROR(__xludf.DUMMYFUNCTION("""COMPUTED_VALUE"""),38440.645833333336)</f>
        <v>38440.64583</v>
      </c>
      <c r="B149" s="2">
        <f>IFERROR(__xludf.DUMMYFUNCTION("""COMPUTED_VALUE"""),174.38)</f>
        <v>174.38</v>
      </c>
      <c r="C149" s="2">
        <f>IFERROR(__xludf.DUMMYFUNCTION("""COMPUTED_VALUE"""),174.75)</f>
        <v>174.75</v>
      </c>
      <c r="D149" s="2">
        <f>IFERROR(__xludf.DUMMYFUNCTION("""COMPUTED_VALUE"""),170.28)</f>
        <v>170.28</v>
      </c>
      <c r="E149" s="2">
        <f>IFERROR(__xludf.DUMMYFUNCTION("""COMPUTED_VALUE"""),171.36)</f>
        <v>171.36</v>
      </c>
      <c r="F149" s="2">
        <f>IFERROR(__xludf.DUMMYFUNCTION("""COMPUTED_VALUE"""),381675.0)</f>
        <v>381675</v>
      </c>
    </row>
    <row r="150">
      <c r="A150" s="3">
        <f>IFERROR(__xludf.DUMMYFUNCTION("""COMPUTED_VALUE"""),38441.645833333336)</f>
        <v>38441.64583</v>
      </c>
      <c r="B150" s="2">
        <f>IFERROR(__xludf.DUMMYFUNCTION("""COMPUTED_VALUE"""),171.39)</f>
        <v>171.39</v>
      </c>
      <c r="C150" s="2">
        <f>IFERROR(__xludf.DUMMYFUNCTION("""COMPUTED_VALUE"""),175.0)</f>
        <v>175</v>
      </c>
      <c r="D150" s="2">
        <f>IFERROR(__xludf.DUMMYFUNCTION("""COMPUTED_VALUE"""),170.0)</f>
        <v>170</v>
      </c>
      <c r="E150" s="2">
        <f>IFERROR(__xludf.DUMMYFUNCTION("""COMPUTED_VALUE"""),173.82)</f>
        <v>173.82</v>
      </c>
      <c r="F150" s="2">
        <f>IFERROR(__xludf.DUMMYFUNCTION("""COMPUTED_VALUE"""),514407.0)</f>
        <v>514407</v>
      </c>
    </row>
    <row r="151">
      <c r="A151" s="3">
        <f>IFERROR(__xludf.DUMMYFUNCTION("""COMPUTED_VALUE"""),38442.645833333336)</f>
        <v>38442.64583</v>
      </c>
      <c r="B151" s="2">
        <f>IFERROR(__xludf.DUMMYFUNCTION("""COMPUTED_VALUE"""),175.56)</f>
        <v>175.56</v>
      </c>
      <c r="C151" s="2">
        <f>IFERROR(__xludf.DUMMYFUNCTION("""COMPUTED_VALUE"""),180.64)</f>
        <v>180.64</v>
      </c>
      <c r="D151" s="2">
        <f>IFERROR(__xludf.DUMMYFUNCTION("""COMPUTED_VALUE"""),174.66)</f>
        <v>174.66</v>
      </c>
      <c r="E151" s="2">
        <f>IFERROR(__xludf.DUMMYFUNCTION("""COMPUTED_VALUE"""),179.01)</f>
        <v>179.01</v>
      </c>
      <c r="F151" s="2">
        <f>IFERROR(__xludf.DUMMYFUNCTION("""COMPUTED_VALUE"""),864330.0)</f>
        <v>864330</v>
      </c>
    </row>
    <row r="152">
      <c r="A152" s="3">
        <f>IFERROR(__xludf.DUMMYFUNCTION("""COMPUTED_VALUE"""),38443.645833333336)</f>
        <v>38443.64583</v>
      </c>
      <c r="B152" s="2">
        <f>IFERROR(__xludf.DUMMYFUNCTION("""COMPUTED_VALUE"""),179.13)</f>
        <v>179.13</v>
      </c>
      <c r="C152" s="2">
        <f>IFERROR(__xludf.DUMMYFUNCTION("""COMPUTED_VALUE"""),182.13)</f>
        <v>182.13</v>
      </c>
      <c r="D152" s="2">
        <f>IFERROR(__xludf.DUMMYFUNCTION("""COMPUTED_VALUE"""),176.75)</f>
        <v>176.75</v>
      </c>
      <c r="E152" s="2">
        <f>IFERROR(__xludf.DUMMYFUNCTION("""COMPUTED_VALUE"""),181.37)</f>
        <v>181.37</v>
      </c>
      <c r="F152" s="2">
        <f>IFERROR(__xludf.DUMMYFUNCTION("""COMPUTED_VALUE"""),695334.0)</f>
        <v>695334</v>
      </c>
    </row>
    <row r="153">
      <c r="A153" s="3">
        <f>IFERROR(__xludf.DUMMYFUNCTION("""COMPUTED_VALUE"""),38446.645833333336)</f>
        <v>38446.64583</v>
      </c>
      <c r="B153" s="2">
        <f>IFERROR(__xludf.DUMMYFUNCTION("""COMPUTED_VALUE"""),181.5)</f>
        <v>181.5</v>
      </c>
      <c r="C153" s="2">
        <f>IFERROR(__xludf.DUMMYFUNCTION("""COMPUTED_VALUE"""),182.1)</f>
        <v>182.1</v>
      </c>
      <c r="D153" s="2">
        <f>IFERROR(__xludf.DUMMYFUNCTION("""COMPUTED_VALUE"""),177.91)</f>
        <v>177.91</v>
      </c>
      <c r="E153" s="2">
        <f>IFERROR(__xludf.DUMMYFUNCTION("""COMPUTED_VALUE"""),178.47)</f>
        <v>178.47</v>
      </c>
      <c r="F153" s="2">
        <f>IFERROR(__xludf.DUMMYFUNCTION("""COMPUTED_VALUE"""),657170.0)</f>
        <v>657170</v>
      </c>
    </row>
    <row r="154">
      <c r="A154" s="3">
        <f>IFERROR(__xludf.DUMMYFUNCTION("""COMPUTED_VALUE"""),38447.645833333336)</f>
        <v>38447.64583</v>
      </c>
      <c r="B154" s="2">
        <f>IFERROR(__xludf.DUMMYFUNCTION("""COMPUTED_VALUE"""),178.63)</f>
        <v>178.63</v>
      </c>
      <c r="C154" s="2">
        <f>IFERROR(__xludf.DUMMYFUNCTION("""COMPUTED_VALUE"""),180.31)</f>
        <v>180.31</v>
      </c>
      <c r="D154" s="2">
        <f>IFERROR(__xludf.DUMMYFUNCTION("""COMPUTED_VALUE"""),177.01)</f>
        <v>177.01</v>
      </c>
      <c r="E154" s="2">
        <f>IFERROR(__xludf.DUMMYFUNCTION("""COMPUTED_VALUE"""),178.18)</f>
        <v>178.18</v>
      </c>
      <c r="F154" s="2">
        <f>IFERROR(__xludf.DUMMYFUNCTION("""COMPUTED_VALUE"""),420979.0)</f>
        <v>420979</v>
      </c>
    </row>
    <row r="155">
      <c r="A155" s="3">
        <f>IFERROR(__xludf.DUMMYFUNCTION("""COMPUTED_VALUE"""),38448.645833333336)</f>
        <v>38448.64583</v>
      </c>
      <c r="B155" s="2">
        <f>IFERROR(__xludf.DUMMYFUNCTION("""COMPUTED_VALUE"""),178.38)</f>
        <v>178.38</v>
      </c>
      <c r="C155" s="2">
        <f>IFERROR(__xludf.DUMMYFUNCTION("""COMPUTED_VALUE"""),181.0)</f>
        <v>181</v>
      </c>
      <c r="D155" s="2">
        <f>IFERROR(__xludf.DUMMYFUNCTION("""COMPUTED_VALUE"""),178.38)</f>
        <v>178.38</v>
      </c>
      <c r="E155" s="2">
        <f>IFERROR(__xludf.DUMMYFUNCTION("""COMPUTED_VALUE"""),180.17)</f>
        <v>180.17</v>
      </c>
      <c r="F155" s="2">
        <f>IFERROR(__xludf.DUMMYFUNCTION("""COMPUTED_VALUE"""),244176.0)</f>
        <v>244176</v>
      </c>
    </row>
    <row r="156">
      <c r="A156" s="3">
        <f>IFERROR(__xludf.DUMMYFUNCTION("""COMPUTED_VALUE"""),38449.645833333336)</f>
        <v>38449.64583</v>
      </c>
      <c r="B156" s="2">
        <f>IFERROR(__xludf.DUMMYFUNCTION("""COMPUTED_VALUE"""),180.13)</f>
        <v>180.13</v>
      </c>
      <c r="C156" s="2">
        <f>IFERROR(__xludf.DUMMYFUNCTION("""COMPUTED_VALUE"""),181.25)</f>
        <v>181.25</v>
      </c>
      <c r="D156" s="2">
        <f>IFERROR(__xludf.DUMMYFUNCTION("""COMPUTED_VALUE"""),177.75)</f>
        <v>177.75</v>
      </c>
      <c r="E156" s="2">
        <f>IFERROR(__xludf.DUMMYFUNCTION("""COMPUTED_VALUE"""),178.15)</f>
        <v>178.15</v>
      </c>
      <c r="F156" s="2">
        <f>IFERROR(__xludf.DUMMYFUNCTION("""COMPUTED_VALUE"""),310402.0)</f>
        <v>310402</v>
      </c>
    </row>
    <row r="157">
      <c r="A157" s="3">
        <f>IFERROR(__xludf.DUMMYFUNCTION("""COMPUTED_VALUE"""),38450.645833333336)</f>
        <v>38450.64583</v>
      </c>
      <c r="B157" s="2">
        <f>IFERROR(__xludf.DUMMYFUNCTION("""COMPUTED_VALUE"""),178.84)</f>
        <v>178.84</v>
      </c>
      <c r="C157" s="2">
        <f>IFERROR(__xludf.DUMMYFUNCTION("""COMPUTED_VALUE"""),179.36)</f>
        <v>179.36</v>
      </c>
      <c r="D157" s="2">
        <f>IFERROR(__xludf.DUMMYFUNCTION("""COMPUTED_VALUE"""),173.76)</f>
        <v>173.76</v>
      </c>
      <c r="E157" s="2">
        <f>IFERROR(__xludf.DUMMYFUNCTION("""COMPUTED_VALUE"""),174.2)</f>
        <v>174.2</v>
      </c>
      <c r="F157" s="2">
        <f>IFERROR(__xludf.DUMMYFUNCTION("""COMPUTED_VALUE"""),506535.0)</f>
        <v>506535</v>
      </c>
    </row>
    <row r="158">
      <c r="A158" s="3">
        <f>IFERROR(__xludf.DUMMYFUNCTION("""COMPUTED_VALUE"""),38453.645833333336)</f>
        <v>38453.64583</v>
      </c>
      <c r="B158" s="2">
        <f>IFERROR(__xludf.DUMMYFUNCTION("""COMPUTED_VALUE"""),174.63)</f>
        <v>174.63</v>
      </c>
      <c r="C158" s="2">
        <f>IFERROR(__xludf.DUMMYFUNCTION("""COMPUTED_VALUE"""),175.0)</f>
        <v>175</v>
      </c>
      <c r="D158" s="2">
        <f>IFERROR(__xludf.DUMMYFUNCTION("""COMPUTED_VALUE"""),170.01)</f>
        <v>170.01</v>
      </c>
      <c r="E158" s="2">
        <f>IFERROR(__xludf.DUMMYFUNCTION("""COMPUTED_VALUE"""),170.45)</f>
        <v>170.45</v>
      </c>
      <c r="F158" s="2">
        <f>IFERROR(__xludf.DUMMYFUNCTION("""COMPUTED_VALUE"""),352874.0)</f>
        <v>352874</v>
      </c>
    </row>
    <row r="159">
      <c r="A159" s="3">
        <f>IFERROR(__xludf.DUMMYFUNCTION("""COMPUTED_VALUE"""),38454.645833333336)</f>
        <v>38454.64583</v>
      </c>
      <c r="B159" s="2">
        <f>IFERROR(__xludf.DUMMYFUNCTION("""COMPUTED_VALUE"""),174.88)</f>
        <v>174.88</v>
      </c>
      <c r="C159" s="2">
        <f>IFERROR(__xludf.DUMMYFUNCTION("""COMPUTED_VALUE"""),174.88)</f>
        <v>174.88</v>
      </c>
      <c r="D159" s="2">
        <f>IFERROR(__xludf.DUMMYFUNCTION("""COMPUTED_VALUE"""),170.63)</f>
        <v>170.63</v>
      </c>
      <c r="E159" s="2">
        <f>IFERROR(__xludf.DUMMYFUNCTION("""COMPUTED_VALUE"""),172.75)</f>
        <v>172.75</v>
      </c>
      <c r="F159" s="2">
        <f>IFERROR(__xludf.DUMMYFUNCTION("""COMPUTED_VALUE"""),514087.0)</f>
        <v>514087</v>
      </c>
    </row>
    <row r="160">
      <c r="A160" s="3">
        <f>IFERROR(__xludf.DUMMYFUNCTION("""COMPUTED_VALUE"""),38455.645833333336)</f>
        <v>38455.64583</v>
      </c>
      <c r="B160" s="2">
        <f>IFERROR(__xludf.DUMMYFUNCTION("""COMPUTED_VALUE"""),174.25)</f>
        <v>174.25</v>
      </c>
      <c r="C160" s="2">
        <f>IFERROR(__xludf.DUMMYFUNCTION("""COMPUTED_VALUE"""),175.88)</f>
        <v>175.88</v>
      </c>
      <c r="D160" s="2">
        <f>IFERROR(__xludf.DUMMYFUNCTION("""COMPUTED_VALUE"""),173.2)</f>
        <v>173.2</v>
      </c>
      <c r="E160" s="2">
        <f>IFERROR(__xludf.DUMMYFUNCTION("""COMPUTED_VALUE"""),175.2)</f>
        <v>175.2</v>
      </c>
      <c r="F160" s="2">
        <f>IFERROR(__xludf.DUMMYFUNCTION("""COMPUTED_VALUE"""),579825.0)</f>
        <v>579825</v>
      </c>
    </row>
    <row r="161">
      <c r="A161" s="3">
        <f>IFERROR(__xludf.DUMMYFUNCTION("""COMPUTED_VALUE"""),38457.645833333336)</f>
        <v>38457.64583</v>
      </c>
      <c r="B161" s="2">
        <f>IFERROR(__xludf.DUMMYFUNCTION("""COMPUTED_VALUE"""),174.38)</f>
        <v>174.38</v>
      </c>
      <c r="C161" s="2">
        <f>IFERROR(__xludf.DUMMYFUNCTION("""COMPUTED_VALUE"""),174.38)</f>
        <v>174.38</v>
      </c>
      <c r="D161" s="2">
        <f>IFERROR(__xludf.DUMMYFUNCTION("""COMPUTED_VALUE"""),164.38)</f>
        <v>164.38</v>
      </c>
      <c r="E161" s="2">
        <f>IFERROR(__xludf.DUMMYFUNCTION("""COMPUTED_VALUE"""),164.88)</f>
        <v>164.88</v>
      </c>
      <c r="F161" s="2">
        <f>IFERROR(__xludf.DUMMYFUNCTION("""COMPUTED_VALUE"""),1232810.0)</f>
        <v>1232810</v>
      </c>
    </row>
    <row r="162">
      <c r="A162" s="3">
        <f>IFERROR(__xludf.DUMMYFUNCTION("""COMPUTED_VALUE"""),38460.645833333336)</f>
        <v>38460.64583</v>
      </c>
      <c r="B162" s="2">
        <f>IFERROR(__xludf.DUMMYFUNCTION("""COMPUTED_VALUE"""),162.5)</f>
        <v>162.5</v>
      </c>
      <c r="C162" s="2">
        <f>IFERROR(__xludf.DUMMYFUNCTION("""COMPUTED_VALUE"""),168.59)</f>
        <v>168.59</v>
      </c>
      <c r="D162" s="2">
        <f>IFERROR(__xludf.DUMMYFUNCTION("""COMPUTED_VALUE"""),161.38)</f>
        <v>161.38</v>
      </c>
      <c r="E162" s="2">
        <f>IFERROR(__xludf.DUMMYFUNCTION("""COMPUTED_VALUE"""),164.83)</f>
        <v>164.83</v>
      </c>
      <c r="F162" s="2">
        <f>IFERROR(__xludf.DUMMYFUNCTION("""COMPUTED_VALUE"""),753038.0)</f>
        <v>753038</v>
      </c>
    </row>
    <row r="163">
      <c r="A163" s="3">
        <f>IFERROR(__xludf.DUMMYFUNCTION("""COMPUTED_VALUE"""),38461.645833333336)</f>
        <v>38461.64583</v>
      </c>
      <c r="B163" s="2">
        <f>IFERROR(__xludf.DUMMYFUNCTION("""COMPUTED_VALUE"""),166.25)</f>
        <v>166.25</v>
      </c>
      <c r="C163" s="2">
        <f>IFERROR(__xludf.DUMMYFUNCTION("""COMPUTED_VALUE"""),168.61)</f>
        <v>168.61</v>
      </c>
      <c r="D163" s="2">
        <f>IFERROR(__xludf.DUMMYFUNCTION("""COMPUTED_VALUE"""),147.26)</f>
        <v>147.26</v>
      </c>
      <c r="E163" s="2">
        <f>IFERROR(__xludf.DUMMYFUNCTION("""COMPUTED_VALUE"""),151.09)</f>
        <v>151.09</v>
      </c>
      <c r="F163" s="2">
        <f>IFERROR(__xludf.DUMMYFUNCTION("""COMPUTED_VALUE"""),3404394.0)</f>
        <v>3404394</v>
      </c>
    </row>
    <row r="164">
      <c r="A164" s="3">
        <f>IFERROR(__xludf.DUMMYFUNCTION("""COMPUTED_VALUE"""),38462.645833333336)</f>
        <v>38462.64583</v>
      </c>
      <c r="B164" s="2">
        <f>IFERROR(__xludf.DUMMYFUNCTION("""COMPUTED_VALUE"""),150.0)</f>
        <v>150</v>
      </c>
      <c r="C164" s="2">
        <f>IFERROR(__xludf.DUMMYFUNCTION("""COMPUTED_VALUE"""),150.0)</f>
        <v>150</v>
      </c>
      <c r="D164" s="2">
        <f>IFERROR(__xludf.DUMMYFUNCTION("""COMPUTED_VALUE"""),136.66)</f>
        <v>136.66</v>
      </c>
      <c r="E164" s="2">
        <f>IFERROR(__xludf.DUMMYFUNCTION("""COMPUTED_VALUE"""),139.53)</f>
        <v>139.53</v>
      </c>
      <c r="F164" s="2">
        <f>IFERROR(__xludf.DUMMYFUNCTION("""COMPUTED_VALUE"""),5937282.0)</f>
        <v>5937282</v>
      </c>
    </row>
    <row r="165">
      <c r="A165" s="3">
        <f>IFERROR(__xludf.DUMMYFUNCTION("""COMPUTED_VALUE"""),38463.645833333336)</f>
        <v>38463.64583</v>
      </c>
      <c r="B165" s="2">
        <f>IFERROR(__xludf.DUMMYFUNCTION("""COMPUTED_VALUE"""),140.63)</f>
        <v>140.63</v>
      </c>
      <c r="C165" s="2">
        <f>IFERROR(__xludf.DUMMYFUNCTION("""COMPUTED_VALUE"""),143.5)</f>
        <v>143.5</v>
      </c>
      <c r="D165" s="2">
        <f>IFERROR(__xludf.DUMMYFUNCTION("""COMPUTED_VALUE"""),138.75)</f>
        <v>138.75</v>
      </c>
      <c r="E165" s="2">
        <f>IFERROR(__xludf.DUMMYFUNCTION("""COMPUTED_VALUE"""),142.8)</f>
        <v>142.8</v>
      </c>
      <c r="F165" s="2">
        <f>IFERROR(__xludf.DUMMYFUNCTION("""COMPUTED_VALUE"""),1656542.0)</f>
        <v>1656542</v>
      </c>
    </row>
    <row r="166">
      <c r="A166" s="3">
        <f>IFERROR(__xludf.DUMMYFUNCTION("""COMPUTED_VALUE"""),38464.645833333336)</f>
        <v>38464.64583</v>
      </c>
      <c r="B166" s="2">
        <f>IFERROR(__xludf.DUMMYFUNCTION("""COMPUTED_VALUE"""),145.0)</f>
        <v>145</v>
      </c>
      <c r="C166" s="2">
        <f>IFERROR(__xludf.DUMMYFUNCTION("""COMPUTED_VALUE"""),146.46)</f>
        <v>146.46</v>
      </c>
      <c r="D166" s="2">
        <f>IFERROR(__xludf.DUMMYFUNCTION("""COMPUTED_VALUE"""),142.53)</f>
        <v>142.53</v>
      </c>
      <c r="E166" s="2">
        <f>IFERROR(__xludf.DUMMYFUNCTION("""COMPUTED_VALUE"""),145.85)</f>
        <v>145.85</v>
      </c>
      <c r="F166" s="2">
        <f>IFERROR(__xludf.DUMMYFUNCTION("""COMPUTED_VALUE"""),1619834.0)</f>
        <v>1619834</v>
      </c>
    </row>
    <row r="167">
      <c r="A167" s="3">
        <f>IFERROR(__xludf.DUMMYFUNCTION("""COMPUTED_VALUE"""),38467.645833333336)</f>
        <v>38467.64583</v>
      </c>
      <c r="B167" s="2">
        <f>IFERROR(__xludf.DUMMYFUNCTION("""COMPUTED_VALUE"""),145.6)</f>
        <v>145.6</v>
      </c>
      <c r="C167" s="2">
        <f>IFERROR(__xludf.DUMMYFUNCTION("""COMPUTED_VALUE"""),145.99)</f>
        <v>145.99</v>
      </c>
      <c r="D167" s="2">
        <f>IFERROR(__xludf.DUMMYFUNCTION("""COMPUTED_VALUE"""),143.5)</f>
        <v>143.5</v>
      </c>
      <c r="E167" s="2">
        <f>IFERROR(__xludf.DUMMYFUNCTION("""COMPUTED_VALUE"""),144.62)</f>
        <v>144.62</v>
      </c>
      <c r="F167" s="2">
        <f>IFERROR(__xludf.DUMMYFUNCTION("""COMPUTED_VALUE"""),860073.0)</f>
        <v>860073</v>
      </c>
    </row>
    <row r="168">
      <c r="A168" s="3">
        <f>IFERROR(__xludf.DUMMYFUNCTION("""COMPUTED_VALUE"""),38468.645833333336)</f>
        <v>38468.64583</v>
      </c>
      <c r="B168" s="2">
        <f>IFERROR(__xludf.DUMMYFUNCTION("""COMPUTED_VALUE"""),144.63)</f>
        <v>144.63</v>
      </c>
      <c r="C168" s="2">
        <f>IFERROR(__xludf.DUMMYFUNCTION("""COMPUTED_VALUE"""),145.48)</f>
        <v>145.48</v>
      </c>
      <c r="D168" s="2">
        <f>IFERROR(__xludf.DUMMYFUNCTION("""COMPUTED_VALUE"""),141.76)</f>
        <v>141.76</v>
      </c>
      <c r="E168" s="2">
        <f>IFERROR(__xludf.DUMMYFUNCTION("""COMPUTED_VALUE"""),142.09)</f>
        <v>142.09</v>
      </c>
      <c r="F168" s="2">
        <f>IFERROR(__xludf.DUMMYFUNCTION("""COMPUTED_VALUE"""),692375.0)</f>
        <v>692375</v>
      </c>
    </row>
    <row r="169">
      <c r="A169" s="3">
        <f>IFERROR(__xludf.DUMMYFUNCTION("""COMPUTED_VALUE"""),38469.645833333336)</f>
        <v>38469.64583</v>
      </c>
      <c r="B169" s="2">
        <f>IFERROR(__xludf.DUMMYFUNCTION("""COMPUTED_VALUE"""),142.64)</f>
        <v>142.64</v>
      </c>
      <c r="C169" s="2">
        <f>IFERROR(__xludf.DUMMYFUNCTION("""COMPUTED_VALUE"""),142.64)</f>
        <v>142.64</v>
      </c>
      <c r="D169" s="2">
        <f>IFERROR(__xludf.DUMMYFUNCTION("""COMPUTED_VALUE"""),138.88)</f>
        <v>138.88</v>
      </c>
      <c r="E169" s="2">
        <f>IFERROR(__xludf.DUMMYFUNCTION("""COMPUTED_VALUE"""),139.46)</f>
        <v>139.46</v>
      </c>
      <c r="F169" s="2">
        <f>IFERROR(__xludf.DUMMYFUNCTION("""COMPUTED_VALUE"""),817171.0)</f>
        <v>817171</v>
      </c>
    </row>
    <row r="170">
      <c r="A170" s="3">
        <f>IFERROR(__xludf.DUMMYFUNCTION("""COMPUTED_VALUE"""),38470.645833333336)</f>
        <v>38470.64583</v>
      </c>
      <c r="B170" s="2">
        <f>IFERROR(__xludf.DUMMYFUNCTION("""COMPUTED_VALUE"""),139.39)</f>
        <v>139.39</v>
      </c>
      <c r="C170" s="2">
        <f>IFERROR(__xludf.DUMMYFUNCTION("""COMPUTED_VALUE"""),141.25)</f>
        <v>141.25</v>
      </c>
      <c r="D170" s="2">
        <f>IFERROR(__xludf.DUMMYFUNCTION("""COMPUTED_VALUE"""),137.15)</f>
        <v>137.15</v>
      </c>
      <c r="E170" s="2">
        <f>IFERROR(__xludf.DUMMYFUNCTION("""COMPUTED_VALUE"""),139.35)</f>
        <v>139.35</v>
      </c>
      <c r="F170" s="2">
        <f>IFERROR(__xludf.DUMMYFUNCTION("""COMPUTED_VALUE"""),1091109.0)</f>
        <v>1091109</v>
      </c>
    </row>
    <row r="171">
      <c r="A171" s="3">
        <f>IFERROR(__xludf.DUMMYFUNCTION("""COMPUTED_VALUE"""),38471.645833333336)</f>
        <v>38471.64583</v>
      </c>
      <c r="B171" s="2">
        <f>IFERROR(__xludf.DUMMYFUNCTION("""COMPUTED_VALUE"""),141.1)</f>
        <v>141.1</v>
      </c>
      <c r="C171" s="2">
        <f>IFERROR(__xludf.DUMMYFUNCTION("""COMPUTED_VALUE"""),143.09)</f>
        <v>143.09</v>
      </c>
      <c r="D171" s="2">
        <f>IFERROR(__xludf.DUMMYFUNCTION("""COMPUTED_VALUE"""),139.63)</f>
        <v>139.63</v>
      </c>
      <c r="E171" s="2">
        <f>IFERROR(__xludf.DUMMYFUNCTION("""COMPUTED_VALUE"""),141.39)</f>
        <v>141.39</v>
      </c>
      <c r="F171" s="2">
        <f>IFERROR(__xludf.DUMMYFUNCTION("""COMPUTED_VALUE"""),1383213.0)</f>
        <v>1383213</v>
      </c>
    </row>
    <row r="172">
      <c r="A172" s="3">
        <f>IFERROR(__xludf.DUMMYFUNCTION("""COMPUTED_VALUE"""),38474.645833333336)</f>
        <v>38474.64583</v>
      </c>
      <c r="B172" s="2">
        <f>IFERROR(__xludf.DUMMYFUNCTION("""COMPUTED_VALUE"""),143.75)</f>
        <v>143.75</v>
      </c>
      <c r="C172" s="2">
        <f>IFERROR(__xludf.DUMMYFUNCTION("""COMPUTED_VALUE"""),147.25)</f>
        <v>147.25</v>
      </c>
      <c r="D172" s="2">
        <f>IFERROR(__xludf.DUMMYFUNCTION("""COMPUTED_VALUE"""),139.76)</f>
        <v>139.76</v>
      </c>
      <c r="E172" s="2">
        <f>IFERROR(__xludf.DUMMYFUNCTION("""COMPUTED_VALUE"""),141.11)</f>
        <v>141.11</v>
      </c>
      <c r="F172" s="2">
        <f>IFERROR(__xludf.DUMMYFUNCTION("""COMPUTED_VALUE"""),641200.0)</f>
        <v>641200</v>
      </c>
    </row>
    <row r="173">
      <c r="A173" s="3">
        <f>IFERROR(__xludf.DUMMYFUNCTION("""COMPUTED_VALUE"""),38475.645833333336)</f>
        <v>38475.64583</v>
      </c>
      <c r="B173" s="2">
        <f>IFERROR(__xludf.DUMMYFUNCTION("""COMPUTED_VALUE"""),141.25)</f>
        <v>141.25</v>
      </c>
      <c r="C173" s="2">
        <f>IFERROR(__xludf.DUMMYFUNCTION("""COMPUTED_VALUE"""),141.88)</f>
        <v>141.88</v>
      </c>
      <c r="D173" s="2">
        <f>IFERROR(__xludf.DUMMYFUNCTION("""COMPUTED_VALUE"""),138.17)</f>
        <v>138.17</v>
      </c>
      <c r="E173" s="2">
        <f>IFERROR(__xludf.DUMMYFUNCTION("""COMPUTED_VALUE"""),138.57)</f>
        <v>138.57</v>
      </c>
      <c r="F173" s="2">
        <f>IFERROR(__xludf.DUMMYFUNCTION("""COMPUTED_VALUE"""),687881.0)</f>
        <v>687881</v>
      </c>
    </row>
    <row r="174">
      <c r="A174" s="3">
        <f>IFERROR(__xludf.DUMMYFUNCTION("""COMPUTED_VALUE"""),38476.645833333336)</f>
        <v>38476.64583</v>
      </c>
      <c r="B174" s="2">
        <f>IFERROR(__xludf.DUMMYFUNCTION("""COMPUTED_VALUE"""),138.31)</f>
        <v>138.31</v>
      </c>
      <c r="C174" s="2">
        <f>IFERROR(__xludf.DUMMYFUNCTION("""COMPUTED_VALUE"""),140.56)</f>
        <v>140.56</v>
      </c>
      <c r="D174" s="2">
        <f>IFERROR(__xludf.DUMMYFUNCTION("""COMPUTED_VALUE"""),138.31)</f>
        <v>138.31</v>
      </c>
      <c r="E174" s="2">
        <f>IFERROR(__xludf.DUMMYFUNCTION("""COMPUTED_VALUE"""),140.11)</f>
        <v>140.11</v>
      </c>
      <c r="F174" s="2">
        <f>IFERROR(__xludf.DUMMYFUNCTION("""COMPUTED_VALUE"""),599018.0)</f>
        <v>599018</v>
      </c>
    </row>
    <row r="175">
      <c r="A175" s="3">
        <f>IFERROR(__xludf.DUMMYFUNCTION("""COMPUTED_VALUE"""),38477.645833333336)</f>
        <v>38477.64583</v>
      </c>
      <c r="B175" s="2">
        <f>IFERROR(__xludf.DUMMYFUNCTION("""COMPUTED_VALUE"""),143.74)</f>
        <v>143.74</v>
      </c>
      <c r="C175" s="2">
        <f>IFERROR(__xludf.DUMMYFUNCTION("""COMPUTED_VALUE"""),143.75)</f>
        <v>143.75</v>
      </c>
      <c r="D175" s="2">
        <f>IFERROR(__xludf.DUMMYFUNCTION("""COMPUTED_VALUE"""),140.7)</f>
        <v>140.7</v>
      </c>
      <c r="E175" s="2">
        <f>IFERROR(__xludf.DUMMYFUNCTION("""COMPUTED_VALUE"""),142.11)</f>
        <v>142.11</v>
      </c>
      <c r="F175" s="2">
        <f>IFERROR(__xludf.DUMMYFUNCTION("""COMPUTED_VALUE"""),811883.0)</f>
        <v>811883</v>
      </c>
    </row>
    <row r="176">
      <c r="A176" s="3">
        <f>IFERROR(__xludf.DUMMYFUNCTION("""COMPUTED_VALUE"""),38478.645833333336)</f>
        <v>38478.64583</v>
      </c>
      <c r="B176" s="2">
        <f>IFERROR(__xludf.DUMMYFUNCTION("""COMPUTED_VALUE"""),142.5)</f>
        <v>142.5</v>
      </c>
      <c r="C176" s="2">
        <f>IFERROR(__xludf.DUMMYFUNCTION("""COMPUTED_VALUE"""),146.46)</f>
        <v>146.46</v>
      </c>
      <c r="D176" s="2">
        <f>IFERROR(__xludf.DUMMYFUNCTION("""COMPUTED_VALUE"""),141.52)</f>
        <v>141.52</v>
      </c>
      <c r="E176" s="2">
        <f>IFERROR(__xludf.DUMMYFUNCTION("""COMPUTED_VALUE"""),145.94)</f>
        <v>145.94</v>
      </c>
      <c r="F176" s="2">
        <f>IFERROR(__xludf.DUMMYFUNCTION("""COMPUTED_VALUE"""),1023583.0)</f>
        <v>1023583</v>
      </c>
    </row>
    <row r="177">
      <c r="A177" s="3">
        <f>IFERROR(__xludf.DUMMYFUNCTION("""COMPUTED_VALUE"""),38481.645833333336)</f>
        <v>38481.64583</v>
      </c>
      <c r="B177" s="2">
        <f>IFERROR(__xludf.DUMMYFUNCTION("""COMPUTED_VALUE"""),146.25)</f>
        <v>146.25</v>
      </c>
      <c r="C177" s="2">
        <f>IFERROR(__xludf.DUMMYFUNCTION("""COMPUTED_VALUE"""),147.78)</f>
        <v>147.78</v>
      </c>
      <c r="D177" s="2">
        <f>IFERROR(__xludf.DUMMYFUNCTION("""COMPUTED_VALUE"""),145.78)</f>
        <v>145.78</v>
      </c>
      <c r="E177" s="2">
        <f>IFERROR(__xludf.DUMMYFUNCTION("""COMPUTED_VALUE"""),146.91)</f>
        <v>146.91</v>
      </c>
      <c r="F177" s="2">
        <f>IFERROR(__xludf.DUMMYFUNCTION("""COMPUTED_VALUE"""),592380.0)</f>
        <v>592380</v>
      </c>
    </row>
    <row r="178">
      <c r="A178" s="3">
        <f>IFERROR(__xludf.DUMMYFUNCTION("""COMPUTED_VALUE"""),38482.645833333336)</f>
        <v>38482.64583</v>
      </c>
      <c r="B178" s="2">
        <f>IFERROR(__xludf.DUMMYFUNCTION("""COMPUTED_VALUE"""),147.25)</f>
        <v>147.25</v>
      </c>
      <c r="C178" s="2">
        <f>IFERROR(__xludf.DUMMYFUNCTION("""COMPUTED_VALUE"""),147.25)</f>
        <v>147.25</v>
      </c>
      <c r="D178" s="2">
        <f>IFERROR(__xludf.DUMMYFUNCTION("""COMPUTED_VALUE"""),143.28)</f>
        <v>143.28</v>
      </c>
      <c r="E178" s="2">
        <f>IFERROR(__xludf.DUMMYFUNCTION("""COMPUTED_VALUE"""),144.06)</f>
        <v>144.06</v>
      </c>
      <c r="F178" s="2">
        <f>IFERROR(__xludf.DUMMYFUNCTION("""COMPUTED_VALUE"""),884494.0)</f>
        <v>884494</v>
      </c>
    </row>
    <row r="179">
      <c r="A179" s="3">
        <f>IFERROR(__xludf.DUMMYFUNCTION("""COMPUTED_VALUE"""),38483.645833333336)</f>
        <v>38483.64583</v>
      </c>
      <c r="B179" s="2">
        <f>IFERROR(__xludf.DUMMYFUNCTION("""COMPUTED_VALUE"""),143.5)</f>
        <v>143.5</v>
      </c>
      <c r="C179" s="2">
        <f>IFERROR(__xludf.DUMMYFUNCTION("""COMPUTED_VALUE"""),144.07)</f>
        <v>144.07</v>
      </c>
      <c r="D179" s="2">
        <f>IFERROR(__xludf.DUMMYFUNCTION("""COMPUTED_VALUE"""),142.24)</f>
        <v>142.24</v>
      </c>
      <c r="E179" s="2">
        <f>IFERROR(__xludf.DUMMYFUNCTION("""COMPUTED_VALUE"""),143.64)</f>
        <v>143.64</v>
      </c>
      <c r="F179" s="2">
        <f>IFERROR(__xludf.DUMMYFUNCTION("""COMPUTED_VALUE"""),401661.0)</f>
        <v>401661</v>
      </c>
    </row>
    <row r="180">
      <c r="A180" s="3">
        <f>IFERROR(__xludf.DUMMYFUNCTION("""COMPUTED_VALUE"""),38484.645833333336)</f>
        <v>38484.64583</v>
      </c>
      <c r="B180" s="2">
        <f>IFERROR(__xludf.DUMMYFUNCTION("""COMPUTED_VALUE"""),144.88)</f>
        <v>144.88</v>
      </c>
      <c r="C180" s="2">
        <f>IFERROR(__xludf.DUMMYFUNCTION("""COMPUTED_VALUE"""),145.21)</f>
        <v>145.21</v>
      </c>
      <c r="D180" s="2">
        <f>IFERROR(__xludf.DUMMYFUNCTION("""COMPUTED_VALUE"""),142.9)</f>
        <v>142.9</v>
      </c>
      <c r="E180" s="2">
        <f>IFERROR(__xludf.DUMMYFUNCTION("""COMPUTED_VALUE"""),143.35)</f>
        <v>143.35</v>
      </c>
      <c r="F180" s="2">
        <f>IFERROR(__xludf.DUMMYFUNCTION("""COMPUTED_VALUE"""),451118.0)</f>
        <v>451118</v>
      </c>
    </row>
    <row r="181">
      <c r="A181" s="3">
        <f>IFERROR(__xludf.DUMMYFUNCTION("""COMPUTED_VALUE"""),38485.645833333336)</f>
        <v>38485.64583</v>
      </c>
      <c r="B181" s="2">
        <f>IFERROR(__xludf.DUMMYFUNCTION("""COMPUTED_VALUE"""),143.63)</f>
        <v>143.63</v>
      </c>
      <c r="C181" s="2">
        <f>IFERROR(__xludf.DUMMYFUNCTION("""COMPUTED_VALUE"""),143.88)</f>
        <v>143.88</v>
      </c>
      <c r="D181" s="2">
        <f>IFERROR(__xludf.DUMMYFUNCTION("""COMPUTED_VALUE"""),142.52)</f>
        <v>142.52</v>
      </c>
      <c r="E181" s="2">
        <f>IFERROR(__xludf.DUMMYFUNCTION("""COMPUTED_VALUE"""),143.57)</f>
        <v>143.57</v>
      </c>
      <c r="F181" s="2">
        <f>IFERROR(__xludf.DUMMYFUNCTION("""COMPUTED_VALUE"""),298594.0)</f>
        <v>298594</v>
      </c>
    </row>
    <row r="182">
      <c r="A182" s="3">
        <f>IFERROR(__xludf.DUMMYFUNCTION("""COMPUTED_VALUE"""),38488.645833333336)</f>
        <v>38488.64583</v>
      </c>
      <c r="B182" s="2">
        <f>IFERROR(__xludf.DUMMYFUNCTION("""COMPUTED_VALUE"""),143.13)</f>
        <v>143.13</v>
      </c>
      <c r="C182" s="2">
        <f>IFERROR(__xludf.DUMMYFUNCTION("""COMPUTED_VALUE"""),144.86)</f>
        <v>144.86</v>
      </c>
      <c r="D182" s="2">
        <f>IFERROR(__xludf.DUMMYFUNCTION("""COMPUTED_VALUE"""),142.78)</f>
        <v>142.78</v>
      </c>
      <c r="E182" s="2">
        <f>IFERROR(__xludf.DUMMYFUNCTION("""COMPUTED_VALUE"""),144.29)</f>
        <v>144.29</v>
      </c>
      <c r="F182" s="2">
        <f>IFERROR(__xludf.DUMMYFUNCTION("""COMPUTED_VALUE"""),721900.0)</f>
        <v>721900</v>
      </c>
    </row>
    <row r="183">
      <c r="A183" s="3">
        <f>IFERROR(__xludf.DUMMYFUNCTION("""COMPUTED_VALUE"""),38489.645833333336)</f>
        <v>38489.64583</v>
      </c>
      <c r="B183" s="2">
        <f>IFERROR(__xludf.DUMMYFUNCTION("""COMPUTED_VALUE"""),145.14)</f>
        <v>145.14</v>
      </c>
      <c r="C183" s="2">
        <f>IFERROR(__xludf.DUMMYFUNCTION("""COMPUTED_VALUE"""),145.59)</f>
        <v>145.59</v>
      </c>
      <c r="D183" s="2">
        <f>IFERROR(__xludf.DUMMYFUNCTION("""COMPUTED_VALUE"""),143.05)</f>
        <v>143.05</v>
      </c>
      <c r="E183" s="2">
        <f>IFERROR(__xludf.DUMMYFUNCTION("""COMPUTED_VALUE"""),143.82)</f>
        <v>143.82</v>
      </c>
      <c r="F183" s="2">
        <f>IFERROR(__xludf.DUMMYFUNCTION("""COMPUTED_VALUE"""),583322.0)</f>
        <v>583322</v>
      </c>
    </row>
    <row r="184">
      <c r="A184" s="3">
        <f>IFERROR(__xludf.DUMMYFUNCTION("""COMPUTED_VALUE"""),38490.645833333336)</f>
        <v>38490.64583</v>
      </c>
      <c r="B184" s="2">
        <f>IFERROR(__xludf.DUMMYFUNCTION("""COMPUTED_VALUE"""),144.25)</f>
        <v>144.25</v>
      </c>
      <c r="C184" s="2">
        <f>IFERROR(__xludf.DUMMYFUNCTION("""COMPUTED_VALUE"""),144.25)</f>
        <v>144.25</v>
      </c>
      <c r="D184" s="2">
        <f>IFERROR(__xludf.DUMMYFUNCTION("""COMPUTED_VALUE"""),140.38)</f>
        <v>140.38</v>
      </c>
      <c r="E184" s="2">
        <f>IFERROR(__xludf.DUMMYFUNCTION("""COMPUTED_VALUE"""),142.84)</f>
        <v>142.84</v>
      </c>
      <c r="F184" s="2">
        <f>IFERROR(__xludf.DUMMYFUNCTION("""COMPUTED_VALUE"""),573528.0)</f>
        <v>573528</v>
      </c>
    </row>
    <row r="185">
      <c r="A185" s="3">
        <f>IFERROR(__xludf.DUMMYFUNCTION("""COMPUTED_VALUE"""),38491.645833333336)</f>
        <v>38491.64583</v>
      </c>
      <c r="B185" s="2">
        <f>IFERROR(__xludf.DUMMYFUNCTION("""COMPUTED_VALUE"""),144.18)</f>
        <v>144.18</v>
      </c>
      <c r="C185" s="2">
        <f>IFERROR(__xludf.DUMMYFUNCTION("""COMPUTED_VALUE"""),146.5)</f>
        <v>146.5</v>
      </c>
      <c r="D185" s="2">
        <f>IFERROR(__xludf.DUMMYFUNCTION("""COMPUTED_VALUE"""),144.15)</f>
        <v>144.15</v>
      </c>
      <c r="E185" s="2">
        <f>IFERROR(__xludf.DUMMYFUNCTION("""COMPUTED_VALUE"""),145.31)</f>
        <v>145.31</v>
      </c>
      <c r="F185" s="2">
        <f>IFERROR(__xludf.DUMMYFUNCTION("""COMPUTED_VALUE"""),457431.0)</f>
        <v>457431</v>
      </c>
    </row>
    <row r="186">
      <c r="A186" s="3">
        <f>IFERROR(__xludf.DUMMYFUNCTION("""COMPUTED_VALUE"""),38492.645833333336)</f>
        <v>38492.64583</v>
      </c>
      <c r="B186" s="2">
        <f>IFERROR(__xludf.DUMMYFUNCTION("""COMPUTED_VALUE"""),145.63)</f>
        <v>145.63</v>
      </c>
      <c r="C186" s="2">
        <f>IFERROR(__xludf.DUMMYFUNCTION("""COMPUTED_VALUE"""),146.84)</f>
        <v>146.84</v>
      </c>
      <c r="D186" s="2">
        <f>IFERROR(__xludf.DUMMYFUNCTION("""COMPUTED_VALUE"""),143.4)</f>
        <v>143.4</v>
      </c>
      <c r="E186" s="2">
        <f>IFERROR(__xludf.DUMMYFUNCTION("""COMPUTED_VALUE"""),146.21)</f>
        <v>146.21</v>
      </c>
      <c r="F186" s="2">
        <f>IFERROR(__xludf.DUMMYFUNCTION("""COMPUTED_VALUE"""),408202.0)</f>
        <v>408202</v>
      </c>
    </row>
    <row r="187">
      <c r="A187" s="3">
        <f>IFERROR(__xludf.DUMMYFUNCTION("""COMPUTED_VALUE"""),38495.645833333336)</f>
        <v>38495.64583</v>
      </c>
      <c r="B187" s="2">
        <f>IFERROR(__xludf.DUMMYFUNCTION("""COMPUTED_VALUE"""),146.25)</f>
        <v>146.25</v>
      </c>
      <c r="C187" s="2">
        <f>IFERROR(__xludf.DUMMYFUNCTION("""COMPUTED_VALUE"""),154.36)</f>
        <v>154.36</v>
      </c>
      <c r="D187" s="2">
        <f>IFERROR(__xludf.DUMMYFUNCTION("""COMPUTED_VALUE"""),146.25)</f>
        <v>146.25</v>
      </c>
      <c r="E187" s="2">
        <f>IFERROR(__xludf.DUMMYFUNCTION("""COMPUTED_VALUE"""),152.98)</f>
        <v>152.98</v>
      </c>
      <c r="F187" s="2">
        <f>IFERROR(__xludf.DUMMYFUNCTION("""COMPUTED_VALUE"""),1295252.0)</f>
        <v>1295252</v>
      </c>
    </row>
    <row r="188">
      <c r="A188" s="3">
        <f>IFERROR(__xludf.DUMMYFUNCTION("""COMPUTED_VALUE"""),38496.645833333336)</f>
        <v>38496.64583</v>
      </c>
      <c r="B188" s="2">
        <f>IFERROR(__xludf.DUMMYFUNCTION("""COMPUTED_VALUE"""),155.59)</f>
        <v>155.59</v>
      </c>
      <c r="C188" s="2">
        <f>IFERROR(__xludf.DUMMYFUNCTION("""COMPUTED_VALUE"""),155.59)</f>
        <v>155.59</v>
      </c>
      <c r="D188" s="2">
        <f>IFERROR(__xludf.DUMMYFUNCTION("""COMPUTED_VALUE"""),150.66)</f>
        <v>150.66</v>
      </c>
      <c r="E188" s="2">
        <f>IFERROR(__xludf.DUMMYFUNCTION("""COMPUTED_VALUE"""),154.36)</f>
        <v>154.36</v>
      </c>
      <c r="F188" s="2">
        <f>IFERROR(__xludf.DUMMYFUNCTION("""COMPUTED_VALUE"""),766107.0)</f>
        <v>766107</v>
      </c>
    </row>
    <row r="189">
      <c r="A189" s="3">
        <f>IFERROR(__xludf.DUMMYFUNCTION("""COMPUTED_VALUE"""),38497.645833333336)</f>
        <v>38497.64583</v>
      </c>
      <c r="B189" s="2">
        <f>IFERROR(__xludf.DUMMYFUNCTION("""COMPUTED_VALUE"""),153.71)</f>
        <v>153.71</v>
      </c>
      <c r="C189" s="2">
        <f>IFERROR(__xludf.DUMMYFUNCTION("""COMPUTED_VALUE"""),158.68)</f>
        <v>158.68</v>
      </c>
      <c r="D189" s="2">
        <f>IFERROR(__xludf.DUMMYFUNCTION("""COMPUTED_VALUE"""),151.88)</f>
        <v>151.88</v>
      </c>
      <c r="E189" s="2">
        <f>IFERROR(__xludf.DUMMYFUNCTION("""COMPUTED_VALUE"""),157.57)</f>
        <v>157.57</v>
      </c>
      <c r="F189" s="2">
        <f>IFERROR(__xludf.DUMMYFUNCTION("""COMPUTED_VALUE"""),986809.0)</f>
        <v>986809</v>
      </c>
    </row>
    <row r="190">
      <c r="A190" s="3">
        <f>IFERROR(__xludf.DUMMYFUNCTION("""COMPUTED_VALUE"""),38498.645833333336)</f>
        <v>38498.64583</v>
      </c>
      <c r="B190" s="2">
        <f>IFERROR(__xludf.DUMMYFUNCTION("""COMPUTED_VALUE"""),157.25)</f>
        <v>157.25</v>
      </c>
      <c r="C190" s="2">
        <f>IFERROR(__xludf.DUMMYFUNCTION("""COMPUTED_VALUE"""),162.0)</f>
        <v>162</v>
      </c>
      <c r="D190" s="2">
        <f>IFERROR(__xludf.DUMMYFUNCTION("""COMPUTED_VALUE"""),156.4)</f>
        <v>156.4</v>
      </c>
      <c r="E190" s="2">
        <f>IFERROR(__xludf.DUMMYFUNCTION("""COMPUTED_VALUE"""),161.26)</f>
        <v>161.26</v>
      </c>
      <c r="F190" s="2">
        <f>IFERROR(__xludf.DUMMYFUNCTION("""COMPUTED_VALUE"""),1222762.0)</f>
        <v>1222762</v>
      </c>
    </row>
    <row r="191">
      <c r="A191" s="3">
        <f>IFERROR(__xludf.DUMMYFUNCTION("""COMPUTED_VALUE"""),38499.645833333336)</f>
        <v>38499.64583</v>
      </c>
      <c r="B191" s="2">
        <f>IFERROR(__xludf.DUMMYFUNCTION("""COMPUTED_VALUE"""),160.38)</f>
        <v>160.38</v>
      </c>
      <c r="C191" s="2">
        <f>IFERROR(__xludf.DUMMYFUNCTION("""COMPUTED_VALUE"""),162.38)</f>
        <v>162.38</v>
      </c>
      <c r="D191" s="2">
        <f>IFERROR(__xludf.DUMMYFUNCTION("""COMPUTED_VALUE"""),156.91)</f>
        <v>156.91</v>
      </c>
      <c r="E191" s="2">
        <f>IFERROR(__xludf.DUMMYFUNCTION("""COMPUTED_VALUE"""),158.65)</f>
        <v>158.65</v>
      </c>
      <c r="F191" s="2">
        <f>IFERROR(__xludf.DUMMYFUNCTION("""COMPUTED_VALUE"""),920435.0)</f>
        <v>920435</v>
      </c>
    </row>
    <row r="192">
      <c r="A192" s="3">
        <f>IFERROR(__xludf.DUMMYFUNCTION("""COMPUTED_VALUE"""),38502.645833333336)</f>
        <v>38502.64583</v>
      </c>
      <c r="B192" s="2">
        <f>IFERROR(__xludf.DUMMYFUNCTION("""COMPUTED_VALUE"""),158.65)</f>
        <v>158.65</v>
      </c>
      <c r="C192" s="2">
        <f>IFERROR(__xludf.DUMMYFUNCTION("""COMPUTED_VALUE"""),166.63)</f>
        <v>166.63</v>
      </c>
      <c r="D192" s="2">
        <f>IFERROR(__xludf.DUMMYFUNCTION("""COMPUTED_VALUE"""),158.0)</f>
        <v>158</v>
      </c>
      <c r="E192" s="2">
        <f>IFERROR(__xludf.DUMMYFUNCTION("""COMPUTED_VALUE"""),164.89)</f>
        <v>164.89</v>
      </c>
      <c r="F192" s="2">
        <f>IFERROR(__xludf.DUMMYFUNCTION("""COMPUTED_VALUE"""),2236648.0)</f>
        <v>2236648</v>
      </c>
    </row>
    <row r="193">
      <c r="A193" s="3">
        <f>IFERROR(__xludf.DUMMYFUNCTION("""COMPUTED_VALUE"""),38503.645833333336)</f>
        <v>38503.64583</v>
      </c>
      <c r="B193" s="2">
        <f>IFERROR(__xludf.DUMMYFUNCTION("""COMPUTED_VALUE"""),165.0)</f>
        <v>165</v>
      </c>
      <c r="C193" s="2">
        <f>IFERROR(__xludf.DUMMYFUNCTION("""COMPUTED_VALUE"""),167.86)</f>
        <v>167.86</v>
      </c>
      <c r="D193" s="2">
        <f>IFERROR(__xludf.DUMMYFUNCTION("""COMPUTED_VALUE"""),163.2)</f>
        <v>163.2</v>
      </c>
      <c r="E193" s="2">
        <f>IFERROR(__xludf.DUMMYFUNCTION("""COMPUTED_VALUE"""),166.78)</f>
        <v>166.78</v>
      </c>
      <c r="F193" s="2">
        <f>IFERROR(__xludf.DUMMYFUNCTION("""COMPUTED_VALUE"""),1295696.0)</f>
        <v>1295696</v>
      </c>
    </row>
    <row r="194">
      <c r="A194" s="3">
        <f>IFERROR(__xludf.DUMMYFUNCTION("""COMPUTED_VALUE"""),38504.645833333336)</f>
        <v>38504.64583</v>
      </c>
      <c r="B194" s="2">
        <f>IFERROR(__xludf.DUMMYFUNCTION("""COMPUTED_VALUE"""),166.25)</f>
        <v>166.25</v>
      </c>
      <c r="C194" s="2">
        <f>IFERROR(__xludf.DUMMYFUNCTION("""COMPUTED_VALUE"""),166.25)</f>
        <v>166.25</v>
      </c>
      <c r="D194" s="2">
        <f>IFERROR(__xludf.DUMMYFUNCTION("""COMPUTED_VALUE"""),162.2)</f>
        <v>162.2</v>
      </c>
      <c r="E194" s="2">
        <f>IFERROR(__xludf.DUMMYFUNCTION("""COMPUTED_VALUE"""),163.06)</f>
        <v>163.06</v>
      </c>
      <c r="F194" s="2">
        <f>IFERROR(__xludf.DUMMYFUNCTION("""COMPUTED_VALUE"""),941261.0)</f>
        <v>941261</v>
      </c>
    </row>
    <row r="195">
      <c r="A195" s="3">
        <f>IFERROR(__xludf.DUMMYFUNCTION("""COMPUTED_VALUE"""),38505.645833333336)</f>
        <v>38505.64583</v>
      </c>
      <c r="B195" s="2">
        <f>IFERROR(__xludf.DUMMYFUNCTION("""COMPUTED_VALUE"""),163.5)</f>
        <v>163.5</v>
      </c>
      <c r="C195" s="2">
        <f>IFERROR(__xludf.DUMMYFUNCTION("""COMPUTED_VALUE"""),163.63)</f>
        <v>163.63</v>
      </c>
      <c r="D195" s="2">
        <f>IFERROR(__xludf.DUMMYFUNCTION("""COMPUTED_VALUE"""),158.14)</f>
        <v>158.14</v>
      </c>
      <c r="E195" s="2">
        <f>IFERROR(__xludf.DUMMYFUNCTION("""COMPUTED_VALUE"""),158.57)</f>
        <v>158.57</v>
      </c>
      <c r="F195" s="2">
        <f>IFERROR(__xludf.DUMMYFUNCTION("""COMPUTED_VALUE"""),1384578.0)</f>
        <v>1384578</v>
      </c>
    </row>
    <row r="196">
      <c r="A196" s="3">
        <f>IFERROR(__xludf.DUMMYFUNCTION("""COMPUTED_VALUE"""),38506.645833333336)</f>
        <v>38506.64583</v>
      </c>
      <c r="B196" s="2">
        <f>IFERROR(__xludf.DUMMYFUNCTION("""COMPUTED_VALUE"""),158.57)</f>
        <v>158.57</v>
      </c>
      <c r="C196" s="2">
        <f>IFERROR(__xludf.DUMMYFUNCTION("""COMPUTED_VALUE"""),162.09)</f>
        <v>162.09</v>
      </c>
      <c r="D196" s="2">
        <f>IFERROR(__xludf.DUMMYFUNCTION("""COMPUTED_VALUE"""),157.63)</f>
        <v>157.63</v>
      </c>
      <c r="E196" s="2">
        <f>IFERROR(__xludf.DUMMYFUNCTION("""COMPUTED_VALUE"""),161.65)</f>
        <v>161.65</v>
      </c>
      <c r="F196" s="2">
        <f>IFERROR(__xludf.DUMMYFUNCTION("""COMPUTED_VALUE"""),818566.0)</f>
        <v>818566</v>
      </c>
    </row>
    <row r="197">
      <c r="A197" s="3">
        <f>IFERROR(__xludf.DUMMYFUNCTION("""COMPUTED_VALUE"""),38509.645833333336)</f>
        <v>38509.64583</v>
      </c>
      <c r="B197" s="2">
        <f>IFERROR(__xludf.DUMMYFUNCTION("""COMPUTED_VALUE"""),161.88)</f>
        <v>161.88</v>
      </c>
      <c r="C197" s="2">
        <f>IFERROR(__xludf.DUMMYFUNCTION("""COMPUTED_VALUE"""),162.71)</f>
        <v>162.71</v>
      </c>
      <c r="D197" s="2">
        <f>IFERROR(__xludf.DUMMYFUNCTION("""COMPUTED_VALUE"""),158.79)</f>
        <v>158.79</v>
      </c>
      <c r="E197" s="2">
        <f>IFERROR(__xludf.DUMMYFUNCTION("""COMPUTED_VALUE"""),160.05)</f>
        <v>160.05</v>
      </c>
      <c r="F197" s="2">
        <f>IFERROR(__xludf.DUMMYFUNCTION("""COMPUTED_VALUE"""),724064.0)</f>
        <v>724064</v>
      </c>
    </row>
    <row r="198">
      <c r="A198" s="3">
        <f>IFERROR(__xludf.DUMMYFUNCTION("""COMPUTED_VALUE"""),38510.645833333336)</f>
        <v>38510.64583</v>
      </c>
      <c r="B198" s="2">
        <f>IFERROR(__xludf.DUMMYFUNCTION("""COMPUTED_VALUE"""),161.1)</f>
        <v>161.1</v>
      </c>
      <c r="C198" s="2">
        <f>IFERROR(__xludf.DUMMYFUNCTION("""COMPUTED_VALUE"""),161.1)</f>
        <v>161.1</v>
      </c>
      <c r="D198" s="2">
        <f>IFERROR(__xludf.DUMMYFUNCTION("""COMPUTED_VALUE"""),158.63)</f>
        <v>158.63</v>
      </c>
      <c r="E198" s="2">
        <f>IFERROR(__xludf.DUMMYFUNCTION("""COMPUTED_VALUE"""),159.71)</f>
        <v>159.71</v>
      </c>
      <c r="F198" s="2">
        <f>IFERROR(__xludf.DUMMYFUNCTION("""COMPUTED_VALUE"""),462274.0)</f>
        <v>462274</v>
      </c>
    </row>
    <row r="199">
      <c r="A199" s="3">
        <f>IFERROR(__xludf.DUMMYFUNCTION("""COMPUTED_VALUE"""),38511.645833333336)</f>
        <v>38511.64583</v>
      </c>
      <c r="B199" s="2">
        <f>IFERROR(__xludf.DUMMYFUNCTION("""COMPUTED_VALUE"""),160.0)</f>
        <v>160</v>
      </c>
      <c r="C199" s="2">
        <f>IFERROR(__xludf.DUMMYFUNCTION("""COMPUTED_VALUE"""),162.0)</f>
        <v>162</v>
      </c>
      <c r="D199" s="2">
        <f>IFERROR(__xludf.DUMMYFUNCTION("""COMPUTED_VALUE"""),159.51)</f>
        <v>159.51</v>
      </c>
      <c r="E199" s="2">
        <f>IFERROR(__xludf.DUMMYFUNCTION("""COMPUTED_VALUE"""),161.51)</f>
        <v>161.51</v>
      </c>
      <c r="F199" s="2">
        <f>IFERROR(__xludf.DUMMYFUNCTION("""COMPUTED_VALUE"""),604064.0)</f>
        <v>604064</v>
      </c>
    </row>
    <row r="200">
      <c r="A200" s="3">
        <f>IFERROR(__xludf.DUMMYFUNCTION("""COMPUTED_VALUE"""),38512.645833333336)</f>
        <v>38512.64583</v>
      </c>
      <c r="B200" s="2">
        <f>IFERROR(__xludf.DUMMYFUNCTION("""COMPUTED_VALUE"""),161.75)</f>
        <v>161.75</v>
      </c>
      <c r="C200" s="2">
        <f>IFERROR(__xludf.DUMMYFUNCTION("""COMPUTED_VALUE"""),162.38)</f>
        <v>162.38</v>
      </c>
      <c r="D200" s="2">
        <f>IFERROR(__xludf.DUMMYFUNCTION("""COMPUTED_VALUE"""),158.92)</f>
        <v>158.92</v>
      </c>
      <c r="E200" s="2">
        <f>IFERROR(__xludf.DUMMYFUNCTION("""COMPUTED_VALUE"""),159.66)</f>
        <v>159.66</v>
      </c>
      <c r="F200" s="2">
        <f>IFERROR(__xludf.DUMMYFUNCTION("""COMPUTED_VALUE"""),449792.0)</f>
        <v>449792</v>
      </c>
    </row>
    <row r="201">
      <c r="A201" s="3">
        <f>IFERROR(__xludf.DUMMYFUNCTION("""COMPUTED_VALUE"""),38513.645833333336)</f>
        <v>38513.64583</v>
      </c>
      <c r="B201" s="2">
        <f>IFERROR(__xludf.DUMMYFUNCTION("""COMPUTED_VALUE"""),160.0)</f>
        <v>160</v>
      </c>
      <c r="C201" s="2">
        <f>IFERROR(__xludf.DUMMYFUNCTION("""COMPUTED_VALUE"""),162.5)</f>
        <v>162.5</v>
      </c>
      <c r="D201" s="2">
        <f>IFERROR(__xludf.DUMMYFUNCTION("""COMPUTED_VALUE"""),157.64)</f>
        <v>157.64</v>
      </c>
      <c r="E201" s="2">
        <f>IFERROR(__xludf.DUMMYFUNCTION("""COMPUTED_VALUE"""),158.27)</f>
        <v>158.27</v>
      </c>
      <c r="F201" s="2">
        <f>IFERROR(__xludf.DUMMYFUNCTION("""COMPUTED_VALUE"""),830328.0)</f>
        <v>830328</v>
      </c>
    </row>
    <row r="202">
      <c r="A202" s="3">
        <f>IFERROR(__xludf.DUMMYFUNCTION("""COMPUTED_VALUE"""),38516.645833333336)</f>
        <v>38516.64583</v>
      </c>
      <c r="B202" s="2">
        <f>IFERROR(__xludf.DUMMYFUNCTION("""COMPUTED_VALUE"""),159.38)</f>
        <v>159.38</v>
      </c>
      <c r="C202" s="2">
        <f>IFERROR(__xludf.DUMMYFUNCTION("""COMPUTED_VALUE"""),160.38)</f>
        <v>160.38</v>
      </c>
      <c r="D202" s="2">
        <f>IFERROR(__xludf.DUMMYFUNCTION("""COMPUTED_VALUE"""),157.53)</f>
        <v>157.53</v>
      </c>
      <c r="E202" s="2">
        <f>IFERROR(__xludf.DUMMYFUNCTION("""COMPUTED_VALUE"""),158.96)</f>
        <v>158.96</v>
      </c>
      <c r="F202" s="2">
        <f>IFERROR(__xludf.DUMMYFUNCTION("""COMPUTED_VALUE"""),323754.0)</f>
        <v>323754</v>
      </c>
    </row>
    <row r="203">
      <c r="A203" s="3">
        <f>IFERROR(__xludf.DUMMYFUNCTION("""COMPUTED_VALUE"""),38517.645833333336)</f>
        <v>38517.64583</v>
      </c>
      <c r="B203" s="2">
        <f>IFERROR(__xludf.DUMMYFUNCTION("""COMPUTED_VALUE"""),159.63)</f>
        <v>159.63</v>
      </c>
      <c r="C203" s="2">
        <f>IFERROR(__xludf.DUMMYFUNCTION("""COMPUTED_VALUE"""),159.99)</f>
        <v>159.99</v>
      </c>
      <c r="D203" s="2">
        <f>IFERROR(__xludf.DUMMYFUNCTION("""COMPUTED_VALUE"""),157.53)</f>
        <v>157.53</v>
      </c>
      <c r="E203" s="2">
        <f>IFERROR(__xludf.DUMMYFUNCTION("""COMPUTED_VALUE"""),158.26)</f>
        <v>158.26</v>
      </c>
      <c r="F203" s="2">
        <f>IFERROR(__xludf.DUMMYFUNCTION("""COMPUTED_VALUE"""),431548.0)</f>
        <v>431548</v>
      </c>
    </row>
    <row r="204">
      <c r="A204" s="3">
        <f>IFERROR(__xludf.DUMMYFUNCTION("""COMPUTED_VALUE"""),38518.645833333336)</f>
        <v>38518.64583</v>
      </c>
      <c r="B204" s="2">
        <f>IFERROR(__xludf.DUMMYFUNCTION("""COMPUTED_VALUE"""),158.72)</f>
        <v>158.72</v>
      </c>
      <c r="C204" s="2">
        <f>IFERROR(__xludf.DUMMYFUNCTION("""COMPUTED_VALUE"""),159.74)</f>
        <v>159.74</v>
      </c>
      <c r="D204" s="2">
        <f>IFERROR(__xludf.DUMMYFUNCTION("""COMPUTED_VALUE"""),158.29)</f>
        <v>158.29</v>
      </c>
      <c r="E204" s="2">
        <f>IFERROR(__xludf.DUMMYFUNCTION("""COMPUTED_VALUE"""),159.02)</f>
        <v>159.02</v>
      </c>
      <c r="F204" s="2">
        <f>IFERROR(__xludf.DUMMYFUNCTION("""COMPUTED_VALUE"""),348884.0)</f>
        <v>348884</v>
      </c>
    </row>
    <row r="205">
      <c r="A205" s="3">
        <f>IFERROR(__xludf.DUMMYFUNCTION("""COMPUTED_VALUE"""),38519.645833333336)</f>
        <v>38519.64583</v>
      </c>
      <c r="B205" s="2">
        <f>IFERROR(__xludf.DUMMYFUNCTION("""COMPUTED_VALUE"""),159.73)</f>
        <v>159.73</v>
      </c>
      <c r="C205" s="2">
        <f>IFERROR(__xludf.DUMMYFUNCTION("""COMPUTED_VALUE"""),160.99)</f>
        <v>160.99</v>
      </c>
      <c r="D205" s="2">
        <f>IFERROR(__xludf.DUMMYFUNCTION("""COMPUTED_VALUE"""),158.11)</f>
        <v>158.11</v>
      </c>
      <c r="E205" s="2">
        <f>IFERROR(__xludf.DUMMYFUNCTION("""COMPUTED_VALUE"""),159.71)</f>
        <v>159.71</v>
      </c>
      <c r="F205" s="2">
        <f>IFERROR(__xludf.DUMMYFUNCTION("""COMPUTED_VALUE"""),574194.0)</f>
        <v>574194</v>
      </c>
    </row>
    <row r="206">
      <c r="A206" s="3">
        <f>IFERROR(__xludf.DUMMYFUNCTION("""COMPUTED_VALUE"""),38520.645833333336)</f>
        <v>38520.64583</v>
      </c>
      <c r="B206" s="2">
        <f>IFERROR(__xludf.DUMMYFUNCTION("""COMPUTED_VALUE"""),160.34)</f>
        <v>160.34</v>
      </c>
      <c r="C206" s="2">
        <f>IFERROR(__xludf.DUMMYFUNCTION("""COMPUTED_VALUE"""),160.81)</f>
        <v>160.81</v>
      </c>
      <c r="D206" s="2">
        <f>IFERROR(__xludf.DUMMYFUNCTION("""COMPUTED_VALUE"""),157.89)</f>
        <v>157.89</v>
      </c>
      <c r="E206" s="2">
        <f>IFERROR(__xludf.DUMMYFUNCTION("""COMPUTED_VALUE"""),158.46)</f>
        <v>158.46</v>
      </c>
      <c r="F206" s="2">
        <f>IFERROR(__xludf.DUMMYFUNCTION("""COMPUTED_VALUE"""),383499.0)</f>
        <v>383499</v>
      </c>
    </row>
    <row r="207">
      <c r="A207" s="3">
        <f>IFERROR(__xludf.DUMMYFUNCTION("""COMPUTED_VALUE"""),38523.645833333336)</f>
        <v>38523.64583</v>
      </c>
      <c r="B207" s="2">
        <f>IFERROR(__xludf.DUMMYFUNCTION("""COMPUTED_VALUE"""),159.38)</f>
        <v>159.38</v>
      </c>
      <c r="C207" s="2">
        <f>IFERROR(__xludf.DUMMYFUNCTION("""COMPUTED_VALUE"""),162.74)</f>
        <v>162.74</v>
      </c>
      <c r="D207" s="2">
        <f>IFERROR(__xludf.DUMMYFUNCTION("""COMPUTED_VALUE"""),158.79)</f>
        <v>158.79</v>
      </c>
      <c r="E207" s="2">
        <f>IFERROR(__xludf.DUMMYFUNCTION("""COMPUTED_VALUE"""),161.99)</f>
        <v>161.99</v>
      </c>
      <c r="F207" s="2">
        <f>IFERROR(__xludf.DUMMYFUNCTION("""COMPUTED_VALUE"""),801584.0)</f>
        <v>801584</v>
      </c>
    </row>
    <row r="208">
      <c r="A208" s="3">
        <f>IFERROR(__xludf.DUMMYFUNCTION("""COMPUTED_VALUE"""),38524.645833333336)</f>
        <v>38524.64583</v>
      </c>
      <c r="B208" s="2">
        <f>IFERROR(__xludf.DUMMYFUNCTION("""COMPUTED_VALUE"""),162.5)</f>
        <v>162.5</v>
      </c>
      <c r="C208" s="2">
        <f>IFERROR(__xludf.DUMMYFUNCTION("""COMPUTED_VALUE"""),164.05)</f>
        <v>164.05</v>
      </c>
      <c r="D208" s="2">
        <f>IFERROR(__xludf.DUMMYFUNCTION("""COMPUTED_VALUE"""),160.41)</f>
        <v>160.41</v>
      </c>
      <c r="E208" s="2">
        <f>IFERROR(__xludf.DUMMYFUNCTION("""COMPUTED_VALUE"""),163.14)</f>
        <v>163.14</v>
      </c>
      <c r="F208" s="2">
        <f>IFERROR(__xludf.DUMMYFUNCTION("""COMPUTED_VALUE"""),1307943.0)</f>
        <v>1307943</v>
      </c>
    </row>
    <row r="209">
      <c r="A209" s="3">
        <f>IFERROR(__xludf.DUMMYFUNCTION("""COMPUTED_VALUE"""),38525.645833333336)</f>
        <v>38525.64583</v>
      </c>
      <c r="B209" s="2">
        <f>IFERROR(__xludf.DUMMYFUNCTION("""COMPUTED_VALUE"""),163.63)</f>
        <v>163.63</v>
      </c>
      <c r="C209" s="2">
        <f>IFERROR(__xludf.DUMMYFUNCTION("""COMPUTED_VALUE"""),167.38)</f>
        <v>167.38</v>
      </c>
      <c r="D209" s="2">
        <f>IFERROR(__xludf.DUMMYFUNCTION("""COMPUTED_VALUE"""),163.63)</f>
        <v>163.63</v>
      </c>
      <c r="E209" s="2">
        <f>IFERROR(__xludf.DUMMYFUNCTION("""COMPUTED_VALUE"""),166.67)</f>
        <v>166.67</v>
      </c>
      <c r="F209" s="2">
        <f>IFERROR(__xludf.DUMMYFUNCTION("""COMPUTED_VALUE"""),1442172.0)</f>
        <v>1442172</v>
      </c>
    </row>
    <row r="210">
      <c r="A210" s="3">
        <f>IFERROR(__xludf.DUMMYFUNCTION("""COMPUTED_VALUE"""),38526.645833333336)</f>
        <v>38526.64583</v>
      </c>
      <c r="B210" s="2">
        <f>IFERROR(__xludf.DUMMYFUNCTION("""COMPUTED_VALUE"""),166.25)</f>
        <v>166.25</v>
      </c>
      <c r="C210" s="2">
        <f>IFERROR(__xludf.DUMMYFUNCTION("""COMPUTED_VALUE"""),167.22)</f>
        <v>167.22</v>
      </c>
      <c r="D210" s="2">
        <f>IFERROR(__xludf.DUMMYFUNCTION("""COMPUTED_VALUE"""),163.13)</f>
        <v>163.13</v>
      </c>
      <c r="E210" s="2">
        <f>IFERROR(__xludf.DUMMYFUNCTION("""COMPUTED_VALUE"""),163.43)</f>
        <v>163.43</v>
      </c>
      <c r="F210" s="2">
        <f>IFERROR(__xludf.DUMMYFUNCTION("""COMPUTED_VALUE"""),459618.0)</f>
        <v>459618</v>
      </c>
    </row>
    <row r="211">
      <c r="A211" s="3">
        <f>IFERROR(__xludf.DUMMYFUNCTION("""COMPUTED_VALUE"""),38527.645833333336)</f>
        <v>38527.64583</v>
      </c>
      <c r="B211" s="2">
        <f>IFERROR(__xludf.DUMMYFUNCTION("""COMPUTED_VALUE"""),162.5)</f>
        <v>162.5</v>
      </c>
      <c r="C211" s="2">
        <f>IFERROR(__xludf.DUMMYFUNCTION("""COMPUTED_VALUE"""),167.29)</f>
        <v>167.29</v>
      </c>
      <c r="D211" s="2">
        <f>IFERROR(__xludf.DUMMYFUNCTION("""COMPUTED_VALUE"""),161.88)</f>
        <v>161.88</v>
      </c>
      <c r="E211" s="2">
        <f>IFERROR(__xludf.DUMMYFUNCTION("""COMPUTED_VALUE"""),165.72)</f>
        <v>165.72</v>
      </c>
      <c r="F211" s="2">
        <f>IFERROR(__xludf.DUMMYFUNCTION("""COMPUTED_VALUE"""),752665.0)</f>
        <v>752665</v>
      </c>
    </row>
    <row r="212">
      <c r="A212" s="3">
        <f>IFERROR(__xludf.DUMMYFUNCTION("""COMPUTED_VALUE"""),38530.645833333336)</f>
        <v>38530.64583</v>
      </c>
      <c r="B212" s="2">
        <f>IFERROR(__xludf.DUMMYFUNCTION("""COMPUTED_VALUE"""),164.96)</f>
        <v>164.96</v>
      </c>
      <c r="C212" s="2">
        <f>IFERROR(__xludf.DUMMYFUNCTION("""COMPUTED_VALUE"""),166.63)</f>
        <v>166.63</v>
      </c>
      <c r="D212" s="2">
        <f>IFERROR(__xludf.DUMMYFUNCTION("""COMPUTED_VALUE"""),163.5)</f>
        <v>163.5</v>
      </c>
      <c r="E212" s="2">
        <f>IFERROR(__xludf.DUMMYFUNCTION("""COMPUTED_VALUE"""),164.56)</f>
        <v>164.56</v>
      </c>
      <c r="F212" s="2">
        <f>IFERROR(__xludf.DUMMYFUNCTION("""COMPUTED_VALUE"""),443516.0)</f>
        <v>443516</v>
      </c>
    </row>
    <row r="213">
      <c r="A213" s="3">
        <f>IFERROR(__xludf.DUMMYFUNCTION("""COMPUTED_VALUE"""),38531.645833333336)</f>
        <v>38531.64583</v>
      </c>
      <c r="B213" s="2">
        <f>IFERROR(__xludf.DUMMYFUNCTION("""COMPUTED_VALUE"""),164.75)</f>
        <v>164.75</v>
      </c>
      <c r="C213" s="2">
        <f>IFERROR(__xludf.DUMMYFUNCTION("""COMPUTED_VALUE"""),166.0)</f>
        <v>166</v>
      </c>
      <c r="D213" s="2">
        <f>IFERROR(__xludf.DUMMYFUNCTION("""COMPUTED_VALUE"""),164.26)</f>
        <v>164.26</v>
      </c>
      <c r="E213" s="2">
        <f>IFERROR(__xludf.DUMMYFUNCTION("""COMPUTED_VALUE"""),165.45)</f>
        <v>165.45</v>
      </c>
      <c r="F213" s="2">
        <f>IFERROR(__xludf.DUMMYFUNCTION("""COMPUTED_VALUE"""),722014.0)</f>
        <v>722014</v>
      </c>
    </row>
    <row r="214">
      <c r="A214" s="3">
        <f>IFERROR(__xludf.DUMMYFUNCTION("""COMPUTED_VALUE"""),38532.645833333336)</f>
        <v>38532.64583</v>
      </c>
      <c r="B214" s="2">
        <f>IFERROR(__xludf.DUMMYFUNCTION("""COMPUTED_VALUE"""),165.63)</f>
        <v>165.63</v>
      </c>
      <c r="C214" s="2">
        <f>IFERROR(__xludf.DUMMYFUNCTION("""COMPUTED_VALUE"""),169.74)</f>
        <v>169.74</v>
      </c>
      <c r="D214" s="2">
        <f>IFERROR(__xludf.DUMMYFUNCTION("""COMPUTED_VALUE"""),165.27)</f>
        <v>165.27</v>
      </c>
      <c r="E214" s="2">
        <f>IFERROR(__xludf.DUMMYFUNCTION("""COMPUTED_VALUE"""),166.57)</f>
        <v>166.57</v>
      </c>
      <c r="F214" s="2">
        <f>IFERROR(__xludf.DUMMYFUNCTION("""COMPUTED_VALUE"""),805830.0)</f>
        <v>805830</v>
      </c>
    </row>
    <row r="215">
      <c r="A215" s="3">
        <f>IFERROR(__xludf.DUMMYFUNCTION("""COMPUTED_VALUE"""),38533.645833333336)</f>
        <v>38533.64583</v>
      </c>
      <c r="B215" s="2">
        <f>IFERROR(__xludf.DUMMYFUNCTION("""COMPUTED_VALUE"""),167.35)</f>
        <v>167.35</v>
      </c>
      <c r="C215" s="2">
        <f>IFERROR(__xludf.DUMMYFUNCTION("""COMPUTED_VALUE"""),170.63)</f>
        <v>170.63</v>
      </c>
      <c r="D215" s="2">
        <f>IFERROR(__xludf.DUMMYFUNCTION("""COMPUTED_VALUE"""),167.35)</f>
        <v>167.35</v>
      </c>
      <c r="E215" s="2">
        <f>IFERROR(__xludf.DUMMYFUNCTION("""COMPUTED_VALUE"""),169.76)</f>
        <v>169.76</v>
      </c>
      <c r="F215" s="2">
        <f>IFERROR(__xludf.DUMMYFUNCTION("""COMPUTED_VALUE"""),898625.0)</f>
        <v>898625</v>
      </c>
    </row>
    <row r="216">
      <c r="A216" s="3">
        <f>IFERROR(__xludf.DUMMYFUNCTION("""COMPUTED_VALUE"""),38534.645833333336)</f>
        <v>38534.64583</v>
      </c>
      <c r="B216" s="2">
        <f>IFERROR(__xludf.DUMMYFUNCTION("""COMPUTED_VALUE"""),168.75)</f>
        <v>168.75</v>
      </c>
      <c r="C216" s="2">
        <f>IFERROR(__xludf.DUMMYFUNCTION("""COMPUTED_VALUE"""),169.59)</f>
        <v>169.59</v>
      </c>
      <c r="D216" s="2">
        <f>IFERROR(__xludf.DUMMYFUNCTION("""COMPUTED_VALUE"""),167.55)</f>
        <v>167.55</v>
      </c>
      <c r="E216" s="2">
        <f>IFERROR(__xludf.DUMMYFUNCTION("""COMPUTED_VALUE"""),169.05)</f>
        <v>169.05</v>
      </c>
      <c r="F216" s="2">
        <f>IFERROR(__xludf.DUMMYFUNCTION("""COMPUTED_VALUE"""),602571.0)</f>
        <v>602571</v>
      </c>
    </row>
    <row r="217">
      <c r="A217" s="3">
        <f>IFERROR(__xludf.DUMMYFUNCTION("""COMPUTED_VALUE"""),38537.645833333336)</f>
        <v>38537.64583</v>
      </c>
      <c r="B217" s="2">
        <f>IFERROR(__xludf.DUMMYFUNCTION("""COMPUTED_VALUE"""),169.85)</f>
        <v>169.85</v>
      </c>
      <c r="C217" s="2">
        <f>IFERROR(__xludf.DUMMYFUNCTION("""COMPUTED_VALUE"""),171.49)</f>
        <v>171.49</v>
      </c>
      <c r="D217" s="2">
        <f>IFERROR(__xludf.DUMMYFUNCTION("""COMPUTED_VALUE"""),166.38)</f>
        <v>166.38</v>
      </c>
      <c r="E217" s="2">
        <f>IFERROR(__xludf.DUMMYFUNCTION("""COMPUTED_VALUE"""),169.88)</f>
        <v>169.88</v>
      </c>
      <c r="F217" s="2">
        <f>IFERROR(__xludf.DUMMYFUNCTION("""COMPUTED_VALUE"""),493956.0)</f>
        <v>493956</v>
      </c>
    </row>
    <row r="218">
      <c r="A218" s="3">
        <f>IFERROR(__xludf.DUMMYFUNCTION("""COMPUTED_VALUE"""),38538.645833333336)</f>
        <v>38538.64583</v>
      </c>
      <c r="B218" s="2">
        <f>IFERROR(__xludf.DUMMYFUNCTION("""COMPUTED_VALUE"""),171.22)</f>
        <v>171.22</v>
      </c>
      <c r="C218" s="2">
        <f>IFERROR(__xludf.DUMMYFUNCTION("""COMPUTED_VALUE"""),171.22)</f>
        <v>171.22</v>
      </c>
      <c r="D218" s="2">
        <f>IFERROR(__xludf.DUMMYFUNCTION("""COMPUTED_VALUE"""),164.08)</f>
        <v>164.08</v>
      </c>
      <c r="E218" s="2">
        <f>IFERROR(__xludf.DUMMYFUNCTION("""COMPUTED_VALUE"""),165.03)</f>
        <v>165.03</v>
      </c>
      <c r="F218" s="2">
        <f>IFERROR(__xludf.DUMMYFUNCTION("""COMPUTED_VALUE"""),648422.0)</f>
        <v>648422</v>
      </c>
    </row>
    <row r="219">
      <c r="A219" s="3">
        <f>IFERROR(__xludf.DUMMYFUNCTION("""COMPUTED_VALUE"""),38539.645833333336)</f>
        <v>38539.64583</v>
      </c>
      <c r="B219" s="2">
        <f>IFERROR(__xludf.DUMMYFUNCTION("""COMPUTED_VALUE"""),165.75)</f>
        <v>165.75</v>
      </c>
      <c r="C219" s="2">
        <f>IFERROR(__xludf.DUMMYFUNCTION("""COMPUTED_VALUE"""),166.58)</f>
        <v>166.58</v>
      </c>
      <c r="D219" s="2">
        <f>IFERROR(__xludf.DUMMYFUNCTION("""COMPUTED_VALUE"""),164.52)</f>
        <v>164.52</v>
      </c>
      <c r="E219" s="2">
        <f>IFERROR(__xludf.DUMMYFUNCTION("""COMPUTED_VALUE"""),165.39)</f>
        <v>165.39</v>
      </c>
      <c r="F219" s="2">
        <f>IFERROR(__xludf.DUMMYFUNCTION("""COMPUTED_VALUE"""),382152.0)</f>
        <v>382152</v>
      </c>
    </row>
    <row r="220">
      <c r="A220" s="3">
        <f>IFERROR(__xludf.DUMMYFUNCTION("""COMPUTED_VALUE"""),38540.645833333336)</f>
        <v>38540.64583</v>
      </c>
      <c r="B220" s="2">
        <f>IFERROR(__xludf.DUMMYFUNCTION("""COMPUTED_VALUE"""),165.39)</f>
        <v>165.39</v>
      </c>
      <c r="C220" s="2">
        <f>IFERROR(__xludf.DUMMYFUNCTION("""COMPUTED_VALUE"""),167.5)</f>
        <v>167.5</v>
      </c>
      <c r="D220" s="2">
        <f>IFERROR(__xludf.DUMMYFUNCTION("""COMPUTED_VALUE"""),162.91)</f>
        <v>162.91</v>
      </c>
      <c r="E220" s="2">
        <f>IFERROR(__xludf.DUMMYFUNCTION("""COMPUTED_VALUE"""),163.71)</f>
        <v>163.71</v>
      </c>
      <c r="F220" s="2">
        <f>IFERROR(__xludf.DUMMYFUNCTION("""COMPUTED_VALUE"""),436111.0)</f>
        <v>436111</v>
      </c>
    </row>
    <row r="221">
      <c r="A221" s="3">
        <f>IFERROR(__xludf.DUMMYFUNCTION("""COMPUTED_VALUE"""),38541.645833333336)</f>
        <v>38541.64583</v>
      </c>
      <c r="B221" s="2">
        <f>IFERROR(__xludf.DUMMYFUNCTION("""COMPUTED_VALUE"""),163.82)</f>
        <v>163.82</v>
      </c>
      <c r="C221" s="2">
        <f>IFERROR(__xludf.DUMMYFUNCTION("""COMPUTED_VALUE"""),166.18)</f>
        <v>166.18</v>
      </c>
      <c r="D221" s="2">
        <f>IFERROR(__xludf.DUMMYFUNCTION("""COMPUTED_VALUE"""),161.7)</f>
        <v>161.7</v>
      </c>
      <c r="E221" s="2">
        <f>IFERROR(__xludf.DUMMYFUNCTION("""COMPUTED_VALUE"""),163.89)</f>
        <v>163.89</v>
      </c>
      <c r="F221" s="2">
        <f>IFERROR(__xludf.DUMMYFUNCTION("""COMPUTED_VALUE"""),761000.0)</f>
        <v>761000</v>
      </c>
    </row>
    <row r="222">
      <c r="A222" s="3">
        <f>IFERROR(__xludf.DUMMYFUNCTION("""COMPUTED_VALUE"""),38544.645833333336)</f>
        <v>38544.64583</v>
      </c>
      <c r="B222" s="2">
        <f>IFERROR(__xludf.DUMMYFUNCTION("""COMPUTED_VALUE"""),163.89)</f>
        <v>163.89</v>
      </c>
      <c r="C222" s="2">
        <f>IFERROR(__xludf.DUMMYFUNCTION("""COMPUTED_VALUE"""),166.25)</f>
        <v>166.25</v>
      </c>
      <c r="D222" s="2">
        <f>IFERROR(__xludf.DUMMYFUNCTION("""COMPUTED_VALUE"""),163.89)</f>
        <v>163.89</v>
      </c>
      <c r="E222" s="2">
        <f>IFERROR(__xludf.DUMMYFUNCTION("""COMPUTED_VALUE"""),165.76)</f>
        <v>165.76</v>
      </c>
      <c r="F222" s="2">
        <f>IFERROR(__xludf.DUMMYFUNCTION("""COMPUTED_VALUE"""),473908.0)</f>
        <v>473908</v>
      </c>
    </row>
    <row r="223">
      <c r="A223" s="3">
        <f>IFERROR(__xludf.DUMMYFUNCTION("""COMPUTED_VALUE"""),38545.645833333336)</f>
        <v>38545.64583</v>
      </c>
      <c r="B223" s="2">
        <f>IFERROR(__xludf.DUMMYFUNCTION("""COMPUTED_VALUE"""),164.83)</f>
        <v>164.83</v>
      </c>
      <c r="C223" s="2">
        <f>IFERROR(__xludf.DUMMYFUNCTION("""COMPUTED_VALUE"""),165.13)</f>
        <v>165.13</v>
      </c>
      <c r="D223" s="2">
        <f>IFERROR(__xludf.DUMMYFUNCTION("""COMPUTED_VALUE"""),159.04)</f>
        <v>159.04</v>
      </c>
      <c r="E223" s="2">
        <f>IFERROR(__xludf.DUMMYFUNCTION("""COMPUTED_VALUE"""),160.74)</f>
        <v>160.74</v>
      </c>
      <c r="F223" s="2">
        <f>IFERROR(__xludf.DUMMYFUNCTION("""COMPUTED_VALUE"""),768825.0)</f>
        <v>768825</v>
      </c>
    </row>
    <row r="224">
      <c r="A224" s="3">
        <f>IFERROR(__xludf.DUMMYFUNCTION("""COMPUTED_VALUE"""),38546.645833333336)</f>
        <v>38546.64583</v>
      </c>
      <c r="B224" s="2">
        <f>IFERROR(__xludf.DUMMYFUNCTION("""COMPUTED_VALUE"""),160.63)</f>
        <v>160.63</v>
      </c>
      <c r="C224" s="2">
        <f>IFERROR(__xludf.DUMMYFUNCTION("""COMPUTED_VALUE"""),162.5)</f>
        <v>162.5</v>
      </c>
      <c r="D224" s="2">
        <f>IFERROR(__xludf.DUMMYFUNCTION("""COMPUTED_VALUE"""),158.38)</f>
        <v>158.38</v>
      </c>
      <c r="E224" s="2">
        <f>IFERROR(__xludf.DUMMYFUNCTION("""COMPUTED_VALUE"""),158.85)</f>
        <v>158.85</v>
      </c>
      <c r="F224" s="2">
        <f>IFERROR(__xludf.DUMMYFUNCTION("""COMPUTED_VALUE"""),808730.0)</f>
        <v>808730</v>
      </c>
    </row>
    <row r="225">
      <c r="A225" s="3">
        <f>IFERROR(__xludf.DUMMYFUNCTION("""COMPUTED_VALUE"""),38547.645833333336)</f>
        <v>38547.64583</v>
      </c>
      <c r="B225" s="2">
        <f>IFERROR(__xludf.DUMMYFUNCTION("""COMPUTED_VALUE"""),159.83)</f>
        <v>159.83</v>
      </c>
      <c r="C225" s="2">
        <f>IFERROR(__xludf.DUMMYFUNCTION("""COMPUTED_VALUE"""),160.96)</f>
        <v>160.96</v>
      </c>
      <c r="D225" s="2">
        <f>IFERROR(__xludf.DUMMYFUNCTION("""COMPUTED_VALUE"""),152.04)</f>
        <v>152.04</v>
      </c>
      <c r="E225" s="2">
        <f>IFERROR(__xludf.DUMMYFUNCTION("""COMPUTED_VALUE"""),153.13)</f>
        <v>153.13</v>
      </c>
      <c r="F225" s="2">
        <f>IFERROR(__xludf.DUMMYFUNCTION("""COMPUTED_VALUE"""),1107551.0)</f>
        <v>1107551</v>
      </c>
    </row>
    <row r="226">
      <c r="A226" s="3">
        <f>IFERROR(__xludf.DUMMYFUNCTION("""COMPUTED_VALUE"""),38548.645833333336)</f>
        <v>38548.64583</v>
      </c>
      <c r="B226" s="2">
        <f>IFERROR(__xludf.DUMMYFUNCTION("""COMPUTED_VALUE"""),153.88)</f>
        <v>153.88</v>
      </c>
      <c r="C226" s="2">
        <f>IFERROR(__xludf.DUMMYFUNCTION("""COMPUTED_VALUE"""),157.74)</f>
        <v>157.74</v>
      </c>
      <c r="D226" s="2">
        <f>IFERROR(__xludf.DUMMYFUNCTION("""COMPUTED_VALUE"""),151.88)</f>
        <v>151.88</v>
      </c>
      <c r="E226" s="2">
        <f>IFERROR(__xludf.DUMMYFUNCTION("""COMPUTED_VALUE"""),156.06)</f>
        <v>156.06</v>
      </c>
      <c r="F226" s="2">
        <f>IFERROR(__xludf.DUMMYFUNCTION("""COMPUTED_VALUE"""),1167715.0)</f>
        <v>1167715</v>
      </c>
    </row>
    <row r="227">
      <c r="A227" s="3">
        <f>IFERROR(__xludf.DUMMYFUNCTION("""COMPUTED_VALUE"""),38551.645833333336)</f>
        <v>38551.64583</v>
      </c>
      <c r="B227" s="2">
        <f>IFERROR(__xludf.DUMMYFUNCTION("""COMPUTED_VALUE"""),156.5)</f>
        <v>156.5</v>
      </c>
      <c r="C227" s="2">
        <f>IFERROR(__xludf.DUMMYFUNCTION("""COMPUTED_VALUE"""),184.88)</f>
        <v>184.88</v>
      </c>
      <c r="D227" s="2">
        <f>IFERROR(__xludf.DUMMYFUNCTION("""COMPUTED_VALUE"""),156.5)</f>
        <v>156.5</v>
      </c>
      <c r="E227" s="2">
        <f>IFERROR(__xludf.DUMMYFUNCTION("""COMPUTED_VALUE"""),165.28)</f>
        <v>165.28</v>
      </c>
      <c r="F227" s="2">
        <f>IFERROR(__xludf.DUMMYFUNCTION("""COMPUTED_VALUE"""),1809451.0)</f>
        <v>1809451</v>
      </c>
    </row>
    <row r="228">
      <c r="A228" s="3">
        <f>IFERROR(__xludf.DUMMYFUNCTION("""COMPUTED_VALUE"""),38552.645833333336)</f>
        <v>38552.64583</v>
      </c>
      <c r="B228" s="2">
        <f>IFERROR(__xludf.DUMMYFUNCTION("""COMPUTED_VALUE"""),168.55)</f>
        <v>168.55</v>
      </c>
      <c r="C228" s="2">
        <f>IFERROR(__xludf.DUMMYFUNCTION("""COMPUTED_VALUE"""),169.75)</f>
        <v>169.75</v>
      </c>
      <c r="D228" s="2">
        <f>IFERROR(__xludf.DUMMYFUNCTION("""COMPUTED_VALUE"""),157.5)</f>
        <v>157.5</v>
      </c>
      <c r="E228" s="2">
        <f>IFERROR(__xludf.DUMMYFUNCTION("""COMPUTED_VALUE"""),164.9)</f>
        <v>164.9</v>
      </c>
      <c r="F228" s="2">
        <f>IFERROR(__xludf.DUMMYFUNCTION("""COMPUTED_VALUE"""),584718.0)</f>
        <v>584718</v>
      </c>
    </row>
    <row r="229">
      <c r="A229" s="3">
        <f>IFERROR(__xludf.DUMMYFUNCTION("""COMPUTED_VALUE"""),38553.645833333336)</f>
        <v>38553.64583</v>
      </c>
      <c r="B229" s="2">
        <f>IFERROR(__xludf.DUMMYFUNCTION("""COMPUTED_VALUE"""),166.88)</f>
        <v>166.88</v>
      </c>
      <c r="C229" s="2">
        <f>IFERROR(__xludf.DUMMYFUNCTION("""COMPUTED_VALUE"""),166.88)</f>
        <v>166.88</v>
      </c>
      <c r="D229" s="2">
        <f>IFERROR(__xludf.DUMMYFUNCTION("""COMPUTED_VALUE"""),163.15)</f>
        <v>163.15</v>
      </c>
      <c r="E229" s="2">
        <f>IFERROR(__xludf.DUMMYFUNCTION("""COMPUTED_VALUE"""),163.53)</f>
        <v>163.53</v>
      </c>
      <c r="F229" s="2">
        <f>IFERROR(__xludf.DUMMYFUNCTION("""COMPUTED_VALUE"""),436788.0)</f>
        <v>436788</v>
      </c>
    </row>
    <row r="230">
      <c r="A230" s="3">
        <f>IFERROR(__xludf.DUMMYFUNCTION("""COMPUTED_VALUE"""),38554.645833333336)</f>
        <v>38554.64583</v>
      </c>
      <c r="B230" s="2">
        <f>IFERROR(__xludf.DUMMYFUNCTION("""COMPUTED_VALUE"""),165.13)</f>
        <v>165.13</v>
      </c>
      <c r="C230" s="2">
        <f>IFERROR(__xludf.DUMMYFUNCTION("""COMPUTED_VALUE"""),165.13)</f>
        <v>165.13</v>
      </c>
      <c r="D230" s="2">
        <f>IFERROR(__xludf.DUMMYFUNCTION("""COMPUTED_VALUE"""),160.0)</f>
        <v>160</v>
      </c>
      <c r="E230" s="2">
        <f>IFERROR(__xludf.DUMMYFUNCTION("""COMPUTED_VALUE"""),161.29)</f>
        <v>161.29</v>
      </c>
      <c r="F230" s="2">
        <f>IFERROR(__xludf.DUMMYFUNCTION("""COMPUTED_VALUE"""),524873.0)</f>
        <v>524873</v>
      </c>
    </row>
    <row r="231">
      <c r="A231" s="3">
        <f>IFERROR(__xludf.DUMMYFUNCTION("""COMPUTED_VALUE"""),38555.645833333336)</f>
        <v>38555.64583</v>
      </c>
      <c r="B231" s="2">
        <f>IFERROR(__xludf.DUMMYFUNCTION("""COMPUTED_VALUE"""),160.63)</f>
        <v>160.63</v>
      </c>
      <c r="C231" s="2">
        <f>IFERROR(__xludf.DUMMYFUNCTION("""COMPUTED_VALUE"""),162.23)</f>
        <v>162.23</v>
      </c>
      <c r="D231" s="2">
        <f>IFERROR(__xludf.DUMMYFUNCTION("""COMPUTED_VALUE"""),158.8)</f>
        <v>158.8</v>
      </c>
      <c r="E231" s="2">
        <f>IFERROR(__xludf.DUMMYFUNCTION("""COMPUTED_VALUE"""),161.74)</f>
        <v>161.74</v>
      </c>
      <c r="F231" s="2">
        <f>IFERROR(__xludf.DUMMYFUNCTION("""COMPUTED_VALUE"""),647412.0)</f>
        <v>647412</v>
      </c>
    </row>
    <row r="232">
      <c r="A232" s="3">
        <f>IFERROR(__xludf.DUMMYFUNCTION("""COMPUTED_VALUE"""),38558.645833333336)</f>
        <v>38558.64583</v>
      </c>
      <c r="B232" s="2">
        <f>IFERROR(__xludf.DUMMYFUNCTION("""COMPUTED_VALUE"""),162.07)</f>
        <v>162.07</v>
      </c>
      <c r="C232" s="2">
        <f>IFERROR(__xludf.DUMMYFUNCTION("""COMPUTED_VALUE"""),162.79)</f>
        <v>162.79</v>
      </c>
      <c r="D232" s="2">
        <f>IFERROR(__xludf.DUMMYFUNCTION("""COMPUTED_VALUE"""),159.4)</f>
        <v>159.4</v>
      </c>
      <c r="E232" s="2">
        <f>IFERROR(__xludf.DUMMYFUNCTION("""COMPUTED_VALUE"""),160.54)</f>
        <v>160.54</v>
      </c>
      <c r="F232" s="2">
        <f>IFERROR(__xludf.DUMMYFUNCTION("""COMPUTED_VALUE"""),679128.0)</f>
        <v>679128</v>
      </c>
    </row>
    <row r="233">
      <c r="A233" s="3">
        <f>IFERROR(__xludf.DUMMYFUNCTION("""COMPUTED_VALUE"""),38559.645833333336)</f>
        <v>38559.64583</v>
      </c>
      <c r="B233" s="2">
        <f>IFERROR(__xludf.DUMMYFUNCTION("""COMPUTED_VALUE"""),160.73)</f>
        <v>160.73</v>
      </c>
      <c r="C233" s="2">
        <f>IFERROR(__xludf.DUMMYFUNCTION("""COMPUTED_VALUE"""),161.5)</f>
        <v>161.5</v>
      </c>
      <c r="D233" s="2">
        <f>IFERROR(__xludf.DUMMYFUNCTION("""COMPUTED_VALUE"""),157.5)</f>
        <v>157.5</v>
      </c>
      <c r="E233" s="2">
        <f>IFERROR(__xludf.DUMMYFUNCTION("""COMPUTED_VALUE"""),158.16)</f>
        <v>158.16</v>
      </c>
      <c r="F233" s="2">
        <f>IFERROR(__xludf.DUMMYFUNCTION("""COMPUTED_VALUE"""),653710.0)</f>
        <v>653710</v>
      </c>
    </row>
    <row r="234">
      <c r="A234" s="3">
        <f>IFERROR(__xludf.DUMMYFUNCTION("""COMPUTED_VALUE"""),38560.645833333336)</f>
        <v>38560.64583</v>
      </c>
      <c r="B234" s="2">
        <f>IFERROR(__xludf.DUMMYFUNCTION("""COMPUTED_VALUE"""),158.13)</f>
        <v>158.13</v>
      </c>
      <c r="C234" s="2">
        <f>IFERROR(__xludf.DUMMYFUNCTION("""COMPUTED_VALUE"""),161.0)</f>
        <v>161</v>
      </c>
      <c r="D234" s="2">
        <f>IFERROR(__xludf.DUMMYFUNCTION("""COMPUTED_VALUE"""),158.13)</f>
        <v>158.13</v>
      </c>
      <c r="E234" s="2">
        <f>IFERROR(__xludf.DUMMYFUNCTION("""COMPUTED_VALUE"""),160.56)</f>
        <v>160.56</v>
      </c>
      <c r="F234" s="2">
        <f>IFERROR(__xludf.DUMMYFUNCTION("""COMPUTED_VALUE"""),324676.0)</f>
        <v>324676</v>
      </c>
    </row>
    <row r="235">
      <c r="A235" s="3">
        <f>IFERROR(__xludf.DUMMYFUNCTION("""COMPUTED_VALUE"""),38562.645833333336)</f>
        <v>38562.64583</v>
      </c>
      <c r="B235" s="2">
        <f>IFERROR(__xludf.DUMMYFUNCTION("""COMPUTED_VALUE"""),159.38)</f>
        <v>159.38</v>
      </c>
      <c r="C235" s="2">
        <f>IFERROR(__xludf.DUMMYFUNCTION("""COMPUTED_VALUE"""),161.25)</f>
        <v>161.25</v>
      </c>
      <c r="D235" s="2">
        <f>IFERROR(__xludf.DUMMYFUNCTION("""COMPUTED_VALUE"""),157.75)</f>
        <v>157.75</v>
      </c>
      <c r="E235" s="2">
        <f>IFERROR(__xludf.DUMMYFUNCTION("""COMPUTED_VALUE"""),158.6)</f>
        <v>158.6</v>
      </c>
      <c r="F235" s="2">
        <f>IFERROR(__xludf.DUMMYFUNCTION("""COMPUTED_VALUE"""),1044819.0)</f>
        <v>1044819</v>
      </c>
    </row>
    <row r="236">
      <c r="A236" s="3">
        <f>IFERROR(__xludf.DUMMYFUNCTION("""COMPUTED_VALUE"""),38565.645833333336)</f>
        <v>38565.64583</v>
      </c>
      <c r="B236" s="2">
        <f>IFERROR(__xludf.DUMMYFUNCTION("""COMPUTED_VALUE"""),158.38)</f>
        <v>158.38</v>
      </c>
      <c r="C236" s="2">
        <f>IFERROR(__xludf.DUMMYFUNCTION("""COMPUTED_VALUE"""),159.38)</f>
        <v>159.38</v>
      </c>
      <c r="D236" s="2">
        <f>IFERROR(__xludf.DUMMYFUNCTION("""COMPUTED_VALUE"""),155.33)</f>
        <v>155.33</v>
      </c>
      <c r="E236" s="2">
        <f>IFERROR(__xludf.DUMMYFUNCTION("""COMPUTED_VALUE"""),156.53)</f>
        <v>156.53</v>
      </c>
      <c r="F236" s="2">
        <f>IFERROR(__xludf.DUMMYFUNCTION("""COMPUTED_VALUE"""),678849.0)</f>
        <v>678849</v>
      </c>
    </row>
    <row r="237">
      <c r="A237" s="3">
        <f>IFERROR(__xludf.DUMMYFUNCTION("""COMPUTED_VALUE"""),38566.645833333336)</f>
        <v>38566.64583</v>
      </c>
      <c r="B237" s="2">
        <f>IFERROR(__xludf.DUMMYFUNCTION("""COMPUTED_VALUE"""),161.5)</f>
        <v>161.5</v>
      </c>
      <c r="C237" s="2">
        <f>IFERROR(__xludf.DUMMYFUNCTION("""COMPUTED_VALUE"""),162.25)</f>
        <v>162.25</v>
      </c>
      <c r="D237" s="2">
        <f>IFERROR(__xludf.DUMMYFUNCTION("""COMPUTED_VALUE"""),157.25)</f>
        <v>157.25</v>
      </c>
      <c r="E237" s="2">
        <f>IFERROR(__xludf.DUMMYFUNCTION("""COMPUTED_VALUE"""),161.29)</f>
        <v>161.29</v>
      </c>
      <c r="F237" s="2">
        <f>IFERROR(__xludf.DUMMYFUNCTION("""COMPUTED_VALUE"""),602690.0)</f>
        <v>602690</v>
      </c>
    </row>
    <row r="238">
      <c r="A238" s="3">
        <f>IFERROR(__xludf.DUMMYFUNCTION("""COMPUTED_VALUE"""),38567.645833333336)</f>
        <v>38567.64583</v>
      </c>
      <c r="B238" s="2">
        <f>IFERROR(__xludf.DUMMYFUNCTION("""COMPUTED_VALUE"""),162.19)</f>
        <v>162.19</v>
      </c>
      <c r="C238" s="2">
        <f>IFERROR(__xludf.DUMMYFUNCTION("""COMPUTED_VALUE"""),163.43)</f>
        <v>163.43</v>
      </c>
      <c r="D238" s="2">
        <f>IFERROR(__xludf.DUMMYFUNCTION("""COMPUTED_VALUE"""),160.38)</f>
        <v>160.38</v>
      </c>
      <c r="E238" s="2">
        <f>IFERROR(__xludf.DUMMYFUNCTION("""COMPUTED_VALUE"""),162.6)</f>
        <v>162.6</v>
      </c>
      <c r="F238" s="2">
        <f>IFERROR(__xludf.DUMMYFUNCTION("""COMPUTED_VALUE"""),909290.0)</f>
        <v>909290</v>
      </c>
    </row>
    <row r="239">
      <c r="A239" s="3">
        <f>IFERROR(__xludf.DUMMYFUNCTION("""COMPUTED_VALUE"""),38568.645833333336)</f>
        <v>38568.64583</v>
      </c>
      <c r="B239" s="2">
        <f>IFERROR(__xludf.DUMMYFUNCTION("""COMPUTED_VALUE"""),163.13)</f>
        <v>163.13</v>
      </c>
      <c r="C239" s="2">
        <f>IFERROR(__xludf.DUMMYFUNCTION("""COMPUTED_VALUE"""),164.98)</f>
        <v>164.98</v>
      </c>
      <c r="D239" s="2">
        <f>IFERROR(__xludf.DUMMYFUNCTION("""COMPUTED_VALUE"""),161.0)</f>
        <v>161</v>
      </c>
      <c r="E239" s="2">
        <f>IFERROR(__xludf.DUMMYFUNCTION("""COMPUTED_VALUE"""),161.91)</f>
        <v>161.91</v>
      </c>
      <c r="F239" s="2">
        <f>IFERROR(__xludf.DUMMYFUNCTION("""COMPUTED_VALUE"""),793367.0)</f>
        <v>793367</v>
      </c>
    </row>
    <row r="240">
      <c r="A240" s="3">
        <f>IFERROR(__xludf.DUMMYFUNCTION("""COMPUTED_VALUE"""),38569.645833333336)</f>
        <v>38569.64583</v>
      </c>
      <c r="B240" s="2">
        <f>IFERROR(__xludf.DUMMYFUNCTION("""COMPUTED_VALUE"""),162.5)</f>
        <v>162.5</v>
      </c>
      <c r="C240" s="2">
        <f>IFERROR(__xludf.DUMMYFUNCTION("""COMPUTED_VALUE"""),163.5)</f>
        <v>163.5</v>
      </c>
      <c r="D240" s="2">
        <f>IFERROR(__xludf.DUMMYFUNCTION("""COMPUTED_VALUE"""),159.65)</f>
        <v>159.65</v>
      </c>
      <c r="E240" s="2">
        <f>IFERROR(__xludf.DUMMYFUNCTION("""COMPUTED_VALUE"""),160.68)</f>
        <v>160.68</v>
      </c>
      <c r="F240" s="2">
        <f>IFERROR(__xludf.DUMMYFUNCTION("""COMPUTED_VALUE"""),395356.0)</f>
        <v>395356</v>
      </c>
    </row>
    <row r="241">
      <c r="A241" s="3">
        <f>IFERROR(__xludf.DUMMYFUNCTION("""COMPUTED_VALUE"""),38572.645833333336)</f>
        <v>38572.64583</v>
      </c>
      <c r="B241" s="2">
        <f>IFERROR(__xludf.DUMMYFUNCTION("""COMPUTED_VALUE"""),161.25)</f>
        <v>161.25</v>
      </c>
      <c r="C241" s="2">
        <f>IFERROR(__xludf.DUMMYFUNCTION("""COMPUTED_VALUE"""),161.25)</f>
        <v>161.25</v>
      </c>
      <c r="D241" s="2">
        <f>IFERROR(__xludf.DUMMYFUNCTION("""COMPUTED_VALUE"""),158.41)</f>
        <v>158.41</v>
      </c>
      <c r="E241" s="2">
        <f>IFERROR(__xludf.DUMMYFUNCTION("""COMPUTED_VALUE"""),160.38)</f>
        <v>160.38</v>
      </c>
      <c r="F241" s="2">
        <f>IFERROR(__xludf.DUMMYFUNCTION("""COMPUTED_VALUE"""),513670.0)</f>
        <v>513670</v>
      </c>
    </row>
    <row r="242">
      <c r="A242" s="3">
        <f>IFERROR(__xludf.DUMMYFUNCTION("""COMPUTED_VALUE"""),38573.645833333336)</f>
        <v>38573.64583</v>
      </c>
      <c r="B242" s="2">
        <f>IFERROR(__xludf.DUMMYFUNCTION("""COMPUTED_VALUE"""),159.38)</f>
        <v>159.38</v>
      </c>
      <c r="C242" s="2">
        <f>IFERROR(__xludf.DUMMYFUNCTION("""COMPUTED_VALUE"""),160.88)</f>
        <v>160.88</v>
      </c>
      <c r="D242" s="2">
        <f>IFERROR(__xludf.DUMMYFUNCTION("""COMPUTED_VALUE"""),158.0)</f>
        <v>158</v>
      </c>
      <c r="E242" s="2">
        <f>IFERROR(__xludf.DUMMYFUNCTION("""COMPUTED_VALUE"""),160.55)</f>
        <v>160.55</v>
      </c>
      <c r="F242" s="2">
        <f>IFERROR(__xludf.DUMMYFUNCTION("""COMPUTED_VALUE"""),592969.0)</f>
        <v>592969</v>
      </c>
    </row>
    <row r="243">
      <c r="A243" s="3">
        <f>IFERROR(__xludf.DUMMYFUNCTION("""COMPUTED_VALUE"""),38574.645833333336)</f>
        <v>38574.64583</v>
      </c>
      <c r="B243" s="2">
        <f>IFERROR(__xludf.DUMMYFUNCTION("""COMPUTED_VALUE"""),160.71)</f>
        <v>160.71</v>
      </c>
      <c r="C243" s="2">
        <f>IFERROR(__xludf.DUMMYFUNCTION("""COMPUTED_VALUE"""),164.58)</f>
        <v>164.58</v>
      </c>
      <c r="D243" s="2">
        <f>IFERROR(__xludf.DUMMYFUNCTION("""COMPUTED_VALUE"""),160.71)</f>
        <v>160.71</v>
      </c>
      <c r="E243" s="2">
        <f>IFERROR(__xludf.DUMMYFUNCTION("""COMPUTED_VALUE"""),164.13)</f>
        <v>164.13</v>
      </c>
      <c r="F243" s="2">
        <f>IFERROR(__xludf.DUMMYFUNCTION("""COMPUTED_VALUE"""),869760.0)</f>
        <v>869760</v>
      </c>
    </row>
    <row r="244">
      <c r="A244" s="3">
        <f>IFERROR(__xludf.DUMMYFUNCTION("""COMPUTED_VALUE"""),38575.645833333336)</f>
        <v>38575.64583</v>
      </c>
      <c r="B244" s="2">
        <f>IFERROR(__xludf.DUMMYFUNCTION("""COMPUTED_VALUE"""),164.58)</f>
        <v>164.58</v>
      </c>
      <c r="C244" s="2">
        <f>IFERROR(__xludf.DUMMYFUNCTION("""COMPUTED_VALUE"""),166.13)</f>
        <v>166.13</v>
      </c>
      <c r="D244" s="2">
        <f>IFERROR(__xludf.DUMMYFUNCTION("""COMPUTED_VALUE"""),163.32)</f>
        <v>163.32</v>
      </c>
      <c r="E244" s="2">
        <f>IFERROR(__xludf.DUMMYFUNCTION("""COMPUTED_VALUE"""),164.11)</f>
        <v>164.11</v>
      </c>
      <c r="F244" s="2">
        <f>IFERROR(__xludf.DUMMYFUNCTION("""COMPUTED_VALUE"""),455664.0)</f>
        <v>455664</v>
      </c>
    </row>
    <row r="245">
      <c r="A245" s="3">
        <f>IFERROR(__xludf.DUMMYFUNCTION("""COMPUTED_VALUE"""),38576.645833333336)</f>
        <v>38576.64583</v>
      </c>
      <c r="B245" s="2">
        <f>IFERROR(__xludf.DUMMYFUNCTION("""COMPUTED_VALUE"""),166.05)</f>
        <v>166.05</v>
      </c>
      <c r="C245" s="2">
        <f>IFERROR(__xludf.DUMMYFUNCTION("""COMPUTED_VALUE"""),166.05)</f>
        <v>166.05</v>
      </c>
      <c r="D245" s="2">
        <f>IFERROR(__xludf.DUMMYFUNCTION("""COMPUTED_VALUE"""),159.45)</f>
        <v>159.45</v>
      </c>
      <c r="E245" s="2">
        <f>IFERROR(__xludf.DUMMYFUNCTION("""COMPUTED_VALUE"""),160.36)</f>
        <v>160.36</v>
      </c>
      <c r="F245" s="2">
        <f>IFERROR(__xludf.DUMMYFUNCTION("""COMPUTED_VALUE"""),477729.0)</f>
        <v>477729</v>
      </c>
    </row>
    <row r="246">
      <c r="A246" s="3">
        <f>IFERROR(__xludf.DUMMYFUNCTION("""COMPUTED_VALUE"""),38580.645833333336)</f>
        <v>38580.64583</v>
      </c>
      <c r="B246" s="2">
        <f>IFERROR(__xludf.DUMMYFUNCTION("""COMPUTED_VALUE"""),161.25)</f>
        <v>161.25</v>
      </c>
      <c r="C246" s="2">
        <f>IFERROR(__xludf.DUMMYFUNCTION("""COMPUTED_VALUE"""),161.25)</f>
        <v>161.25</v>
      </c>
      <c r="D246" s="2">
        <f>IFERROR(__xludf.DUMMYFUNCTION("""COMPUTED_VALUE"""),158.13)</f>
        <v>158.13</v>
      </c>
      <c r="E246" s="2">
        <f>IFERROR(__xludf.DUMMYFUNCTION("""COMPUTED_VALUE"""),158.63)</f>
        <v>158.63</v>
      </c>
      <c r="F246" s="2">
        <f>IFERROR(__xludf.DUMMYFUNCTION("""COMPUTED_VALUE"""),456676.0)</f>
        <v>456676</v>
      </c>
    </row>
    <row r="247">
      <c r="A247" s="3">
        <f>IFERROR(__xludf.DUMMYFUNCTION("""COMPUTED_VALUE"""),38581.645833333336)</f>
        <v>38581.64583</v>
      </c>
      <c r="B247" s="2">
        <f>IFERROR(__xludf.DUMMYFUNCTION("""COMPUTED_VALUE"""),160.0)</f>
        <v>160</v>
      </c>
      <c r="C247" s="2">
        <f>IFERROR(__xludf.DUMMYFUNCTION("""COMPUTED_VALUE"""),162.75)</f>
        <v>162.75</v>
      </c>
      <c r="D247" s="2">
        <f>IFERROR(__xludf.DUMMYFUNCTION("""COMPUTED_VALUE"""),157.66)</f>
        <v>157.66</v>
      </c>
      <c r="E247" s="2">
        <f>IFERROR(__xludf.DUMMYFUNCTION("""COMPUTED_VALUE"""),162.4)</f>
        <v>162.4</v>
      </c>
      <c r="F247" s="2">
        <f>IFERROR(__xludf.DUMMYFUNCTION("""COMPUTED_VALUE"""),704686.0)</f>
        <v>704686</v>
      </c>
    </row>
    <row r="248">
      <c r="A248" s="3">
        <f>IFERROR(__xludf.DUMMYFUNCTION("""COMPUTED_VALUE"""),38582.645833333336)</f>
        <v>38582.64583</v>
      </c>
      <c r="B248" s="2">
        <f>IFERROR(__xludf.DUMMYFUNCTION("""COMPUTED_VALUE"""),163.38)</f>
        <v>163.38</v>
      </c>
      <c r="C248" s="2">
        <f>IFERROR(__xludf.DUMMYFUNCTION("""COMPUTED_VALUE"""),165.63)</f>
        <v>165.63</v>
      </c>
      <c r="D248" s="2">
        <f>IFERROR(__xludf.DUMMYFUNCTION("""COMPUTED_VALUE"""),163.16)</f>
        <v>163.16</v>
      </c>
      <c r="E248" s="2">
        <f>IFERROR(__xludf.DUMMYFUNCTION("""COMPUTED_VALUE"""),164.21)</f>
        <v>164.21</v>
      </c>
      <c r="F248" s="2">
        <f>IFERROR(__xludf.DUMMYFUNCTION("""COMPUTED_VALUE"""),976707.0)</f>
        <v>976707</v>
      </c>
    </row>
    <row r="249">
      <c r="A249" s="3">
        <f>IFERROR(__xludf.DUMMYFUNCTION("""COMPUTED_VALUE"""),38583.645833333336)</f>
        <v>38583.64583</v>
      </c>
      <c r="B249" s="2">
        <f>IFERROR(__xludf.DUMMYFUNCTION("""COMPUTED_VALUE"""),164.38)</f>
        <v>164.38</v>
      </c>
      <c r="C249" s="2">
        <f>IFERROR(__xludf.DUMMYFUNCTION("""COMPUTED_VALUE"""),166.5)</f>
        <v>166.5</v>
      </c>
      <c r="D249" s="2">
        <f>IFERROR(__xludf.DUMMYFUNCTION("""COMPUTED_VALUE"""),163.89)</f>
        <v>163.89</v>
      </c>
      <c r="E249" s="2">
        <f>IFERROR(__xludf.DUMMYFUNCTION("""COMPUTED_VALUE"""),165.67)</f>
        <v>165.67</v>
      </c>
      <c r="F249" s="2">
        <f>IFERROR(__xludf.DUMMYFUNCTION("""COMPUTED_VALUE"""),620784.0)</f>
        <v>620784</v>
      </c>
    </row>
    <row r="250">
      <c r="A250" s="3">
        <f>IFERROR(__xludf.DUMMYFUNCTION("""COMPUTED_VALUE"""),38586.645833333336)</f>
        <v>38586.64583</v>
      </c>
      <c r="B250" s="2">
        <f>IFERROR(__xludf.DUMMYFUNCTION("""COMPUTED_VALUE"""),165.63)</f>
        <v>165.63</v>
      </c>
      <c r="C250" s="2">
        <f>IFERROR(__xludf.DUMMYFUNCTION("""COMPUTED_VALUE"""),168.55)</f>
        <v>168.55</v>
      </c>
      <c r="D250" s="2">
        <f>IFERROR(__xludf.DUMMYFUNCTION("""COMPUTED_VALUE"""),155.63)</f>
        <v>155.63</v>
      </c>
      <c r="E250" s="2">
        <f>IFERROR(__xludf.DUMMYFUNCTION("""COMPUTED_VALUE"""),164.73)</f>
        <v>164.73</v>
      </c>
      <c r="F250" s="2">
        <f>IFERROR(__xludf.DUMMYFUNCTION("""COMPUTED_VALUE"""),561502.0)</f>
        <v>561502</v>
      </c>
    </row>
    <row r="251">
      <c r="A251" s="3">
        <f>IFERROR(__xludf.DUMMYFUNCTION("""COMPUTED_VALUE"""),38587.645833333336)</f>
        <v>38587.64583</v>
      </c>
      <c r="B251" s="2">
        <f>IFERROR(__xludf.DUMMYFUNCTION("""COMPUTED_VALUE"""),165.88)</f>
        <v>165.88</v>
      </c>
      <c r="C251" s="2">
        <f>IFERROR(__xludf.DUMMYFUNCTION("""COMPUTED_VALUE"""),166.33)</f>
        <v>166.33</v>
      </c>
      <c r="D251" s="2">
        <f>IFERROR(__xludf.DUMMYFUNCTION("""COMPUTED_VALUE"""),164.13)</f>
        <v>164.13</v>
      </c>
      <c r="E251" s="2">
        <f>IFERROR(__xludf.DUMMYFUNCTION("""COMPUTED_VALUE"""),164.51)</f>
        <v>164.51</v>
      </c>
      <c r="F251" s="2">
        <f>IFERROR(__xludf.DUMMYFUNCTION("""COMPUTED_VALUE"""),585802.0)</f>
        <v>585802</v>
      </c>
    </row>
    <row r="252">
      <c r="A252" s="3">
        <f>IFERROR(__xludf.DUMMYFUNCTION("""COMPUTED_VALUE"""),38588.645833333336)</f>
        <v>38588.64583</v>
      </c>
      <c r="B252" s="2">
        <f>IFERROR(__xludf.DUMMYFUNCTION("""COMPUTED_VALUE"""),164.51)</f>
        <v>164.51</v>
      </c>
      <c r="C252" s="2">
        <f>IFERROR(__xludf.DUMMYFUNCTION("""COMPUTED_VALUE"""),164.75)</f>
        <v>164.75</v>
      </c>
      <c r="D252" s="2">
        <f>IFERROR(__xludf.DUMMYFUNCTION("""COMPUTED_VALUE"""),160.5)</f>
        <v>160.5</v>
      </c>
      <c r="E252" s="2">
        <f>IFERROR(__xludf.DUMMYFUNCTION("""COMPUTED_VALUE"""),161.96)</f>
        <v>161.96</v>
      </c>
      <c r="F252" s="2">
        <f>IFERROR(__xludf.DUMMYFUNCTION("""COMPUTED_VALUE"""),504595.0)</f>
        <v>504595</v>
      </c>
    </row>
    <row r="253">
      <c r="A253" s="3">
        <f>IFERROR(__xludf.DUMMYFUNCTION("""COMPUTED_VALUE"""),38589.645833333336)</f>
        <v>38589.64583</v>
      </c>
      <c r="B253" s="2">
        <f>IFERROR(__xludf.DUMMYFUNCTION("""COMPUTED_VALUE"""),163.13)</f>
        <v>163.13</v>
      </c>
      <c r="C253" s="2">
        <f>IFERROR(__xludf.DUMMYFUNCTION("""COMPUTED_VALUE"""),166.25)</f>
        <v>166.25</v>
      </c>
      <c r="D253" s="2">
        <f>IFERROR(__xludf.DUMMYFUNCTION("""COMPUTED_VALUE"""),162.5)</f>
        <v>162.5</v>
      </c>
      <c r="E253" s="2">
        <f>IFERROR(__xludf.DUMMYFUNCTION("""COMPUTED_VALUE"""),165.46)</f>
        <v>165.46</v>
      </c>
      <c r="F253" s="2">
        <f>IFERROR(__xludf.DUMMYFUNCTION("""COMPUTED_VALUE"""),792653.0)</f>
        <v>792653</v>
      </c>
    </row>
    <row r="254">
      <c r="A254" s="3">
        <f>IFERROR(__xludf.DUMMYFUNCTION("""COMPUTED_VALUE"""),38590.645833333336)</f>
        <v>38590.64583</v>
      </c>
      <c r="B254" s="2">
        <f>IFERROR(__xludf.DUMMYFUNCTION("""COMPUTED_VALUE"""),166.06)</f>
        <v>166.06</v>
      </c>
      <c r="C254" s="2">
        <f>IFERROR(__xludf.DUMMYFUNCTION("""COMPUTED_VALUE"""),171.25)</f>
        <v>171.25</v>
      </c>
      <c r="D254" s="2">
        <f>IFERROR(__xludf.DUMMYFUNCTION("""COMPUTED_VALUE"""),165.63)</f>
        <v>165.63</v>
      </c>
      <c r="E254" s="2">
        <f>IFERROR(__xludf.DUMMYFUNCTION("""COMPUTED_VALUE"""),170.6)</f>
        <v>170.6</v>
      </c>
      <c r="F254" s="2">
        <f>IFERROR(__xludf.DUMMYFUNCTION("""COMPUTED_VALUE"""),1024833.0)</f>
        <v>1024833</v>
      </c>
    </row>
    <row r="255">
      <c r="A255" s="3">
        <f>IFERROR(__xludf.DUMMYFUNCTION("""COMPUTED_VALUE"""),38593.645833333336)</f>
        <v>38593.64583</v>
      </c>
      <c r="B255" s="2">
        <f>IFERROR(__xludf.DUMMYFUNCTION("""COMPUTED_VALUE"""),171.25)</f>
        <v>171.25</v>
      </c>
      <c r="C255" s="2">
        <f>IFERROR(__xludf.DUMMYFUNCTION("""COMPUTED_VALUE"""),172.25)</f>
        <v>172.25</v>
      </c>
      <c r="D255" s="2">
        <f>IFERROR(__xludf.DUMMYFUNCTION("""COMPUTED_VALUE"""),166.25)</f>
        <v>166.25</v>
      </c>
      <c r="E255" s="2">
        <f>IFERROR(__xludf.DUMMYFUNCTION("""COMPUTED_VALUE"""),169.42)</f>
        <v>169.42</v>
      </c>
      <c r="F255" s="2">
        <f>IFERROR(__xludf.DUMMYFUNCTION("""COMPUTED_VALUE"""),510167.0)</f>
        <v>510167</v>
      </c>
    </row>
    <row r="256">
      <c r="A256" s="3">
        <f>IFERROR(__xludf.DUMMYFUNCTION("""COMPUTED_VALUE"""),38594.645833333336)</f>
        <v>38594.64583</v>
      </c>
      <c r="B256" s="2">
        <f>IFERROR(__xludf.DUMMYFUNCTION("""COMPUTED_VALUE"""),169.46)</f>
        <v>169.46</v>
      </c>
      <c r="C256" s="2">
        <f>IFERROR(__xludf.DUMMYFUNCTION("""COMPUTED_VALUE"""),173.88)</f>
        <v>173.88</v>
      </c>
      <c r="D256" s="2">
        <f>IFERROR(__xludf.DUMMYFUNCTION("""COMPUTED_VALUE"""),169.46)</f>
        <v>169.46</v>
      </c>
      <c r="E256" s="2">
        <f>IFERROR(__xludf.DUMMYFUNCTION("""COMPUTED_VALUE"""),173.05)</f>
        <v>173.05</v>
      </c>
      <c r="F256" s="2">
        <f>IFERROR(__xludf.DUMMYFUNCTION("""COMPUTED_VALUE"""),725949.0)</f>
        <v>725949</v>
      </c>
    </row>
    <row r="257">
      <c r="A257" s="3">
        <f>IFERROR(__xludf.DUMMYFUNCTION("""COMPUTED_VALUE"""),38595.645833333336)</f>
        <v>38595.64583</v>
      </c>
      <c r="B257" s="2">
        <f>IFERROR(__xludf.DUMMYFUNCTION("""COMPUTED_VALUE"""),172.6)</f>
        <v>172.6</v>
      </c>
      <c r="C257" s="2">
        <f>IFERROR(__xludf.DUMMYFUNCTION("""COMPUTED_VALUE"""),176.92)</f>
        <v>176.92</v>
      </c>
      <c r="D257" s="2">
        <f>IFERROR(__xludf.DUMMYFUNCTION("""COMPUTED_VALUE"""),172.5)</f>
        <v>172.5</v>
      </c>
      <c r="E257" s="2">
        <f>IFERROR(__xludf.DUMMYFUNCTION("""COMPUTED_VALUE"""),175.61)</f>
        <v>175.61</v>
      </c>
      <c r="F257" s="2">
        <f>IFERROR(__xludf.DUMMYFUNCTION("""COMPUTED_VALUE"""),926112.0)</f>
        <v>926112</v>
      </c>
    </row>
    <row r="258">
      <c r="A258" s="3">
        <f>IFERROR(__xludf.DUMMYFUNCTION("""COMPUTED_VALUE"""),38596.645833333336)</f>
        <v>38596.64583</v>
      </c>
      <c r="B258" s="2">
        <f>IFERROR(__xludf.DUMMYFUNCTION("""COMPUTED_VALUE"""),176.23)</f>
        <v>176.23</v>
      </c>
      <c r="C258" s="2">
        <f>IFERROR(__xludf.DUMMYFUNCTION("""COMPUTED_VALUE"""),179.25)</f>
        <v>179.25</v>
      </c>
      <c r="D258" s="2">
        <f>IFERROR(__xludf.DUMMYFUNCTION("""COMPUTED_VALUE"""),176.13)</f>
        <v>176.13</v>
      </c>
      <c r="E258" s="2">
        <f>IFERROR(__xludf.DUMMYFUNCTION("""COMPUTED_VALUE"""),178.03)</f>
        <v>178.03</v>
      </c>
      <c r="F258" s="2">
        <f>IFERROR(__xludf.DUMMYFUNCTION("""COMPUTED_VALUE"""),950023.0)</f>
        <v>950023</v>
      </c>
    </row>
    <row r="259">
      <c r="A259" s="3">
        <f>IFERROR(__xludf.DUMMYFUNCTION("""COMPUTED_VALUE"""),38597.645833333336)</f>
        <v>38597.64583</v>
      </c>
      <c r="B259" s="2">
        <f>IFERROR(__xludf.DUMMYFUNCTION("""COMPUTED_VALUE"""),178.75)</f>
        <v>178.75</v>
      </c>
      <c r="C259" s="2">
        <f>IFERROR(__xludf.DUMMYFUNCTION("""COMPUTED_VALUE"""),180.0)</f>
        <v>180</v>
      </c>
      <c r="D259" s="2">
        <f>IFERROR(__xludf.DUMMYFUNCTION("""COMPUTED_VALUE"""),176.88)</f>
        <v>176.88</v>
      </c>
      <c r="E259" s="2">
        <f>IFERROR(__xludf.DUMMYFUNCTION("""COMPUTED_VALUE"""),178.4)</f>
        <v>178.4</v>
      </c>
      <c r="F259" s="2">
        <f>IFERROR(__xludf.DUMMYFUNCTION("""COMPUTED_VALUE"""),615108.0)</f>
        <v>615108</v>
      </c>
    </row>
    <row r="260">
      <c r="A260" s="3">
        <f>IFERROR(__xludf.DUMMYFUNCTION("""COMPUTED_VALUE"""),38600.645833333336)</f>
        <v>38600.64583</v>
      </c>
      <c r="B260" s="2">
        <f>IFERROR(__xludf.DUMMYFUNCTION("""COMPUTED_VALUE"""),180.0)</f>
        <v>180</v>
      </c>
      <c r="C260" s="2">
        <f>IFERROR(__xludf.DUMMYFUNCTION("""COMPUTED_VALUE"""),183.36)</f>
        <v>183.36</v>
      </c>
      <c r="D260" s="2">
        <f>IFERROR(__xludf.DUMMYFUNCTION("""COMPUTED_VALUE"""),175.8)</f>
        <v>175.8</v>
      </c>
      <c r="E260" s="2">
        <f>IFERROR(__xludf.DUMMYFUNCTION("""COMPUTED_VALUE"""),176.28)</f>
        <v>176.28</v>
      </c>
      <c r="F260" s="2">
        <f>IFERROR(__xludf.DUMMYFUNCTION("""COMPUTED_VALUE"""),906848.0)</f>
        <v>906848</v>
      </c>
    </row>
    <row r="261">
      <c r="A261" s="3">
        <f>IFERROR(__xludf.DUMMYFUNCTION("""COMPUTED_VALUE"""),38601.645833333336)</f>
        <v>38601.64583</v>
      </c>
      <c r="B261" s="2">
        <f>IFERROR(__xludf.DUMMYFUNCTION("""COMPUTED_VALUE"""),176.88)</f>
        <v>176.88</v>
      </c>
      <c r="C261" s="2">
        <f>IFERROR(__xludf.DUMMYFUNCTION("""COMPUTED_VALUE"""),177.49)</f>
        <v>177.49</v>
      </c>
      <c r="D261" s="2">
        <f>IFERROR(__xludf.DUMMYFUNCTION("""COMPUTED_VALUE"""),173.5)</f>
        <v>173.5</v>
      </c>
      <c r="E261" s="2">
        <f>IFERROR(__xludf.DUMMYFUNCTION("""COMPUTED_VALUE"""),174.81)</f>
        <v>174.81</v>
      </c>
      <c r="F261" s="2">
        <f>IFERROR(__xludf.DUMMYFUNCTION("""COMPUTED_VALUE"""),627930.0)</f>
        <v>627930</v>
      </c>
    </row>
    <row r="262">
      <c r="A262" s="3">
        <f>IFERROR(__xludf.DUMMYFUNCTION("""COMPUTED_VALUE"""),38603.645833333336)</f>
        <v>38603.64583</v>
      </c>
      <c r="B262" s="2">
        <f>IFERROR(__xludf.DUMMYFUNCTION("""COMPUTED_VALUE"""),175.0)</f>
        <v>175</v>
      </c>
      <c r="C262" s="2">
        <f>IFERROR(__xludf.DUMMYFUNCTION("""COMPUTED_VALUE"""),176.88)</f>
        <v>176.88</v>
      </c>
      <c r="D262" s="2">
        <f>IFERROR(__xludf.DUMMYFUNCTION("""COMPUTED_VALUE"""),174.41)</f>
        <v>174.41</v>
      </c>
      <c r="E262" s="2">
        <f>IFERROR(__xludf.DUMMYFUNCTION("""COMPUTED_VALUE"""),175.76)</f>
        <v>175.76</v>
      </c>
      <c r="F262" s="2">
        <f>IFERROR(__xludf.DUMMYFUNCTION("""COMPUTED_VALUE"""),359774.0)</f>
        <v>359774</v>
      </c>
    </row>
    <row r="263">
      <c r="A263" s="3">
        <f>IFERROR(__xludf.DUMMYFUNCTION("""COMPUTED_VALUE"""),38604.645833333336)</f>
        <v>38604.64583</v>
      </c>
      <c r="B263" s="2">
        <f>IFERROR(__xludf.DUMMYFUNCTION("""COMPUTED_VALUE"""),168.88)</f>
        <v>168.88</v>
      </c>
      <c r="C263" s="2">
        <f>IFERROR(__xludf.DUMMYFUNCTION("""COMPUTED_VALUE"""),176.75)</f>
        <v>176.75</v>
      </c>
      <c r="D263" s="2">
        <f>IFERROR(__xludf.DUMMYFUNCTION("""COMPUTED_VALUE"""),168.88)</f>
        <v>168.88</v>
      </c>
      <c r="E263" s="2">
        <f>IFERROR(__xludf.DUMMYFUNCTION("""COMPUTED_VALUE"""),173.99)</f>
        <v>173.99</v>
      </c>
      <c r="F263" s="2">
        <f>IFERROR(__xludf.DUMMYFUNCTION("""COMPUTED_VALUE"""),467722.0)</f>
        <v>467722</v>
      </c>
    </row>
    <row r="264">
      <c r="A264" s="3">
        <f>IFERROR(__xludf.DUMMYFUNCTION("""COMPUTED_VALUE"""),38607.645833333336)</f>
        <v>38607.64583</v>
      </c>
      <c r="B264" s="2">
        <f>IFERROR(__xludf.DUMMYFUNCTION("""COMPUTED_VALUE"""),178.63)</f>
        <v>178.63</v>
      </c>
      <c r="C264" s="2">
        <f>IFERROR(__xludf.DUMMYFUNCTION("""COMPUTED_VALUE"""),204.75)</f>
        <v>204.75</v>
      </c>
      <c r="D264" s="2">
        <f>IFERROR(__xludf.DUMMYFUNCTION("""COMPUTED_VALUE"""),175.81)</f>
        <v>175.81</v>
      </c>
      <c r="E264" s="2">
        <f>IFERROR(__xludf.DUMMYFUNCTION("""COMPUTED_VALUE"""),178.78)</f>
        <v>178.78</v>
      </c>
      <c r="F264" s="2">
        <f>IFERROR(__xludf.DUMMYFUNCTION("""COMPUTED_VALUE"""),828884.0)</f>
        <v>828884</v>
      </c>
    </row>
    <row r="265">
      <c r="A265" s="3">
        <f>IFERROR(__xludf.DUMMYFUNCTION("""COMPUTED_VALUE"""),38608.645833333336)</f>
        <v>38608.64583</v>
      </c>
      <c r="B265" s="2">
        <f>IFERROR(__xludf.DUMMYFUNCTION("""COMPUTED_VALUE"""),178.88)</f>
        <v>178.88</v>
      </c>
      <c r="C265" s="2">
        <f>IFERROR(__xludf.DUMMYFUNCTION("""COMPUTED_VALUE"""),178.88)</f>
        <v>178.88</v>
      </c>
      <c r="D265" s="2">
        <f>IFERROR(__xludf.DUMMYFUNCTION("""COMPUTED_VALUE"""),176.33)</f>
        <v>176.33</v>
      </c>
      <c r="E265" s="2">
        <f>IFERROR(__xludf.DUMMYFUNCTION("""COMPUTED_VALUE"""),177.8)</f>
        <v>177.8</v>
      </c>
      <c r="F265" s="2">
        <f>IFERROR(__xludf.DUMMYFUNCTION("""COMPUTED_VALUE"""),280623.0)</f>
        <v>280623</v>
      </c>
    </row>
    <row r="266">
      <c r="A266" s="3">
        <f>IFERROR(__xludf.DUMMYFUNCTION("""COMPUTED_VALUE"""),38609.645833333336)</f>
        <v>38609.64583</v>
      </c>
      <c r="B266" s="2">
        <f>IFERROR(__xludf.DUMMYFUNCTION("""COMPUTED_VALUE"""),177.5)</f>
        <v>177.5</v>
      </c>
      <c r="C266" s="2">
        <f>IFERROR(__xludf.DUMMYFUNCTION("""COMPUTED_VALUE"""),178.38)</f>
        <v>178.38</v>
      </c>
      <c r="D266" s="2">
        <f>IFERROR(__xludf.DUMMYFUNCTION("""COMPUTED_VALUE"""),173.38)</f>
        <v>173.38</v>
      </c>
      <c r="E266" s="2">
        <f>IFERROR(__xludf.DUMMYFUNCTION("""COMPUTED_VALUE"""),175.02)</f>
        <v>175.02</v>
      </c>
      <c r="F266" s="2">
        <f>IFERROR(__xludf.DUMMYFUNCTION("""COMPUTED_VALUE"""),486260.0)</f>
        <v>486260</v>
      </c>
    </row>
    <row r="267">
      <c r="A267" s="3">
        <f>IFERROR(__xludf.DUMMYFUNCTION("""COMPUTED_VALUE"""),38610.645833333336)</f>
        <v>38610.64583</v>
      </c>
      <c r="B267" s="2">
        <f>IFERROR(__xludf.DUMMYFUNCTION("""COMPUTED_VALUE"""),175.25)</f>
        <v>175.25</v>
      </c>
      <c r="C267" s="2">
        <f>IFERROR(__xludf.DUMMYFUNCTION("""COMPUTED_VALUE"""),181.85)</f>
        <v>181.85</v>
      </c>
      <c r="D267" s="2">
        <f>IFERROR(__xludf.DUMMYFUNCTION("""COMPUTED_VALUE"""),175.25)</f>
        <v>175.25</v>
      </c>
      <c r="E267" s="2">
        <f>IFERROR(__xludf.DUMMYFUNCTION("""COMPUTED_VALUE"""),181.24)</f>
        <v>181.24</v>
      </c>
      <c r="F267" s="2">
        <f>IFERROR(__xludf.DUMMYFUNCTION("""COMPUTED_VALUE"""),1380092.0)</f>
        <v>1380092</v>
      </c>
    </row>
    <row r="268">
      <c r="A268" s="3">
        <f>IFERROR(__xludf.DUMMYFUNCTION("""COMPUTED_VALUE"""),38611.645833333336)</f>
        <v>38611.64583</v>
      </c>
      <c r="B268" s="2">
        <f>IFERROR(__xludf.DUMMYFUNCTION("""COMPUTED_VALUE"""),181.85)</f>
        <v>181.85</v>
      </c>
      <c r="C268" s="2">
        <f>IFERROR(__xludf.DUMMYFUNCTION("""COMPUTED_VALUE"""),184.71)</f>
        <v>184.71</v>
      </c>
      <c r="D268" s="2">
        <f>IFERROR(__xludf.DUMMYFUNCTION("""COMPUTED_VALUE"""),179.53)</f>
        <v>179.53</v>
      </c>
      <c r="E268" s="2">
        <f>IFERROR(__xludf.DUMMYFUNCTION("""COMPUTED_VALUE"""),182.2)</f>
        <v>182.2</v>
      </c>
      <c r="F268" s="2">
        <f>IFERROR(__xludf.DUMMYFUNCTION("""COMPUTED_VALUE"""),685023.0)</f>
        <v>685023</v>
      </c>
    </row>
    <row r="269">
      <c r="A269" s="3">
        <f>IFERROR(__xludf.DUMMYFUNCTION("""COMPUTED_VALUE"""),38614.645833333336)</f>
        <v>38614.64583</v>
      </c>
      <c r="B269" s="2">
        <f>IFERROR(__xludf.DUMMYFUNCTION("""COMPUTED_VALUE"""),184.71)</f>
        <v>184.71</v>
      </c>
      <c r="C269" s="2">
        <f>IFERROR(__xludf.DUMMYFUNCTION("""COMPUTED_VALUE"""),185.0)</f>
        <v>185</v>
      </c>
      <c r="D269" s="2">
        <f>IFERROR(__xludf.DUMMYFUNCTION("""COMPUTED_VALUE"""),180.38)</f>
        <v>180.38</v>
      </c>
      <c r="E269" s="2">
        <f>IFERROR(__xludf.DUMMYFUNCTION("""COMPUTED_VALUE"""),181.77)</f>
        <v>181.77</v>
      </c>
      <c r="F269" s="2">
        <f>IFERROR(__xludf.DUMMYFUNCTION("""COMPUTED_VALUE"""),359681.0)</f>
        <v>359681</v>
      </c>
    </row>
    <row r="270">
      <c r="A270" s="3">
        <f>IFERROR(__xludf.DUMMYFUNCTION("""COMPUTED_VALUE"""),38615.645833333336)</f>
        <v>38615.64583</v>
      </c>
      <c r="B270" s="2">
        <f>IFERROR(__xludf.DUMMYFUNCTION("""COMPUTED_VALUE"""),181.88)</f>
        <v>181.88</v>
      </c>
      <c r="C270" s="2">
        <f>IFERROR(__xludf.DUMMYFUNCTION("""COMPUTED_VALUE"""),185.0)</f>
        <v>185</v>
      </c>
      <c r="D270" s="2">
        <f>IFERROR(__xludf.DUMMYFUNCTION("""COMPUTED_VALUE"""),177.5)</f>
        <v>177.5</v>
      </c>
      <c r="E270" s="2">
        <f>IFERROR(__xludf.DUMMYFUNCTION("""COMPUTED_VALUE"""),183.81)</f>
        <v>183.81</v>
      </c>
      <c r="F270" s="2">
        <f>IFERROR(__xludf.DUMMYFUNCTION("""COMPUTED_VALUE"""),786678.0)</f>
        <v>786678</v>
      </c>
    </row>
    <row r="271">
      <c r="A271" s="3">
        <f>IFERROR(__xludf.DUMMYFUNCTION("""COMPUTED_VALUE"""),38616.645833333336)</f>
        <v>38616.64583</v>
      </c>
      <c r="B271" s="2">
        <f>IFERROR(__xludf.DUMMYFUNCTION("""COMPUTED_VALUE"""),184.25)</f>
        <v>184.25</v>
      </c>
      <c r="C271" s="2">
        <f>IFERROR(__xludf.DUMMYFUNCTION("""COMPUTED_VALUE"""),184.5)</f>
        <v>184.5</v>
      </c>
      <c r="D271" s="2">
        <f>IFERROR(__xludf.DUMMYFUNCTION("""COMPUTED_VALUE"""),175.0)</f>
        <v>175</v>
      </c>
      <c r="E271" s="2">
        <f>IFERROR(__xludf.DUMMYFUNCTION("""COMPUTED_VALUE"""),181.71)</f>
        <v>181.71</v>
      </c>
      <c r="F271" s="2">
        <f>IFERROR(__xludf.DUMMYFUNCTION("""COMPUTED_VALUE"""),776915.0)</f>
        <v>776915</v>
      </c>
    </row>
    <row r="272">
      <c r="A272" s="3">
        <f>IFERROR(__xludf.DUMMYFUNCTION("""COMPUTED_VALUE"""),38617.645833333336)</f>
        <v>38617.64583</v>
      </c>
      <c r="B272" s="2">
        <f>IFERROR(__xludf.DUMMYFUNCTION("""COMPUTED_VALUE"""),184.5)</f>
        <v>184.5</v>
      </c>
      <c r="C272" s="2">
        <f>IFERROR(__xludf.DUMMYFUNCTION("""COMPUTED_VALUE"""),185.88)</f>
        <v>185.88</v>
      </c>
      <c r="D272" s="2">
        <f>IFERROR(__xludf.DUMMYFUNCTION("""COMPUTED_VALUE"""),174.63)</f>
        <v>174.63</v>
      </c>
      <c r="E272" s="2">
        <f>IFERROR(__xludf.DUMMYFUNCTION("""COMPUTED_VALUE"""),175.18)</f>
        <v>175.18</v>
      </c>
      <c r="F272" s="2">
        <f>IFERROR(__xludf.DUMMYFUNCTION("""COMPUTED_VALUE"""),810301.0)</f>
        <v>810301</v>
      </c>
    </row>
    <row r="273">
      <c r="A273" s="3">
        <f>IFERROR(__xludf.DUMMYFUNCTION("""COMPUTED_VALUE"""),38618.645833333336)</f>
        <v>38618.64583</v>
      </c>
      <c r="B273" s="2">
        <f>IFERROR(__xludf.DUMMYFUNCTION("""COMPUTED_VALUE"""),175.05)</f>
        <v>175.05</v>
      </c>
      <c r="C273" s="2">
        <f>IFERROR(__xludf.DUMMYFUNCTION("""COMPUTED_VALUE"""),178.73)</f>
        <v>178.73</v>
      </c>
      <c r="D273" s="2">
        <f>IFERROR(__xludf.DUMMYFUNCTION("""COMPUTED_VALUE"""),175.05)</f>
        <v>175.05</v>
      </c>
      <c r="E273" s="2">
        <f>IFERROR(__xludf.DUMMYFUNCTION("""COMPUTED_VALUE"""),176.56)</f>
        <v>176.56</v>
      </c>
      <c r="F273" s="2">
        <f>IFERROR(__xludf.DUMMYFUNCTION("""COMPUTED_VALUE"""),476978.0)</f>
        <v>476978</v>
      </c>
    </row>
    <row r="274">
      <c r="A274" s="3">
        <f>IFERROR(__xludf.DUMMYFUNCTION("""COMPUTED_VALUE"""),38621.645833333336)</f>
        <v>38621.64583</v>
      </c>
      <c r="B274" s="2">
        <f>IFERROR(__xludf.DUMMYFUNCTION("""COMPUTED_VALUE"""),177.5)</f>
        <v>177.5</v>
      </c>
      <c r="C274" s="2">
        <f>IFERROR(__xludf.DUMMYFUNCTION("""COMPUTED_VALUE"""),184.13)</f>
        <v>184.13</v>
      </c>
      <c r="D274" s="2">
        <f>IFERROR(__xludf.DUMMYFUNCTION("""COMPUTED_VALUE"""),177.0)</f>
        <v>177</v>
      </c>
      <c r="E274" s="2">
        <f>IFERROR(__xludf.DUMMYFUNCTION("""COMPUTED_VALUE"""),183.24)</f>
        <v>183.24</v>
      </c>
      <c r="F274" s="2">
        <f>IFERROR(__xludf.DUMMYFUNCTION("""COMPUTED_VALUE"""),286256.0)</f>
        <v>286256</v>
      </c>
    </row>
    <row r="275">
      <c r="A275" s="3">
        <f>IFERROR(__xludf.DUMMYFUNCTION("""COMPUTED_VALUE"""),38622.645833333336)</f>
        <v>38622.64583</v>
      </c>
      <c r="B275" s="2">
        <f>IFERROR(__xludf.DUMMYFUNCTION("""COMPUTED_VALUE"""),184.38)</f>
        <v>184.38</v>
      </c>
      <c r="C275" s="2">
        <f>IFERROR(__xludf.DUMMYFUNCTION("""COMPUTED_VALUE"""),185.13)</f>
        <v>185.13</v>
      </c>
      <c r="D275" s="2">
        <f>IFERROR(__xludf.DUMMYFUNCTION("""COMPUTED_VALUE"""),180.79)</f>
        <v>180.79</v>
      </c>
      <c r="E275" s="2">
        <f>IFERROR(__xludf.DUMMYFUNCTION("""COMPUTED_VALUE"""),182.79)</f>
        <v>182.79</v>
      </c>
      <c r="F275" s="2">
        <f>IFERROR(__xludf.DUMMYFUNCTION("""COMPUTED_VALUE"""),800501.0)</f>
        <v>800501</v>
      </c>
    </row>
    <row r="276">
      <c r="A276" s="3">
        <f>IFERROR(__xludf.DUMMYFUNCTION("""COMPUTED_VALUE"""),38623.645833333336)</f>
        <v>38623.64583</v>
      </c>
      <c r="B276" s="2">
        <f>IFERROR(__xludf.DUMMYFUNCTION("""COMPUTED_VALUE"""),183.0)</f>
        <v>183</v>
      </c>
      <c r="C276" s="2">
        <f>IFERROR(__xludf.DUMMYFUNCTION("""COMPUTED_VALUE"""),184.36)</f>
        <v>184.36</v>
      </c>
      <c r="D276" s="2">
        <f>IFERROR(__xludf.DUMMYFUNCTION("""COMPUTED_VALUE"""),180.88)</f>
        <v>180.88</v>
      </c>
      <c r="E276" s="2">
        <f>IFERROR(__xludf.DUMMYFUNCTION("""COMPUTED_VALUE"""),183.69)</f>
        <v>183.69</v>
      </c>
      <c r="F276" s="2">
        <f>IFERROR(__xludf.DUMMYFUNCTION("""COMPUTED_VALUE"""),737508.0)</f>
        <v>737508</v>
      </c>
    </row>
    <row r="277">
      <c r="A277" s="3">
        <f>IFERROR(__xludf.DUMMYFUNCTION("""COMPUTED_VALUE"""),38624.645833333336)</f>
        <v>38624.64583</v>
      </c>
      <c r="B277" s="2">
        <f>IFERROR(__xludf.DUMMYFUNCTION("""COMPUTED_VALUE"""),185.0)</f>
        <v>185</v>
      </c>
      <c r="C277" s="2">
        <f>IFERROR(__xludf.DUMMYFUNCTION("""COMPUTED_VALUE"""),186.8)</f>
        <v>186.8</v>
      </c>
      <c r="D277" s="2">
        <f>IFERROR(__xludf.DUMMYFUNCTION("""COMPUTED_VALUE"""),183.13)</f>
        <v>183.13</v>
      </c>
      <c r="E277" s="2">
        <f>IFERROR(__xludf.DUMMYFUNCTION("""COMPUTED_VALUE"""),184.11)</f>
        <v>184.11</v>
      </c>
      <c r="F277" s="2">
        <f>IFERROR(__xludf.DUMMYFUNCTION("""COMPUTED_VALUE"""),1052736.0)</f>
        <v>1052736</v>
      </c>
    </row>
    <row r="278">
      <c r="A278" s="3">
        <f>IFERROR(__xludf.DUMMYFUNCTION("""COMPUTED_VALUE"""),38625.645833333336)</f>
        <v>38625.64583</v>
      </c>
      <c r="B278" s="2">
        <f>IFERROR(__xludf.DUMMYFUNCTION("""COMPUTED_VALUE"""),185.0)</f>
        <v>185</v>
      </c>
      <c r="C278" s="2">
        <f>IFERROR(__xludf.DUMMYFUNCTION("""COMPUTED_VALUE"""),186.48)</f>
        <v>186.48</v>
      </c>
      <c r="D278" s="2">
        <f>IFERROR(__xludf.DUMMYFUNCTION("""COMPUTED_VALUE"""),183.03)</f>
        <v>183.03</v>
      </c>
      <c r="E278" s="2">
        <f>IFERROR(__xludf.DUMMYFUNCTION("""COMPUTED_VALUE"""),185.3)</f>
        <v>185.3</v>
      </c>
      <c r="F278" s="2">
        <f>IFERROR(__xludf.DUMMYFUNCTION("""COMPUTED_VALUE"""),622872.0)</f>
        <v>622872</v>
      </c>
    </row>
    <row r="279">
      <c r="A279" s="3">
        <f>IFERROR(__xludf.DUMMYFUNCTION("""COMPUTED_VALUE"""),38628.645833333336)</f>
        <v>38628.64583</v>
      </c>
      <c r="B279" s="2">
        <f>IFERROR(__xludf.DUMMYFUNCTION("""COMPUTED_VALUE"""),181.93)</f>
        <v>181.93</v>
      </c>
      <c r="C279" s="2">
        <f>IFERROR(__xludf.DUMMYFUNCTION("""COMPUTED_VALUE"""),188.11)</f>
        <v>188.11</v>
      </c>
      <c r="D279" s="2">
        <f>IFERROR(__xludf.DUMMYFUNCTION("""COMPUTED_VALUE"""),181.93)</f>
        <v>181.93</v>
      </c>
      <c r="E279" s="2">
        <f>IFERROR(__xludf.DUMMYFUNCTION("""COMPUTED_VALUE"""),187.24)</f>
        <v>187.24</v>
      </c>
      <c r="F279" s="2">
        <f>IFERROR(__xludf.DUMMYFUNCTION("""COMPUTED_VALUE"""),559065.0)</f>
        <v>559065</v>
      </c>
    </row>
    <row r="280">
      <c r="A280" s="3">
        <f>IFERROR(__xludf.DUMMYFUNCTION("""COMPUTED_VALUE"""),38629.645833333336)</f>
        <v>38629.64583</v>
      </c>
      <c r="B280" s="2">
        <f>IFERROR(__xludf.DUMMYFUNCTION("""COMPUTED_VALUE"""),187.48)</f>
        <v>187.48</v>
      </c>
      <c r="C280" s="2">
        <f>IFERROR(__xludf.DUMMYFUNCTION("""COMPUTED_VALUE"""),187.75)</f>
        <v>187.75</v>
      </c>
      <c r="D280" s="2">
        <f>IFERROR(__xludf.DUMMYFUNCTION("""COMPUTED_VALUE"""),185.41)</f>
        <v>185.41</v>
      </c>
      <c r="E280" s="2">
        <f>IFERROR(__xludf.DUMMYFUNCTION("""COMPUTED_VALUE"""),186.22)</f>
        <v>186.22</v>
      </c>
      <c r="F280" s="2">
        <f>IFERROR(__xludf.DUMMYFUNCTION("""COMPUTED_VALUE"""),793809.0)</f>
        <v>793809</v>
      </c>
    </row>
    <row r="281">
      <c r="A281" s="3">
        <f>IFERROR(__xludf.DUMMYFUNCTION("""COMPUTED_VALUE"""),38630.645833333336)</f>
        <v>38630.64583</v>
      </c>
      <c r="B281" s="2">
        <f>IFERROR(__xludf.DUMMYFUNCTION("""COMPUTED_VALUE"""),185.5)</f>
        <v>185.5</v>
      </c>
      <c r="C281" s="2">
        <f>IFERROR(__xludf.DUMMYFUNCTION("""COMPUTED_VALUE"""),186.13)</f>
        <v>186.13</v>
      </c>
      <c r="D281" s="2">
        <f>IFERROR(__xludf.DUMMYFUNCTION("""COMPUTED_VALUE"""),183.13)</f>
        <v>183.13</v>
      </c>
      <c r="E281" s="2">
        <f>IFERROR(__xludf.DUMMYFUNCTION("""COMPUTED_VALUE"""),183.75)</f>
        <v>183.75</v>
      </c>
      <c r="F281" s="2">
        <f>IFERROR(__xludf.DUMMYFUNCTION("""COMPUTED_VALUE"""),822215.0)</f>
        <v>822215</v>
      </c>
    </row>
    <row r="282">
      <c r="A282" s="3">
        <f>IFERROR(__xludf.DUMMYFUNCTION("""COMPUTED_VALUE"""),38631.645833333336)</f>
        <v>38631.64583</v>
      </c>
      <c r="B282" s="2">
        <f>IFERROR(__xludf.DUMMYFUNCTION("""COMPUTED_VALUE"""),183.13)</f>
        <v>183.13</v>
      </c>
      <c r="C282" s="2">
        <f>IFERROR(__xludf.DUMMYFUNCTION("""COMPUTED_VALUE"""),183.13)</f>
        <v>183.13</v>
      </c>
      <c r="D282" s="2">
        <f>IFERROR(__xludf.DUMMYFUNCTION("""COMPUTED_VALUE"""),177.15)</f>
        <v>177.15</v>
      </c>
      <c r="E282" s="2">
        <f>IFERROR(__xludf.DUMMYFUNCTION("""COMPUTED_VALUE"""),178.08)</f>
        <v>178.08</v>
      </c>
      <c r="F282" s="2">
        <f>IFERROR(__xludf.DUMMYFUNCTION("""COMPUTED_VALUE"""),1029224.0)</f>
        <v>1029224</v>
      </c>
    </row>
    <row r="283">
      <c r="A283" s="3">
        <f>IFERROR(__xludf.DUMMYFUNCTION("""COMPUTED_VALUE"""),38632.645833333336)</f>
        <v>38632.64583</v>
      </c>
      <c r="B283" s="2">
        <f>IFERROR(__xludf.DUMMYFUNCTION("""COMPUTED_VALUE"""),178.13)</f>
        <v>178.13</v>
      </c>
      <c r="C283" s="2">
        <f>IFERROR(__xludf.DUMMYFUNCTION("""COMPUTED_VALUE"""),181.75)</f>
        <v>181.75</v>
      </c>
      <c r="D283" s="2">
        <f>IFERROR(__xludf.DUMMYFUNCTION("""COMPUTED_VALUE"""),176.9)</f>
        <v>176.9</v>
      </c>
      <c r="E283" s="2">
        <f>IFERROR(__xludf.DUMMYFUNCTION("""COMPUTED_VALUE"""),180.6)</f>
        <v>180.6</v>
      </c>
      <c r="F283" s="2">
        <f>IFERROR(__xludf.DUMMYFUNCTION("""COMPUTED_VALUE"""),775828.0)</f>
        <v>775828</v>
      </c>
    </row>
    <row r="284">
      <c r="A284" s="3">
        <f>IFERROR(__xludf.DUMMYFUNCTION("""COMPUTED_VALUE"""),38635.645833333336)</f>
        <v>38635.64583</v>
      </c>
      <c r="B284" s="2">
        <f>IFERROR(__xludf.DUMMYFUNCTION("""COMPUTED_VALUE"""),181.23)</f>
        <v>181.23</v>
      </c>
      <c r="C284" s="2">
        <f>IFERROR(__xludf.DUMMYFUNCTION("""COMPUTED_VALUE"""),184.38)</f>
        <v>184.38</v>
      </c>
      <c r="D284" s="2">
        <f>IFERROR(__xludf.DUMMYFUNCTION("""COMPUTED_VALUE"""),180.41)</f>
        <v>180.41</v>
      </c>
      <c r="E284" s="2">
        <f>IFERROR(__xludf.DUMMYFUNCTION("""COMPUTED_VALUE"""),181.06)</f>
        <v>181.06</v>
      </c>
      <c r="F284" s="2">
        <f>IFERROR(__xludf.DUMMYFUNCTION("""COMPUTED_VALUE"""),671466.0)</f>
        <v>671466</v>
      </c>
    </row>
    <row r="285">
      <c r="A285" s="3">
        <f>IFERROR(__xludf.DUMMYFUNCTION("""COMPUTED_VALUE"""),38636.645833333336)</f>
        <v>38636.64583</v>
      </c>
      <c r="B285" s="2">
        <f>IFERROR(__xludf.DUMMYFUNCTION("""COMPUTED_VALUE"""),182.5)</f>
        <v>182.5</v>
      </c>
      <c r="C285" s="2">
        <f>IFERROR(__xludf.DUMMYFUNCTION("""COMPUTED_VALUE"""),184.35)</f>
        <v>184.35</v>
      </c>
      <c r="D285" s="2">
        <f>IFERROR(__xludf.DUMMYFUNCTION("""COMPUTED_VALUE"""),177.75)</f>
        <v>177.75</v>
      </c>
      <c r="E285" s="2">
        <f>IFERROR(__xludf.DUMMYFUNCTION("""COMPUTED_VALUE"""),183.47)</f>
        <v>183.47</v>
      </c>
      <c r="F285" s="2">
        <f>IFERROR(__xludf.DUMMYFUNCTION("""COMPUTED_VALUE"""),1445640.0)</f>
        <v>1445640</v>
      </c>
    </row>
    <row r="286">
      <c r="A286" s="3">
        <f>IFERROR(__xludf.DUMMYFUNCTION("""COMPUTED_VALUE"""),38638.645833333336)</f>
        <v>38638.64583</v>
      </c>
      <c r="B286" s="2">
        <f>IFERROR(__xludf.DUMMYFUNCTION("""COMPUTED_VALUE"""),183.75)</f>
        <v>183.75</v>
      </c>
      <c r="C286" s="2">
        <f>IFERROR(__xludf.DUMMYFUNCTION("""COMPUTED_VALUE"""),185.63)</f>
        <v>185.63</v>
      </c>
      <c r="D286" s="2">
        <f>IFERROR(__xludf.DUMMYFUNCTION("""COMPUTED_VALUE"""),178.8)</f>
        <v>178.8</v>
      </c>
      <c r="E286" s="2">
        <f>IFERROR(__xludf.DUMMYFUNCTION("""COMPUTED_VALUE"""),180.16)</f>
        <v>180.16</v>
      </c>
      <c r="F286" s="2">
        <f>IFERROR(__xludf.DUMMYFUNCTION("""COMPUTED_VALUE"""),1700724.0)</f>
        <v>1700724</v>
      </c>
    </row>
    <row r="287">
      <c r="A287" s="3">
        <f>IFERROR(__xludf.DUMMYFUNCTION("""COMPUTED_VALUE"""),38639.645833333336)</f>
        <v>38639.64583</v>
      </c>
      <c r="B287" s="2">
        <f>IFERROR(__xludf.DUMMYFUNCTION("""COMPUTED_VALUE"""),181.25)</f>
        <v>181.25</v>
      </c>
      <c r="C287" s="2">
        <f>IFERROR(__xludf.DUMMYFUNCTION("""COMPUTED_VALUE"""),181.5)</f>
        <v>181.5</v>
      </c>
      <c r="D287" s="2">
        <f>IFERROR(__xludf.DUMMYFUNCTION("""COMPUTED_VALUE"""),176.88)</f>
        <v>176.88</v>
      </c>
      <c r="E287" s="2">
        <f>IFERROR(__xludf.DUMMYFUNCTION("""COMPUTED_VALUE"""),178.01)</f>
        <v>178.01</v>
      </c>
      <c r="F287" s="2">
        <f>IFERROR(__xludf.DUMMYFUNCTION("""COMPUTED_VALUE"""),653274.0)</f>
        <v>653274</v>
      </c>
    </row>
    <row r="288">
      <c r="A288" s="3">
        <f>IFERROR(__xludf.DUMMYFUNCTION("""COMPUTED_VALUE"""),38642.645833333336)</f>
        <v>38642.64583</v>
      </c>
      <c r="B288" s="2">
        <f>IFERROR(__xludf.DUMMYFUNCTION("""COMPUTED_VALUE"""),178.75)</f>
        <v>178.75</v>
      </c>
      <c r="C288" s="2">
        <f>IFERROR(__xludf.DUMMYFUNCTION("""COMPUTED_VALUE"""),180.25)</f>
        <v>180.25</v>
      </c>
      <c r="D288" s="2">
        <f>IFERROR(__xludf.DUMMYFUNCTION("""COMPUTED_VALUE"""),177.99)</f>
        <v>177.99</v>
      </c>
      <c r="E288" s="2">
        <f>IFERROR(__xludf.DUMMYFUNCTION("""COMPUTED_VALUE"""),179.27)</f>
        <v>179.27</v>
      </c>
      <c r="F288" s="2">
        <f>IFERROR(__xludf.DUMMYFUNCTION("""COMPUTED_VALUE"""),548602.0)</f>
        <v>548602</v>
      </c>
    </row>
    <row r="289">
      <c r="A289" s="3">
        <f>IFERROR(__xludf.DUMMYFUNCTION("""COMPUTED_VALUE"""),38643.645833333336)</f>
        <v>38643.64583</v>
      </c>
      <c r="B289" s="2">
        <f>IFERROR(__xludf.DUMMYFUNCTION("""COMPUTED_VALUE"""),180.25)</f>
        <v>180.25</v>
      </c>
      <c r="C289" s="2">
        <f>IFERROR(__xludf.DUMMYFUNCTION("""COMPUTED_VALUE"""),183.1)</f>
        <v>183.1</v>
      </c>
      <c r="D289" s="2">
        <f>IFERROR(__xludf.DUMMYFUNCTION("""COMPUTED_VALUE"""),178.89)</f>
        <v>178.89</v>
      </c>
      <c r="E289" s="2">
        <f>IFERROR(__xludf.DUMMYFUNCTION("""COMPUTED_VALUE"""),180.12)</f>
        <v>180.12</v>
      </c>
      <c r="F289" s="2">
        <f>IFERROR(__xludf.DUMMYFUNCTION("""COMPUTED_VALUE"""),1367700.0)</f>
        <v>1367700</v>
      </c>
    </row>
    <row r="290">
      <c r="A290" s="3">
        <f>IFERROR(__xludf.DUMMYFUNCTION("""COMPUTED_VALUE"""),38644.645833333336)</f>
        <v>38644.64583</v>
      </c>
      <c r="B290" s="2">
        <f>IFERROR(__xludf.DUMMYFUNCTION("""COMPUTED_VALUE"""),182.49)</f>
        <v>182.49</v>
      </c>
      <c r="C290" s="2">
        <f>IFERROR(__xludf.DUMMYFUNCTION("""COMPUTED_VALUE"""),182.5)</f>
        <v>182.5</v>
      </c>
      <c r="D290" s="2">
        <f>IFERROR(__xludf.DUMMYFUNCTION("""COMPUTED_VALUE"""),171.52)</f>
        <v>171.52</v>
      </c>
      <c r="E290" s="2">
        <f>IFERROR(__xludf.DUMMYFUNCTION("""COMPUTED_VALUE"""),175.2)</f>
        <v>175.2</v>
      </c>
      <c r="F290" s="2">
        <f>IFERROR(__xludf.DUMMYFUNCTION("""COMPUTED_VALUE"""),1257354.0)</f>
        <v>1257354</v>
      </c>
    </row>
    <row r="291">
      <c r="A291" s="3">
        <f>IFERROR(__xludf.DUMMYFUNCTION("""COMPUTED_VALUE"""),38645.645833333336)</f>
        <v>38645.64583</v>
      </c>
      <c r="B291" s="2">
        <f>IFERROR(__xludf.DUMMYFUNCTION("""COMPUTED_VALUE"""),176.89)</f>
        <v>176.89</v>
      </c>
      <c r="C291" s="2">
        <f>IFERROR(__xludf.DUMMYFUNCTION("""COMPUTED_VALUE"""),179.38)</f>
        <v>179.38</v>
      </c>
      <c r="D291" s="2">
        <f>IFERROR(__xludf.DUMMYFUNCTION("""COMPUTED_VALUE"""),173.88)</f>
        <v>173.88</v>
      </c>
      <c r="E291" s="2">
        <f>IFERROR(__xludf.DUMMYFUNCTION("""COMPUTED_VALUE"""),177.05)</f>
        <v>177.05</v>
      </c>
      <c r="F291" s="2">
        <f>IFERROR(__xludf.DUMMYFUNCTION("""COMPUTED_VALUE"""),794119.0)</f>
        <v>794119</v>
      </c>
    </row>
    <row r="292">
      <c r="A292" s="3">
        <f>IFERROR(__xludf.DUMMYFUNCTION("""COMPUTED_VALUE"""),38646.645833333336)</f>
        <v>38646.64583</v>
      </c>
      <c r="B292" s="2">
        <f>IFERROR(__xludf.DUMMYFUNCTION("""COMPUTED_VALUE"""),178.63)</f>
        <v>178.63</v>
      </c>
      <c r="C292" s="2">
        <f>IFERROR(__xludf.DUMMYFUNCTION("""COMPUTED_VALUE"""),179.6)</f>
        <v>179.6</v>
      </c>
      <c r="D292" s="2">
        <f>IFERROR(__xludf.DUMMYFUNCTION("""COMPUTED_VALUE"""),176.13)</f>
        <v>176.13</v>
      </c>
      <c r="E292" s="2">
        <f>IFERROR(__xludf.DUMMYFUNCTION("""COMPUTED_VALUE"""),178.53)</f>
        <v>178.53</v>
      </c>
      <c r="F292" s="2">
        <f>IFERROR(__xludf.DUMMYFUNCTION("""COMPUTED_VALUE"""),740427.0)</f>
        <v>740427</v>
      </c>
    </row>
    <row r="293">
      <c r="A293" s="3">
        <f>IFERROR(__xludf.DUMMYFUNCTION("""COMPUTED_VALUE"""),38649.645833333336)</f>
        <v>38649.64583</v>
      </c>
      <c r="B293" s="2">
        <f>IFERROR(__xludf.DUMMYFUNCTION("""COMPUTED_VALUE"""),179.03)</f>
        <v>179.03</v>
      </c>
      <c r="C293" s="2">
        <f>IFERROR(__xludf.DUMMYFUNCTION("""COMPUTED_VALUE"""),180.5)</f>
        <v>180.5</v>
      </c>
      <c r="D293" s="2">
        <f>IFERROR(__xludf.DUMMYFUNCTION("""COMPUTED_VALUE"""),175.13)</f>
        <v>175.13</v>
      </c>
      <c r="E293" s="2">
        <f>IFERROR(__xludf.DUMMYFUNCTION("""COMPUTED_VALUE"""),175.94)</f>
        <v>175.94</v>
      </c>
      <c r="F293" s="2">
        <f>IFERROR(__xludf.DUMMYFUNCTION("""COMPUTED_VALUE"""),393704.0)</f>
        <v>393704</v>
      </c>
    </row>
    <row r="294">
      <c r="A294" s="3">
        <f>IFERROR(__xludf.DUMMYFUNCTION("""COMPUTED_VALUE"""),38650.645833333336)</f>
        <v>38650.64583</v>
      </c>
      <c r="B294" s="2">
        <f>IFERROR(__xludf.DUMMYFUNCTION("""COMPUTED_VALUE"""),177.3)</f>
        <v>177.3</v>
      </c>
      <c r="C294" s="2">
        <f>IFERROR(__xludf.DUMMYFUNCTION("""COMPUTED_VALUE"""),181.38)</f>
        <v>181.38</v>
      </c>
      <c r="D294" s="2">
        <f>IFERROR(__xludf.DUMMYFUNCTION("""COMPUTED_VALUE"""),176.06)</f>
        <v>176.06</v>
      </c>
      <c r="E294" s="2">
        <f>IFERROR(__xludf.DUMMYFUNCTION("""COMPUTED_VALUE"""),180.0)</f>
        <v>180</v>
      </c>
      <c r="F294" s="2">
        <f>IFERROR(__xludf.DUMMYFUNCTION("""COMPUTED_VALUE"""),677539.0)</f>
        <v>677539</v>
      </c>
    </row>
    <row r="295">
      <c r="A295" s="3">
        <f>IFERROR(__xludf.DUMMYFUNCTION("""COMPUTED_VALUE"""),38651.645833333336)</f>
        <v>38651.64583</v>
      </c>
      <c r="B295" s="2">
        <f>IFERROR(__xludf.DUMMYFUNCTION("""COMPUTED_VALUE"""),180.0)</f>
        <v>180</v>
      </c>
      <c r="C295" s="2">
        <f>IFERROR(__xludf.DUMMYFUNCTION("""COMPUTED_VALUE"""),180.63)</f>
        <v>180.63</v>
      </c>
      <c r="D295" s="2">
        <f>IFERROR(__xludf.DUMMYFUNCTION("""COMPUTED_VALUE"""),177.39)</f>
        <v>177.39</v>
      </c>
      <c r="E295" s="2">
        <f>IFERROR(__xludf.DUMMYFUNCTION("""COMPUTED_VALUE"""),177.78)</f>
        <v>177.78</v>
      </c>
      <c r="F295" s="2">
        <f>IFERROR(__xludf.DUMMYFUNCTION("""COMPUTED_VALUE"""),517851.0)</f>
        <v>517851</v>
      </c>
    </row>
    <row r="296">
      <c r="A296" s="3">
        <f>IFERROR(__xludf.DUMMYFUNCTION("""COMPUTED_VALUE"""),38652.645833333336)</f>
        <v>38652.64583</v>
      </c>
      <c r="B296" s="2">
        <f>IFERROR(__xludf.DUMMYFUNCTION("""COMPUTED_VALUE"""),177.88)</f>
        <v>177.88</v>
      </c>
      <c r="C296" s="2">
        <f>IFERROR(__xludf.DUMMYFUNCTION("""COMPUTED_VALUE"""),178.61)</f>
        <v>178.61</v>
      </c>
      <c r="D296" s="2">
        <f>IFERROR(__xludf.DUMMYFUNCTION("""COMPUTED_VALUE"""),173.75)</f>
        <v>173.75</v>
      </c>
      <c r="E296" s="2">
        <f>IFERROR(__xludf.DUMMYFUNCTION("""COMPUTED_VALUE"""),175.16)</f>
        <v>175.16</v>
      </c>
      <c r="F296" s="2">
        <f>IFERROR(__xludf.DUMMYFUNCTION("""COMPUTED_VALUE"""),846493.0)</f>
        <v>846493</v>
      </c>
    </row>
    <row r="297">
      <c r="A297" s="3">
        <f>IFERROR(__xludf.DUMMYFUNCTION("""COMPUTED_VALUE"""),38653.645833333336)</f>
        <v>38653.64583</v>
      </c>
      <c r="B297" s="2">
        <f>IFERROR(__xludf.DUMMYFUNCTION("""COMPUTED_VALUE"""),176.13)</f>
        <v>176.13</v>
      </c>
      <c r="C297" s="2">
        <f>IFERROR(__xludf.DUMMYFUNCTION("""COMPUTED_VALUE"""),176.13)</f>
        <v>176.13</v>
      </c>
      <c r="D297" s="2">
        <f>IFERROR(__xludf.DUMMYFUNCTION("""COMPUTED_VALUE"""),169.38)</f>
        <v>169.38</v>
      </c>
      <c r="E297" s="2">
        <f>IFERROR(__xludf.DUMMYFUNCTION("""COMPUTED_VALUE"""),170.27)</f>
        <v>170.27</v>
      </c>
      <c r="F297" s="2">
        <f>IFERROR(__xludf.DUMMYFUNCTION("""COMPUTED_VALUE"""),562687.0)</f>
        <v>562687</v>
      </c>
    </row>
    <row r="298">
      <c r="A298" s="3">
        <f>IFERROR(__xludf.DUMMYFUNCTION("""COMPUTED_VALUE"""),38656.645833333336)</f>
        <v>38656.64583</v>
      </c>
      <c r="B298" s="2">
        <f>IFERROR(__xludf.DUMMYFUNCTION("""COMPUTED_VALUE"""),170.63)</f>
        <v>170.63</v>
      </c>
      <c r="C298" s="2">
        <f>IFERROR(__xludf.DUMMYFUNCTION("""COMPUTED_VALUE"""),176.0)</f>
        <v>176</v>
      </c>
      <c r="D298" s="2">
        <f>IFERROR(__xludf.DUMMYFUNCTION("""COMPUTED_VALUE"""),170.05)</f>
        <v>170.05</v>
      </c>
      <c r="E298" s="2">
        <f>IFERROR(__xludf.DUMMYFUNCTION("""COMPUTED_VALUE"""),175.16)</f>
        <v>175.16</v>
      </c>
      <c r="F298" s="2">
        <f>IFERROR(__xludf.DUMMYFUNCTION("""COMPUTED_VALUE"""),356496.0)</f>
        <v>356496</v>
      </c>
    </row>
    <row r="299">
      <c r="A299" s="3">
        <f>IFERROR(__xludf.DUMMYFUNCTION("""COMPUTED_VALUE"""),38657.645833333336)</f>
        <v>38657.64583</v>
      </c>
      <c r="B299" s="2">
        <f>IFERROR(__xludf.DUMMYFUNCTION("""COMPUTED_VALUE"""),181.09)</f>
        <v>181.09</v>
      </c>
      <c r="C299" s="2">
        <f>IFERROR(__xludf.DUMMYFUNCTION("""COMPUTED_VALUE"""),181.09)</f>
        <v>181.09</v>
      </c>
      <c r="D299" s="2">
        <f>IFERROR(__xludf.DUMMYFUNCTION("""COMPUTED_VALUE"""),175.0)</f>
        <v>175</v>
      </c>
      <c r="E299" s="2">
        <f>IFERROR(__xludf.DUMMYFUNCTION("""COMPUTED_VALUE"""),176.2)</f>
        <v>176.2</v>
      </c>
      <c r="F299" s="2">
        <f>IFERROR(__xludf.DUMMYFUNCTION("""COMPUTED_VALUE"""),66500.0)</f>
        <v>66500</v>
      </c>
    </row>
    <row r="300">
      <c r="A300" s="3">
        <f>IFERROR(__xludf.DUMMYFUNCTION("""COMPUTED_VALUE"""),38658.645833333336)</f>
        <v>38658.64583</v>
      </c>
      <c r="B300" s="2">
        <f>IFERROR(__xludf.DUMMYFUNCTION("""COMPUTED_VALUE"""),175.16)</f>
        <v>175.16</v>
      </c>
      <c r="C300" s="2">
        <f>IFERROR(__xludf.DUMMYFUNCTION("""COMPUTED_VALUE"""),179.5)</f>
        <v>179.5</v>
      </c>
      <c r="D300" s="2">
        <f>IFERROR(__xludf.DUMMYFUNCTION("""COMPUTED_VALUE"""),173.55)</f>
        <v>173.55</v>
      </c>
      <c r="E300" s="2">
        <f>IFERROR(__xludf.DUMMYFUNCTION("""COMPUTED_VALUE"""),178.63)</f>
        <v>178.63</v>
      </c>
      <c r="F300" s="2">
        <f>IFERROR(__xludf.DUMMYFUNCTION("""COMPUTED_VALUE"""),356611.0)</f>
        <v>356611</v>
      </c>
    </row>
    <row r="301">
      <c r="A301" s="3">
        <f>IFERROR(__xludf.DUMMYFUNCTION("""COMPUTED_VALUE"""),38663.645833333336)</f>
        <v>38663.64583</v>
      </c>
      <c r="B301" s="2">
        <f>IFERROR(__xludf.DUMMYFUNCTION("""COMPUTED_VALUE"""),176.0)</f>
        <v>176</v>
      </c>
      <c r="C301" s="2">
        <f>IFERROR(__xludf.DUMMYFUNCTION("""COMPUTED_VALUE"""),183.46)</f>
        <v>183.46</v>
      </c>
      <c r="D301" s="2">
        <f>IFERROR(__xludf.DUMMYFUNCTION("""COMPUTED_VALUE"""),176.0)</f>
        <v>176</v>
      </c>
      <c r="E301" s="2">
        <f>IFERROR(__xludf.DUMMYFUNCTION("""COMPUTED_VALUE"""),183.1)</f>
        <v>183.1</v>
      </c>
      <c r="F301" s="2">
        <f>IFERROR(__xludf.DUMMYFUNCTION("""COMPUTED_VALUE"""),523560.0)</f>
        <v>523560</v>
      </c>
    </row>
    <row r="302">
      <c r="A302" s="3">
        <f>IFERROR(__xludf.DUMMYFUNCTION("""COMPUTED_VALUE"""),38664.645833333336)</f>
        <v>38664.64583</v>
      </c>
      <c r="B302" s="2">
        <f>IFERROR(__xludf.DUMMYFUNCTION("""COMPUTED_VALUE"""),184.25)</f>
        <v>184.25</v>
      </c>
      <c r="C302" s="2">
        <f>IFERROR(__xludf.DUMMYFUNCTION("""COMPUTED_VALUE"""),185.53)</f>
        <v>185.53</v>
      </c>
      <c r="D302" s="2">
        <f>IFERROR(__xludf.DUMMYFUNCTION("""COMPUTED_VALUE"""),183.8)</f>
        <v>183.8</v>
      </c>
      <c r="E302" s="2">
        <f>IFERROR(__xludf.DUMMYFUNCTION("""COMPUTED_VALUE"""),184.63)</f>
        <v>184.63</v>
      </c>
      <c r="F302" s="2">
        <f>IFERROR(__xludf.DUMMYFUNCTION("""COMPUTED_VALUE"""),722773.0)</f>
        <v>722773</v>
      </c>
    </row>
    <row r="303">
      <c r="A303" s="3">
        <f>IFERROR(__xludf.DUMMYFUNCTION("""COMPUTED_VALUE"""),38665.645833333336)</f>
        <v>38665.64583</v>
      </c>
      <c r="B303" s="2">
        <f>IFERROR(__xludf.DUMMYFUNCTION("""COMPUTED_VALUE"""),184.63)</f>
        <v>184.63</v>
      </c>
      <c r="C303" s="2">
        <f>IFERROR(__xludf.DUMMYFUNCTION("""COMPUTED_VALUE"""),185.38)</f>
        <v>185.38</v>
      </c>
      <c r="D303" s="2">
        <f>IFERROR(__xludf.DUMMYFUNCTION("""COMPUTED_VALUE"""),181.28)</f>
        <v>181.28</v>
      </c>
      <c r="E303" s="2">
        <f>IFERROR(__xludf.DUMMYFUNCTION("""COMPUTED_VALUE"""),182.1)</f>
        <v>182.1</v>
      </c>
      <c r="F303" s="2">
        <f>IFERROR(__xludf.DUMMYFUNCTION("""COMPUTED_VALUE"""),625099.0)</f>
        <v>625099</v>
      </c>
    </row>
    <row r="304">
      <c r="A304" s="3">
        <f>IFERROR(__xludf.DUMMYFUNCTION("""COMPUTED_VALUE"""),38666.645833333336)</f>
        <v>38666.64583</v>
      </c>
      <c r="B304" s="2">
        <f>IFERROR(__xludf.DUMMYFUNCTION("""COMPUTED_VALUE"""),182.13)</f>
        <v>182.13</v>
      </c>
      <c r="C304" s="2">
        <f>IFERROR(__xludf.DUMMYFUNCTION("""COMPUTED_VALUE"""),184.61)</f>
        <v>184.61</v>
      </c>
      <c r="D304" s="2">
        <f>IFERROR(__xludf.DUMMYFUNCTION("""COMPUTED_VALUE"""),182.13)</f>
        <v>182.13</v>
      </c>
      <c r="E304" s="2">
        <f>IFERROR(__xludf.DUMMYFUNCTION("""COMPUTED_VALUE"""),183.72)</f>
        <v>183.72</v>
      </c>
      <c r="F304" s="2">
        <f>IFERROR(__xludf.DUMMYFUNCTION("""COMPUTED_VALUE"""),386962.0)</f>
        <v>386962</v>
      </c>
    </row>
    <row r="305">
      <c r="A305" s="3">
        <f>IFERROR(__xludf.DUMMYFUNCTION("""COMPUTED_VALUE"""),38667.645833333336)</f>
        <v>38667.64583</v>
      </c>
      <c r="B305" s="2">
        <f>IFERROR(__xludf.DUMMYFUNCTION("""COMPUTED_VALUE"""),183.13)</f>
        <v>183.13</v>
      </c>
      <c r="C305" s="2">
        <f>IFERROR(__xludf.DUMMYFUNCTION("""COMPUTED_VALUE"""),186.0)</f>
        <v>186</v>
      </c>
      <c r="D305" s="2">
        <f>IFERROR(__xludf.DUMMYFUNCTION("""COMPUTED_VALUE"""),183.13)</f>
        <v>183.13</v>
      </c>
      <c r="E305" s="2">
        <f>IFERROR(__xludf.DUMMYFUNCTION("""COMPUTED_VALUE"""),185.33)</f>
        <v>185.33</v>
      </c>
      <c r="F305" s="2">
        <f>IFERROR(__xludf.DUMMYFUNCTION("""COMPUTED_VALUE"""),739986.0)</f>
        <v>739986</v>
      </c>
    </row>
    <row r="306">
      <c r="A306" s="3">
        <f>IFERROR(__xludf.DUMMYFUNCTION("""COMPUTED_VALUE"""),38670.645833333336)</f>
        <v>38670.64583</v>
      </c>
      <c r="B306" s="2">
        <f>IFERROR(__xludf.DUMMYFUNCTION("""COMPUTED_VALUE"""),186.25)</f>
        <v>186.25</v>
      </c>
      <c r="C306" s="2">
        <f>IFERROR(__xludf.DUMMYFUNCTION("""COMPUTED_VALUE"""),189.33)</f>
        <v>189.33</v>
      </c>
      <c r="D306" s="2">
        <f>IFERROR(__xludf.DUMMYFUNCTION("""COMPUTED_VALUE"""),186.25)</f>
        <v>186.25</v>
      </c>
      <c r="E306" s="2">
        <f>IFERROR(__xludf.DUMMYFUNCTION("""COMPUTED_VALUE"""),188.79)</f>
        <v>188.79</v>
      </c>
      <c r="F306" s="2">
        <f>IFERROR(__xludf.DUMMYFUNCTION("""COMPUTED_VALUE"""),1005045.0)</f>
        <v>1005045</v>
      </c>
    </row>
    <row r="307">
      <c r="A307" s="3">
        <f>IFERROR(__xludf.DUMMYFUNCTION("""COMPUTED_VALUE"""),38672.645833333336)</f>
        <v>38672.64583</v>
      </c>
      <c r="B307" s="2">
        <f>IFERROR(__xludf.DUMMYFUNCTION("""COMPUTED_VALUE"""),188.91)</f>
        <v>188.91</v>
      </c>
      <c r="C307" s="2">
        <f>IFERROR(__xludf.DUMMYFUNCTION("""COMPUTED_VALUE"""),189.63)</f>
        <v>189.63</v>
      </c>
      <c r="D307" s="2">
        <f>IFERROR(__xludf.DUMMYFUNCTION("""COMPUTED_VALUE"""),187.78)</f>
        <v>187.78</v>
      </c>
      <c r="E307" s="2">
        <f>IFERROR(__xludf.DUMMYFUNCTION("""COMPUTED_VALUE"""),188.96)</f>
        <v>188.96</v>
      </c>
      <c r="F307" s="2">
        <f>IFERROR(__xludf.DUMMYFUNCTION("""COMPUTED_VALUE"""),842822.0)</f>
        <v>842822</v>
      </c>
    </row>
    <row r="308">
      <c r="A308" s="3">
        <f>IFERROR(__xludf.DUMMYFUNCTION("""COMPUTED_VALUE"""),38673.645833333336)</f>
        <v>38673.64583</v>
      </c>
      <c r="B308" s="2">
        <f>IFERROR(__xludf.DUMMYFUNCTION("""COMPUTED_VALUE"""),187.5)</f>
        <v>187.5</v>
      </c>
      <c r="C308" s="2">
        <f>IFERROR(__xludf.DUMMYFUNCTION("""COMPUTED_VALUE"""),189.75)</f>
        <v>189.75</v>
      </c>
      <c r="D308" s="2">
        <f>IFERROR(__xludf.DUMMYFUNCTION("""COMPUTED_VALUE"""),186.56)</f>
        <v>186.56</v>
      </c>
      <c r="E308" s="2">
        <f>IFERROR(__xludf.DUMMYFUNCTION("""COMPUTED_VALUE"""),188.46)</f>
        <v>188.46</v>
      </c>
      <c r="F308" s="2">
        <f>IFERROR(__xludf.DUMMYFUNCTION("""COMPUTED_VALUE"""),609808.0)</f>
        <v>609808</v>
      </c>
    </row>
    <row r="309">
      <c r="A309" s="3">
        <f>IFERROR(__xludf.DUMMYFUNCTION("""COMPUTED_VALUE"""),38674.645833333336)</f>
        <v>38674.64583</v>
      </c>
      <c r="B309" s="2">
        <f>IFERROR(__xludf.DUMMYFUNCTION("""COMPUTED_VALUE"""),189.0)</f>
        <v>189</v>
      </c>
      <c r="C309" s="2">
        <f>IFERROR(__xludf.DUMMYFUNCTION("""COMPUTED_VALUE"""),191.38)</f>
        <v>191.38</v>
      </c>
      <c r="D309" s="2">
        <f>IFERROR(__xludf.DUMMYFUNCTION("""COMPUTED_VALUE"""),189.0)</f>
        <v>189</v>
      </c>
      <c r="E309" s="2">
        <f>IFERROR(__xludf.DUMMYFUNCTION("""COMPUTED_VALUE"""),190.87)</f>
        <v>190.87</v>
      </c>
      <c r="F309" s="2">
        <f>IFERROR(__xludf.DUMMYFUNCTION("""COMPUTED_VALUE"""),1088465.0)</f>
        <v>1088465</v>
      </c>
    </row>
    <row r="310">
      <c r="A310" s="3">
        <f>IFERROR(__xludf.DUMMYFUNCTION("""COMPUTED_VALUE"""),38677.645833333336)</f>
        <v>38677.64583</v>
      </c>
      <c r="B310" s="2">
        <f>IFERROR(__xludf.DUMMYFUNCTION("""COMPUTED_VALUE"""),191.18)</f>
        <v>191.18</v>
      </c>
      <c r="C310" s="2">
        <f>IFERROR(__xludf.DUMMYFUNCTION("""COMPUTED_VALUE"""),192.34)</f>
        <v>192.34</v>
      </c>
      <c r="D310" s="2">
        <f>IFERROR(__xludf.DUMMYFUNCTION("""COMPUTED_VALUE"""),188.25)</f>
        <v>188.25</v>
      </c>
      <c r="E310" s="2">
        <f>IFERROR(__xludf.DUMMYFUNCTION("""COMPUTED_VALUE"""),189.83)</f>
        <v>189.83</v>
      </c>
      <c r="F310" s="2">
        <f>IFERROR(__xludf.DUMMYFUNCTION("""COMPUTED_VALUE"""),824667.0)</f>
        <v>824667</v>
      </c>
    </row>
    <row r="311">
      <c r="A311" s="3">
        <f>IFERROR(__xludf.DUMMYFUNCTION("""COMPUTED_VALUE"""),38678.645833333336)</f>
        <v>38678.64583</v>
      </c>
      <c r="B311" s="2">
        <f>IFERROR(__xludf.DUMMYFUNCTION("""COMPUTED_VALUE"""),189.25)</f>
        <v>189.25</v>
      </c>
      <c r="C311" s="2">
        <f>IFERROR(__xludf.DUMMYFUNCTION("""COMPUTED_VALUE"""),190.6)</f>
        <v>190.6</v>
      </c>
      <c r="D311" s="2">
        <f>IFERROR(__xludf.DUMMYFUNCTION("""COMPUTED_VALUE"""),186.0)</f>
        <v>186</v>
      </c>
      <c r="E311" s="2">
        <f>IFERROR(__xludf.DUMMYFUNCTION("""COMPUTED_VALUE"""),187.48)</f>
        <v>187.48</v>
      </c>
      <c r="F311" s="2">
        <f>IFERROR(__xludf.DUMMYFUNCTION("""COMPUTED_VALUE"""),593875.0)</f>
        <v>593875</v>
      </c>
    </row>
    <row r="312">
      <c r="A312" s="3">
        <f>IFERROR(__xludf.DUMMYFUNCTION("""COMPUTED_VALUE"""),38679.645833333336)</f>
        <v>38679.64583</v>
      </c>
      <c r="B312" s="2">
        <f>IFERROR(__xludf.DUMMYFUNCTION("""COMPUTED_VALUE"""),187.5)</f>
        <v>187.5</v>
      </c>
      <c r="C312" s="2">
        <f>IFERROR(__xludf.DUMMYFUNCTION("""COMPUTED_VALUE"""),190.25)</f>
        <v>190.25</v>
      </c>
      <c r="D312" s="2">
        <f>IFERROR(__xludf.DUMMYFUNCTION("""COMPUTED_VALUE"""),187.38)</f>
        <v>187.38</v>
      </c>
      <c r="E312" s="2">
        <f>IFERROR(__xludf.DUMMYFUNCTION("""COMPUTED_VALUE"""),189.58)</f>
        <v>189.58</v>
      </c>
      <c r="F312" s="2">
        <f>IFERROR(__xludf.DUMMYFUNCTION("""COMPUTED_VALUE"""),756847.0)</f>
        <v>756847</v>
      </c>
    </row>
    <row r="313">
      <c r="A313" s="3">
        <f>IFERROR(__xludf.DUMMYFUNCTION("""COMPUTED_VALUE"""),38680.645833333336)</f>
        <v>38680.64583</v>
      </c>
      <c r="B313" s="2">
        <f>IFERROR(__xludf.DUMMYFUNCTION("""COMPUTED_VALUE"""),189.5)</f>
        <v>189.5</v>
      </c>
      <c r="C313" s="2">
        <f>IFERROR(__xludf.DUMMYFUNCTION("""COMPUTED_VALUE"""),191.65)</f>
        <v>191.65</v>
      </c>
      <c r="D313" s="2">
        <f>IFERROR(__xludf.DUMMYFUNCTION("""COMPUTED_VALUE"""),189.5)</f>
        <v>189.5</v>
      </c>
      <c r="E313" s="2">
        <f>IFERROR(__xludf.DUMMYFUNCTION("""COMPUTED_VALUE"""),190.53)</f>
        <v>190.53</v>
      </c>
      <c r="F313" s="2">
        <f>IFERROR(__xludf.DUMMYFUNCTION("""COMPUTED_VALUE"""),568011.0)</f>
        <v>568011</v>
      </c>
    </row>
    <row r="314">
      <c r="A314" s="3">
        <f>IFERROR(__xludf.DUMMYFUNCTION("""COMPUTED_VALUE"""),38681.645833333336)</f>
        <v>38681.64583</v>
      </c>
      <c r="B314" s="2">
        <f>IFERROR(__xludf.DUMMYFUNCTION("""COMPUTED_VALUE"""),190.53)</f>
        <v>190.53</v>
      </c>
      <c r="C314" s="2">
        <f>IFERROR(__xludf.DUMMYFUNCTION("""COMPUTED_VALUE"""),192.5)</f>
        <v>192.5</v>
      </c>
      <c r="D314" s="2">
        <f>IFERROR(__xludf.DUMMYFUNCTION("""COMPUTED_VALUE"""),188.8)</f>
        <v>188.8</v>
      </c>
      <c r="E314" s="2">
        <f>IFERROR(__xludf.DUMMYFUNCTION("""COMPUTED_VALUE"""),191.71)</f>
        <v>191.71</v>
      </c>
      <c r="F314" s="2">
        <f>IFERROR(__xludf.DUMMYFUNCTION("""COMPUTED_VALUE"""),418033.0)</f>
        <v>418033</v>
      </c>
    </row>
    <row r="315">
      <c r="A315" s="3">
        <f>IFERROR(__xludf.DUMMYFUNCTION("""COMPUTED_VALUE"""),38684.645833333336)</f>
        <v>38684.64583</v>
      </c>
      <c r="B315" s="2">
        <f>IFERROR(__xludf.DUMMYFUNCTION("""COMPUTED_VALUE"""),192.35)</f>
        <v>192.35</v>
      </c>
      <c r="C315" s="2">
        <f>IFERROR(__xludf.DUMMYFUNCTION("""COMPUTED_VALUE"""),193.75)</f>
        <v>193.75</v>
      </c>
      <c r="D315" s="2">
        <f>IFERROR(__xludf.DUMMYFUNCTION("""COMPUTED_VALUE"""),192.0)</f>
        <v>192</v>
      </c>
      <c r="E315" s="2">
        <f>IFERROR(__xludf.DUMMYFUNCTION("""COMPUTED_VALUE"""),193.46)</f>
        <v>193.46</v>
      </c>
      <c r="F315" s="2">
        <f>IFERROR(__xludf.DUMMYFUNCTION("""COMPUTED_VALUE"""),316906.0)</f>
        <v>316906</v>
      </c>
    </row>
    <row r="316">
      <c r="A316" s="3">
        <f>IFERROR(__xludf.DUMMYFUNCTION("""COMPUTED_VALUE"""),38685.645833333336)</f>
        <v>38685.64583</v>
      </c>
      <c r="B316" s="2">
        <f>IFERROR(__xludf.DUMMYFUNCTION("""COMPUTED_VALUE"""),193.1)</f>
        <v>193.1</v>
      </c>
      <c r="C316" s="2">
        <f>IFERROR(__xludf.DUMMYFUNCTION("""COMPUTED_VALUE"""),193.75)</f>
        <v>193.75</v>
      </c>
      <c r="D316" s="2">
        <f>IFERROR(__xludf.DUMMYFUNCTION("""COMPUTED_VALUE"""),190.07)</f>
        <v>190.07</v>
      </c>
      <c r="E316" s="2">
        <f>IFERROR(__xludf.DUMMYFUNCTION("""COMPUTED_VALUE"""),193.17)</f>
        <v>193.17</v>
      </c>
      <c r="F316" s="2">
        <f>IFERROR(__xludf.DUMMYFUNCTION("""COMPUTED_VALUE"""),412928.0)</f>
        <v>412928</v>
      </c>
    </row>
    <row r="317">
      <c r="A317" s="3">
        <f>IFERROR(__xludf.DUMMYFUNCTION("""COMPUTED_VALUE"""),38686.645833333336)</f>
        <v>38686.64583</v>
      </c>
      <c r="B317" s="2">
        <f>IFERROR(__xludf.DUMMYFUNCTION("""COMPUTED_VALUE"""),191.5)</f>
        <v>191.5</v>
      </c>
      <c r="C317" s="2">
        <f>IFERROR(__xludf.DUMMYFUNCTION("""COMPUTED_VALUE"""),194.06)</f>
        <v>194.06</v>
      </c>
      <c r="D317" s="2">
        <f>IFERROR(__xludf.DUMMYFUNCTION("""COMPUTED_VALUE"""),189.38)</f>
        <v>189.38</v>
      </c>
      <c r="E317" s="2">
        <f>IFERROR(__xludf.DUMMYFUNCTION("""COMPUTED_VALUE"""),190.14)</f>
        <v>190.14</v>
      </c>
      <c r="F317" s="2">
        <f>IFERROR(__xludf.DUMMYFUNCTION("""COMPUTED_VALUE"""),502922.0)</f>
        <v>502922</v>
      </c>
    </row>
    <row r="318">
      <c r="A318" s="3">
        <f>IFERROR(__xludf.DUMMYFUNCTION("""COMPUTED_VALUE"""),38687.645833333336)</f>
        <v>38687.64583</v>
      </c>
      <c r="B318" s="2">
        <f>IFERROR(__xludf.DUMMYFUNCTION("""COMPUTED_VALUE"""),190.0)</f>
        <v>190</v>
      </c>
      <c r="C318" s="2">
        <f>IFERROR(__xludf.DUMMYFUNCTION("""COMPUTED_VALUE"""),194.33)</f>
        <v>194.33</v>
      </c>
      <c r="D318" s="2">
        <f>IFERROR(__xludf.DUMMYFUNCTION("""COMPUTED_VALUE"""),189.85)</f>
        <v>189.85</v>
      </c>
      <c r="E318" s="2">
        <f>IFERROR(__xludf.DUMMYFUNCTION("""COMPUTED_VALUE"""),193.76)</f>
        <v>193.76</v>
      </c>
      <c r="F318" s="2">
        <f>IFERROR(__xludf.DUMMYFUNCTION("""COMPUTED_VALUE"""),520246.0)</f>
        <v>520246</v>
      </c>
    </row>
    <row r="319">
      <c r="A319" s="3">
        <f>IFERROR(__xludf.DUMMYFUNCTION("""COMPUTED_VALUE"""),38688.645833333336)</f>
        <v>38688.64583</v>
      </c>
      <c r="B319" s="2">
        <f>IFERROR(__xludf.DUMMYFUNCTION("""COMPUTED_VALUE"""),194.33)</f>
        <v>194.33</v>
      </c>
      <c r="C319" s="2">
        <f>IFERROR(__xludf.DUMMYFUNCTION("""COMPUTED_VALUE"""),196.8)</f>
        <v>196.8</v>
      </c>
      <c r="D319" s="2">
        <f>IFERROR(__xludf.DUMMYFUNCTION("""COMPUTED_VALUE"""),192.63)</f>
        <v>192.63</v>
      </c>
      <c r="E319" s="2">
        <f>IFERROR(__xludf.DUMMYFUNCTION("""COMPUTED_VALUE"""),193.75)</f>
        <v>193.75</v>
      </c>
      <c r="F319" s="2">
        <f>IFERROR(__xludf.DUMMYFUNCTION("""COMPUTED_VALUE"""),598045.0)</f>
        <v>598045</v>
      </c>
    </row>
    <row r="320">
      <c r="A320" s="3">
        <f>IFERROR(__xludf.DUMMYFUNCTION("""COMPUTED_VALUE"""),38691.645833333336)</f>
        <v>38691.64583</v>
      </c>
      <c r="B320" s="2">
        <f>IFERROR(__xludf.DUMMYFUNCTION("""COMPUTED_VALUE"""),194.0)</f>
        <v>194</v>
      </c>
      <c r="C320" s="2">
        <f>IFERROR(__xludf.DUMMYFUNCTION("""COMPUTED_VALUE"""),194.26)</f>
        <v>194.26</v>
      </c>
      <c r="D320" s="2">
        <f>IFERROR(__xludf.DUMMYFUNCTION("""COMPUTED_VALUE"""),190.78)</f>
        <v>190.78</v>
      </c>
      <c r="E320" s="2">
        <f>IFERROR(__xludf.DUMMYFUNCTION("""COMPUTED_VALUE"""),191.42)</f>
        <v>191.42</v>
      </c>
      <c r="F320" s="2">
        <f>IFERROR(__xludf.DUMMYFUNCTION("""COMPUTED_VALUE"""),239135.0)</f>
        <v>239135</v>
      </c>
    </row>
    <row r="321">
      <c r="A321" s="3">
        <f>IFERROR(__xludf.DUMMYFUNCTION("""COMPUTED_VALUE"""),38692.645833333336)</f>
        <v>38692.64583</v>
      </c>
      <c r="B321" s="2">
        <f>IFERROR(__xludf.DUMMYFUNCTION("""COMPUTED_VALUE"""),191.88)</f>
        <v>191.88</v>
      </c>
      <c r="C321" s="2">
        <f>IFERROR(__xludf.DUMMYFUNCTION("""COMPUTED_VALUE"""),196.25)</f>
        <v>196.25</v>
      </c>
      <c r="D321" s="2">
        <f>IFERROR(__xludf.DUMMYFUNCTION("""COMPUTED_VALUE"""),190.79)</f>
        <v>190.79</v>
      </c>
      <c r="E321" s="2">
        <f>IFERROR(__xludf.DUMMYFUNCTION("""COMPUTED_VALUE"""),194.25)</f>
        <v>194.25</v>
      </c>
      <c r="F321" s="2">
        <f>IFERROR(__xludf.DUMMYFUNCTION("""COMPUTED_VALUE"""),404133.0)</f>
        <v>404133</v>
      </c>
    </row>
    <row r="322">
      <c r="A322" s="3">
        <f>IFERROR(__xludf.DUMMYFUNCTION("""COMPUTED_VALUE"""),38693.645833333336)</f>
        <v>38693.64583</v>
      </c>
      <c r="B322" s="2">
        <f>IFERROR(__xludf.DUMMYFUNCTION("""COMPUTED_VALUE"""),195.25)</f>
        <v>195.25</v>
      </c>
      <c r="C322" s="2">
        <f>IFERROR(__xludf.DUMMYFUNCTION("""COMPUTED_VALUE"""),200.0)</f>
        <v>200</v>
      </c>
      <c r="D322" s="2">
        <f>IFERROR(__xludf.DUMMYFUNCTION("""COMPUTED_VALUE"""),195.04)</f>
        <v>195.04</v>
      </c>
      <c r="E322" s="2">
        <f>IFERROR(__xludf.DUMMYFUNCTION("""COMPUTED_VALUE"""),199.45)</f>
        <v>199.45</v>
      </c>
      <c r="F322" s="2">
        <f>IFERROR(__xludf.DUMMYFUNCTION("""COMPUTED_VALUE"""),702369.0)</f>
        <v>702369</v>
      </c>
    </row>
    <row r="323">
      <c r="A323" s="3">
        <f>IFERROR(__xludf.DUMMYFUNCTION("""COMPUTED_VALUE"""),38694.645833333336)</f>
        <v>38694.64583</v>
      </c>
      <c r="B323" s="2">
        <f>IFERROR(__xludf.DUMMYFUNCTION("""COMPUTED_VALUE"""),199.38)</f>
        <v>199.38</v>
      </c>
      <c r="C323" s="2">
        <f>IFERROR(__xludf.DUMMYFUNCTION("""COMPUTED_VALUE"""),203.09)</f>
        <v>203.09</v>
      </c>
      <c r="D323" s="2">
        <f>IFERROR(__xludf.DUMMYFUNCTION("""COMPUTED_VALUE"""),199.03)</f>
        <v>199.03</v>
      </c>
      <c r="E323" s="2">
        <f>IFERROR(__xludf.DUMMYFUNCTION("""COMPUTED_VALUE"""),202.07)</f>
        <v>202.07</v>
      </c>
      <c r="F323" s="2">
        <f>IFERROR(__xludf.DUMMYFUNCTION("""COMPUTED_VALUE"""),1198149.0)</f>
        <v>1198149</v>
      </c>
    </row>
    <row r="324">
      <c r="A324" s="3">
        <f>IFERROR(__xludf.DUMMYFUNCTION("""COMPUTED_VALUE"""),38695.645833333336)</f>
        <v>38695.64583</v>
      </c>
      <c r="B324" s="2">
        <f>IFERROR(__xludf.DUMMYFUNCTION("""COMPUTED_VALUE"""),202.25)</f>
        <v>202.25</v>
      </c>
      <c r="C324" s="2">
        <f>IFERROR(__xludf.DUMMYFUNCTION("""COMPUTED_VALUE"""),211.83)</f>
        <v>211.83</v>
      </c>
      <c r="D324" s="2">
        <f>IFERROR(__xludf.DUMMYFUNCTION("""COMPUTED_VALUE"""),201.41)</f>
        <v>201.41</v>
      </c>
      <c r="E324" s="2">
        <f>IFERROR(__xludf.DUMMYFUNCTION("""COMPUTED_VALUE"""),210.34)</f>
        <v>210.34</v>
      </c>
      <c r="F324" s="2">
        <f>IFERROR(__xludf.DUMMYFUNCTION("""COMPUTED_VALUE"""),774278.0)</f>
        <v>774278</v>
      </c>
    </row>
    <row r="325">
      <c r="A325" s="3">
        <f>IFERROR(__xludf.DUMMYFUNCTION("""COMPUTED_VALUE"""),38698.645833333336)</f>
        <v>38698.64583</v>
      </c>
      <c r="B325" s="2">
        <f>IFERROR(__xludf.DUMMYFUNCTION("""COMPUTED_VALUE"""),206.3)</f>
        <v>206.3</v>
      </c>
      <c r="C325" s="2">
        <f>IFERROR(__xludf.DUMMYFUNCTION("""COMPUTED_VALUE"""),213.13)</f>
        <v>213.13</v>
      </c>
      <c r="D325" s="2">
        <f>IFERROR(__xludf.DUMMYFUNCTION("""COMPUTED_VALUE"""),205.25)</f>
        <v>205.25</v>
      </c>
      <c r="E325" s="2">
        <f>IFERROR(__xludf.DUMMYFUNCTION("""COMPUTED_VALUE"""),206.28)</f>
        <v>206.28</v>
      </c>
      <c r="F325" s="2">
        <f>IFERROR(__xludf.DUMMYFUNCTION("""COMPUTED_VALUE"""),773936.0)</f>
        <v>773936</v>
      </c>
    </row>
    <row r="326">
      <c r="A326" s="3">
        <f>IFERROR(__xludf.DUMMYFUNCTION("""COMPUTED_VALUE"""),38699.645833333336)</f>
        <v>38699.64583</v>
      </c>
      <c r="B326" s="2">
        <f>IFERROR(__xludf.DUMMYFUNCTION("""COMPUTED_VALUE"""),206.5)</f>
        <v>206.5</v>
      </c>
      <c r="C326" s="2">
        <f>IFERROR(__xludf.DUMMYFUNCTION("""COMPUTED_VALUE"""),209.75)</f>
        <v>209.75</v>
      </c>
      <c r="D326" s="2">
        <f>IFERROR(__xludf.DUMMYFUNCTION("""COMPUTED_VALUE"""),205.63)</f>
        <v>205.63</v>
      </c>
      <c r="E326" s="2">
        <f>IFERROR(__xludf.DUMMYFUNCTION("""COMPUTED_VALUE"""),208.45)</f>
        <v>208.45</v>
      </c>
      <c r="F326" s="2">
        <f>IFERROR(__xludf.DUMMYFUNCTION("""COMPUTED_VALUE"""),753384.0)</f>
        <v>753384</v>
      </c>
    </row>
    <row r="327">
      <c r="A327" s="3">
        <f>IFERROR(__xludf.DUMMYFUNCTION("""COMPUTED_VALUE"""),38700.645833333336)</f>
        <v>38700.64583</v>
      </c>
      <c r="B327" s="2">
        <f>IFERROR(__xludf.DUMMYFUNCTION("""COMPUTED_VALUE"""),207.5)</f>
        <v>207.5</v>
      </c>
      <c r="C327" s="2">
        <f>IFERROR(__xludf.DUMMYFUNCTION("""COMPUTED_VALUE"""),212.5)</f>
        <v>212.5</v>
      </c>
      <c r="D327" s="2">
        <f>IFERROR(__xludf.DUMMYFUNCTION("""COMPUTED_VALUE"""),205.0)</f>
        <v>205</v>
      </c>
      <c r="E327" s="2">
        <f>IFERROR(__xludf.DUMMYFUNCTION("""COMPUTED_VALUE"""),210.49)</f>
        <v>210.49</v>
      </c>
      <c r="F327" s="2">
        <f>IFERROR(__xludf.DUMMYFUNCTION("""COMPUTED_VALUE"""),602401.0)</f>
        <v>602401</v>
      </c>
    </row>
    <row r="328">
      <c r="A328" s="3">
        <f>IFERROR(__xludf.DUMMYFUNCTION("""COMPUTED_VALUE"""),38701.645833333336)</f>
        <v>38701.64583</v>
      </c>
      <c r="B328" s="2">
        <f>IFERROR(__xludf.DUMMYFUNCTION("""COMPUTED_VALUE"""),211.24)</f>
        <v>211.24</v>
      </c>
      <c r="C328" s="2">
        <f>IFERROR(__xludf.DUMMYFUNCTION("""COMPUTED_VALUE"""),212.31)</f>
        <v>212.31</v>
      </c>
      <c r="D328" s="2">
        <f>IFERROR(__xludf.DUMMYFUNCTION("""COMPUTED_VALUE"""),208.55)</f>
        <v>208.55</v>
      </c>
      <c r="E328" s="2">
        <f>IFERROR(__xludf.DUMMYFUNCTION("""COMPUTED_VALUE"""),210.35)</f>
        <v>210.35</v>
      </c>
      <c r="F328" s="2">
        <f>IFERROR(__xludf.DUMMYFUNCTION("""COMPUTED_VALUE"""),531127.0)</f>
        <v>531127</v>
      </c>
    </row>
    <row r="329">
      <c r="A329" s="3">
        <f>IFERROR(__xludf.DUMMYFUNCTION("""COMPUTED_VALUE"""),38702.645833333336)</f>
        <v>38702.64583</v>
      </c>
      <c r="B329" s="2">
        <f>IFERROR(__xludf.DUMMYFUNCTION("""COMPUTED_VALUE"""),211.25)</f>
        <v>211.25</v>
      </c>
      <c r="C329" s="2">
        <f>IFERROR(__xludf.DUMMYFUNCTION("""COMPUTED_VALUE"""),215.75)</f>
        <v>215.75</v>
      </c>
      <c r="D329" s="2">
        <f>IFERROR(__xludf.DUMMYFUNCTION("""COMPUTED_VALUE"""),210.38)</f>
        <v>210.38</v>
      </c>
      <c r="E329" s="2">
        <f>IFERROR(__xludf.DUMMYFUNCTION("""COMPUTED_VALUE"""),214.3)</f>
        <v>214.3</v>
      </c>
      <c r="F329" s="2">
        <f>IFERROR(__xludf.DUMMYFUNCTION("""COMPUTED_VALUE"""),988429.0)</f>
        <v>988429</v>
      </c>
    </row>
    <row r="330">
      <c r="A330" s="3">
        <f>IFERROR(__xludf.DUMMYFUNCTION("""COMPUTED_VALUE"""),38705.645833333336)</f>
        <v>38705.64583</v>
      </c>
      <c r="B330" s="2">
        <f>IFERROR(__xludf.DUMMYFUNCTION("""COMPUTED_VALUE"""),215.75)</f>
        <v>215.75</v>
      </c>
      <c r="C330" s="2">
        <f>IFERROR(__xludf.DUMMYFUNCTION("""COMPUTED_VALUE"""),219.13)</f>
        <v>219.13</v>
      </c>
      <c r="D330" s="2">
        <f>IFERROR(__xludf.DUMMYFUNCTION("""COMPUTED_VALUE"""),214.63)</f>
        <v>214.63</v>
      </c>
      <c r="E330" s="2">
        <f>IFERROR(__xludf.DUMMYFUNCTION("""COMPUTED_VALUE"""),216.82)</f>
        <v>216.82</v>
      </c>
      <c r="F330" s="2">
        <f>IFERROR(__xludf.DUMMYFUNCTION("""COMPUTED_VALUE"""),587646.0)</f>
        <v>587646</v>
      </c>
    </row>
    <row r="331">
      <c r="A331" s="3">
        <f>IFERROR(__xludf.DUMMYFUNCTION("""COMPUTED_VALUE"""),38706.645833333336)</f>
        <v>38706.64583</v>
      </c>
      <c r="B331" s="2">
        <f>IFERROR(__xludf.DUMMYFUNCTION("""COMPUTED_VALUE"""),218.75)</f>
        <v>218.75</v>
      </c>
      <c r="C331" s="2">
        <f>IFERROR(__xludf.DUMMYFUNCTION("""COMPUTED_VALUE"""),218.75)</f>
        <v>218.75</v>
      </c>
      <c r="D331" s="2">
        <f>IFERROR(__xludf.DUMMYFUNCTION("""COMPUTED_VALUE"""),210.88)</f>
        <v>210.88</v>
      </c>
      <c r="E331" s="2">
        <f>IFERROR(__xludf.DUMMYFUNCTION("""COMPUTED_VALUE"""),211.69)</f>
        <v>211.69</v>
      </c>
      <c r="F331" s="2">
        <f>IFERROR(__xludf.DUMMYFUNCTION("""COMPUTED_VALUE"""),578571.0)</f>
        <v>578571</v>
      </c>
    </row>
    <row r="332">
      <c r="A332" s="3">
        <f>IFERROR(__xludf.DUMMYFUNCTION("""COMPUTED_VALUE"""),38707.645833333336)</f>
        <v>38707.64583</v>
      </c>
      <c r="B332" s="2">
        <f>IFERROR(__xludf.DUMMYFUNCTION("""COMPUTED_VALUE"""),213.13)</f>
        <v>213.13</v>
      </c>
      <c r="C332" s="2">
        <f>IFERROR(__xludf.DUMMYFUNCTION("""COMPUTED_VALUE"""),214.33)</f>
        <v>214.33</v>
      </c>
      <c r="D332" s="2">
        <f>IFERROR(__xludf.DUMMYFUNCTION("""COMPUTED_VALUE"""),208.88)</f>
        <v>208.88</v>
      </c>
      <c r="E332" s="2">
        <f>IFERROR(__xludf.DUMMYFUNCTION("""COMPUTED_VALUE"""),210.76)</f>
        <v>210.76</v>
      </c>
      <c r="F332" s="2">
        <f>IFERROR(__xludf.DUMMYFUNCTION("""COMPUTED_VALUE"""),410304.0)</f>
        <v>410304</v>
      </c>
    </row>
    <row r="333">
      <c r="A333" s="3">
        <f>IFERROR(__xludf.DUMMYFUNCTION("""COMPUTED_VALUE"""),38708.645833333336)</f>
        <v>38708.64583</v>
      </c>
      <c r="B333" s="2">
        <f>IFERROR(__xludf.DUMMYFUNCTION("""COMPUTED_VALUE"""),211.25)</f>
        <v>211.25</v>
      </c>
      <c r="C333" s="2">
        <f>IFERROR(__xludf.DUMMYFUNCTION("""COMPUTED_VALUE"""),212.46)</f>
        <v>212.46</v>
      </c>
      <c r="D333" s="2">
        <f>IFERROR(__xludf.DUMMYFUNCTION("""COMPUTED_VALUE"""),209.87)</f>
        <v>209.87</v>
      </c>
      <c r="E333" s="2">
        <f>IFERROR(__xludf.DUMMYFUNCTION("""COMPUTED_VALUE"""),210.59)</f>
        <v>210.59</v>
      </c>
      <c r="F333" s="2">
        <f>IFERROR(__xludf.DUMMYFUNCTION("""COMPUTED_VALUE"""),314901.0)</f>
        <v>314901</v>
      </c>
    </row>
    <row r="334">
      <c r="A334" s="3">
        <f>IFERROR(__xludf.DUMMYFUNCTION("""COMPUTED_VALUE"""),38709.645833333336)</f>
        <v>38709.64583</v>
      </c>
      <c r="B334" s="2">
        <f>IFERROR(__xludf.DUMMYFUNCTION("""COMPUTED_VALUE"""),210.88)</f>
        <v>210.88</v>
      </c>
      <c r="C334" s="2">
        <f>IFERROR(__xludf.DUMMYFUNCTION("""COMPUTED_VALUE"""),213.13)</f>
        <v>213.13</v>
      </c>
      <c r="D334" s="2">
        <f>IFERROR(__xludf.DUMMYFUNCTION("""COMPUTED_VALUE"""),208.13)</f>
        <v>208.13</v>
      </c>
      <c r="E334" s="2">
        <f>IFERROR(__xludf.DUMMYFUNCTION("""COMPUTED_VALUE"""),208.97)</f>
        <v>208.97</v>
      </c>
      <c r="F334" s="2">
        <f>IFERROR(__xludf.DUMMYFUNCTION("""COMPUTED_VALUE"""),306879.0)</f>
        <v>306879</v>
      </c>
    </row>
    <row r="335">
      <c r="A335" s="3">
        <f>IFERROR(__xludf.DUMMYFUNCTION("""COMPUTED_VALUE"""),38712.645833333336)</f>
        <v>38712.64583</v>
      </c>
      <c r="B335" s="2">
        <f>IFERROR(__xludf.DUMMYFUNCTION("""COMPUTED_VALUE"""),209.25)</f>
        <v>209.25</v>
      </c>
      <c r="C335" s="2">
        <f>IFERROR(__xludf.DUMMYFUNCTION("""COMPUTED_VALUE"""),209.25)</f>
        <v>209.25</v>
      </c>
      <c r="D335" s="2">
        <f>IFERROR(__xludf.DUMMYFUNCTION("""COMPUTED_VALUE"""),207.03)</f>
        <v>207.03</v>
      </c>
      <c r="E335" s="2">
        <f>IFERROR(__xludf.DUMMYFUNCTION("""COMPUTED_VALUE"""),207.86)</f>
        <v>207.86</v>
      </c>
      <c r="F335" s="2">
        <f>IFERROR(__xludf.DUMMYFUNCTION("""COMPUTED_VALUE"""),203160.0)</f>
        <v>203160</v>
      </c>
    </row>
    <row r="336">
      <c r="A336" s="3">
        <f>IFERROR(__xludf.DUMMYFUNCTION("""COMPUTED_VALUE"""),38713.645833333336)</f>
        <v>38713.64583</v>
      </c>
      <c r="B336" s="2">
        <f>IFERROR(__xludf.DUMMYFUNCTION("""COMPUTED_VALUE"""),207.85)</f>
        <v>207.85</v>
      </c>
      <c r="C336" s="2">
        <f>IFERROR(__xludf.DUMMYFUNCTION("""COMPUTED_VALUE"""),212.88)</f>
        <v>212.88</v>
      </c>
      <c r="D336" s="2">
        <f>IFERROR(__xludf.DUMMYFUNCTION("""COMPUTED_VALUE"""),205.38)</f>
        <v>205.38</v>
      </c>
      <c r="E336" s="2">
        <f>IFERROR(__xludf.DUMMYFUNCTION("""COMPUTED_VALUE"""),212.27)</f>
        <v>212.27</v>
      </c>
      <c r="F336" s="2">
        <f>IFERROR(__xludf.DUMMYFUNCTION("""COMPUTED_VALUE"""),195651.0)</f>
        <v>195651</v>
      </c>
    </row>
    <row r="337">
      <c r="A337" s="3">
        <f>IFERROR(__xludf.DUMMYFUNCTION("""COMPUTED_VALUE"""),38714.645833333336)</f>
        <v>38714.64583</v>
      </c>
      <c r="B337" s="2">
        <f>IFERROR(__xludf.DUMMYFUNCTION("""COMPUTED_VALUE"""),211.88)</f>
        <v>211.88</v>
      </c>
      <c r="C337" s="2">
        <f>IFERROR(__xludf.DUMMYFUNCTION("""COMPUTED_VALUE"""),213.75)</f>
        <v>213.75</v>
      </c>
      <c r="D337" s="2">
        <f>IFERROR(__xludf.DUMMYFUNCTION("""COMPUTED_VALUE"""),209.58)</f>
        <v>209.58</v>
      </c>
      <c r="E337" s="2">
        <f>IFERROR(__xludf.DUMMYFUNCTION("""COMPUTED_VALUE"""),210.71)</f>
        <v>210.71</v>
      </c>
      <c r="F337" s="2">
        <f>IFERROR(__xludf.DUMMYFUNCTION("""COMPUTED_VALUE"""),322757.0)</f>
        <v>322757</v>
      </c>
    </row>
    <row r="338">
      <c r="A338" s="3">
        <f>IFERROR(__xludf.DUMMYFUNCTION("""COMPUTED_VALUE"""),38715.645833333336)</f>
        <v>38715.64583</v>
      </c>
      <c r="B338" s="2">
        <f>IFERROR(__xludf.DUMMYFUNCTION("""COMPUTED_VALUE"""),211.25)</f>
        <v>211.25</v>
      </c>
      <c r="C338" s="2">
        <f>IFERROR(__xludf.DUMMYFUNCTION("""COMPUTED_VALUE"""),214.99)</f>
        <v>214.99</v>
      </c>
      <c r="D338" s="2">
        <f>IFERROR(__xludf.DUMMYFUNCTION("""COMPUTED_VALUE"""),210.21)</f>
        <v>210.21</v>
      </c>
      <c r="E338" s="2">
        <f>IFERROR(__xludf.DUMMYFUNCTION("""COMPUTED_VALUE"""),213.76)</f>
        <v>213.76</v>
      </c>
      <c r="F338" s="2">
        <f>IFERROR(__xludf.DUMMYFUNCTION("""COMPUTED_VALUE"""),432723.0)</f>
        <v>432723</v>
      </c>
    </row>
    <row r="339">
      <c r="A339" s="3">
        <f>IFERROR(__xludf.DUMMYFUNCTION("""COMPUTED_VALUE"""),38716.645833333336)</f>
        <v>38716.64583</v>
      </c>
      <c r="B339" s="2">
        <f>IFERROR(__xludf.DUMMYFUNCTION("""COMPUTED_VALUE"""),210.0)</f>
        <v>210</v>
      </c>
      <c r="C339" s="2">
        <f>IFERROR(__xludf.DUMMYFUNCTION("""COMPUTED_VALUE"""),214.99)</f>
        <v>214.99</v>
      </c>
      <c r="D339" s="2">
        <f>IFERROR(__xludf.DUMMYFUNCTION("""COMPUTED_VALUE"""),210.0)</f>
        <v>210</v>
      </c>
      <c r="E339" s="2">
        <f>IFERROR(__xludf.DUMMYFUNCTION("""COMPUTED_VALUE"""),212.86)</f>
        <v>212.86</v>
      </c>
      <c r="F339" s="2">
        <f>IFERROR(__xludf.DUMMYFUNCTION("""COMPUTED_VALUE"""),297531.0)</f>
        <v>297531</v>
      </c>
    </row>
    <row r="340">
      <c r="A340" s="3">
        <f>IFERROR(__xludf.DUMMYFUNCTION("""COMPUTED_VALUE"""),38719.645833333336)</f>
        <v>38719.64583</v>
      </c>
      <c r="B340" s="2">
        <f>IFERROR(__xludf.DUMMYFUNCTION("""COMPUTED_VALUE"""),213.5)</f>
        <v>213.5</v>
      </c>
      <c r="C340" s="2">
        <f>IFERROR(__xludf.DUMMYFUNCTION("""COMPUTED_VALUE"""),213.86)</f>
        <v>213.86</v>
      </c>
      <c r="D340" s="2">
        <f>IFERROR(__xludf.DUMMYFUNCTION("""COMPUTED_VALUE"""),210.17)</f>
        <v>210.17</v>
      </c>
      <c r="E340" s="2">
        <f>IFERROR(__xludf.DUMMYFUNCTION("""COMPUTED_VALUE"""),210.95)</f>
        <v>210.95</v>
      </c>
      <c r="F340" s="2">
        <f>IFERROR(__xludf.DUMMYFUNCTION("""COMPUTED_VALUE"""),206688.0)</f>
        <v>206688</v>
      </c>
    </row>
    <row r="341">
      <c r="A341" s="3">
        <f>IFERROR(__xludf.DUMMYFUNCTION("""COMPUTED_VALUE"""),38720.645833333336)</f>
        <v>38720.64583</v>
      </c>
      <c r="B341" s="2">
        <f>IFERROR(__xludf.DUMMYFUNCTION("""COMPUTED_VALUE"""),210.66)</f>
        <v>210.66</v>
      </c>
      <c r="C341" s="2">
        <f>IFERROR(__xludf.DUMMYFUNCTION("""COMPUTED_VALUE"""),217.49)</f>
        <v>217.49</v>
      </c>
      <c r="D341" s="2">
        <f>IFERROR(__xludf.DUMMYFUNCTION("""COMPUTED_VALUE"""),210.25)</f>
        <v>210.25</v>
      </c>
      <c r="E341" s="2">
        <f>IFERROR(__xludf.DUMMYFUNCTION("""COMPUTED_VALUE"""),216.65)</f>
        <v>216.65</v>
      </c>
      <c r="F341" s="2">
        <f>IFERROR(__xludf.DUMMYFUNCTION("""COMPUTED_VALUE"""),424617.0)</f>
        <v>424617</v>
      </c>
    </row>
    <row r="342">
      <c r="A342" s="3">
        <f>IFERROR(__xludf.DUMMYFUNCTION("""COMPUTED_VALUE"""),38721.645833333336)</f>
        <v>38721.64583</v>
      </c>
      <c r="B342" s="2">
        <f>IFERROR(__xludf.DUMMYFUNCTION("""COMPUTED_VALUE"""),217.5)</f>
        <v>217.5</v>
      </c>
      <c r="C342" s="2">
        <f>IFERROR(__xludf.DUMMYFUNCTION("""COMPUTED_VALUE"""),218.74)</f>
        <v>218.74</v>
      </c>
      <c r="D342" s="2">
        <f>IFERROR(__xludf.DUMMYFUNCTION("""COMPUTED_VALUE"""),215.28)</f>
        <v>215.28</v>
      </c>
      <c r="E342" s="2">
        <f>IFERROR(__xludf.DUMMYFUNCTION("""COMPUTED_VALUE"""),217.89)</f>
        <v>217.89</v>
      </c>
      <c r="F342" s="2">
        <f>IFERROR(__xludf.DUMMYFUNCTION("""COMPUTED_VALUE"""),443202.0)</f>
        <v>443202</v>
      </c>
    </row>
    <row r="343">
      <c r="A343" s="3">
        <f>IFERROR(__xludf.DUMMYFUNCTION("""COMPUTED_VALUE"""),38722.645833333336)</f>
        <v>38722.64583</v>
      </c>
      <c r="B343" s="2">
        <f>IFERROR(__xludf.DUMMYFUNCTION("""COMPUTED_VALUE"""),218.13)</f>
        <v>218.13</v>
      </c>
      <c r="C343" s="2">
        <f>IFERROR(__xludf.DUMMYFUNCTION("""COMPUTED_VALUE"""),218.25)</f>
        <v>218.25</v>
      </c>
      <c r="D343" s="2">
        <f>IFERROR(__xludf.DUMMYFUNCTION("""COMPUTED_VALUE"""),215.24)</f>
        <v>215.24</v>
      </c>
      <c r="E343" s="2">
        <f>IFERROR(__xludf.DUMMYFUNCTION("""COMPUTED_VALUE"""),216.55)</f>
        <v>216.55</v>
      </c>
      <c r="F343" s="2">
        <f>IFERROR(__xludf.DUMMYFUNCTION("""COMPUTED_VALUE"""),178978.0)</f>
        <v>178978</v>
      </c>
    </row>
    <row r="344">
      <c r="A344" s="3">
        <f>IFERROR(__xludf.DUMMYFUNCTION("""COMPUTED_VALUE"""),38723.645833333336)</f>
        <v>38723.64583</v>
      </c>
      <c r="B344" s="2">
        <f>IFERROR(__xludf.DUMMYFUNCTION("""COMPUTED_VALUE"""),216.88)</f>
        <v>216.88</v>
      </c>
      <c r="C344" s="2">
        <f>IFERROR(__xludf.DUMMYFUNCTION("""COMPUTED_VALUE"""),217.49)</f>
        <v>217.49</v>
      </c>
      <c r="D344" s="2">
        <f>IFERROR(__xludf.DUMMYFUNCTION("""COMPUTED_VALUE"""),211.5)</f>
        <v>211.5</v>
      </c>
      <c r="E344" s="2">
        <f>IFERROR(__xludf.DUMMYFUNCTION("""COMPUTED_VALUE"""),213.2)</f>
        <v>213.2</v>
      </c>
      <c r="F344" s="2">
        <f>IFERROR(__xludf.DUMMYFUNCTION("""COMPUTED_VALUE"""),370718.0)</f>
        <v>370718</v>
      </c>
    </row>
    <row r="345">
      <c r="A345" s="3">
        <f>IFERROR(__xludf.DUMMYFUNCTION("""COMPUTED_VALUE"""),38726.645833333336)</f>
        <v>38726.64583</v>
      </c>
      <c r="B345" s="2">
        <f>IFERROR(__xludf.DUMMYFUNCTION("""COMPUTED_VALUE"""),213.77)</f>
        <v>213.77</v>
      </c>
      <c r="C345" s="2">
        <f>IFERROR(__xludf.DUMMYFUNCTION("""COMPUTED_VALUE"""),216.25)</f>
        <v>216.25</v>
      </c>
      <c r="D345" s="2">
        <f>IFERROR(__xludf.DUMMYFUNCTION("""COMPUTED_VALUE"""),210.13)</f>
        <v>210.13</v>
      </c>
      <c r="E345" s="2">
        <f>IFERROR(__xludf.DUMMYFUNCTION("""COMPUTED_VALUE"""),211.12)</f>
        <v>211.12</v>
      </c>
      <c r="F345" s="2">
        <f>IFERROR(__xludf.DUMMYFUNCTION("""COMPUTED_VALUE"""),485409.0)</f>
        <v>485409</v>
      </c>
    </row>
    <row r="346">
      <c r="A346" s="3">
        <f>IFERROR(__xludf.DUMMYFUNCTION("""COMPUTED_VALUE"""),38727.645833333336)</f>
        <v>38727.64583</v>
      </c>
      <c r="B346" s="2">
        <f>IFERROR(__xludf.DUMMYFUNCTION("""COMPUTED_VALUE"""),211.25)</f>
        <v>211.25</v>
      </c>
      <c r="C346" s="2">
        <f>IFERROR(__xludf.DUMMYFUNCTION("""COMPUTED_VALUE"""),212.48)</f>
        <v>212.48</v>
      </c>
      <c r="D346" s="2">
        <f>IFERROR(__xludf.DUMMYFUNCTION("""COMPUTED_VALUE"""),207.63)</f>
        <v>207.63</v>
      </c>
      <c r="E346" s="2">
        <f>IFERROR(__xludf.DUMMYFUNCTION("""COMPUTED_VALUE"""),209.06)</f>
        <v>209.06</v>
      </c>
      <c r="F346" s="2">
        <f>IFERROR(__xludf.DUMMYFUNCTION("""COMPUTED_VALUE"""),496581.0)</f>
        <v>496581</v>
      </c>
    </row>
    <row r="347">
      <c r="A347" s="3">
        <f>IFERROR(__xludf.DUMMYFUNCTION("""COMPUTED_VALUE"""),38729.645833333336)</f>
        <v>38729.64583</v>
      </c>
      <c r="B347" s="2">
        <f>IFERROR(__xludf.DUMMYFUNCTION("""COMPUTED_VALUE"""),206.63)</f>
        <v>206.63</v>
      </c>
      <c r="C347" s="2">
        <f>IFERROR(__xludf.DUMMYFUNCTION("""COMPUTED_VALUE"""),211.13)</f>
        <v>211.13</v>
      </c>
      <c r="D347" s="2">
        <f>IFERROR(__xludf.DUMMYFUNCTION("""COMPUTED_VALUE"""),201.88)</f>
        <v>201.88</v>
      </c>
      <c r="E347" s="2">
        <f>IFERROR(__xludf.DUMMYFUNCTION("""COMPUTED_VALUE"""),209.21)</f>
        <v>209.21</v>
      </c>
      <c r="F347" s="2">
        <f>IFERROR(__xludf.DUMMYFUNCTION("""COMPUTED_VALUE"""),1739962.0)</f>
        <v>1739962</v>
      </c>
    </row>
    <row r="348">
      <c r="A348" s="3">
        <f>IFERROR(__xludf.DUMMYFUNCTION("""COMPUTED_VALUE"""),38730.645833333336)</f>
        <v>38730.64583</v>
      </c>
      <c r="B348" s="2">
        <f>IFERROR(__xludf.DUMMYFUNCTION("""COMPUTED_VALUE"""),210.0)</f>
        <v>210</v>
      </c>
      <c r="C348" s="2">
        <f>IFERROR(__xludf.DUMMYFUNCTION("""COMPUTED_VALUE"""),211.25)</f>
        <v>211.25</v>
      </c>
      <c r="D348" s="2">
        <f>IFERROR(__xludf.DUMMYFUNCTION("""COMPUTED_VALUE"""),205.5)</f>
        <v>205.5</v>
      </c>
      <c r="E348" s="2">
        <f>IFERROR(__xludf.DUMMYFUNCTION("""COMPUTED_VALUE"""),206.47)</f>
        <v>206.47</v>
      </c>
      <c r="F348" s="2">
        <f>IFERROR(__xludf.DUMMYFUNCTION("""COMPUTED_VALUE"""),451071.0)</f>
        <v>451071</v>
      </c>
    </row>
    <row r="349">
      <c r="A349" s="3">
        <f>IFERROR(__xludf.DUMMYFUNCTION("""COMPUTED_VALUE"""),38733.645833333336)</f>
        <v>38733.64583</v>
      </c>
      <c r="B349" s="2">
        <f>IFERROR(__xludf.DUMMYFUNCTION("""COMPUTED_VALUE"""),206.38)</f>
        <v>206.38</v>
      </c>
      <c r="C349" s="2">
        <f>IFERROR(__xludf.DUMMYFUNCTION("""COMPUTED_VALUE"""),206.38)</f>
        <v>206.38</v>
      </c>
      <c r="D349" s="2">
        <f>IFERROR(__xludf.DUMMYFUNCTION("""COMPUTED_VALUE"""),200.32)</f>
        <v>200.32</v>
      </c>
      <c r="E349" s="2">
        <f>IFERROR(__xludf.DUMMYFUNCTION("""COMPUTED_VALUE"""),201.1)</f>
        <v>201.1</v>
      </c>
      <c r="F349" s="2">
        <f>IFERROR(__xludf.DUMMYFUNCTION("""COMPUTED_VALUE"""),600614.0)</f>
        <v>600614</v>
      </c>
    </row>
    <row r="350">
      <c r="A350" s="3">
        <f>IFERROR(__xludf.DUMMYFUNCTION("""COMPUTED_VALUE"""),38734.645833333336)</f>
        <v>38734.64583</v>
      </c>
      <c r="B350" s="2">
        <f>IFERROR(__xludf.DUMMYFUNCTION("""COMPUTED_VALUE"""),201.38)</f>
        <v>201.38</v>
      </c>
      <c r="C350" s="2">
        <f>IFERROR(__xludf.DUMMYFUNCTION("""COMPUTED_VALUE"""),205.0)</f>
        <v>205</v>
      </c>
      <c r="D350" s="2">
        <f>IFERROR(__xludf.DUMMYFUNCTION("""COMPUTED_VALUE"""),201.25)</f>
        <v>201.25</v>
      </c>
      <c r="E350" s="2">
        <f>IFERROR(__xludf.DUMMYFUNCTION("""COMPUTED_VALUE"""),202.93)</f>
        <v>202.93</v>
      </c>
      <c r="F350" s="2">
        <f>IFERROR(__xludf.DUMMYFUNCTION("""COMPUTED_VALUE"""),469132.0)</f>
        <v>469132</v>
      </c>
    </row>
    <row r="351">
      <c r="A351" s="3">
        <f>IFERROR(__xludf.DUMMYFUNCTION("""COMPUTED_VALUE"""),38735.645833333336)</f>
        <v>38735.64583</v>
      </c>
      <c r="B351" s="2">
        <f>IFERROR(__xludf.DUMMYFUNCTION("""COMPUTED_VALUE"""),202.28)</f>
        <v>202.28</v>
      </c>
      <c r="C351" s="2">
        <f>IFERROR(__xludf.DUMMYFUNCTION("""COMPUTED_VALUE"""),202.98)</f>
        <v>202.98</v>
      </c>
      <c r="D351" s="2">
        <f>IFERROR(__xludf.DUMMYFUNCTION("""COMPUTED_VALUE"""),200.26)</f>
        <v>200.26</v>
      </c>
      <c r="E351" s="2">
        <f>IFERROR(__xludf.DUMMYFUNCTION("""COMPUTED_VALUE"""),202.45)</f>
        <v>202.45</v>
      </c>
      <c r="F351" s="2">
        <f>IFERROR(__xludf.DUMMYFUNCTION("""COMPUTED_VALUE"""),395640.0)</f>
        <v>395640</v>
      </c>
    </row>
    <row r="352">
      <c r="A352" s="3">
        <f>IFERROR(__xludf.DUMMYFUNCTION("""COMPUTED_VALUE"""),38736.645833333336)</f>
        <v>38736.64583</v>
      </c>
      <c r="B352" s="2">
        <f>IFERROR(__xludf.DUMMYFUNCTION("""COMPUTED_VALUE"""),202.98)</f>
        <v>202.98</v>
      </c>
      <c r="C352" s="2">
        <f>IFERROR(__xludf.DUMMYFUNCTION("""COMPUTED_VALUE"""),206.84)</f>
        <v>206.84</v>
      </c>
      <c r="D352" s="2">
        <f>IFERROR(__xludf.DUMMYFUNCTION("""COMPUTED_VALUE"""),202.98)</f>
        <v>202.98</v>
      </c>
      <c r="E352" s="2">
        <f>IFERROR(__xludf.DUMMYFUNCTION("""COMPUTED_VALUE"""),206.3)</f>
        <v>206.3</v>
      </c>
      <c r="F352" s="2">
        <f>IFERROR(__xludf.DUMMYFUNCTION("""COMPUTED_VALUE"""),446841.0)</f>
        <v>446841</v>
      </c>
    </row>
    <row r="353">
      <c r="A353" s="3">
        <f>IFERROR(__xludf.DUMMYFUNCTION("""COMPUTED_VALUE"""),38737.645833333336)</f>
        <v>38737.64583</v>
      </c>
      <c r="B353" s="2">
        <f>IFERROR(__xludf.DUMMYFUNCTION("""COMPUTED_VALUE"""),206.88)</f>
        <v>206.88</v>
      </c>
      <c r="C353" s="2">
        <f>IFERROR(__xludf.DUMMYFUNCTION("""COMPUTED_VALUE"""),208.73)</f>
        <v>208.73</v>
      </c>
      <c r="D353" s="2">
        <f>IFERROR(__xludf.DUMMYFUNCTION("""COMPUTED_VALUE"""),204.38)</f>
        <v>204.38</v>
      </c>
      <c r="E353" s="2">
        <f>IFERROR(__xludf.DUMMYFUNCTION("""COMPUTED_VALUE"""),205.5)</f>
        <v>205.5</v>
      </c>
      <c r="F353" s="2">
        <f>IFERROR(__xludf.DUMMYFUNCTION("""COMPUTED_VALUE"""),411780.0)</f>
        <v>411780</v>
      </c>
    </row>
    <row r="354">
      <c r="A354" s="3">
        <f>IFERROR(__xludf.DUMMYFUNCTION("""COMPUTED_VALUE"""),38740.645833333336)</f>
        <v>38740.64583</v>
      </c>
      <c r="B354" s="2">
        <f>IFERROR(__xludf.DUMMYFUNCTION("""COMPUTED_VALUE"""),204.38)</f>
        <v>204.38</v>
      </c>
      <c r="C354" s="2">
        <f>IFERROR(__xludf.DUMMYFUNCTION("""COMPUTED_VALUE"""),204.38)</f>
        <v>204.38</v>
      </c>
      <c r="D354" s="2">
        <f>IFERROR(__xludf.DUMMYFUNCTION("""COMPUTED_VALUE"""),201.41)</f>
        <v>201.41</v>
      </c>
      <c r="E354" s="2">
        <f>IFERROR(__xludf.DUMMYFUNCTION("""COMPUTED_VALUE"""),202.77)</f>
        <v>202.77</v>
      </c>
      <c r="F354" s="2">
        <f>IFERROR(__xludf.DUMMYFUNCTION("""COMPUTED_VALUE"""),285034.0)</f>
        <v>285034</v>
      </c>
    </row>
    <row r="355">
      <c r="A355" s="3">
        <f>IFERROR(__xludf.DUMMYFUNCTION("""COMPUTED_VALUE"""),38741.645833333336)</f>
        <v>38741.64583</v>
      </c>
      <c r="B355" s="2">
        <f>IFERROR(__xludf.DUMMYFUNCTION("""COMPUTED_VALUE"""),204.38)</f>
        <v>204.38</v>
      </c>
      <c r="C355" s="2">
        <f>IFERROR(__xludf.DUMMYFUNCTION("""COMPUTED_VALUE"""),206.13)</f>
        <v>206.13</v>
      </c>
      <c r="D355" s="2">
        <f>IFERROR(__xludf.DUMMYFUNCTION("""COMPUTED_VALUE"""),203.8)</f>
        <v>203.8</v>
      </c>
      <c r="E355" s="2">
        <f>IFERROR(__xludf.DUMMYFUNCTION("""COMPUTED_VALUE"""),205.33)</f>
        <v>205.33</v>
      </c>
      <c r="F355" s="2">
        <f>IFERROR(__xludf.DUMMYFUNCTION("""COMPUTED_VALUE"""),236258.0)</f>
        <v>236258</v>
      </c>
    </row>
    <row r="356">
      <c r="A356" s="3">
        <f>IFERROR(__xludf.DUMMYFUNCTION("""COMPUTED_VALUE"""),38742.645833333336)</f>
        <v>38742.64583</v>
      </c>
      <c r="B356" s="2">
        <f>IFERROR(__xludf.DUMMYFUNCTION("""COMPUTED_VALUE"""),206.13)</f>
        <v>206.13</v>
      </c>
      <c r="C356" s="2">
        <f>IFERROR(__xludf.DUMMYFUNCTION("""COMPUTED_VALUE"""),207.49)</f>
        <v>207.49</v>
      </c>
      <c r="D356" s="2">
        <f>IFERROR(__xludf.DUMMYFUNCTION("""COMPUTED_VALUE"""),205.44)</f>
        <v>205.44</v>
      </c>
      <c r="E356" s="2">
        <f>IFERROR(__xludf.DUMMYFUNCTION("""COMPUTED_VALUE"""),206.4)</f>
        <v>206.4</v>
      </c>
      <c r="F356" s="2">
        <f>IFERROR(__xludf.DUMMYFUNCTION("""COMPUTED_VALUE"""),795717.0)</f>
        <v>795717</v>
      </c>
    </row>
    <row r="357">
      <c r="A357" s="3">
        <f>IFERROR(__xludf.DUMMYFUNCTION("""COMPUTED_VALUE"""),38744.645833333336)</f>
        <v>38744.64583</v>
      </c>
      <c r="B357" s="2">
        <f>IFERROR(__xludf.DUMMYFUNCTION("""COMPUTED_VALUE"""),210.0)</f>
        <v>210</v>
      </c>
      <c r="C357" s="2">
        <f>IFERROR(__xludf.DUMMYFUNCTION("""COMPUTED_VALUE"""),210.0)</f>
        <v>210</v>
      </c>
      <c r="D357" s="2">
        <f>IFERROR(__xludf.DUMMYFUNCTION("""COMPUTED_VALUE"""),206.33)</f>
        <v>206.33</v>
      </c>
      <c r="E357" s="2">
        <f>IFERROR(__xludf.DUMMYFUNCTION("""COMPUTED_VALUE"""),207.4)</f>
        <v>207.4</v>
      </c>
      <c r="F357" s="2">
        <f>IFERROR(__xludf.DUMMYFUNCTION("""COMPUTED_VALUE"""),375477.0)</f>
        <v>375477</v>
      </c>
    </row>
    <row r="358">
      <c r="A358" s="3">
        <f>IFERROR(__xludf.DUMMYFUNCTION("""COMPUTED_VALUE"""),38747.645833333336)</f>
        <v>38747.64583</v>
      </c>
      <c r="B358" s="2">
        <f>IFERROR(__xludf.DUMMYFUNCTION("""COMPUTED_VALUE"""),208.18)</f>
        <v>208.18</v>
      </c>
      <c r="C358" s="2">
        <f>IFERROR(__xludf.DUMMYFUNCTION("""COMPUTED_VALUE"""),209.95)</f>
        <v>209.95</v>
      </c>
      <c r="D358" s="2">
        <f>IFERROR(__xludf.DUMMYFUNCTION("""COMPUTED_VALUE"""),206.51)</f>
        <v>206.51</v>
      </c>
      <c r="E358" s="2">
        <f>IFERROR(__xludf.DUMMYFUNCTION("""COMPUTED_VALUE"""),207.36)</f>
        <v>207.36</v>
      </c>
      <c r="F358" s="2">
        <f>IFERROR(__xludf.DUMMYFUNCTION("""COMPUTED_VALUE"""),172893.0)</f>
        <v>172893</v>
      </c>
    </row>
    <row r="359">
      <c r="A359" s="3">
        <f>IFERROR(__xludf.DUMMYFUNCTION("""COMPUTED_VALUE"""),38748.645833333336)</f>
        <v>38748.64583</v>
      </c>
      <c r="B359" s="2">
        <f>IFERROR(__xludf.DUMMYFUNCTION("""COMPUTED_VALUE"""),209.95)</f>
        <v>209.95</v>
      </c>
      <c r="C359" s="2">
        <f>IFERROR(__xludf.DUMMYFUNCTION("""COMPUTED_VALUE"""),209.95)</f>
        <v>209.95</v>
      </c>
      <c r="D359" s="2">
        <f>IFERROR(__xludf.DUMMYFUNCTION("""COMPUTED_VALUE"""),206.55)</f>
        <v>206.55</v>
      </c>
      <c r="E359" s="2">
        <f>IFERROR(__xludf.DUMMYFUNCTION("""COMPUTED_VALUE"""),208.8)</f>
        <v>208.8</v>
      </c>
      <c r="F359" s="2">
        <f>IFERROR(__xludf.DUMMYFUNCTION("""COMPUTED_VALUE"""),187895.0)</f>
        <v>187895</v>
      </c>
    </row>
    <row r="360">
      <c r="A360" s="3">
        <f>IFERROR(__xludf.DUMMYFUNCTION("""COMPUTED_VALUE"""),38749.645833333336)</f>
        <v>38749.64583</v>
      </c>
      <c r="B360" s="2">
        <f>IFERROR(__xludf.DUMMYFUNCTION("""COMPUTED_VALUE"""),207.0)</f>
        <v>207</v>
      </c>
      <c r="C360" s="2">
        <f>IFERROR(__xludf.DUMMYFUNCTION("""COMPUTED_VALUE"""),209.75)</f>
        <v>209.75</v>
      </c>
      <c r="D360" s="2">
        <f>IFERROR(__xludf.DUMMYFUNCTION("""COMPUTED_VALUE"""),206.3)</f>
        <v>206.3</v>
      </c>
      <c r="E360" s="2">
        <f>IFERROR(__xludf.DUMMYFUNCTION("""COMPUTED_VALUE"""),208.33)</f>
        <v>208.33</v>
      </c>
      <c r="F360" s="2">
        <f>IFERROR(__xludf.DUMMYFUNCTION("""COMPUTED_VALUE"""),487087.0)</f>
        <v>487087</v>
      </c>
    </row>
    <row r="361">
      <c r="A361" s="3">
        <f>IFERROR(__xludf.DUMMYFUNCTION("""COMPUTED_VALUE"""),38750.645833333336)</f>
        <v>38750.64583</v>
      </c>
      <c r="B361" s="2">
        <f>IFERROR(__xludf.DUMMYFUNCTION("""COMPUTED_VALUE"""),208.75)</f>
        <v>208.75</v>
      </c>
      <c r="C361" s="2">
        <f>IFERROR(__xludf.DUMMYFUNCTION("""COMPUTED_VALUE"""),209.5)</f>
        <v>209.5</v>
      </c>
      <c r="D361" s="2">
        <f>IFERROR(__xludf.DUMMYFUNCTION("""COMPUTED_VALUE"""),203.71)</f>
        <v>203.71</v>
      </c>
      <c r="E361" s="2">
        <f>IFERROR(__xludf.DUMMYFUNCTION("""COMPUTED_VALUE"""),204.6)</f>
        <v>204.6</v>
      </c>
      <c r="F361" s="2">
        <f>IFERROR(__xludf.DUMMYFUNCTION("""COMPUTED_VALUE"""),391967.0)</f>
        <v>391967</v>
      </c>
    </row>
    <row r="362">
      <c r="A362" s="3">
        <f>IFERROR(__xludf.DUMMYFUNCTION("""COMPUTED_VALUE"""),38751.645833333336)</f>
        <v>38751.64583</v>
      </c>
      <c r="B362" s="2">
        <f>IFERROR(__xludf.DUMMYFUNCTION("""COMPUTED_VALUE"""),204.99)</f>
        <v>204.99</v>
      </c>
      <c r="C362" s="2">
        <f>IFERROR(__xludf.DUMMYFUNCTION("""COMPUTED_VALUE"""),205.98)</f>
        <v>205.98</v>
      </c>
      <c r="D362" s="2">
        <f>IFERROR(__xludf.DUMMYFUNCTION("""COMPUTED_VALUE"""),201.55)</f>
        <v>201.55</v>
      </c>
      <c r="E362" s="2">
        <f>IFERROR(__xludf.DUMMYFUNCTION("""COMPUTED_VALUE"""),203.85)</f>
        <v>203.85</v>
      </c>
      <c r="F362" s="2">
        <f>IFERROR(__xludf.DUMMYFUNCTION("""COMPUTED_VALUE"""),544690.0)</f>
        <v>544690</v>
      </c>
    </row>
    <row r="363">
      <c r="A363" s="3">
        <f>IFERROR(__xludf.DUMMYFUNCTION("""COMPUTED_VALUE"""),38754.645833333336)</f>
        <v>38754.64583</v>
      </c>
      <c r="B363" s="2">
        <f>IFERROR(__xludf.DUMMYFUNCTION("""COMPUTED_VALUE"""),203.74)</f>
        <v>203.74</v>
      </c>
      <c r="C363" s="2">
        <f>IFERROR(__xludf.DUMMYFUNCTION("""COMPUTED_VALUE"""),210.38)</f>
        <v>210.38</v>
      </c>
      <c r="D363" s="2">
        <f>IFERROR(__xludf.DUMMYFUNCTION("""COMPUTED_VALUE"""),203.3)</f>
        <v>203.3</v>
      </c>
      <c r="E363" s="2">
        <f>IFERROR(__xludf.DUMMYFUNCTION("""COMPUTED_VALUE"""),209.88)</f>
        <v>209.88</v>
      </c>
      <c r="F363" s="2">
        <f>IFERROR(__xludf.DUMMYFUNCTION("""COMPUTED_VALUE"""),361872.0)</f>
        <v>361872</v>
      </c>
    </row>
    <row r="364">
      <c r="A364" s="3">
        <f>IFERROR(__xludf.DUMMYFUNCTION("""COMPUTED_VALUE"""),38755.645833333336)</f>
        <v>38755.64583</v>
      </c>
      <c r="B364" s="2">
        <f>IFERROR(__xludf.DUMMYFUNCTION("""COMPUTED_VALUE"""),210.0)</f>
        <v>210</v>
      </c>
      <c r="C364" s="2">
        <f>IFERROR(__xludf.DUMMYFUNCTION("""COMPUTED_VALUE"""),211.69)</f>
        <v>211.69</v>
      </c>
      <c r="D364" s="2">
        <f>IFERROR(__xludf.DUMMYFUNCTION("""COMPUTED_VALUE"""),205.53)</f>
        <v>205.53</v>
      </c>
      <c r="E364" s="2">
        <f>IFERROR(__xludf.DUMMYFUNCTION("""COMPUTED_VALUE"""),209.26)</f>
        <v>209.26</v>
      </c>
      <c r="F364" s="2">
        <f>IFERROR(__xludf.DUMMYFUNCTION("""COMPUTED_VALUE"""),875348.0)</f>
        <v>875348</v>
      </c>
    </row>
    <row r="365">
      <c r="A365" s="3">
        <f>IFERROR(__xludf.DUMMYFUNCTION("""COMPUTED_VALUE"""),38756.645833333336)</f>
        <v>38756.64583</v>
      </c>
      <c r="B365" s="2">
        <f>IFERROR(__xludf.DUMMYFUNCTION("""COMPUTED_VALUE"""),208.25)</f>
        <v>208.25</v>
      </c>
      <c r="C365" s="2">
        <f>IFERROR(__xludf.DUMMYFUNCTION("""COMPUTED_VALUE"""),209.01)</f>
        <v>209.01</v>
      </c>
      <c r="D365" s="2">
        <f>IFERROR(__xludf.DUMMYFUNCTION("""COMPUTED_VALUE"""),206.55)</f>
        <v>206.55</v>
      </c>
      <c r="E365" s="2">
        <f>IFERROR(__xludf.DUMMYFUNCTION("""COMPUTED_VALUE"""),207.81)</f>
        <v>207.81</v>
      </c>
      <c r="F365" s="2">
        <f>IFERROR(__xludf.DUMMYFUNCTION("""COMPUTED_VALUE"""),416581.0)</f>
        <v>416581</v>
      </c>
    </row>
    <row r="366">
      <c r="A366" s="3">
        <f>IFERROR(__xludf.DUMMYFUNCTION("""COMPUTED_VALUE"""),38758.645833333336)</f>
        <v>38758.64583</v>
      </c>
      <c r="B366" s="2">
        <f>IFERROR(__xludf.DUMMYFUNCTION("""COMPUTED_VALUE"""),208.77)</f>
        <v>208.77</v>
      </c>
      <c r="C366" s="2">
        <f>IFERROR(__xludf.DUMMYFUNCTION("""COMPUTED_VALUE"""),209.75)</f>
        <v>209.75</v>
      </c>
      <c r="D366" s="2">
        <f>IFERROR(__xludf.DUMMYFUNCTION("""COMPUTED_VALUE"""),205.63)</f>
        <v>205.63</v>
      </c>
      <c r="E366" s="2">
        <f>IFERROR(__xludf.DUMMYFUNCTION("""COMPUTED_VALUE"""),208.7)</f>
        <v>208.7</v>
      </c>
      <c r="F366" s="2">
        <f>IFERROR(__xludf.DUMMYFUNCTION("""COMPUTED_VALUE"""),341025.0)</f>
        <v>341025</v>
      </c>
    </row>
    <row r="367">
      <c r="A367" s="3">
        <f>IFERROR(__xludf.DUMMYFUNCTION("""COMPUTED_VALUE"""),38761.645833333336)</f>
        <v>38761.64583</v>
      </c>
      <c r="B367" s="2">
        <f>IFERROR(__xludf.DUMMYFUNCTION("""COMPUTED_VALUE"""),208.7)</f>
        <v>208.7</v>
      </c>
      <c r="C367" s="2">
        <f>IFERROR(__xludf.DUMMYFUNCTION("""COMPUTED_VALUE"""),208.75)</f>
        <v>208.75</v>
      </c>
      <c r="D367" s="2">
        <f>IFERROR(__xludf.DUMMYFUNCTION("""COMPUTED_VALUE"""),206.0)</f>
        <v>206</v>
      </c>
      <c r="E367" s="2">
        <f>IFERROR(__xludf.DUMMYFUNCTION("""COMPUTED_VALUE"""),206.38)</f>
        <v>206.38</v>
      </c>
      <c r="F367" s="2">
        <f>IFERROR(__xludf.DUMMYFUNCTION("""COMPUTED_VALUE"""),252568.0)</f>
        <v>252568</v>
      </c>
    </row>
    <row r="368">
      <c r="A368" s="3">
        <f>IFERROR(__xludf.DUMMYFUNCTION("""COMPUTED_VALUE"""),38762.645833333336)</f>
        <v>38762.64583</v>
      </c>
      <c r="B368" s="2">
        <f>IFERROR(__xludf.DUMMYFUNCTION("""COMPUTED_VALUE"""),208.75)</f>
        <v>208.75</v>
      </c>
      <c r="C368" s="2">
        <f>IFERROR(__xludf.DUMMYFUNCTION("""COMPUTED_VALUE"""),208.75)</f>
        <v>208.75</v>
      </c>
      <c r="D368" s="2">
        <f>IFERROR(__xludf.DUMMYFUNCTION("""COMPUTED_VALUE"""),201.75)</f>
        <v>201.75</v>
      </c>
      <c r="E368" s="2">
        <f>IFERROR(__xludf.DUMMYFUNCTION("""COMPUTED_VALUE"""),202.32)</f>
        <v>202.32</v>
      </c>
      <c r="F368" s="2">
        <f>IFERROR(__xludf.DUMMYFUNCTION("""COMPUTED_VALUE"""),870258.0)</f>
        <v>870258</v>
      </c>
    </row>
    <row r="369">
      <c r="A369" s="3">
        <f>IFERROR(__xludf.DUMMYFUNCTION("""COMPUTED_VALUE"""),38763.645833333336)</f>
        <v>38763.64583</v>
      </c>
      <c r="B369" s="2">
        <f>IFERROR(__xludf.DUMMYFUNCTION("""COMPUTED_VALUE"""),205.99)</f>
        <v>205.99</v>
      </c>
      <c r="C369" s="2">
        <f>IFERROR(__xludf.DUMMYFUNCTION("""COMPUTED_VALUE"""),205.99)</f>
        <v>205.99</v>
      </c>
      <c r="D369" s="2">
        <f>IFERROR(__xludf.DUMMYFUNCTION("""COMPUTED_VALUE"""),200.63)</f>
        <v>200.63</v>
      </c>
      <c r="E369" s="2">
        <f>IFERROR(__xludf.DUMMYFUNCTION("""COMPUTED_VALUE"""),202.42)</f>
        <v>202.42</v>
      </c>
      <c r="F369" s="2">
        <f>IFERROR(__xludf.DUMMYFUNCTION("""COMPUTED_VALUE"""),526165.0)</f>
        <v>526165</v>
      </c>
    </row>
    <row r="370">
      <c r="A370" s="3">
        <f>IFERROR(__xludf.DUMMYFUNCTION("""COMPUTED_VALUE"""),38764.645833333336)</f>
        <v>38764.64583</v>
      </c>
      <c r="B370" s="2">
        <f>IFERROR(__xludf.DUMMYFUNCTION("""COMPUTED_VALUE"""),203.13)</f>
        <v>203.13</v>
      </c>
      <c r="C370" s="2">
        <f>IFERROR(__xludf.DUMMYFUNCTION("""COMPUTED_VALUE"""),204.98)</f>
        <v>204.98</v>
      </c>
      <c r="D370" s="2">
        <f>IFERROR(__xludf.DUMMYFUNCTION("""COMPUTED_VALUE"""),201.5)</f>
        <v>201.5</v>
      </c>
      <c r="E370" s="2">
        <f>IFERROR(__xludf.DUMMYFUNCTION("""COMPUTED_VALUE"""),203.65)</f>
        <v>203.65</v>
      </c>
      <c r="F370" s="2">
        <f>IFERROR(__xludf.DUMMYFUNCTION("""COMPUTED_VALUE"""),660561.0)</f>
        <v>660561</v>
      </c>
    </row>
    <row r="371">
      <c r="A371" s="3">
        <f>IFERROR(__xludf.DUMMYFUNCTION("""COMPUTED_VALUE"""),38765.645833333336)</f>
        <v>38765.64583</v>
      </c>
      <c r="B371" s="2">
        <f>IFERROR(__xludf.DUMMYFUNCTION("""COMPUTED_VALUE"""),206.25)</f>
        <v>206.25</v>
      </c>
      <c r="C371" s="2">
        <f>IFERROR(__xludf.DUMMYFUNCTION("""COMPUTED_VALUE"""),207.05)</f>
        <v>207.05</v>
      </c>
      <c r="D371" s="2">
        <f>IFERROR(__xludf.DUMMYFUNCTION("""COMPUTED_VALUE"""),202.5)</f>
        <v>202.5</v>
      </c>
      <c r="E371" s="2">
        <f>IFERROR(__xludf.DUMMYFUNCTION("""COMPUTED_VALUE"""),203.13)</f>
        <v>203.13</v>
      </c>
      <c r="F371" s="2">
        <f>IFERROR(__xludf.DUMMYFUNCTION("""COMPUTED_VALUE"""),365431.0)</f>
        <v>365431</v>
      </c>
    </row>
    <row r="372">
      <c r="A372" s="3">
        <f>IFERROR(__xludf.DUMMYFUNCTION("""COMPUTED_VALUE"""),38768.645833333336)</f>
        <v>38768.64583</v>
      </c>
      <c r="B372" s="2">
        <f>IFERROR(__xludf.DUMMYFUNCTION("""COMPUTED_VALUE"""),204.88)</f>
        <v>204.88</v>
      </c>
      <c r="C372" s="2">
        <f>IFERROR(__xludf.DUMMYFUNCTION("""COMPUTED_VALUE"""),206.88)</f>
        <v>206.88</v>
      </c>
      <c r="D372" s="2">
        <f>IFERROR(__xludf.DUMMYFUNCTION("""COMPUTED_VALUE"""),203.43)</f>
        <v>203.43</v>
      </c>
      <c r="E372" s="2">
        <f>IFERROR(__xludf.DUMMYFUNCTION("""COMPUTED_VALUE"""),206.23)</f>
        <v>206.23</v>
      </c>
      <c r="F372" s="2">
        <f>IFERROR(__xludf.DUMMYFUNCTION("""COMPUTED_VALUE"""),330451.0)</f>
        <v>330451</v>
      </c>
    </row>
    <row r="373">
      <c r="A373" s="3">
        <f>IFERROR(__xludf.DUMMYFUNCTION("""COMPUTED_VALUE"""),38769.645833333336)</f>
        <v>38769.64583</v>
      </c>
      <c r="B373" s="2">
        <f>IFERROR(__xludf.DUMMYFUNCTION("""COMPUTED_VALUE"""),206.88)</f>
        <v>206.88</v>
      </c>
      <c r="C373" s="2">
        <f>IFERROR(__xludf.DUMMYFUNCTION("""COMPUTED_VALUE"""),208.88)</f>
        <v>208.88</v>
      </c>
      <c r="D373" s="2">
        <f>IFERROR(__xludf.DUMMYFUNCTION("""COMPUTED_VALUE"""),206.39)</f>
        <v>206.39</v>
      </c>
      <c r="E373" s="2">
        <f>IFERROR(__xludf.DUMMYFUNCTION("""COMPUTED_VALUE"""),208.25)</f>
        <v>208.25</v>
      </c>
      <c r="F373" s="2">
        <f>IFERROR(__xludf.DUMMYFUNCTION("""COMPUTED_VALUE"""),287655.0)</f>
        <v>287655</v>
      </c>
    </row>
    <row r="374">
      <c r="A374" s="3">
        <f>IFERROR(__xludf.DUMMYFUNCTION("""COMPUTED_VALUE"""),38770.645833333336)</f>
        <v>38770.64583</v>
      </c>
      <c r="B374" s="2">
        <f>IFERROR(__xludf.DUMMYFUNCTION("""COMPUTED_VALUE"""),208.75)</f>
        <v>208.75</v>
      </c>
      <c r="C374" s="2">
        <f>IFERROR(__xludf.DUMMYFUNCTION("""COMPUTED_VALUE"""),208.75)</f>
        <v>208.75</v>
      </c>
      <c r="D374" s="2">
        <f>IFERROR(__xludf.DUMMYFUNCTION("""COMPUTED_VALUE"""),206.41)</f>
        <v>206.41</v>
      </c>
      <c r="E374" s="2">
        <f>IFERROR(__xludf.DUMMYFUNCTION("""COMPUTED_VALUE"""),207.73)</f>
        <v>207.73</v>
      </c>
      <c r="F374" s="2">
        <f>IFERROR(__xludf.DUMMYFUNCTION("""COMPUTED_VALUE"""),144574.0)</f>
        <v>144574</v>
      </c>
    </row>
    <row r="375">
      <c r="A375" s="3">
        <f>IFERROR(__xludf.DUMMYFUNCTION("""COMPUTED_VALUE"""),38771.645833333336)</f>
        <v>38771.64583</v>
      </c>
      <c r="B375" s="2">
        <f>IFERROR(__xludf.DUMMYFUNCTION("""COMPUTED_VALUE"""),207.5)</f>
        <v>207.5</v>
      </c>
      <c r="C375" s="2">
        <f>IFERROR(__xludf.DUMMYFUNCTION("""COMPUTED_VALUE"""),211.24)</f>
        <v>211.24</v>
      </c>
      <c r="D375" s="2">
        <f>IFERROR(__xludf.DUMMYFUNCTION("""COMPUTED_VALUE"""),207.5)</f>
        <v>207.5</v>
      </c>
      <c r="E375" s="2">
        <f>IFERROR(__xludf.DUMMYFUNCTION("""COMPUTED_VALUE"""),208.82)</f>
        <v>208.82</v>
      </c>
      <c r="F375" s="2">
        <f>IFERROR(__xludf.DUMMYFUNCTION("""COMPUTED_VALUE"""),517698.0)</f>
        <v>517698</v>
      </c>
    </row>
    <row r="376">
      <c r="A376" s="3">
        <f>IFERROR(__xludf.DUMMYFUNCTION("""COMPUTED_VALUE"""),38772.645833333336)</f>
        <v>38772.64583</v>
      </c>
      <c r="B376" s="2">
        <f>IFERROR(__xludf.DUMMYFUNCTION("""COMPUTED_VALUE"""),208.78)</f>
        <v>208.78</v>
      </c>
      <c r="C376" s="2">
        <f>IFERROR(__xludf.DUMMYFUNCTION("""COMPUTED_VALUE"""),210.0)</f>
        <v>210</v>
      </c>
      <c r="D376" s="2">
        <f>IFERROR(__xludf.DUMMYFUNCTION("""COMPUTED_VALUE"""),207.04)</f>
        <v>207.04</v>
      </c>
      <c r="E376" s="2">
        <f>IFERROR(__xludf.DUMMYFUNCTION("""COMPUTED_VALUE"""),208.76)</f>
        <v>208.76</v>
      </c>
      <c r="F376" s="2">
        <f>IFERROR(__xludf.DUMMYFUNCTION("""COMPUTED_VALUE"""),137167.0)</f>
        <v>137167</v>
      </c>
    </row>
    <row r="377">
      <c r="A377" s="3">
        <f>IFERROR(__xludf.DUMMYFUNCTION("""COMPUTED_VALUE"""),38775.645833333336)</f>
        <v>38775.64583</v>
      </c>
      <c r="B377" s="2">
        <f>IFERROR(__xludf.DUMMYFUNCTION("""COMPUTED_VALUE"""),208.38)</f>
        <v>208.38</v>
      </c>
      <c r="C377" s="2">
        <f>IFERROR(__xludf.DUMMYFUNCTION("""COMPUTED_VALUE"""),211.88)</f>
        <v>211.88</v>
      </c>
      <c r="D377" s="2">
        <f>IFERROR(__xludf.DUMMYFUNCTION("""COMPUTED_VALUE"""),208.3)</f>
        <v>208.3</v>
      </c>
      <c r="E377" s="2">
        <f>IFERROR(__xludf.DUMMYFUNCTION("""COMPUTED_VALUE"""),211.3)</f>
        <v>211.3</v>
      </c>
      <c r="F377" s="2">
        <f>IFERROR(__xludf.DUMMYFUNCTION("""COMPUTED_VALUE"""),315139.0)</f>
        <v>315139</v>
      </c>
    </row>
    <row r="378">
      <c r="A378" s="3">
        <f>IFERROR(__xludf.DUMMYFUNCTION("""COMPUTED_VALUE"""),38776.645833333336)</f>
        <v>38776.64583</v>
      </c>
      <c r="B378" s="2">
        <f>IFERROR(__xludf.DUMMYFUNCTION("""COMPUTED_VALUE"""),211.88)</f>
        <v>211.88</v>
      </c>
      <c r="C378" s="2">
        <f>IFERROR(__xludf.DUMMYFUNCTION("""COMPUTED_VALUE"""),213.0)</f>
        <v>213</v>
      </c>
      <c r="D378" s="2">
        <f>IFERROR(__xludf.DUMMYFUNCTION("""COMPUTED_VALUE"""),208.75)</f>
        <v>208.75</v>
      </c>
      <c r="E378" s="2">
        <f>IFERROR(__xludf.DUMMYFUNCTION("""COMPUTED_VALUE"""),212.6)</f>
        <v>212.6</v>
      </c>
      <c r="F378" s="2">
        <f>IFERROR(__xludf.DUMMYFUNCTION("""COMPUTED_VALUE"""),352718.0)</f>
        <v>352718</v>
      </c>
    </row>
    <row r="379">
      <c r="A379" s="3">
        <f>IFERROR(__xludf.DUMMYFUNCTION("""COMPUTED_VALUE"""),38777.645833333336)</f>
        <v>38777.64583</v>
      </c>
      <c r="B379" s="2">
        <f>IFERROR(__xludf.DUMMYFUNCTION("""COMPUTED_VALUE"""),212.5)</f>
        <v>212.5</v>
      </c>
      <c r="C379" s="2">
        <f>IFERROR(__xludf.DUMMYFUNCTION("""COMPUTED_VALUE"""),218.18)</f>
        <v>218.18</v>
      </c>
      <c r="D379" s="2">
        <f>IFERROR(__xludf.DUMMYFUNCTION("""COMPUTED_VALUE"""),210.91)</f>
        <v>210.91</v>
      </c>
      <c r="E379" s="2">
        <f>IFERROR(__xludf.DUMMYFUNCTION("""COMPUTED_VALUE"""),217.53)</f>
        <v>217.53</v>
      </c>
      <c r="F379" s="2">
        <f>IFERROR(__xludf.DUMMYFUNCTION("""COMPUTED_VALUE"""),563269.0)</f>
        <v>563269</v>
      </c>
    </row>
    <row r="380">
      <c r="A380" s="3">
        <f>IFERROR(__xludf.DUMMYFUNCTION("""COMPUTED_VALUE"""),38778.645833333336)</f>
        <v>38778.64583</v>
      </c>
      <c r="B380" s="2">
        <f>IFERROR(__xludf.DUMMYFUNCTION("""COMPUTED_VALUE"""),218.18)</f>
        <v>218.18</v>
      </c>
      <c r="C380" s="2">
        <f>IFERROR(__xludf.DUMMYFUNCTION("""COMPUTED_VALUE"""),219.25)</f>
        <v>219.25</v>
      </c>
      <c r="D380" s="2">
        <f>IFERROR(__xludf.DUMMYFUNCTION("""COMPUTED_VALUE"""),215.05)</f>
        <v>215.05</v>
      </c>
      <c r="E380" s="2">
        <f>IFERROR(__xludf.DUMMYFUNCTION("""COMPUTED_VALUE"""),217.73)</f>
        <v>217.73</v>
      </c>
      <c r="F380" s="2">
        <f>IFERROR(__xludf.DUMMYFUNCTION("""COMPUTED_VALUE"""),409712.0)</f>
        <v>409712</v>
      </c>
    </row>
    <row r="381">
      <c r="A381" s="3">
        <f>IFERROR(__xludf.DUMMYFUNCTION("""COMPUTED_VALUE"""),38779.645833333336)</f>
        <v>38779.64583</v>
      </c>
      <c r="B381" s="2">
        <f>IFERROR(__xludf.DUMMYFUNCTION("""COMPUTED_VALUE"""),217.75)</f>
        <v>217.75</v>
      </c>
      <c r="C381" s="2">
        <f>IFERROR(__xludf.DUMMYFUNCTION("""COMPUTED_VALUE"""),217.75)</f>
        <v>217.75</v>
      </c>
      <c r="D381" s="2">
        <f>IFERROR(__xludf.DUMMYFUNCTION("""COMPUTED_VALUE"""),212.17)</f>
        <v>212.17</v>
      </c>
      <c r="E381" s="2">
        <f>IFERROR(__xludf.DUMMYFUNCTION("""COMPUTED_VALUE"""),213.22)</f>
        <v>213.22</v>
      </c>
      <c r="F381" s="2">
        <f>IFERROR(__xludf.DUMMYFUNCTION("""COMPUTED_VALUE"""),265555.0)</f>
        <v>265555</v>
      </c>
    </row>
    <row r="382">
      <c r="A382" s="3">
        <f>IFERROR(__xludf.DUMMYFUNCTION("""COMPUTED_VALUE"""),38782.645833333336)</f>
        <v>38782.64583</v>
      </c>
      <c r="B382" s="2">
        <f>IFERROR(__xludf.DUMMYFUNCTION("""COMPUTED_VALUE"""),214.5)</f>
        <v>214.5</v>
      </c>
      <c r="C382" s="2">
        <f>IFERROR(__xludf.DUMMYFUNCTION("""COMPUTED_VALUE"""),219.13)</f>
        <v>219.13</v>
      </c>
      <c r="D382" s="2">
        <f>IFERROR(__xludf.DUMMYFUNCTION("""COMPUTED_VALUE"""),213.75)</f>
        <v>213.75</v>
      </c>
      <c r="E382" s="2">
        <f>IFERROR(__xludf.DUMMYFUNCTION("""COMPUTED_VALUE"""),218.04)</f>
        <v>218.04</v>
      </c>
      <c r="F382" s="2">
        <f>IFERROR(__xludf.DUMMYFUNCTION("""COMPUTED_VALUE"""),453948.0)</f>
        <v>453948</v>
      </c>
    </row>
    <row r="383">
      <c r="A383" s="3">
        <f>IFERROR(__xludf.DUMMYFUNCTION("""COMPUTED_VALUE"""),38783.645833333336)</f>
        <v>38783.64583</v>
      </c>
      <c r="B383" s="2">
        <f>IFERROR(__xludf.DUMMYFUNCTION("""COMPUTED_VALUE"""),217.52)</f>
        <v>217.52</v>
      </c>
      <c r="C383" s="2">
        <f>IFERROR(__xludf.DUMMYFUNCTION("""COMPUTED_VALUE"""),218.75)</f>
        <v>218.75</v>
      </c>
      <c r="D383" s="2">
        <f>IFERROR(__xludf.DUMMYFUNCTION("""COMPUTED_VALUE"""),215.0)</f>
        <v>215</v>
      </c>
      <c r="E383" s="2">
        <f>IFERROR(__xludf.DUMMYFUNCTION("""COMPUTED_VALUE"""),215.59)</f>
        <v>215.59</v>
      </c>
      <c r="F383" s="2">
        <f>IFERROR(__xludf.DUMMYFUNCTION("""COMPUTED_VALUE"""),248146.0)</f>
        <v>248146</v>
      </c>
    </row>
    <row r="384">
      <c r="A384" s="3">
        <f>IFERROR(__xludf.DUMMYFUNCTION("""COMPUTED_VALUE"""),38784.645833333336)</f>
        <v>38784.64583</v>
      </c>
      <c r="B384" s="2">
        <f>IFERROR(__xludf.DUMMYFUNCTION("""COMPUTED_VALUE"""),216.5)</f>
        <v>216.5</v>
      </c>
      <c r="C384" s="2">
        <f>IFERROR(__xludf.DUMMYFUNCTION("""COMPUTED_VALUE"""),217.5)</f>
        <v>217.5</v>
      </c>
      <c r="D384" s="2">
        <f>IFERROR(__xludf.DUMMYFUNCTION("""COMPUTED_VALUE"""),213.13)</f>
        <v>213.13</v>
      </c>
      <c r="E384" s="2">
        <f>IFERROR(__xludf.DUMMYFUNCTION("""COMPUTED_VALUE"""),215.32)</f>
        <v>215.32</v>
      </c>
      <c r="F384" s="2">
        <f>IFERROR(__xludf.DUMMYFUNCTION("""COMPUTED_VALUE"""),476686.0)</f>
        <v>476686</v>
      </c>
    </row>
    <row r="385">
      <c r="A385" s="3">
        <f>IFERROR(__xludf.DUMMYFUNCTION("""COMPUTED_VALUE"""),38785.645833333336)</f>
        <v>38785.64583</v>
      </c>
      <c r="B385" s="2">
        <f>IFERROR(__xludf.DUMMYFUNCTION("""COMPUTED_VALUE"""),215.0)</f>
        <v>215</v>
      </c>
      <c r="C385" s="2">
        <f>IFERROR(__xludf.DUMMYFUNCTION("""COMPUTED_VALUE"""),216.0)</f>
        <v>216</v>
      </c>
      <c r="D385" s="2">
        <f>IFERROR(__xludf.DUMMYFUNCTION("""COMPUTED_VALUE"""),211.25)</f>
        <v>211.25</v>
      </c>
      <c r="E385" s="2">
        <f>IFERROR(__xludf.DUMMYFUNCTION("""COMPUTED_VALUE"""),215.61)</f>
        <v>215.61</v>
      </c>
      <c r="F385" s="2">
        <f>IFERROR(__xludf.DUMMYFUNCTION("""COMPUTED_VALUE"""),582839.0)</f>
        <v>582839</v>
      </c>
    </row>
    <row r="386">
      <c r="A386" s="3">
        <f>IFERROR(__xludf.DUMMYFUNCTION("""COMPUTED_VALUE"""),38786.645833333336)</f>
        <v>38786.64583</v>
      </c>
      <c r="B386" s="2">
        <f>IFERROR(__xludf.DUMMYFUNCTION("""COMPUTED_VALUE"""),211.5)</f>
        <v>211.5</v>
      </c>
      <c r="C386" s="2">
        <f>IFERROR(__xludf.DUMMYFUNCTION("""COMPUTED_VALUE"""),221.88)</f>
        <v>221.88</v>
      </c>
      <c r="D386" s="2">
        <f>IFERROR(__xludf.DUMMYFUNCTION("""COMPUTED_VALUE"""),211.25)</f>
        <v>211.25</v>
      </c>
      <c r="E386" s="2">
        <f>IFERROR(__xludf.DUMMYFUNCTION("""COMPUTED_VALUE"""),220.46)</f>
        <v>220.46</v>
      </c>
      <c r="F386" s="2">
        <f>IFERROR(__xludf.DUMMYFUNCTION("""COMPUTED_VALUE"""),804368.0)</f>
        <v>804368</v>
      </c>
    </row>
    <row r="387">
      <c r="A387" s="3">
        <f>IFERROR(__xludf.DUMMYFUNCTION("""COMPUTED_VALUE"""),38789.645833333336)</f>
        <v>38789.64583</v>
      </c>
      <c r="B387" s="2">
        <f>IFERROR(__xludf.DUMMYFUNCTION("""COMPUTED_VALUE"""),221.73)</f>
        <v>221.73</v>
      </c>
      <c r="C387" s="2">
        <f>IFERROR(__xludf.DUMMYFUNCTION("""COMPUTED_VALUE"""),230.95)</f>
        <v>230.95</v>
      </c>
      <c r="D387" s="2">
        <f>IFERROR(__xludf.DUMMYFUNCTION("""COMPUTED_VALUE"""),221.73)</f>
        <v>221.73</v>
      </c>
      <c r="E387" s="2">
        <f>IFERROR(__xludf.DUMMYFUNCTION("""COMPUTED_VALUE"""),228.58)</f>
        <v>228.58</v>
      </c>
      <c r="F387" s="2">
        <f>IFERROR(__xludf.DUMMYFUNCTION("""COMPUTED_VALUE"""),897319.0)</f>
        <v>897319</v>
      </c>
    </row>
    <row r="388">
      <c r="A388" s="3">
        <f>IFERROR(__xludf.DUMMYFUNCTION("""COMPUTED_VALUE"""),38790.645833333336)</f>
        <v>38790.64583</v>
      </c>
      <c r="B388" s="2">
        <f>IFERROR(__xludf.DUMMYFUNCTION("""COMPUTED_VALUE"""),228.11)</f>
        <v>228.11</v>
      </c>
      <c r="C388" s="2">
        <f>IFERROR(__xludf.DUMMYFUNCTION("""COMPUTED_VALUE"""),228.46)</f>
        <v>228.46</v>
      </c>
      <c r="D388" s="2">
        <f>IFERROR(__xludf.DUMMYFUNCTION("""COMPUTED_VALUE"""),223.89)</f>
        <v>223.89</v>
      </c>
      <c r="E388" s="2">
        <f>IFERROR(__xludf.DUMMYFUNCTION("""COMPUTED_VALUE"""),225.4)</f>
        <v>225.4</v>
      </c>
      <c r="F388" s="2">
        <f>IFERROR(__xludf.DUMMYFUNCTION("""COMPUTED_VALUE"""),434682.0)</f>
        <v>434682</v>
      </c>
    </row>
    <row r="389">
      <c r="A389" s="3">
        <f>IFERROR(__xludf.DUMMYFUNCTION("""COMPUTED_VALUE"""),38792.645833333336)</f>
        <v>38792.64583</v>
      </c>
      <c r="B389" s="2">
        <f>IFERROR(__xludf.DUMMYFUNCTION("""COMPUTED_VALUE"""),227.13)</f>
        <v>227.13</v>
      </c>
      <c r="C389" s="2">
        <f>IFERROR(__xludf.DUMMYFUNCTION("""COMPUTED_VALUE"""),229.99)</f>
        <v>229.99</v>
      </c>
      <c r="D389" s="2">
        <f>IFERROR(__xludf.DUMMYFUNCTION("""COMPUTED_VALUE"""),225.79)</f>
        <v>225.79</v>
      </c>
      <c r="E389" s="2">
        <f>IFERROR(__xludf.DUMMYFUNCTION("""COMPUTED_VALUE"""),229.43)</f>
        <v>229.43</v>
      </c>
      <c r="F389" s="2">
        <f>IFERROR(__xludf.DUMMYFUNCTION("""COMPUTED_VALUE"""),575008.0)</f>
        <v>575008</v>
      </c>
    </row>
    <row r="390">
      <c r="A390" s="3">
        <f>IFERROR(__xludf.DUMMYFUNCTION("""COMPUTED_VALUE"""),38793.645833333336)</f>
        <v>38793.64583</v>
      </c>
      <c r="B390" s="2">
        <f>IFERROR(__xludf.DUMMYFUNCTION("""COMPUTED_VALUE"""),230.0)</f>
        <v>230</v>
      </c>
      <c r="C390" s="2">
        <f>IFERROR(__xludf.DUMMYFUNCTION("""COMPUTED_VALUE"""),235.06)</f>
        <v>235.06</v>
      </c>
      <c r="D390" s="2">
        <f>IFERROR(__xludf.DUMMYFUNCTION("""COMPUTED_VALUE"""),230.0)</f>
        <v>230</v>
      </c>
      <c r="E390" s="2">
        <f>IFERROR(__xludf.DUMMYFUNCTION("""COMPUTED_VALUE"""),232.63)</f>
        <v>232.63</v>
      </c>
      <c r="F390" s="2">
        <f>IFERROR(__xludf.DUMMYFUNCTION("""COMPUTED_VALUE"""),741530.0)</f>
        <v>741530</v>
      </c>
    </row>
    <row r="391">
      <c r="A391" s="3">
        <f>IFERROR(__xludf.DUMMYFUNCTION("""COMPUTED_VALUE"""),38796.645833333336)</f>
        <v>38796.64583</v>
      </c>
      <c r="B391" s="2">
        <f>IFERROR(__xludf.DUMMYFUNCTION("""COMPUTED_VALUE"""),234.25)</f>
        <v>234.25</v>
      </c>
      <c r="C391" s="2">
        <f>IFERROR(__xludf.DUMMYFUNCTION("""COMPUTED_VALUE"""),239.38)</f>
        <v>239.38</v>
      </c>
      <c r="D391" s="2">
        <f>IFERROR(__xludf.DUMMYFUNCTION("""COMPUTED_VALUE"""),233.19)</f>
        <v>233.19</v>
      </c>
      <c r="E391" s="2">
        <f>IFERROR(__xludf.DUMMYFUNCTION("""COMPUTED_VALUE"""),238.5)</f>
        <v>238.5</v>
      </c>
      <c r="F391" s="2">
        <f>IFERROR(__xludf.DUMMYFUNCTION("""COMPUTED_VALUE"""),876609.0)</f>
        <v>876609</v>
      </c>
    </row>
    <row r="392">
      <c r="A392" s="3">
        <f>IFERROR(__xludf.DUMMYFUNCTION("""COMPUTED_VALUE"""),38797.645833333336)</f>
        <v>38797.64583</v>
      </c>
      <c r="B392" s="2">
        <f>IFERROR(__xludf.DUMMYFUNCTION("""COMPUTED_VALUE"""),238.5)</f>
        <v>238.5</v>
      </c>
      <c r="C392" s="2">
        <f>IFERROR(__xludf.DUMMYFUNCTION("""COMPUTED_VALUE"""),241.88)</f>
        <v>241.88</v>
      </c>
      <c r="D392" s="2">
        <f>IFERROR(__xludf.DUMMYFUNCTION("""COMPUTED_VALUE"""),237.33)</f>
        <v>237.33</v>
      </c>
      <c r="E392" s="2">
        <f>IFERROR(__xludf.DUMMYFUNCTION("""COMPUTED_VALUE"""),239.4)</f>
        <v>239.4</v>
      </c>
      <c r="F392" s="2">
        <f>IFERROR(__xludf.DUMMYFUNCTION("""COMPUTED_VALUE"""),662673.0)</f>
        <v>662673</v>
      </c>
    </row>
    <row r="393">
      <c r="A393" s="3">
        <f>IFERROR(__xludf.DUMMYFUNCTION("""COMPUTED_VALUE"""),38798.645833333336)</f>
        <v>38798.64583</v>
      </c>
      <c r="B393" s="2">
        <f>IFERROR(__xludf.DUMMYFUNCTION("""COMPUTED_VALUE"""),240.0)</f>
        <v>240</v>
      </c>
      <c r="C393" s="2">
        <f>IFERROR(__xludf.DUMMYFUNCTION("""COMPUTED_VALUE"""),240.0)</f>
        <v>240</v>
      </c>
      <c r="D393" s="2">
        <f>IFERROR(__xludf.DUMMYFUNCTION("""COMPUTED_VALUE"""),235.15)</f>
        <v>235.15</v>
      </c>
      <c r="E393" s="2">
        <f>IFERROR(__xludf.DUMMYFUNCTION("""COMPUTED_VALUE"""),236.67)</f>
        <v>236.67</v>
      </c>
      <c r="F393" s="2">
        <f>IFERROR(__xludf.DUMMYFUNCTION("""COMPUTED_VALUE"""),640146.0)</f>
        <v>640146</v>
      </c>
    </row>
    <row r="394">
      <c r="A394" s="3">
        <f>IFERROR(__xludf.DUMMYFUNCTION("""COMPUTED_VALUE"""),38799.645833333336)</f>
        <v>38799.64583</v>
      </c>
      <c r="B394" s="2">
        <f>IFERROR(__xludf.DUMMYFUNCTION("""COMPUTED_VALUE"""),237.5)</f>
        <v>237.5</v>
      </c>
      <c r="C394" s="2">
        <f>IFERROR(__xludf.DUMMYFUNCTION("""COMPUTED_VALUE"""),239.88)</f>
        <v>239.88</v>
      </c>
      <c r="D394" s="2">
        <f>IFERROR(__xludf.DUMMYFUNCTION("""COMPUTED_VALUE"""),233.53)</f>
        <v>233.53</v>
      </c>
      <c r="E394" s="2">
        <f>IFERROR(__xludf.DUMMYFUNCTION("""COMPUTED_VALUE"""),234.28)</f>
        <v>234.28</v>
      </c>
      <c r="F394" s="2">
        <f>IFERROR(__xludf.DUMMYFUNCTION("""COMPUTED_VALUE"""),330561.0)</f>
        <v>330561</v>
      </c>
    </row>
    <row r="395">
      <c r="A395" s="3">
        <f>IFERROR(__xludf.DUMMYFUNCTION("""COMPUTED_VALUE"""),38800.645833333336)</f>
        <v>38800.64583</v>
      </c>
      <c r="B395" s="2">
        <f>IFERROR(__xludf.DUMMYFUNCTION("""COMPUTED_VALUE"""),235.88)</f>
        <v>235.88</v>
      </c>
      <c r="C395" s="2">
        <f>IFERROR(__xludf.DUMMYFUNCTION("""COMPUTED_VALUE"""),238.13)</f>
        <v>238.13</v>
      </c>
      <c r="D395" s="2">
        <f>IFERROR(__xludf.DUMMYFUNCTION("""COMPUTED_VALUE"""),233.63)</f>
        <v>233.63</v>
      </c>
      <c r="E395" s="2">
        <f>IFERROR(__xludf.DUMMYFUNCTION("""COMPUTED_VALUE"""),236.43)</f>
        <v>236.43</v>
      </c>
      <c r="F395" s="2">
        <f>IFERROR(__xludf.DUMMYFUNCTION("""COMPUTED_VALUE"""),364673.0)</f>
        <v>364673</v>
      </c>
    </row>
    <row r="396">
      <c r="A396" s="3">
        <f>IFERROR(__xludf.DUMMYFUNCTION("""COMPUTED_VALUE"""),38803.645833333336)</f>
        <v>38803.64583</v>
      </c>
      <c r="B396" s="2">
        <f>IFERROR(__xludf.DUMMYFUNCTION("""COMPUTED_VALUE"""),236.88)</f>
        <v>236.88</v>
      </c>
      <c r="C396" s="2">
        <f>IFERROR(__xludf.DUMMYFUNCTION("""COMPUTED_VALUE"""),238.75)</f>
        <v>238.75</v>
      </c>
      <c r="D396" s="2">
        <f>IFERROR(__xludf.DUMMYFUNCTION("""COMPUTED_VALUE"""),235.7)</f>
        <v>235.7</v>
      </c>
      <c r="E396" s="2">
        <f>IFERROR(__xludf.DUMMYFUNCTION("""COMPUTED_VALUE"""),236.37)</f>
        <v>236.37</v>
      </c>
      <c r="F396" s="2">
        <f>IFERROR(__xludf.DUMMYFUNCTION("""COMPUTED_VALUE"""),366054.0)</f>
        <v>366054</v>
      </c>
    </row>
    <row r="397">
      <c r="A397" s="3">
        <f>IFERROR(__xludf.DUMMYFUNCTION("""COMPUTED_VALUE"""),38804.645833333336)</f>
        <v>38804.64583</v>
      </c>
      <c r="B397" s="2">
        <f>IFERROR(__xludf.DUMMYFUNCTION("""COMPUTED_VALUE"""),237.5)</f>
        <v>237.5</v>
      </c>
      <c r="C397" s="2">
        <f>IFERROR(__xludf.DUMMYFUNCTION("""COMPUTED_VALUE"""),238.88)</f>
        <v>238.88</v>
      </c>
      <c r="D397" s="2">
        <f>IFERROR(__xludf.DUMMYFUNCTION("""COMPUTED_VALUE"""),235.13)</f>
        <v>235.13</v>
      </c>
      <c r="E397" s="2">
        <f>IFERROR(__xludf.DUMMYFUNCTION("""COMPUTED_VALUE"""),235.95)</f>
        <v>235.95</v>
      </c>
      <c r="F397" s="2">
        <f>IFERROR(__xludf.DUMMYFUNCTION("""COMPUTED_VALUE"""),468909.0)</f>
        <v>468909</v>
      </c>
    </row>
    <row r="398">
      <c r="A398" s="3">
        <f>IFERROR(__xludf.DUMMYFUNCTION("""COMPUTED_VALUE"""),38805.645833333336)</f>
        <v>38805.64583</v>
      </c>
      <c r="B398" s="2">
        <f>IFERROR(__xludf.DUMMYFUNCTION("""COMPUTED_VALUE"""),234.88)</f>
        <v>234.88</v>
      </c>
      <c r="C398" s="2">
        <f>IFERROR(__xludf.DUMMYFUNCTION("""COMPUTED_VALUE"""),237.86)</f>
        <v>237.86</v>
      </c>
      <c r="D398" s="2">
        <f>IFERROR(__xludf.DUMMYFUNCTION("""COMPUTED_VALUE"""),233.38)</f>
        <v>233.38</v>
      </c>
      <c r="E398" s="2">
        <f>IFERROR(__xludf.DUMMYFUNCTION("""COMPUTED_VALUE"""),237.27)</f>
        <v>237.27</v>
      </c>
      <c r="F398" s="2">
        <f>IFERROR(__xludf.DUMMYFUNCTION("""COMPUTED_VALUE"""),535537.0)</f>
        <v>535537</v>
      </c>
    </row>
    <row r="399">
      <c r="A399" s="3">
        <f>IFERROR(__xludf.DUMMYFUNCTION("""COMPUTED_VALUE"""),38806.645833333336)</f>
        <v>38806.64583</v>
      </c>
      <c r="B399" s="2">
        <f>IFERROR(__xludf.DUMMYFUNCTION("""COMPUTED_VALUE"""),237.86)</f>
        <v>237.86</v>
      </c>
      <c r="C399" s="2">
        <f>IFERROR(__xludf.DUMMYFUNCTION("""COMPUTED_VALUE"""),251.25)</f>
        <v>251.25</v>
      </c>
      <c r="D399" s="2">
        <f>IFERROR(__xludf.DUMMYFUNCTION("""COMPUTED_VALUE"""),237.86)</f>
        <v>237.86</v>
      </c>
      <c r="E399" s="2">
        <f>IFERROR(__xludf.DUMMYFUNCTION("""COMPUTED_VALUE"""),246.01)</f>
        <v>246.01</v>
      </c>
      <c r="F399" s="2">
        <f>IFERROR(__xludf.DUMMYFUNCTION("""COMPUTED_VALUE"""),723021.0)</f>
        <v>723021</v>
      </c>
    </row>
    <row r="400">
      <c r="A400" s="3">
        <f>IFERROR(__xludf.DUMMYFUNCTION("""COMPUTED_VALUE"""),38807.645833333336)</f>
        <v>38807.64583</v>
      </c>
      <c r="B400" s="2">
        <f>IFERROR(__xludf.DUMMYFUNCTION("""COMPUTED_VALUE"""),244.74)</f>
        <v>244.74</v>
      </c>
      <c r="C400" s="2">
        <f>IFERROR(__xludf.DUMMYFUNCTION("""COMPUTED_VALUE"""),244.74)</f>
        <v>244.74</v>
      </c>
      <c r="D400" s="2">
        <f>IFERROR(__xludf.DUMMYFUNCTION("""COMPUTED_VALUE"""),238.75)</f>
        <v>238.75</v>
      </c>
      <c r="E400" s="2">
        <f>IFERROR(__xludf.DUMMYFUNCTION("""COMPUTED_VALUE"""),239.44)</f>
        <v>239.44</v>
      </c>
      <c r="F400" s="2">
        <f>IFERROR(__xludf.DUMMYFUNCTION("""COMPUTED_VALUE"""),365021.0)</f>
        <v>365021</v>
      </c>
    </row>
    <row r="401">
      <c r="A401" s="3">
        <f>IFERROR(__xludf.DUMMYFUNCTION("""COMPUTED_VALUE"""),38810.645833333336)</f>
        <v>38810.64583</v>
      </c>
      <c r="B401" s="2">
        <f>IFERROR(__xludf.DUMMYFUNCTION("""COMPUTED_VALUE"""),240.88)</f>
        <v>240.88</v>
      </c>
      <c r="C401" s="2">
        <f>IFERROR(__xludf.DUMMYFUNCTION("""COMPUTED_VALUE"""),244.5)</f>
        <v>244.5</v>
      </c>
      <c r="D401" s="2">
        <f>IFERROR(__xludf.DUMMYFUNCTION("""COMPUTED_VALUE"""),240.0)</f>
        <v>240</v>
      </c>
      <c r="E401" s="2">
        <f>IFERROR(__xludf.DUMMYFUNCTION("""COMPUTED_VALUE"""),243.85)</f>
        <v>243.85</v>
      </c>
      <c r="F401" s="2">
        <f>IFERROR(__xludf.DUMMYFUNCTION("""COMPUTED_VALUE"""),388209.0)</f>
        <v>388209</v>
      </c>
    </row>
    <row r="402">
      <c r="A402" s="3">
        <f>IFERROR(__xludf.DUMMYFUNCTION("""COMPUTED_VALUE"""),38811.645833333336)</f>
        <v>38811.64583</v>
      </c>
      <c r="B402" s="2">
        <f>IFERROR(__xludf.DUMMYFUNCTION("""COMPUTED_VALUE"""),243.8)</f>
        <v>243.8</v>
      </c>
      <c r="C402" s="2">
        <f>IFERROR(__xludf.DUMMYFUNCTION("""COMPUTED_VALUE"""),245.0)</f>
        <v>245</v>
      </c>
      <c r="D402" s="2">
        <f>IFERROR(__xludf.DUMMYFUNCTION("""COMPUTED_VALUE"""),242.51)</f>
        <v>242.51</v>
      </c>
      <c r="E402" s="2">
        <f>IFERROR(__xludf.DUMMYFUNCTION("""COMPUTED_VALUE"""),243.57)</f>
        <v>243.57</v>
      </c>
      <c r="F402" s="2">
        <f>IFERROR(__xludf.DUMMYFUNCTION("""COMPUTED_VALUE"""),371451.0)</f>
        <v>371451</v>
      </c>
    </row>
    <row r="403">
      <c r="A403" s="3">
        <f>IFERROR(__xludf.DUMMYFUNCTION("""COMPUTED_VALUE"""),38812.645833333336)</f>
        <v>38812.64583</v>
      </c>
      <c r="B403" s="2">
        <f>IFERROR(__xludf.DUMMYFUNCTION("""COMPUTED_VALUE"""),243.76)</f>
        <v>243.76</v>
      </c>
      <c r="C403" s="2">
        <f>IFERROR(__xludf.DUMMYFUNCTION("""COMPUTED_VALUE"""),245.65)</f>
        <v>245.65</v>
      </c>
      <c r="D403" s="2">
        <f>IFERROR(__xludf.DUMMYFUNCTION("""COMPUTED_VALUE"""),240.0)</f>
        <v>240</v>
      </c>
      <c r="E403" s="2">
        <f>IFERROR(__xludf.DUMMYFUNCTION("""COMPUTED_VALUE"""),241.51)</f>
        <v>241.51</v>
      </c>
      <c r="F403" s="2">
        <f>IFERROR(__xludf.DUMMYFUNCTION("""COMPUTED_VALUE"""),347116.0)</f>
        <v>347116</v>
      </c>
    </row>
    <row r="404">
      <c r="A404" s="3">
        <f>IFERROR(__xludf.DUMMYFUNCTION("""COMPUTED_VALUE"""),38814.645833333336)</f>
        <v>38814.64583</v>
      </c>
      <c r="B404" s="2">
        <f>IFERROR(__xludf.DUMMYFUNCTION("""COMPUTED_VALUE"""),243.5)</f>
        <v>243.5</v>
      </c>
      <c r="C404" s="2">
        <f>IFERROR(__xludf.DUMMYFUNCTION("""COMPUTED_VALUE"""),249.63)</f>
        <v>249.63</v>
      </c>
      <c r="D404" s="2">
        <f>IFERROR(__xludf.DUMMYFUNCTION("""COMPUTED_VALUE"""),234.38)</f>
        <v>234.38</v>
      </c>
      <c r="E404" s="2">
        <f>IFERROR(__xludf.DUMMYFUNCTION("""COMPUTED_VALUE"""),236.16)</f>
        <v>236.16</v>
      </c>
      <c r="F404" s="2">
        <f>IFERROR(__xludf.DUMMYFUNCTION("""COMPUTED_VALUE"""),923195.0)</f>
        <v>923195</v>
      </c>
    </row>
    <row r="405">
      <c r="A405" s="3">
        <f>IFERROR(__xludf.DUMMYFUNCTION("""COMPUTED_VALUE"""),38817.645833333336)</f>
        <v>38817.64583</v>
      </c>
      <c r="B405" s="2">
        <f>IFERROR(__xludf.DUMMYFUNCTION("""COMPUTED_VALUE"""),237.5)</f>
        <v>237.5</v>
      </c>
      <c r="C405" s="2">
        <f>IFERROR(__xludf.DUMMYFUNCTION("""COMPUTED_VALUE"""),239.99)</f>
        <v>239.99</v>
      </c>
      <c r="D405" s="2">
        <f>IFERROR(__xludf.DUMMYFUNCTION("""COMPUTED_VALUE"""),235.0)</f>
        <v>235</v>
      </c>
      <c r="E405" s="2">
        <f>IFERROR(__xludf.DUMMYFUNCTION("""COMPUTED_VALUE"""),236.76)</f>
        <v>236.76</v>
      </c>
      <c r="F405" s="2">
        <f>IFERROR(__xludf.DUMMYFUNCTION("""COMPUTED_VALUE"""),879305.0)</f>
        <v>879305</v>
      </c>
    </row>
    <row r="406">
      <c r="A406" s="3">
        <f>IFERROR(__xludf.DUMMYFUNCTION("""COMPUTED_VALUE"""),38819.645833333336)</f>
        <v>38819.64583</v>
      </c>
      <c r="B406" s="2">
        <f>IFERROR(__xludf.DUMMYFUNCTION("""COMPUTED_VALUE"""),237.28)</f>
        <v>237.28</v>
      </c>
      <c r="C406" s="2">
        <f>IFERROR(__xludf.DUMMYFUNCTION("""COMPUTED_VALUE"""),237.5)</f>
        <v>237.5</v>
      </c>
      <c r="D406" s="2">
        <f>IFERROR(__xludf.DUMMYFUNCTION("""COMPUTED_VALUE"""),220.38)</f>
        <v>220.38</v>
      </c>
      <c r="E406" s="2">
        <f>IFERROR(__xludf.DUMMYFUNCTION("""COMPUTED_VALUE"""),222.6)</f>
        <v>222.6</v>
      </c>
      <c r="F406" s="2">
        <f>IFERROR(__xludf.DUMMYFUNCTION("""COMPUTED_VALUE"""),1644672.0)</f>
        <v>1644672</v>
      </c>
    </row>
    <row r="407">
      <c r="A407" s="3">
        <f>IFERROR(__xludf.DUMMYFUNCTION("""COMPUTED_VALUE"""),38820.645833333336)</f>
        <v>38820.64583</v>
      </c>
      <c r="B407" s="2">
        <f>IFERROR(__xludf.DUMMYFUNCTION("""COMPUTED_VALUE"""),225.63)</f>
        <v>225.63</v>
      </c>
      <c r="C407" s="2">
        <f>IFERROR(__xludf.DUMMYFUNCTION("""COMPUTED_VALUE"""),228.71)</f>
        <v>228.71</v>
      </c>
      <c r="D407" s="2">
        <f>IFERROR(__xludf.DUMMYFUNCTION("""COMPUTED_VALUE"""),221.25)</f>
        <v>221.25</v>
      </c>
      <c r="E407" s="2">
        <f>IFERROR(__xludf.DUMMYFUNCTION("""COMPUTED_VALUE"""),224.65)</f>
        <v>224.65</v>
      </c>
      <c r="F407" s="2">
        <f>IFERROR(__xludf.DUMMYFUNCTION("""COMPUTED_VALUE"""),1075209.0)</f>
        <v>1075209</v>
      </c>
    </row>
    <row r="408">
      <c r="A408" s="3">
        <f>IFERROR(__xludf.DUMMYFUNCTION("""COMPUTED_VALUE"""),38824.645833333336)</f>
        <v>38824.64583</v>
      </c>
      <c r="B408" s="2">
        <f>IFERROR(__xludf.DUMMYFUNCTION("""COMPUTED_VALUE"""),228.13)</f>
        <v>228.13</v>
      </c>
      <c r="C408" s="2">
        <f>IFERROR(__xludf.DUMMYFUNCTION("""COMPUTED_VALUE"""),238.88)</f>
        <v>238.88</v>
      </c>
      <c r="D408" s="2">
        <f>IFERROR(__xludf.DUMMYFUNCTION("""COMPUTED_VALUE"""),226.91)</f>
        <v>226.91</v>
      </c>
      <c r="E408" s="2">
        <f>IFERROR(__xludf.DUMMYFUNCTION("""COMPUTED_VALUE"""),238.32)</f>
        <v>238.32</v>
      </c>
      <c r="F408" s="2">
        <f>IFERROR(__xludf.DUMMYFUNCTION("""COMPUTED_VALUE"""),1211094.0)</f>
        <v>1211094</v>
      </c>
    </row>
    <row r="409">
      <c r="A409" s="3">
        <f>IFERROR(__xludf.DUMMYFUNCTION("""COMPUTED_VALUE"""),38825.645833333336)</f>
        <v>38825.64583</v>
      </c>
      <c r="B409" s="2">
        <f>IFERROR(__xludf.DUMMYFUNCTION("""COMPUTED_VALUE"""),247.25)</f>
        <v>247.25</v>
      </c>
      <c r="C409" s="2">
        <f>IFERROR(__xludf.DUMMYFUNCTION("""COMPUTED_VALUE"""),261.0)</f>
        <v>261</v>
      </c>
      <c r="D409" s="2">
        <f>IFERROR(__xludf.DUMMYFUNCTION("""COMPUTED_VALUE"""),247.25)</f>
        <v>247.25</v>
      </c>
      <c r="E409" s="2">
        <f>IFERROR(__xludf.DUMMYFUNCTION("""COMPUTED_VALUE"""),251.19)</f>
        <v>251.19</v>
      </c>
      <c r="F409" s="2">
        <f>IFERROR(__xludf.DUMMYFUNCTION("""COMPUTED_VALUE"""),1847311.0)</f>
        <v>1847311</v>
      </c>
    </row>
    <row r="410">
      <c r="A410" s="3">
        <f>IFERROR(__xludf.DUMMYFUNCTION("""COMPUTED_VALUE"""),38826.645833333336)</f>
        <v>38826.64583</v>
      </c>
      <c r="B410" s="2">
        <f>IFERROR(__xludf.DUMMYFUNCTION("""COMPUTED_VALUE"""),253.63)</f>
        <v>253.63</v>
      </c>
      <c r="C410" s="2">
        <f>IFERROR(__xludf.DUMMYFUNCTION("""COMPUTED_VALUE"""),256.25)</f>
        <v>256.25</v>
      </c>
      <c r="D410" s="2">
        <f>IFERROR(__xludf.DUMMYFUNCTION("""COMPUTED_VALUE"""),249.75)</f>
        <v>249.75</v>
      </c>
      <c r="E410" s="2">
        <f>IFERROR(__xludf.DUMMYFUNCTION("""COMPUTED_VALUE"""),251.6)</f>
        <v>251.6</v>
      </c>
      <c r="F410" s="2">
        <f>IFERROR(__xludf.DUMMYFUNCTION("""COMPUTED_VALUE"""),1225414.0)</f>
        <v>1225414</v>
      </c>
    </row>
    <row r="411">
      <c r="A411" s="3">
        <f>IFERROR(__xludf.DUMMYFUNCTION("""COMPUTED_VALUE"""),38827.645833333336)</f>
        <v>38827.64583</v>
      </c>
      <c r="B411" s="2">
        <f>IFERROR(__xludf.DUMMYFUNCTION("""COMPUTED_VALUE"""),252.49)</f>
        <v>252.49</v>
      </c>
      <c r="C411" s="2">
        <f>IFERROR(__xludf.DUMMYFUNCTION("""COMPUTED_VALUE"""),253.12)</f>
        <v>253.12</v>
      </c>
      <c r="D411" s="2">
        <f>IFERROR(__xludf.DUMMYFUNCTION("""COMPUTED_VALUE"""),246.88)</f>
        <v>246.88</v>
      </c>
      <c r="E411" s="2">
        <f>IFERROR(__xludf.DUMMYFUNCTION("""COMPUTED_VALUE"""),248.74)</f>
        <v>248.74</v>
      </c>
      <c r="F411" s="2">
        <f>IFERROR(__xludf.DUMMYFUNCTION("""COMPUTED_VALUE"""),787118.0)</f>
        <v>787118</v>
      </c>
    </row>
    <row r="412">
      <c r="A412" s="3">
        <f>IFERROR(__xludf.DUMMYFUNCTION("""COMPUTED_VALUE"""),38828.645833333336)</f>
        <v>38828.64583</v>
      </c>
      <c r="B412" s="2">
        <f>IFERROR(__xludf.DUMMYFUNCTION("""COMPUTED_VALUE"""),250.0)</f>
        <v>250</v>
      </c>
      <c r="C412" s="2">
        <f>IFERROR(__xludf.DUMMYFUNCTION("""COMPUTED_VALUE"""),253.75)</f>
        <v>253.75</v>
      </c>
      <c r="D412" s="2">
        <f>IFERROR(__xludf.DUMMYFUNCTION("""COMPUTED_VALUE"""),245.63)</f>
        <v>245.63</v>
      </c>
      <c r="E412" s="2">
        <f>IFERROR(__xludf.DUMMYFUNCTION("""COMPUTED_VALUE"""),249.88)</f>
        <v>249.88</v>
      </c>
      <c r="F412" s="2">
        <f>IFERROR(__xludf.DUMMYFUNCTION("""COMPUTED_VALUE"""),621625.0)</f>
        <v>621625</v>
      </c>
    </row>
    <row r="413">
      <c r="A413" s="3">
        <f>IFERROR(__xludf.DUMMYFUNCTION("""COMPUTED_VALUE"""),38831.645833333336)</f>
        <v>38831.64583</v>
      </c>
      <c r="B413" s="2">
        <f>IFERROR(__xludf.DUMMYFUNCTION("""COMPUTED_VALUE"""),249.75)</f>
        <v>249.75</v>
      </c>
      <c r="C413" s="2">
        <f>IFERROR(__xludf.DUMMYFUNCTION("""COMPUTED_VALUE"""),249.96)</f>
        <v>249.96</v>
      </c>
      <c r="D413" s="2">
        <f>IFERROR(__xludf.DUMMYFUNCTION("""COMPUTED_VALUE"""),245.63)</f>
        <v>245.63</v>
      </c>
      <c r="E413" s="2">
        <f>IFERROR(__xludf.DUMMYFUNCTION("""COMPUTED_VALUE"""),247.41)</f>
        <v>247.41</v>
      </c>
      <c r="F413" s="2">
        <f>IFERROR(__xludf.DUMMYFUNCTION("""COMPUTED_VALUE"""),654351.0)</f>
        <v>654351</v>
      </c>
    </row>
    <row r="414">
      <c r="A414" s="3">
        <f>IFERROR(__xludf.DUMMYFUNCTION("""COMPUTED_VALUE"""),38832.645833333336)</f>
        <v>38832.64583</v>
      </c>
      <c r="B414" s="2">
        <f>IFERROR(__xludf.DUMMYFUNCTION("""COMPUTED_VALUE"""),247.49)</f>
        <v>247.49</v>
      </c>
      <c r="C414" s="2">
        <f>IFERROR(__xludf.DUMMYFUNCTION("""COMPUTED_VALUE"""),247.49)</f>
        <v>247.49</v>
      </c>
      <c r="D414" s="2">
        <f>IFERROR(__xludf.DUMMYFUNCTION("""COMPUTED_VALUE"""),237.38)</f>
        <v>237.38</v>
      </c>
      <c r="E414" s="2">
        <f>IFERROR(__xludf.DUMMYFUNCTION("""COMPUTED_VALUE"""),240.87)</f>
        <v>240.87</v>
      </c>
      <c r="F414" s="2">
        <f>IFERROR(__xludf.DUMMYFUNCTION("""COMPUTED_VALUE"""),712776.0)</f>
        <v>712776</v>
      </c>
    </row>
    <row r="415">
      <c r="A415" s="3">
        <f>IFERROR(__xludf.DUMMYFUNCTION("""COMPUTED_VALUE"""),38833.645833333336)</f>
        <v>38833.64583</v>
      </c>
      <c r="B415" s="2">
        <f>IFERROR(__xludf.DUMMYFUNCTION("""COMPUTED_VALUE"""),241.0)</f>
        <v>241</v>
      </c>
      <c r="C415" s="2">
        <f>IFERROR(__xludf.DUMMYFUNCTION("""COMPUTED_VALUE"""),244.5)</f>
        <v>244.5</v>
      </c>
      <c r="D415" s="2">
        <f>IFERROR(__xludf.DUMMYFUNCTION("""COMPUTED_VALUE"""),238.75)</f>
        <v>238.75</v>
      </c>
      <c r="E415" s="2">
        <f>IFERROR(__xludf.DUMMYFUNCTION("""COMPUTED_VALUE"""),242.8)</f>
        <v>242.8</v>
      </c>
      <c r="F415" s="2">
        <f>IFERROR(__xludf.DUMMYFUNCTION("""COMPUTED_VALUE"""),883892.0)</f>
        <v>883892</v>
      </c>
    </row>
    <row r="416">
      <c r="A416" s="3">
        <f>IFERROR(__xludf.DUMMYFUNCTION("""COMPUTED_VALUE"""),38834.645833333336)</f>
        <v>38834.64583</v>
      </c>
      <c r="B416" s="2">
        <f>IFERROR(__xludf.DUMMYFUNCTION("""COMPUTED_VALUE"""),242.8)</f>
        <v>242.8</v>
      </c>
      <c r="C416" s="2">
        <f>IFERROR(__xludf.DUMMYFUNCTION("""COMPUTED_VALUE"""),250.38)</f>
        <v>250.38</v>
      </c>
      <c r="D416" s="2">
        <f>IFERROR(__xludf.DUMMYFUNCTION("""COMPUTED_VALUE"""),241.25)</f>
        <v>241.25</v>
      </c>
      <c r="E416" s="2">
        <f>IFERROR(__xludf.DUMMYFUNCTION("""COMPUTED_VALUE"""),243.23)</f>
        <v>243.23</v>
      </c>
      <c r="F416" s="2">
        <f>IFERROR(__xludf.DUMMYFUNCTION("""COMPUTED_VALUE"""),895606.0)</f>
        <v>895606</v>
      </c>
    </row>
    <row r="417">
      <c r="A417" s="3">
        <f>IFERROR(__xludf.DUMMYFUNCTION("""COMPUTED_VALUE"""),38835.645833333336)</f>
        <v>38835.64583</v>
      </c>
      <c r="B417" s="2">
        <f>IFERROR(__xludf.DUMMYFUNCTION("""COMPUTED_VALUE"""),238.38)</f>
        <v>238.38</v>
      </c>
      <c r="C417" s="2">
        <f>IFERROR(__xludf.DUMMYFUNCTION("""COMPUTED_VALUE"""),248.88)</f>
        <v>248.88</v>
      </c>
      <c r="D417" s="2">
        <f>IFERROR(__xludf.DUMMYFUNCTION("""COMPUTED_VALUE"""),228.8)</f>
        <v>228.8</v>
      </c>
      <c r="E417" s="2">
        <f>IFERROR(__xludf.DUMMYFUNCTION("""COMPUTED_VALUE"""),247.26)</f>
        <v>247.26</v>
      </c>
      <c r="F417" s="2">
        <f>IFERROR(__xludf.DUMMYFUNCTION("""COMPUTED_VALUE"""),661545.0)</f>
        <v>661545</v>
      </c>
    </row>
    <row r="418">
      <c r="A418" s="3">
        <f>IFERROR(__xludf.DUMMYFUNCTION("""COMPUTED_VALUE"""),38839.645833333336)</f>
        <v>38839.64583</v>
      </c>
      <c r="B418" s="2">
        <f>IFERROR(__xludf.DUMMYFUNCTION("""COMPUTED_VALUE"""),248.0)</f>
        <v>248</v>
      </c>
      <c r="C418" s="2">
        <f>IFERROR(__xludf.DUMMYFUNCTION("""COMPUTED_VALUE"""),253.05)</f>
        <v>253.05</v>
      </c>
      <c r="D418" s="2">
        <f>IFERROR(__xludf.DUMMYFUNCTION("""COMPUTED_VALUE"""),247.5)</f>
        <v>247.5</v>
      </c>
      <c r="E418" s="2">
        <f>IFERROR(__xludf.DUMMYFUNCTION("""COMPUTED_VALUE"""),251.65)</f>
        <v>251.65</v>
      </c>
      <c r="F418" s="2">
        <f>IFERROR(__xludf.DUMMYFUNCTION("""COMPUTED_VALUE"""),779910.0)</f>
        <v>779910</v>
      </c>
    </row>
    <row r="419">
      <c r="A419" s="3">
        <f>IFERROR(__xludf.DUMMYFUNCTION("""COMPUTED_VALUE"""),38840.645833333336)</f>
        <v>38840.64583</v>
      </c>
      <c r="B419" s="2">
        <f>IFERROR(__xludf.DUMMYFUNCTION("""COMPUTED_VALUE"""),253.0)</f>
        <v>253</v>
      </c>
      <c r="C419" s="2">
        <f>IFERROR(__xludf.DUMMYFUNCTION("""COMPUTED_VALUE"""),254.99)</f>
        <v>254.99</v>
      </c>
      <c r="D419" s="2">
        <f>IFERROR(__xludf.DUMMYFUNCTION("""COMPUTED_VALUE"""),251.88)</f>
        <v>251.88</v>
      </c>
      <c r="E419" s="2">
        <f>IFERROR(__xludf.DUMMYFUNCTION("""COMPUTED_VALUE"""),253.95)</f>
        <v>253.95</v>
      </c>
      <c r="F419" s="2">
        <f>IFERROR(__xludf.DUMMYFUNCTION("""COMPUTED_VALUE"""),393520.0)</f>
        <v>393520</v>
      </c>
    </row>
    <row r="420">
      <c r="A420" s="3">
        <f>IFERROR(__xludf.DUMMYFUNCTION("""COMPUTED_VALUE"""),38841.645833333336)</f>
        <v>38841.64583</v>
      </c>
      <c r="B420" s="2">
        <f>IFERROR(__xludf.DUMMYFUNCTION("""COMPUTED_VALUE"""),253.5)</f>
        <v>253.5</v>
      </c>
      <c r="C420" s="2">
        <f>IFERROR(__xludf.DUMMYFUNCTION("""COMPUTED_VALUE"""),257.24)</f>
        <v>257.24</v>
      </c>
      <c r="D420" s="2">
        <f>IFERROR(__xludf.DUMMYFUNCTION("""COMPUTED_VALUE"""),252.66)</f>
        <v>252.66</v>
      </c>
      <c r="E420" s="2">
        <f>IFERROR(__xludf.DUMMYFUNCTION("""COMPUTED_VALUE"""),255.46)</f>
        <v>255.46</v>
      </c>
      <c r="F420" s="2">
        <f>IFERROR(__xludf.DUMMYFUNCTION("""COMPUTED_VALUE"""),491228.0)</f>
        <v>491228</v>
      </c>
    </row>
    <row r="421">
      <c r="A421" s="3">
        <f>IFERROR(__xludf.DUMMYFUNCTION("""COMPUTED_VALUE"""),38842.645833333336)</f>
        <v>38842.64583</v>
      </c>
      <c r="B421" s="2">
        <f>IFERROR(__xludf.DUMMYFUNCTION("""COMPUTED_VALUE"""),256.88)</f>
        <v>256.88</v>
      </c>
      <c r="C421" s="2">
        <f>IFERROR(__xludf.DUMMYFUNCTION("""COMPUTED_VALUE"""),256.88)</f>
        <v>256.88</v>
      </c>
      <c r="D421" s="2">
        <f>IFERROR(__xludf.DUMMYFUNCTION("""COMPUTED_VALUE"""),249.38)</f>
        <v>249.38</v>
      </c>
      <c r="E421" s="2">
        <f>IFERROR(__xludf.DUMMYFUNCTION("""COMPUTED_VALUE"""),250.83)</f>
        <v>250.83</v>
      </c>
      <c r="F421" s="2">
        <f>IFERROR(__xludf.DUMMYFUNCTION("""COMPUTED_VALUE"""),338815.0)</f>
        <v>338815</v>
      </c>
    </row>
    <row r="422">
      <c r="A422" s="3">
        <f>IFERROR(__xludf.DUMMYFUNCTION("""COMPUTED_VALUE"""),38845.645833333336)</f>
        <v>38845.64583</v>
      </c>
      <c r="B422" s="2">
        <f>IFERROR(__xludf.DUMMYFUNCTION("""COMPUTED_VALUE"""),252.63)</f>
        <v>252.63</v>
      </c>
      <c r="C422" s="2">
        <f>IFERROR(__xludf.DUMMYFUNCTION("""COMPUTED_VALUE"""),261.5)</f>
        <v>261.5</v>
      </c>
      <c r="D422" s="2">
        <f>IFERROR(__xludf.DUMMYFUNCTION("""COMPUTED_VALUE"""),251.25)</f>
        <v>251.25</v>
      </c>
      <c r="E422" s="2">
        <f>IFERROR(__xludf.DUMMYFUNCTION("""COMPUTED_VALUE"""),252.43)</f>
        <v>252.43</v>
      </c>
      <c r="F422" s="2">
        <f>IFERROR(__xludf.DUMMYFUNCTION("""COMPUTED_VALUE"""),185589.0)</f>
        <v>185589</v>
      </c>
    </row>
    <row r="423">
      <c r="A423" s="3">
        <f>IFERROR(__xludf.DUMMYFUNCTION("""COMPUTED_VALUE"""),38846.645833333336)</f>
        <v>38846.64583</v>
      </c>
      <c r="B423" s="2">
        <f>IFERROR(__xludf.DUMMYFUNCTION("""COMPUTED_VALUE"""),254.0)</f>
        <v>254</v>
      </c>
      <c r="C423" s="2">
        <f>IFERROR(__xludf.DUMMYFUNCTION("""COMPUTED_VALUE"""),255.55)</f>
        <v>255.55</v>
      </c>
      <c r="D423" s="2">
        <f>IFERROR(__xludf.DUMMYFUNCTION("""COMPUTED_VALUE"""),250.63)</f>
        <v>250.63</v>
      </c>
      <c r="E423" s="2">
        <f>IFERROR(__xludf.DUMMYFUNCTION("""COMPUTED_VALUE"""),253.11)</f>
        <v>253.11</v>
      </c>
      <c r="F423" s="2">
        <f>IFERROR(__xludf.DUMMYFUNCTION("""COMPUTED_VALUE"""),225049.0)</f>
        <v>225049</v>
      </c>
    </row>
    <row r="424">
      <c r="A424" s="3">
        <f>IFERROR(__xludf.DUMMYFUNCTION("""COMPUTED_VALUE"""),38847.645833333336)</f>
        <v>38847.64583</v>
      </c>
      <c r="B424" s="2">
        <f>IFERROR(__xludf.DUMMYFUNCTION("""COMPUTED_VALUE"""),255.55)</f>
        <v>255.55</v>
      </c>
      <c r="C424" s="2">
        <f>IFERROR(__xludf.DUMMYFUNCTION("""COMPUTED_VALUE"""),255.88)</f>
        <v>255.88</v>
      </c>
      <c r="D424" s="2">
        <f>IFERROR(__xludf.DUMMYFUNCTION("""COMPUTED_VALUE"""),250.29)</f>
        <v>250.29</v>
      </c>
      <c r="E424" s="2">
        <f>IFERROR(__xludf.DUMMYFUNCTION("""COMPUTED_VALUE"""),252.71)</f>
        <v>252.71</v>
      </c>
      <c r="F424" s="2">
        <f>IFERROR(__xludf.DUMMYFUNCTION("""COMPUTED_VALUE"""),247274.0)</f>
        <v>247274</v>
      </c>
    </row>
    <row r="425">
      <c r="A425" s="3">
        <f>IFERROR(__xludf.DUMMYFUNCTION("""COMPUTED_VALUE"""),38848.645833333336)</f>
        <v>38848.64583</v>
      </c>
      <c r="B425" s="2">
        <f>IFERROR(__xludf.DUMMYFUNCTION("""COMPUTED_VALUE"""),253.66)</f>
        <v>253.66</v>
      </c>
      <c r="C425" s="2">
        <f>IFERROR(__xludf.DUMMYFUNCTION("""COMPUTED_VALUE"""),253.66)</f>
        <v>253.66</v>
      </c>
      <c r="D425" s="2">
        <f>IFERROR(__xludf.DUMMYFUNCTION("""COMPUTED_VALUE"""),250.68)</f>
        <v>250.68</v>
      </c>
      <c r="E425" s="2">
        <f>IFERROR(__xludf.DUMMYFUNCTION("""COMPUTED_VALUE"""),252.34)</f>
        <v>252.34</v>
      </c>
      <c r="F425" s="2">
        <f>IFERROR(__xludf.DUMMYFUNCTION("""COMPUTED_VALUE"""),245503.0)</f>
        <v>245503</v>
      </c>
    </row>
    <row r="426">
      <c r="A426" s="3">
        <f>IFERROR(__xludf.DUMMYFUNCTION("""COMPUTED_VALUE"""),38849.645833333336)</f>
        <v>38849.64583</v>
      </c>
      <c r="B426" s="2">
        <f>IFERROR(__xludf.DUMMYFUNCTION("""COMPUTED_VALUE"""),251.38)</f>
        <v>251.38</v>
      </c>
      <c r="C426" s="2">
        <f>IFERROR(__xludf.DUMMYFUNCTION("""COMPUTED_VALUE"""),253.11)</f>
        <v>253.11</v>
      </c>
      <c r="D426" s="2">
        <f>IFERROR(__xludf.DUMMYFUNCTION("""COMPUTED_VALUE"""),246.29)</f>
        <v>246.29</v>
      </c>
      <c r="E426" s="2">
        <f>IFERROR(__xludf.DUMMYFUNCTION("""COMPUTED_VALUE"""),249.52)</f>
        <v>249.52</v>
      </c>
      <c r="F426" s="2">
        <f>IFERROR(__xludf.DUMMYFUNCTION("""COMPUTED_VALUE"""),347142.0)</f>
        <v>347142</v>
      </c>
    </row>
    <row r="427">
      <c r="A427" s="3">
        <f>IFERROR(__xludf.DUMMYFUNCTION("""COMPUTED_VALUE"""),38852.645833333336)</f>
        <v>38852.64583</v>
      </c>
      <c r="B427" s="2">
        <f>IFERROR(__xludf.DUMMYFUNCTION("""COMPUTED_VALUE"""),247.5)</f>
        <v>247.5</v>
      </c>
      <c r="C427" s="2">
        <f>IFERROR(__xludf.DUMMYFUNCTION("""COMPUTED_VALUE"""),250.13)</f>
        <v>250.13</v>
      </c>
      <c r="D427" s="2">
        <f>IFERROR(__xludf.DUMMYFUNCTION("""COMPUTED_VALUE"""),240.0)</f>
        <v>240</v>
      </c>
      <c r="E427" s="2">
        <f>IFERROR(__xludf.DUMMYFUNCTION("""COMPUTED_VALUE"""),245.11)</f>
        <v>245.11</v>
      </c>
      <c r="F427" s="2">
        <f>IFERROR(__xludf.DUMMYFUNCTION("""COMPUTED_VALUE"""),504313.0)</f>
        <v>504313</v>
      </c>
    </row>
    <row r="428">
      <c r="A428" s="3">
        <f>IFERROR(__xludf.DUMMYFUNCTION("""COMPUTED_VALUE"""),38853.645833333336)</f>
        <v>38853.64583</v>
      </c>
      <c r="B428" s="2">
        <f>IFERROR(__xludf.DUMMYFUNCTION("""COMPUTED_VALUE"""),244.99)</f>
        <v>244.99</v>
      </c>
      <c r="C428" s="2">
        <f>IFERROR(__xludf.DUMMYFUNCTION("""COMPUTED_VALUE"""),249.38)</f>
        <v>249.38</v>
      </c>
      <c r="D428" s="2">
        <f>IFERROR(__xludf.DUMMYFUNCTION("""COMPUTED_VALUE"""),239.98)</f>
        <v>239.98</v>
      </c>
      <c r="E428" s="2">
        <f>IFERROR(__xludf.DUMMYFUNCTION("""COMPUTED_VALUE"""),246.84)</f>
        <v>246.84</v>
      </c>
      <c r="F428" s="2">
        <f>IFERROR(__xludf.DUMMYFUNCTION("""COMPUTED_VALUE"""),333946.0)</f>
        <v>333946</v>
      </c>
    </row>
    <row r="429">
      <c r="A429" s="3">
        <f>IFERROR(__xludf.DUMMYFUNCTION("""COMPUTED_VALUE"""),38854.645833333336)</f>
        <v>38854.64583</v>
      </c>
      <c r="B429" s="2">
        <f>IFERROR(__xludf.DUMMYFUNCTION("""COMPUTED_VALUE"""),249.38)</f>
        <v>249.38</v>
      </c>
      <c r="C429" s="2">
        <f>IFERROR(__xludf.DUMMYFUNCTION("""COMPUTED_VALUE"""),252.5)</f>
        <v>252.5</v>
      </c>
      <c r="D429" s="2">
        <f>IFERROR(__xludf.DUMMYFUNCTION("""COMPUTED_VALUE"""),248.75)</f>
        <v>248.75</v>
      </c>
      <c r="E429" s="2">
        <f>IFERROR(__xludf.DUMMYFUNCTION("""COMPUTED_VALUE"""),252.07)</f>
        <v>252.07</v>
      </c>
      <c r="F429" s="2">
        <f>IFERROR(__xludf.DUMMYFUNCTION("""COMPUTED_VALUE"""),167921.0)</f>
        <v>167921</v>
      </c>
    </row>
    <row r="430">
      <c r="A430" s="3">
        <f>IFERROR(__xludf.DUMMYFUNCTION("""COMPUTED_VALUE"""),38855.645833333336)</f>
        <v>38855.64583</v>
      </c>
      <c r="B430" s="2">
        <f>IFERROR(__xludf.DUMMYFUNCTION("""COMPUTED_VALUE"""),248.75)</f>
        <v>248.75</v>
      </c>
      <c r="C430" s="2">
        <f>IFERROR(__xludf.DUMMYFUNCTION("""COMPUTED_VALUE"""),249.99)</f>
        <v>249.99</v>
      </c>
      <c r="D430" s="2">
        <f>IFERROR(__xludf.DUMMYFUNCTION("""COMPUTED_VALUE"""),237.5)</f>
        <v>237.5</v>
      </c>
      <c r="E430" s="2">
        <f>IFERROR(__xludf.DUMMYFUNCTION("""COMPUTED_VALUE"""),240.71)</f>
        <v>240.71</v>
      </c>
      <c r="F430" s="2">
        <f>IFERROR(__xludf.DUMMYFUNCTION("""COMPUTED_VALUE"""),567795.0)</f>
        <v>567795</v>
      </c>
    </row>
    <row r="431">
      <c r="A431" s="3">
        <f>IFERROR(__xludf.DUMMYFUNCTION("""COMPUTED_VALUE"""),38856.645833333336)</f>
        <v>38856.64583</v>
      </c>
      <c r="B431" s="2">
        <f>IFERROR(__xludf.DUMMYFUNCTION("""COMPUTED_VALUE"""),243.75)</f>
        <v>243.75</v>
      </c>
      <c r="C431" s="2">
        <f>IFERROR(__xludf.DUMMYFUNCTION("""COMPUTED_VALUE"""),244.98)</f>
        <v>244.98</v>
      </c>
      <c r="D431" s="2">
        <f>IFERROR(__xludf.DUMMYFUNCTION("""COMPUTED_VALUE"""),231.44)</f>
        <v>231.44</v>
      </c>
      <c r="E431" s="2">
        <f>IFERROR(__xludf.DUMMYFUNCTION("""COMPUTED_VALUE"""),236.55)</f>
        <v>236.55</v>
      </c>
      <c r="F431" s="2">
        <f>IFERROR(__xludf.DUMMYFUNCTION("""COMPUTED_VALUE"""),608527.0)</f>
        <v>608527</v>
      </c>
    </row>
    <row r="432">
      <c r="A432" s="3">
        <f>IFERROR(__xludf.DUMMYFUNCTION("""COMPUTED_VALUE"""),38859.645833333336)</f>
        <v>38859.64583</v>
      </c>
      <c r="B432" s="2">
        <f>IFERROR(__xludf.DUMMYFUNCTION("""COMPUTED_VALUE"""),240.0)</f>
        <v>240</v>
      </c>
      <c r="C432" s="2">
        <f>IFERROR(__xludf.DUMMYFUNCTION("""COMPUTED_VALUE"""),240.0)</f>
        <v>240</v>
      </c>
      <c r="D432" s="2">
        <f>IFERROR(__xludf.DUMMYFUNCTION("""COMPUTED_VALUE"""),218.0)</f>
        <v>218</v>
      </c>
      <c r="E432" s="2">
        <f>IFERROR(__xludf.DUMMYFUNCTION("""COMPUTED_VALUE"""),222.56)</f>
        <v>222.56</v>
      </c>
      <c r="F432" s="2">
        <f>IFERROR(__xludf.DUMMYFUNCTION("""COMPUTED_VALUE"""),587427.0)</f>
        <v>587427</v>
      </c>
    </row>
    <row r="433">
      <c r="A433" s="3">
        <f>IFERROR(__xludf.DUMMYFUNCTION("""COMPUTED_VALUE"""),38860.645833333336)</f>
        <v>38860.64583</v>
      </c>
      <c r="B433" s="2">
        <f>IFERROR(__xludf.DUMMYFUNCTION("""COMPUTED_VALUE"""),225.0)</f>
        <v>225</v>
      </c>
      <c r="C433" s="2">
        <f>IFERROR(__xludf.DUMMYFUNCTION("""COMPUTED_VALUE"""),234.25)</f>
        <v>234.25</v>
      </c>
      <c r="D433" s="2">
        <f>IFERROR(__xludf.DUMMYFUNCTION("""COMPUTED_VALUE"""),212.63)</f>
        <v>212.63</v>
      </c>
      <c r="E433" s="2">
        <f>IFERROR(__xludf.DUMMYFUNCTION("""COMPUTED_VALUE"""),228.78)</f>
        <v>228.78</v>
      </c>
      <c r="F433" s="2">
        <f>IFERROR(__xludf.DUMMYFUNCTION("""COMPUTED_VALUE"""),673517.0)</f>
        <v>673517</v>
      </c>
    </row>
    <row r="434">
      <c r="A434" s="3">
        <f>IFERROR(__xludf.DUMMYFUNCTION("""COMPUTED_VALUE"""),38861.645833333336)</f>
        <v>38861.64583</v>
      </c>
      <c r="B434" s="2">
        <f>IFERROR(__xludf.DUMMYFUNCTION("""COMPUTED_VALUE"""),233.75)</f>
        <v>233.75</v>
      </c>
      <c r="C434" s="2">
        <f>IFERROR(__xludf.DUMMYFUNCTION("""COMPUTED_VALUE"""),235.0)</f>
        <v>235</v>
      </c>
      <c r="D434" s="2">
        <f>IFERROR(__xludf.DUMMYFUNCTION("""COMPUTED_VALUE"""),220.0)</f>
        <v>220</v>
      </c>
      <c r="E434" s="2">
        <f>IFERROR(__xludf.DUMMYFUNCTION("""COMPUTED_VALUE"""),223.83)</f>
        <v>223.83</v>
      </c>
      <c r="F434" s="2">
        <f>IFERROR(__xludf.DUMMYFUNCTION("""COMPUTED_VALUE"""),713196.0)</f>
        <v>713196</v>
      </c>
    </row>
    <row r="435">
      <c r="A435" s="3">
        <f>IFERROR(__xludf.DUMMYFUNCTION("""COMPUTED_VALUE"""),38862.645833333336)</f>
        <v>38862.64583</v>
      </c>
      <c r="B435" s="2">
        <f>IFERROR(__xludf.DUMMYFUNCTION("""COMPUTED_VALUE"""),222.5)</f>
        <v>222.5</v>
      </c>
      <c r="C435" s="2">
        <f>IFERROR(__xludf.DUMMYFUNCTION("""COMPUTED_VALUE"""),237.3)</f>
        <v>237.3</v>
      </c>
      <c r="D435" s="2">
        <f>IFERROR(__xludf.DUMMYFUNCTION("""COMPUTED_VALUE"""),218.13)</f>
        <v>218.13</v>
      </c>
      <c r="E435" s="2">
        <f>IFERROR(__xludf.DUMMYFUNCTION("""COMPUTED_VALUE"""),234.62)</f>
        <v>234.62</v>
      </c>
      <c r="F435" s="2">
        <f>IFERROR(__xludf.DUMMYFUNCTION("""COMPUTED_VALUE"""),729881.0)</f>
        <v>729881</v>
      </c>
    </row>
    <row r="436">
      <c r="A436" s="3">
        <f>IFERROR(__xludf.DUMMYFUNCTION("""COMPUTED_VALUE"""),38863.645833333336)</f>
        <v>38863.64583</v>
      </c>
      <c r="B436" s="2">
        <f>IFERROR(__xludf.DUMMYFUNCTION("""COMPUTED_VALUE"""),236.25)</f>
        <v>236.25</v>
      </c>
      <c r="C436" s="2">
        <f>IFERROR(__xludf.DUMMYFUNCTION("""COMPUTED_VALUE"""),237.5)</f>
        <v>237.5</v>
      </c>
      <c r="D436" s="2">
        <f>IFERROR(__xludf.DUMMYFUNCTION("""COMPUTED_VALUE"""),230.13)</f>
        <v>230.13</v>
      </c>
      <c r="E436" s="2">
        <f>IFERROR(__xludf.DUMMYFUNCTION("""COMPUTED_VALUE"""),233.3)</f>
        <v>233.3</v>
      </c>
      <c r="F436" s="2">
        <f>IFERROR(__xludf.DUMMYFUNCTION("""COMPUTED_VALUE"""),276023.0)</f>
        <v>276023</v>
      </c>
    </row>
    <row r="437">
      <c r="A437" s="3">
        <f>IFERROR(__xludf.DUMMYFUNCTION("""COMPUTED_VALUE"""),38866.645833333336)</f>
        <v>38866.64583</v>
      </c>
      <c r="B437" s="2">
        <f>IFERROR(__xludf.DUMMYFUNCTION("""COMPUTED_VALUE"""),233.13)</f>
        <v>233.13</v>
      </c>
      <c r="C437" s="2">
        <f>IFERROR(__xludf.DUMMYFUNCTION("""COMPUTED_VALUE"""),233.13)</f>
        <v>233.13</v>
      </c>
      <c r="D437" s="2">
        <f>IFERROR(__xludf.DUMMYFUNCTION("""COMPUTED_VALUE"""),230.04)</f>
        <v>230.04</v>
      </c>
      <c r="E437" s="2">
        <f>IFERROR(__xludf.DUMMYFUNCTION("""COMPUTED_VALUE"""),231.32)</f>
        <v>231.32</v>
      </c>
      <c r="F437" s="2">
        <f>IFERROR(__xludf.DUMMYFUNCTION("""COMPUTED_VALUE"""),350336.0)</f>
        <v>350336</v>
      </c>
    </row>
    <row r="438">
      <c r="A438" s="3">
        <f>IFERROR(__xludf.DUMMYFUNCTION("""COMPUTED_VALUE"""),38867.645833333336)</f>
        <v>38867.64583</v>
      </c>
      <c r="B438" s="2">
        <f>IFERROR(__xludf.DUMMYFUNCTION("""COMPUTED_VALUE"""),233.13)</f>
        <v>233.13</v>
      </c>
      <c r="C438" s="2">
        <f>IFERROR(__xludf.DUMMYFUNCTION("""COMPUTED_VALUE"""),236.89)</f>
        <v>236.89</v>
      </c>
      <c r="D438" s="2">
        <f>IFERROR(__xludf.DUMMYFUNCTION("""COMPUTED_VALUE"""),229.38)</f>
        <v>229.38</v>
      </c>
      <c r="E438" s="2">
        <f>IFERROR(__xludf.DUMMYFUNCTION("""COMPUTED_VALUE"""),232.55)</f>
        <v>232.55</v>
      </c>
      <c r="F438" s="2">
        <f>IFERROR(__xludf.DUMMYFUNCTION("""COMPUTED_VALUE"""),564507.0)</f>
        <v>564507</v>
      </c>
    </row>
    <row r="439">
      <c r="A439" s="3">
        <f>IFERROR(__xludf.DUMMYFUNCTION("""COMPUTED_VALUE"""),38868.645833333336)</f>
        <v>38868.64583</v>
      </c>
      <c r="B439" s="2">
        <f>IFERROR(__xludf.DUMMYFUNCTION("""COMPUTED_VALUE"""),230.14)</f>
        <v>230.14</v>
      </c>
      <c r="C439" s="2">
        <f>IFERROR(__xludf.DUMMYFUNCTION("""COMPUTED_VALUE"""),230.14)</f>
        <v>230.14</v>
      </c>
      <c r="D439" s="2">
        <f>IFERROR(__xludf.DUMMYFUNCTION("""COMPUTED_VALUE"""),216.25)</f>
        <v>216.25</v>
      </c>
      <c r="E439" s="2">
        <f>IFERROR(__xludf.DUMMYFUNCTION("""COMPUTED_VALUE"""),222.86)</f>
        <v>222.86</v>
      </c>
      <c r="F439" s="2">
        <f>IFERROR(__xludf.DUMMYFUNCTION("""COMPUTED_VALUE"""),721232.0)</f>
        <v>721232</v>
      </c>
    </row>
    <row r="440">
      <c r="A440" s="3">
        <f>IFERROR(__xludf.DUMMYFUNCTION("""COMPUTED_VALUE"""),38869.645833333336)</f>
        <v>38869.64583</v>
      </c>
      <c r="B440" s="2">
        <f>IFERROR(__xludf.DUMMYFUNCTION("""COMPUTED_VALUE"""),228.13)</f>
        <v>228.13</v>
      </c>
      <c r="C440" s="2">
        <f>IFERROR(__xludf.DUMMYFUNCTION("""COMPUTED_VALUE"""),228.13)</f>
        <v>228.13</v>
      </c>
      <c r="D440" s="2">
        <f>IFERROR(__xludf.DUMMYFUNCTION("""COMPUTED_VALUE"""),211.25)</f>
        <v>211.25</v>
      </c>
      <c r="E440" s="2">
        <f>IFERROR(__xludf.DUMMYFUNCTION("""COMPUTED_VALUE"""),213.67)</f>
        <v>213.67</v>
      </c>
      <c r="F440" s="2">
        <f>IFERROR(__xludf.DUMMYFUNCTION("""COMPUTED_VALUE"""),742845.0)</f>
        <v>742845</v>
      </c>
    </row>
    <row r="441">
      <c r="A441" s="3">
        <f>IFERROR(__xludf.DUMMYFUNCTION("""COMPUTED_VALUE"""),38870.645833333336)</f>
        <v>38870.64583</v>
      </c>
      <c r="B441" s="2">
        <f>IFERROR(__xludf.DUMMYFUNCTION("""COMPUTED_VALUE"""),214.36)</f>
        <v>214.36</v>
      </c>
      <c r="C441" s="2">
        <f>IFERROR(__xludf.DUMMYFUNCTION("""COMPUTED_VALUE"""),225.0)</f>
        <v>225</v>
      </c>
      <c r="D441" s="2">
        <f>IFERROR(__xludf.DUMMYFUNCTION("""COMPUTED_VALUE"""),211.0)</f>
        <v>211</v>
      </c>
      <c r="E441" s="2">
        <f>IFERROR(__xludf.DUMMYFUNCTION("""COMPUTED_VALUE"""),224.25)</f>
        <v>224.25</v>
      </c>
      <c r="F441" s="2">
        <f>IFERROR(__xludf.DUMMYFUNCTION("""COMPUTED_VALUE"""),526695.0)</f>
        <v>526695</v>
      </c>
    </row>
    <row r="442">
      <c r="A442" s="3">
        <f>IFERROR(__xludf.DUMMYFUNCTION("""COMPUTED_VALUE"""),38873.645833333336)</f>
        <v>38873.64583</v>
      </c>
      <c r="B442" s="2">
        <f>IFERROR(__xludf.DUMMYFUNCTION("""COMPUTED_VALUE"""),224.25)</f>
        <v>224.25</v>
      </c>
      <c r="C442" s="2">
        <f>IFERROR(__xludf.DUMMYFUNCTION("""COMPUTED_VALUE"""),225.55)</f>
        <v>225.55</v>
      </c>
      <c r="D442" s="2">
        <f>IFERROR(__xludf.DUMMYFUNCTION("""COMPUTED_VALUE"""),219.28)</f>
        <v>219.28</v>
      </c>
      <c r="E442" s="2">
        <f>IFERROR(__xludf.DUMMYFUNCTION("""COMPUTED_VALUE"""),220.95)</f>
        <v>220.95</v>
      </c>
      <c r="F442" s="2">
        <f>IFERROR(__xludf.DUMMYFUNCTION("""COMPUTED_VALUE"""),401460.0)</f>
        <v>401460</v>
      </c>
    </row>
    <row r="443">
      <c r="A443" s="3">
        <f>IFERROR(__xludf.DUMMYFUNCTION("""COMPUTED_VALUE"""),38874.645833333336)</f>
        <v>38874.64583</v>
      </c>
      <c r="B443" s="2">
        <f>IFERROR(__xludf.DUMMYFUNCTION("""COMPUTED_VALUE"""),218.1)</f>
        <v>218.1</v>
      </c>
      <c r="C443" s="2">
        <f>IFERROR(__xludf.DUMMYFUNCTION("""COMPUTED_VALUE"""),223.48)</f>
        <v>223.48</v>
      </c>
      <c r="D443" s="2">
        <f>IFERROR(__xludf.DUMMYFUNCTION("""COMPUTED_VALUE"""),211.25)</f>
        <v>211.25</v>
      </c>
      <c r="E443" s="2">
        <f>IFERROR(__xludf.DUMMYFUNCTION("""COMPUTED_VALUE"""),218.61)</f>
        <v>218.61</v>
      </c>
      <c r="F443" s="2">
        <f>IFERROR(__xludf.DUMMYFUNCTION("""COMPUTED_VALUE"""),371392.0)</f>
        <v>371392</v>
      </c>
    </row>
    <row r="444">
      <c r="A444" s="3">
        <f>IFERROR(__xludf.DUMMYFUNCTION("""COMPUTED_VALUE"""),38875.645833333336)</f>
        <v>38875.64583</v>
      </c>
      <c r="B444" s="2">
        <f>IFERROR(__xludf.DUMMYFUNCTION("""COMPUTED_VALUE"""),225.0)</f>
        <v>225</v>
      </c>
      <c r="C444" s="2">
        <f>IFERROR(__xludf.DUMMYFUNCTION("""COMPUTED_VALUE"""),225.0)</f>
        <v>225</v>
      </c>
      <c r="D444" s="2">
        <f>IFERROR(__xludf.DUMMYFUNCTION("""COMPUTED_VALUE"""),211.66)</f>
        <v>211.66</v>
      </c>
      <c r="E444" s="2">
        <f>IFERROR(__xludf.DUMMYFUNCTION("""COMPUTED_VALUE"""),212.99)</f>
        <v>212.99</v>
      </c>
      <c r="F444" s="2">
        <f>IFERROR(__xludf.DUMMYFUNCTION("""COMPUTED_VALUE"""),676317.0)</f>
        <v>676317</v>
      </c>
    </row>
    <row r="445">
      <c r="A445" s="3">
        <f>IFERROR(__xludf.DUMMYFUNCTION("""COMPUTED_VALUE"""),38876.645833333336)</f>
        <v>38876.64583</v>
      </c>
      <c r="B445" s="2">
        <f>IFERROR(__xludf.DUMMYFUNCTION("""COMPUTED_VALUE"""),215.63)</f>
        <v>215.63</v>
      </c>
      <c r="C445" s="2">
        <f>IFERROR(__xludf.DUMMYFUNCTION("""COMPUTED_VALUE"""),215.63)</f>
        <v>215.63</v>
      </c>
      <c r="D445" s="2">
        <f>IFERROR(__xludf.DUMMYFUNCTION("""COMPUTED_VALUE"""),201.4)</f>
        <v>201.4</v>
      </c>
      <c r="E445" s="2">
        <f>IFERROR(__xludf.DUMMYFUNCTION("""COMPUTED_VALUE"""),205.99)</f>
        <v>205.99</v>
      </c>
      <c r="F445" s="2">
        <f>IFERROR(__xludf.DUMMYFUNCTION("""COMPUTED_VALUE"""),670124.0)</f>
        <v>670124</v>
      </c>
    </row>
    <row r="446">
      <c r="A446" s="3">
        <f>IFERROR(__xludf.DUMMYFUNCTION("""COMPUTED_VALUE"""),38877.645833333336)</f>
        <v>38877.64583</v>
      </c>
      <c r="B446" s="2">
        <f>IFERROR(__xludf.DUMMYFUNCTION("""COMPUTED_VALUE"""),209.31)</f>
        <v>209.31</v>
      </c>
      <c r="C446" s="2">
        <f>IFERROR(__xludf.DUMMYFUNCTION("""COMPUTED_VALUE"""),211.5)</f>
        <v>211.5</v>
      </c>
      <c r="D446" s="2">
        <f>IFERROR(__xludf.DUMMYFUNCTION("""COMPUTED_VALUE"""),203.13)</f>
        <v>203.13</v>
      </c>
      <c r="E446" s="2">
        <f>IFERROR(__xludf.DUMMYFUNCTION("""COMPUTED_VALUE"""),208.9)</f>
        <v>208.9</v>
      </c>
      <c r="F446" s="2">
        <f>IFERROR(__xludf.DUMMYFUNCTION("""COMPUTED_VALUE"""),507739.0)</f>
        <v>507739</v>
      </c>
    </row>
    <row r="447">
      <c r="A447" s="3">
        <f>IFERROR(__xludf.DUMMYFUNCTION("""COMPUTED_VALUE"""),38880.645833333336)</f>
        <v>38880.64583</v>
      </c>
      <c r="B447" s="2">
        <f>IFERROR(__xludf.DUMMYFUNCTION("""COMPUTED_VALUE"""),212.38)</f>
        <v>212.38</v>
      </c>
      <c r="C447" s="2">
        <f>IFERROR(__xludf.DUMMYFUNCTION("""COMPUTED_VALUE"""),212.38)</f>
        <v>212.38</v>
      </c>
      <c r="D447" s="2">
        <f>IFERROR(__xludf.DUMMYFUNCTION("""COMPUTED_VALUE"""),202.63)</f>
        <v>202.63</v>
      </c>
      <c r="E447" s="2">
        <f>IFERROR(__xludf.DUMMYFUNCTION("""COMPUTED_VALUE"""),204.85)</f>
        <v>204.85</v>
      </c>
      <c r="F447" s="2">
        <f>IFERROR(__xludf.DUMMYFUNCTION("""COMPUTED_VALUE"""),448988.0)</f>
        <v>448988</v>
      </c>
    </row>
    <row r="448">
      <c r="A448" s="3">
        <f>IFERROR(__xludf.DUMMYFUNCTION("""COMPUTED_VALUE"""),38881.645833333336)</f>
        <v>38881.64583</v>
      </c>
      <c r="B448" s="2">
        <f>IFERROR(__xludf.DUMMYFUNCTION("""COMPUTED_VALUE"""),202.63)</f>
        <v>202.63</v>
      </c>
      <c r="C448" s="2">
        <f>IFERROR(__xludf.DUMMYFUNCTION("""COMPUTED_VALUE"""),203.68)</f>
        <v>203.68</v>
      </c>
      <c r="D448" s="2">
        <f>IFERROR(__xludf.DUMMYFUNCTION("""COMPUTED_VALUE"""),195.13)</f>
        <v>195.13</v>
      </c>
      <c r="E448" s="2">
        <f>IFERROR(__xludf.DUMMYFUNCTION("""COMPUTED_VALUE"""),196.3)</f>
        <v>196.3</v>
      </c>
      <c r="F448" s="2">
        <f>IFERROR(__xludf.DUMMYFUNCTION("""COMPUTED_VALUE"""),342123.0)</f>
        <v>342123</v>
      </c>
    </row>
    <row r="449">
      <c r="A449" s="3">
        <f>IFERROR(__xludf.DUMMYFUNCTION("""COMPUTED_VALUE"""),38882.645833333336)</f>
        <v>38882.64583</v>
      </c>
      <c r="B449" s="2">
        <f>IFERROR(__xludf.DUMMYFUNCTION("""COMPUTED_VALUE"""),195.24)</f>
        <v>195.24</v>
      </c>
      <c r="C449" s="2">
        <f>IFERROR(__xludf.DUMMYFUNCTION("""COMPUTED_VALUE"""),203.12)</f>
        <v>203.12</v>
      </c>
      <c r="D449" s="2">
        <f>IFERROR(__xludf.DUMMYFUNCTION("""COMPUTED_VALUE"""),181.41)</f>
        <v>181.41</v>
      </c>
      <c r="E449" s="2">
        <f>IFERROR(__xludf.DUMMYFUNCTION("""COMPUTED_VALUE"""),185.46)</f>
        <v>185.46</v>
      </c>
      <c r="F449" s="2">
        <f>IFERROR(__xludf.DUMMYFUNCTION("""COMPUTED_VALUE"""),1598252.0)</f>
        <v>1598252</v>
      </c>
    </row>
    <row r="450">
      <c r="A450" s="3">
        <f>IFERROR(__xludf.DUMMYFUNCTION("""COMPUTED_VALUE"""),38883.645833333336)</f>
        <v>38883.64583</v>
      </c>
      <c r="B450" s="2">
        <f>IFERROR(__xludf.DUMMYFUNCTION("""COMPUTED_VALUE"""),198.25)</f>
        <v>198.25</v>
      </c>
      <c r="C450" s="2">
        <f>IFERROR(__xludf.DUMMYFUNCTION("""COMPUTED_VALUE"""),198.25)</f>
        <v>198.25</v>
      </c>
      <c r="D450" s="2">
        <f>IFERROR(__xludf.DUMMYFUNCTION("""COMPUTED_VALUE"""),187.63)</f>
        <v>187.63</v>
      </c>
      <c r="E450" s="2">
        <f>IFERROR(__xludf.DUMMYFUNCTION("""COMPUTED_VALUE"""),193.82)</f>
        <v>193.82</v>
      </c>
      <c r="F450" s="2">
        <f>IFERROR(__xludf.DUMMYFUNCTION("""COMPUTED_VALUE"""),745920.0)</f>
        <v>745920</v>
      </c>
    </row>
    <row r="451">
      <c r="A451" s="3">
        <f>IFERROR(__xludf.DUMMYFUNCTION("""COMPUTED_VALUE"""),38884.645833333336)</f>
        <v>38884.64583</v>
      </c>
      <c r="B451" s="2">
        <f>IFERROR(__xludf.DUMMYFUNCTION("""COMPUTED_VALUE"""),198.25)</f>
        <v>198.25</v>
      </c>
      <c r="C451" s="2">
        <f>IFERROR(__xludf.DUMMYFUNCTION("""COMPUTED_VALUE"""),214.38)</f>
        <v>214.38</v>
      </c>
      <c r="D451" s="2">
        <f>IFERROR(__xludf.DUMMYFUNCTION("""COMPUTED_VALUE"""),197.55)</f>
        <v>197.55</v>
      </c>
      <c r="E451" s="2">
        <f>IFERROR(__xludf.DUMMYFUNCTION("""COMPUTED_VALUE"""),210.63)</f>
        <v>210.63</v>
      </c>
      <c r="F451" s="2">
        <f>IFERROR(__xludf.DUMMYFUNCTION("""COMPUTED_VALUE"""),1048771.0)</f>
        <v>1048771</v>
      </c>
    </row>
    <row r="452">
      <c r="A452" s="3">
        <f>IFERROR(__xludf.DUMMYFUNCTION("""COMPUTED_VALUE"""),38887.645833333336)</f>
        <v>38887.64583</v>
      </c>
      <c r="B452" s="2">
        <f>IFERROR(__xludf.DUMMYFUNCTION("""COMPUTED_VALUE"""),210.0)</f>
        <v>210</v>
      </c>
      <c r="C452" s="2">
        <f>IFERROR(__xludf.DUMMYFUNCTION("""COMPUTED_VALUE"""),210.63)</f>
        <v>210.63</v>
      </c>
      <c r="D452" s="2">
        <f>IFERROR(__xludf.DUMMYFUNCTION("""COMPUTED_VALUE"""),204.53)</f>
        <v>204.53</v>
      </c>
      <c r="E452" s="2">
        <f>IFERROR(__xludf.DUMMYFUNCTION("""COMPUTED_VALUE"""),208.55)</f>
        <v>208.55</v>
      </c>
      <c r="F452" s="2">
        <f>IFERROR(__xludf.DUMMYFUNCTION("""COMPUTED_VALUE"""),536761.0)</f>
        <v>536761</v>
      </c>
    </row>
    <row r="453">
      <c r="A453" s="3">
        <f>IFERROR(__xludf.DUMMYFUNCTION("""COMPUTED_VALUE"""),38888.645833333336)</f>
        <v>38888.64583</v>
      </c>
      <c r="B453" s="2">
        <f>IFERROR(__xludf.DUMMYFUNCTION("""COMPUTED_VALUE"""),211.0)</f>
        <v>211</v>
      </c>
      <c r="C453" s="2">
        <f>IFERROR(__xludf.DUMMYFUNCTION("""COMPUTED_VALUE"""),211.0)</f>
        <v>211</v>
      </c>
      <c r="D453" s="2">
        <f>IFERROR(__xludf.DUMMYFUNCTION("""COMPUTED_VALUE"""),200.0)</f>
        <v>200</v>
      </c>
      <c r="E453" s="2">
        <f>IFERROR(__xludf.DUMMYFUNCTION("""COMPUTED_VALUE"""),200.92)</f>
        <v>200.92</v>
      </c>
      <c r="F453" s="2">
        <f>IFERROR(__xludf.DUMMYFUNCTION("""COMPUTED_VALUE"""),460990.0)</f>
        <v>460990</v>
      </c>
    </row>
    <row r="454">
      <c r="A454" s="3">
        <f>IFERROR(__xludf.DUMMYFUNCTION("""COMPUTED_VALUE"""),38889.645833333336)</f>
        <v>38889.64583</v>
      </c>
      <c r="B454" s="2">
        <f>IFERROR(__xludf.DUMMYFUNCTION("""COMPUTED_VALUE"""),202.5)</f>
        <v>202.5</v>
      </c>
      <c r="C454" s="2">
        <f>IFERROR(__xludf.DUMMYFUNCTION("""COMPUTED_VALUE"""),205.88)</f>
        <v>205.88</v>
      </c>
      <c r="D454" s="2">
        <f>IFERROR(__xludf.DUMMYFUNCTION("""COMPUTED_VALUE"""),199.38)</f>
        <v>199.38</v>
      </c>
      <c r="E454" s="2">
        <f>IFERROR(__xludf.DUMMYFUNCTION("""COMPUTED_VALUE"""),205.16)</f>
        <v>205.16</v>
      </c>
      <c r="F454" s="2">
        <f>IFERROR(__xludf.DUMMYFUNCTION("""COMPUTED_VALUE"""),745437.0)</f>
        <v>745437</v>
      </c>
    </row>
    <row r="455">
      <c r="A455" s="3">
        <f>IFERROR(__xludf.DUMMYFUNCTION("""COMPUTED_VALUE"""),38890.645833333336)</f>
        <v>38890.64583</v>
      </c>
      <c r="B455" s="2">
        <f>IFERROR(__xludf.DUMMYFUNCTION("""COMPUTED_VALUE"""),206.25)</f>
        <v>206.25</v>
      </c>
      <c r="C455" s="2">
        <f>IFERROR(__xludf.DUMMYFUNCTION("""COMPUTED_VALUE"""),211.25)</f>
        <v>211.25</v>
      </c>
      <c r="D455" s="2">
        <f>IFERROR(__xludf.DUMMYFUNCTION("""COMPUTED_VALUE"""),206.25)</f>
        <v>206.25</v>
      </c>
      <c r="E455" s="2">
        <f>IFERROR(__xludf.DUMMYFUNCTION("""COMPUTED_VALUE"""),209.6)</f>
        <v>209.6</v>
      </c>
      <c r="F455" s="2">
        <f>IFERROR(__xludf.DUMMYFUNCTION("""COMPUTED_VALUE"""),458513.0)</f>
        <v>458513</v>
      </c>
    </row>
    <row r="456">
      <c r="A456" s="3">
        <f>IFERROR(__xludf.DUMMYFUNCTION("""COMPUTED_VALUE"""),38891.645833333336)</f>
        <v>38891.64583</v>
      </c>
      <c r="B456" s="2">
        <f>IFERROR(__xludf.DUMMYFUNCTION("""COMPUTED_VALUE"""),206.25)</f>
        <v>206.25</v>
      </c>
      <c r="C456" s="2">
        <f>IFERROR(__xludf.DUMMYFUNCTION("""COMPUTED_VALUE"""),212.5)</f>
        <v>212.5</v>
      </c>
      <c r="D456" s="2">
        <f>IFERROR(__xludf.DUMMYFUNCTION("""COMPUTED_VALUE"""),203.13)</f>
        <v>203.13</v>
      </c>
      <c r="E456" s="2">
        <f>IFERROR(__xludf.DUMMYFUNCTION("""COMPUTED_VALUE"""),211.86)</f>
        <v>211.86</v>
      </c>
      <c r="F456" s="2">
        <f>IFERROR(__xludf.DUMMYFUNCTION("""COMPUTED_VALUE"""),413090.0)</f>
        <v>413090</v>
      </c>
    </row>
    <row r="457">
      <c r="A457" s="3">
        <f>IFERROR(__xludf.DUMMYFUNCTION("""COMPUTED_VALUE"""),38894.645833333336)</f>
        <v>38894.64583</v>
      </c>
      <c r="B457" s="2">
        <f>IFERROR(__xludf.DUMMYFUNCTION("""COMPUTED_VALUE"""),215.0)</f>
        <v>215</v>
      </c>
      <c r="C457" s="2">
        <f>IFERROR(__xludf.DUMMYFUNCTION("""COMPUTED_VALUE"""),215.0)</f>
        <v>215</v>
      </c>
      <c r="D457" s="2">
        <f>IFERROR(__xludf.DUMMYFUNCTION("""COMPUTED_VALUE"""),202.26)</f>
        <v>202.26</v>
      </c>
      <c r="E457" s="2">
        <f>IFERROR(__xludf.DUMMYFUNCTION("""COMPUTED_VALUE"""),204.19)</f>
        <v>204.19</v>
      </c>
      <c r="F457" s="2">
        <f>IFERROR(__xludf.DUMMYFUNCTION("""COMPUTED_VALUE"""),821882.0)</f>
        <v>821882</v>
      </c>
    </row>
    <row r="458">
      <c r="A458" s="3">
        <f>IFERROR(__xludf.DUMMYFUNCTION("""COMPUTED_VALUE"""),38895.645833333336)</f>
        <v>38895.64583</v>
      </c>
      <c r="B458" s="2">
        <f>IFERROR(__xludf.DUMMYFUNCTION("""COMPUTED_VALUE"""),207.25)</f>
        <v>207.25</v>
      </c>
      <c r="C458" s="2">
        <f>IFERROR(__xludf.DUMMYFUNCTION("""COMPUTED_VALUE"""),207.25)</f>
        <v>207.25</v>
      </c>
      <c r="D458" s="2">
        <f>IFERROR(__xludf.DUMMYFUNCTION("""COMPUTED_VALUE"""),200.0)</f>
        <v>200</v>
      </c>
      <c r="E458" s="2">
        <f>IFERROR(__xludf.DUMMYFUNCTION("""COMPUTED_VALUE"""),205.57)</f>
        <v>205.57</v>
      </c>
      <c r="F458" s="2">
        <f>IFERROR(__xludf.DUMMYFUNCTION("""COMPUTED_VALUE"""),625329.0)</f>
        <v>625329</v>
      </c>
    </row>
    <row r="459">
      <c r="A459" s="3">
        <f>IFERROR(__xludf.DUMMYFUNCTION("""COMPUTED_VALUE"""),38896.645833333336)</f>
        <v>38896.64583</v>
      </c>
      <c r="B459" s="2">
        <f>IFERROR(__xludf.DUMMYFUNCTION("""COMPUTED_VALUE"""),202.5)</f>
        <v>202.5</v>
      </c>
      <c r="C459" s="2">
        <f>IFERROR(__xludf.DUMMYFUNCTION("""COMPUTED_VALUE"""),214.07)</f>
        <v>214.07</v>
      </c>
      <c r="D459" s="2">
        <f>IFERROR(__xludf.DUMMYFUNCTION("""COMPUTED_VALUE"""),200.75)</f>
        <v>200.75</v>
      </c>
      <c r="E459" s="2">
        <f>IFERROR(__xludf.DUMMYFUNCTION("""COMPUTED_VALUE"""),212.33)</f>
        <v>212.33</v>
      </c>
      <c r="F459" s="2">
        <f>IFERROR(__xludf.DUMMYFUNCTION("""COMPUTED_VALUE"""),598175.0)</f>
        <v>598175</v>
      </c>
    </row>
    <row r="460">
      <c r="A460" s="3">
        <f>IFERROR(__xludf.DUMMYFUNCTION("""COMPUTED_VALUE"""),38897.645833333336)</f>
        <v>38897.64583</v>
      </c>
      <c r="B460" s="2">
        <f>IFERROR(__xludf.DUMMYFUNCTION("""COMPUTED_VALUE"""),213.75)</f>
        <v>213.75</v>
      </c>
      <c r="C460" s="2">
        <f>IFERROR(__xludf.DUMMYFUNCTION("""COMPUTED_VALUE"""),215.0)</f>
        <v>215</v>
      </c>
      <c r="D460" s="2">
        <f>IFERROR(__xludf.DUMMYFUNCTION("""COMPUTED_VALUE"""),208.75)</f>
        <v>208.75</v>
      </c>
      <c r="E460" s="2">
        <f>IFERROR(__xludf.DUMMYFUNCTION("""COMPUTED_VALUE"""),210.1)</f>
        <v>210.1</v>
      </c>
      <c r="F460" s="2">
        <f>IFERROR(__xludf.DUMMYFUNCTION("""COMPUTED_VALUE"""),789822.0)</f>
        <v>789822</v>
      </c>
    </row>
    <row r="461">
      <c r="A461" s="3">
        <f>IFERROR(__xludf.DUMMYFUNCTION("""COMPUTED_VALUE"""),38898.645833333336)</f>
        <v>38898.64583</v>
      </c>
      <c r="B461" s="2">
        <f>IFERROR(__xludf.DUMMYFUNCTION("""COMPUTED_VALUE"""),216.88)</f>
        <v>216.88</v>
      </c>
      <c r="C461" s="2">
        <f>IFERROR(__xludf.DUMMYFUNCTION("""COMPUTED_VALUE"""),220.88)</f>
        <v>220.88</v>
      </c>
      <c r="D461" s="2">
        <f>IFERROR(__xludf.DUMMYFUNCTION("""COMPUTED_VALUE"""),213.21)</f>
        <v>213.21</v>
      </c>
      <c r="E461" s="2">
        <f>IFERROR(__xludf.DUMMYFUNCTION("""COMPUTED_VALUE"""),217.35)</f>
        <v>217.35</v>
      </c>
      <c r="F461" s="2">
        <f>IFERROR(__xludf.DUMMYFUNCTION("""COMPUTED_VALUE"""),681220.0)</f>
        <v>681220</v>
      </c>
    </row>
    <row r="462">
      <c r="A462" s="3">
        <f>IFERROR(__xludf.DUMMYFUNCTION("""COMPUTED_VALUE"""),38901.645833333336)</f>
        <v>38901.64583</v>
      </c>
      <c r="B462" s="2">
        <f>IFERROR(__xludf.DUMMYFUNCTION("""COMPUTED_VALUE"""),217.75)</f>
        <v>217.75</v>
      </c>
      <c r="C462" s="2">
        <f>IFERROR(__xludf.DUMMYFUNCTION("""COMPUTED_VALUE"""),225.94)</f>
        <v>225.94</v>
      </c>
      <c r="D462" s="2">
        <f>IFERROR(__xludf.DUMMYFUNCTION("""COMPUTED_VALUE"""),216.55)</f>
        <v>216.55</v>
      </c>
      <c r="E462" s="2">
        <f>IFERROR(__xludf.DUMMYFUNCTION("""COMPUTED_VALUE"""),225.03)</f>
        <v>225.03</v>
      </c>
      <c r="F462" s="2">
        <f>IFERROR(__xludf.DUMMYFUNCTION("""COMPUTED_VALUE"""),535690.0)</f>
        <v>535690</v>
      </c>
    </row>
    <row r="463">
      <c r="A463" s="3">
        <f>IFERROR(__xludf.DUMMYFUNCTION("""COMPUTED_VALUE"""),38902.645833333336)</f>
        <v>38902.64583</v>
      </c>
      <c r="B463" s="2">
        <f>IFERROR(__xludf.DUMMYFUNCTION("""COMPUTED_VALUE"""),226.38)</f>
        <v>226.38</v>
      </c>
      <c r="C463" s="2">
        <f>IFERROR(__xludf.DUMMYFUNCTION("""COMPUTED_VALUE"""),228.88)</f>
        <v>228.88</v>
      </c>
      <c r="D463" s="2">
        <f>IFERROR(__xludf.DUMMYFUNCTION("""COMPUTED_VALUE"""),225.63)</f>
        <v>225.63</v>
      </c>
      <c r="E463" s="2">
        <f>IFERROR(__xludf.DUMMYFUNCTION("""COMPUTED_VALUE"""),226.89)</f>
        <v>226.89</v>
      </c>
      <c r="F463" s="2">
        <f>IFERROR(__xludf.DUMMYFUNCTION("""COMPUTED_VALUE"""),448096.0)</f>
        <v>448096</v>
      </c>
    </row>
    <row r="464">
      <c r="A464" s="3">
        <f>IFERROR(__xludf.DUMMYFUNCTION("""COMPUTED_VALUE"""),38903.645833333336)</f>
        <v>38903.64583</v>
      </c>
      <c r="B464" s="2">
        <f>IFERROR(__xludf.DUMMYFUNCTION("""COMPUTED_VALUE"""),227.13)</f>
        <v>227.13</v>
      </c>
      <c r="C464" s="2">
        <f>IFERROR(__xludf.DUMMYFUNCTION("""COMPUTED_VALUE"""),232.75)</f>
        <v>232.75</v>
      </c>
      <c r="D464" s="2">
        <f>IFERROR(__xludf.DUMMYFUNCTION("""COMPUTED_VALUE"""),225.0)</f>
        <v>225</v>
      </c>
      <c r="E464" s="2">
        <f>IFERROR(__xludf.DUMMYFUNCTION("""COMPUTED_VALUE"""),230.33)</f>
        <v>230.33</v>
      </c>
      <c r="F464" s="2">
        <f>IFERROR(__xludf.DUMMYFUNCTION("""COMPUTED_VALUE"""),530634.0)</f>
        <v>530634</v>
      </c>
    </row>
    <row r="465">
      <c r="A465" s="3">
        <f>IFERROR(__xludf.DUMMYFUNCTION("""COMPUTED_VALUE"""),38904.645833333336)</f>
        <v>38904.64583</v>
      </c>
      <c r="B465" s="2">
        <f>IFERROR(__xludf.DUMMYFUNCTION("""COMPUTED_VALUE"""),228.5)</f>
        <v>228.5</v>
      </c>
      <c r="C465" s="2">
        <f>IFERROR(__xludf.DUMMYFUNCTION("""COMPUTED_VALUE"""),229.0)</f>
        <v>229</v>
      </c>
      <c r="D465" s="2">
        <f>IFERROR(__xludf.DUMMYFUNCTION("""COMPUTED_VALUE"""),224.02)</f>
        <v>224.02</v>
      </c>
      <c r="E465" s="2">
        <f>IFERROR(__xludf.DUMMYFUNCTION("""COMPUTED_VALUE"""),225.54)</f>
        <v>225.54</v>
      </c>
      <c r="F465" s="2">
        <f>IFERROR(__xludf.DUMMYFUNCTION("""COMPUTED_VALUE"""),288865.0)</f>
        <v>288865</v>
      </c>
    </row>
    <row r="466">
      <c r="A466" s="3">
        <f>IFERROR(__xludf.DUMMYFUNCTION("""COMPUTED_VALUE"""),38905.645833333336)</f>
        <v>38905.64583</v>
      </c>
      <c r="B466" s="2">
        <f>IFERROR(__xludf.DUMMYFUNCTION("""COMPUTED_VALUE"""),227.46)</f>
        <v>227.46</v>
      </c>
      <c r="C466" s="2">
        <f>IFERROR(__xludf.DUMMYFUNCTION("""COMPUTED_VALUE"""),228.98)</f>
        <v>228.98</v>
      </c>
      <c r="D466" s="2">
        <f>IFERROR(__xludf.DUMMYFUNCTION("""COMPUTED_VALUE"""),217.5)</f>
        <v>217.5</v>
      </c>
      <c r="E466" s="2">
        <f>IFERROR(__xludf.DUMMYFUNCTION("""COMPUTED_VALUE"""),218.34)</f>
        <v>218.34</v>
      </c>
      <c r="F466" s="2">
        <f>IFERROR(__xludf.DUMMYFUNCTION("""COMPUTED_VALUE"""),366084.0)</f>
        <v>366084</v>
      </c>
    </row>
    <row r="467">
      <c r="A467" s="3">
        <f>IFERROR(__xludf.DUMMYFUNCTION("""COMPUTED_VALUE"""),38908.645833333336)</f>
        <v>38908.64583</v>
      </c>
      <c r="B467" s="2">
        <f>IFERROR(__xludf.DUMMYFUNCTION("""COMPUTED_VALUE"""),217.5)</f>
        <v>217.5</v>
      </c>
      <c r="C467" s="2">
        <f>IFERROR(__xludf.DUMMYFUNCTION("""COMPUTED_VALUE"""),227.2)</f>
        <v>227.2</v>
      </c>
      <c r="D467" s="2">
        <f>IFERROR(__xludf.DUMMYFUNCTION("""COMPUTED_VALUE"""),217.5)</f>
        <v>217.5</v>
      </c>
      <c r="E467" s="2">
        <f>IFERROR(__xludf.DUMMYFUNCTION("""COMPUTED_VALUE"""),224.8)</f>
        <v>224.8</v>
      </c>
      <c r="F467" s="2">
        <f>IFERROR(__xludf.DUMMYFUNCTION("""COMPUTED_VALUE"""),482414.0)</f>
        <v>482414</v>
      </c>
    </row>
    <row r="468">
      <c r="A468" s="3">
        <f>IFERROR(__xludf.DUMMYFUNCTION("""COMPUTED_VALUE"""),38909.645833333336)</f>
        <v>38909.64583</v>
      </c>
      <c r="B468" s="2">
        <f>IFERROR(__xludf.DUMMYFUNCTION("""COMPUTED_VALUE"""),225.0)</f>
        <v>225</v>
      </c>
      <c r="C468" s="2">
        <f>IFERROR(__xludf.DUMMYFUNCTION("""COMPUTED_VALUE"""),226.88)</f>
        <v>226.88</v>
      </c>
      <c r="D468" s="2">
        <f>IFERROR(__xludf.DUMMYFUNCTION("""COMPUTED_VALUE"""),220.4)</f>
        <v>220.4</v>
      </c>
      <c r="E468" s="2">
        <f>IFERROR(__xludf.DUMMYFUNCTION("""COMPUTED_VALUE"""),221.24)</f>
        <v>221.24</v>
      </c>
      <c r="F468" s="2">
        <f>IFERROR(__xludf.DUMMYFUNCTION("""COMPUTED_VALUE"""),452373.0)</f>
        <v>452373</v>
      </c>
    </row>
    <row r="469">
      <c r="A469" s="3">
        <f>IFERROR(__xludf.DUMMYFUNCTION("""COMPUTED_VALUE"""),38910.645833333336)</f>
        <v>38910.64583</v>
      </c>
      <c r="B469" s="2">
        <f>IFERROR(__xludf.DUMMYFUNCTION("""COMPUTED_VALUE"""),222.5)</f>
        <v>222.5</v>
      </c>
      <c r="C469" s="2">
        <f>IFERROR(__xludf.DUMMYFUNCTION("""COMPUTED_VALUE"""),238.63)</f>
        <v>238.63</v>
      </c>
      <c r="D469" s="2">
        <f>IFERROR(__xludf.DUMMYFUNCTION("""COMPUTED_VALUE"""),222.5)</f>
        <v>222.5</v>
      </c>
      <c r="E469" s="2">
        <f>IFERROR(__xludf.DUMMYFUNCTION("""COMPUTED_VALUE"""),236.29)</f>
        <v>236.29</v>
      </c>
      <c r="F469" s="2">
        <f>IFERROR(__xludf.DUMMYFUNCTION("""COMPUTED_VALUE"""),1190202.0)</f>
        <v>1190202</v>
      </c>
    </row>
    <row r="470">
      <c r="A470" s="3">
        <f>IFERROR(__xludf.DUMMYFUNCTION("""COMPUTED_VALUE"""),38911.645833333336)</f>
        <v>38911.64583</v>
      </c>
      <c r="B470" s="2">
        <f>IFERROR(__xludf.DUMMYFUNCTION("""COMPUTED_VALUE"""),236.5)</f>
        <v>236.5</v>
      </c>
      <c r="C470" s="2">
        <f>IFERROR(__xludf.DUMMYFUNCTION("""COMPUTED_VALUE"""),237.35)</f>
        <v>237.35</v>
      </c>
      <c r="D470" s="2">
        <f>IFERROR(__xludf.DUMMYFUNCTION("""COMPUTED_VALUE"""),231.28)</f>
        <v>231.28</v>
      </c>
      <c r="E470" s="2">
        <f>IFERROR(__xludf.DUMMYFUNCTION("""COMPUTED_VALUE"""),233.42)</f>
        <v>233.42</v>
      </c>
      <c r="F470" s="2">
        <f>IFERROR(__xludf.DUMMYFUNCTION("""COMPUTED_VALUE"""),672947.0)</f>
        <v>672947</v>
      </c>
    </row>
    <row r="471">
      <c r="A471" s="3">
        <f>IFERROR(__xludf.DUMMYFUNCTION("""COMPUTED_VALUE"""),38912.645833333336)</f>
        <v>38912.64583</v>
      </c>
      <c r="B471" s="2">
        <f>IFERROR(__xludf.DUMMYFUNCTION("""COMPUTED_VALUE"""),230.0)</f>
        <v>230</v>
      </c>
      <c r="C471" s="2">
        <f>IFERROR(__xludf.DUMMYFUNCTION("""COMPUTED_VALUE"""),237.0)</f>
        <v>237</v>
      </c>
      <c r="D471" s="2">
        <f>IFERROR(__xludf.DUMMYFUNCTION("""COMPUTED_VALUE"""),228.14)</f>
        <v>228.14</v>
      </c>
      <c r="E471" s="2">
        <f>IFERROR(__xludf.DUMMYFUNCTION("""COMPUTED_VALUE"""),234.29)</f>
        <v>234.29</v>
      </c>
      <c r="F471" s="2">
        <f>IFERROR(__xludf.DUMMYFUNCTION("""COMPUTED_VALUE"""),618726.0)</f>
        <v>618726</v>
      </c>
    </row>
    <row r="472">
      <c r="A472" s="3">
        <f>IFERROR(__xludf.DUMMYFUNCTION("""COMPUTED_VALUE"""),38915.645833333336)</f>
        <v>38915.64583</v>
      </c>
      <c r="B472" s="2">
        <f>IFERROR(__xludf.DUMMYFUNCTION("""COMPUTED_VALUE"""),235.6)</f>
        <v>235.6</v>
      </c>
      <c r="C472" s="2">
        <f>IFERROR(__xludf.DUMMYFUNCTION("""COMPUTED_VALUE"""),239.25)</f>
        <v>239.25</v>
      </c>
      <c r="D472" s="2">
        <f>IFERROR(__xludf.DUMMYFUNCTION("""COMPUTED_VALUE"""),231.38)</f>
        <v>231.38</v>
      </c>
      <c r="E472" s="2">
        <f>IFERROR(__xludf.DUMMYFUNCTION("""COMPUTED_VALUE"""),232.38)</f>
        <v>232.38</v>
      </c>
      <c r="F472" s="2">
        <f>IFERROR(__xludf.DUMMYFUNCTION("""COMPUTED_VALUE"""),1124604.0)</f>
        <v>1124604</v>
      </c>
    </row>
    <row r="473">
      <c r="A473" s="3">
        <f>IFERROR(__xludf.DUMMYFUNCTION("""COMPUTED_VALUE"""),38916.645833333336)</f>
        <v>38916.64583</v>
      </c>
      <c r="B473" s="2">
        <f>IFERROR(__xludf.DUMMYFUNCTION("""COMPUTED_VALUE"""),232.5)</f>
        <v>232.5</v>
      </c>
      <c r="C473" s="2">
        <f>IFERROR(__xludf.DUMMYFUNCTION("""COMPUTED_VALUE"""),243.75)</f>
        <v>243.75</v>
      </c>
      <c r="D473" s="2">
        <f>IFERROR(__xludf.DUMMYFUNCTION("""COMPUTED_VALUE"""),226.94)</f>
        <v>226.94</v>
      </c>
      <c r="E473" s="2">
        <f>IFERROR(__xludf.DUMMYFUNCTION("""COMPUTED_VALUE"""),229.31)</f>
        <v>229.31</v>
      </c>
      <c r="F473" s="2">
        <f>IFERROR(__xludf.DUMMYFUNCTION("""COMPUTED_VALUE"""),1380492.0)</f>
        <v>1380492</v>
      </c>
    </row>
    <row r="474">
      <c r="A474" s="3">
        <f>IFERROR(__xludf.DUMMYFUNCTION("""COMPUTED_VALUE"""),38917.645833333336)</f>
        <v>38917.64583</v>
      </c>
      <c r="B474" s="2">
        <f>IFERROR(__xludf.DUMMYFUNCTION("""COMPUTED_VALUE"""),235.25)</f>
        <v>235.25</v>
      </c>
      <c r="C474" s="2">
        <f>IFERROR(__xludf.DUMMYFUNCTION("""COMPUTED_VALUE"""),236.88)</f>
        <v>236.88</v>
      </c>
      <c r="D474" s="2">
        <f>IFERROR(__xludf.DUMMYFUNCTION("""COMPUTED_VALUE"""),218.2)</f>
        <v>218.2</v>
      </c>
      <c r="E474" s="2">
        <f>IFERROR(__xludf.DUMMYFUNCTION("""COMPUTED_VALUE"""),219.7)</f>
        <v>219.7</v>
      </c>
      <c r="F474" s="2">
        <f>IFERROR(__xludf.DUMMYFUNCTION("""COMPUTED_VALUE"""),1755798.0)</f>
        <v>1755798</v>
      </c>
    </row>
    <row r="475">
      <c r="A475" s="3">
        <f>IFERROR(__xludf.DUMMYFUNCTION("""COMPUTED_VALUE"""),38918.645833333336)</f>
        <v>38918.64583</v>
      </c>
      <c r="B475" s="2">
        <f>IFERROR(__xludf.DUMMYFUNCTION("""COMPUTED_VALUE"""),221.99)</f>
        <v>221.99</v>
      </c>
      <c r="C475" s="2">
        <f>IFERROR(__xludf.DUMMYFUNCTION("""COMPUTED_VALUE"""),227.5)</f>
        <v>227.5</v>
      </c>
      <c r="D475" s="2">
        <f>IFERROR(__xludf.DUMMYFUNCTION("""COMPUTED_VALUE"""),221.25)</f>
        <v>221.25</v>
      </c>
      <c r="E475" s="2">
        <f>IFERROR(__xludf.DUMMYFUNCTION("""COMPUTED_VALUE"""),225.77)</f>
        <v>225.77</v>
      </c>
      <c r="F475" s="2">
        <f>IFERROR(__xludf.DUMMYFUNCTION("""COMPUTED_VALUE"""),789090.0)</f>
        <v>789090</v>
      </c>
    </row>
    <row r="476">
      <c r="A476" s="3">
        <f>IFERROR(__xludf.DUMMYFUNCTION("""COMPUTED_VALUE"""),38919.645833333336)</f>
        <v>38919.64583</v>
      </c>
      <c r="B476" s="2">
        <f>IFERROR(__xludf.DUMMYFUNCTION("""COMPUTED_VALUE"""),224.75)</f>
        <v>224.75</v>
      </c>
      <c r="C476" s="2">
        <f>IFERROR(__xludf.DUMMYFUNCTION("""COMPUTED_VALUE"""),225.6)</f>
        <v>225.6</v>
      </c>
      <c r="D476" s="2">
        <f>IFERROR(__xludf.DUMMYFUNCTION("""COMPUTED_VALUE"""),219.08)</f>
        <v>219.08</v>
      </c>
      <c r="E476" s="2">
        <f>IFERROR(__xludf.DUMMYFUNCTION("""COMPUTED_VALUE"""),220.95)</f>
        <v>220.95</v>
      </c>
      <c r="F476" s="2">
        <f>IFERROR(__xludf.DUMMYFUNCTION("""COMPUTED_VALUE"""),548958.0)</f>
        <v>548958</v>
      </c>
    </row>
    <row r="477">
      <c r="A477" s="3">
        <f>IFERROR(__xludf.DUMMYFUNCTION("""COMPUTED_VALUE"""),38922.645833333336)</f>
        <v>38922.64583</v>
      </c>
      <c r="B477" s="2">
        <f>IFERROR(__xludf.DUMMYFUNCTION("""COMPUTED_VALUE"""),224.38)</f>
        <v>224.38</v>
      </c>
      <c r="C477" s="2">
        <f>IFERROR(__xludf.DUMMYFUNCTION("""COMPUTED_VALUE"""),229.0)</f>
        <v>229</v>
      </c>
      <c r="D477" s="2">
        <f>IFERROR(__xludf.DUMMYFUNCTION("""COMPUTED_VALUE"""),216.88)</f>
        <v>216.88</v>
      </c>
      <c r="E477" s="2">
        <f>IFERROR(__xludf.DUMMYFUNCTION("""COMPUTED_VALUE"""),227.26)</f>
        <v>227.26</v>
      </c>
      <c r="F477" s="2">
        <f>IFERROR(__xludf.DUMMYFUNCTION("""COMPUTED_VALUE"""),853136.0)</f>
        <v>853136</v>
      </c>
    </row>
    <row r="478">
      <c r="A478" s="3">
        <f>IFERROR(__xludf.DUMMYFUNCTION("""COMPUTED_VALUE"""),38923.645833333336)</f>
        <v>38923.64583</v>
      </c>
      <c r="B478" s="2">
        <f>IFERROR(__xludf.DUMMYFUNCTION("""COMPUTED_VALUE"""),230.0)</f>
        <v>230</v>
      </c>
      <c r="C478" s="2">
        <f>IFERROR(__xludf.DUMMYFUNCTION("""COMPUTED_VALUE"""),231.88)</f>
        <v>231.88</v>
      </c>
      <c r="D478" s="2">
        <f>IFERROR(__xludf.DUMMYFUNCTION("""COMPUTED_VALUE"""),228.13)</f>
        <v>228.13</v>
      </c>
      <c r="E478" s="2">
        <f>IFERROR(__xludf.DUMMYFUNCTION("""COMPUTED_VALUE"""),230.91)</f>
        <v>230.91</v>
      </c>
      <c r="F478" s="2">
        <f>IFERROR(__xludf.DUMMYFUNCTION("""COMPUTED_VALUE"""),579575.0)</f>
        <v>579575</v>
      </c>
    </row>
    <row r="479">
      <c r="A479" s="3">
        <f>IFERROR(__xludf.DUMMYFUNCTION("""COMPUTED_VALUE"""),38924.645833333336)</f>
        <v>38924.64583</v>
      </c>
      <c r="B479" s="2">
        <f>IFERROR(__xludf.DUMMYFUNCTION("""COMPUTED_VALUE"""),232.25)</f>
        <v>232.25</v>
      </c>
      <c r="C479" s="2">
        <f>IFERROR(__xludf.DUMMYFUNCTION("""COMPUTED_VALUE"""),236.88)</f>
        <v>236.88</v>
      </c>
      <c r="D479" s="2">
        <f>IFERROR(__xludf.DUMMYFUNCTION("""COMPUTED_VALUE"""),229.06)</f>
        <v>229.06</v>
      </c>
      <c r="E479" s="2">
        <f>IFERROR(__xludf.DUMMYFUNCTION("""COMPUTED_VALUE"""),236.1)</f>
        <v>236.1</v>
      </c>
      <c r="F479" s="2">
        <f>IFERROR(__xludf.DUMMYFUNCTION("""COMPUTED_VALUE"""),738590.0)</f>
        <v>738590</v>
      </c>
    </row>
    <row r="480">
      <c r="A480" s="3">
        <f>IFERROR(__xludf.DUMMYFUNCTION("""COMPUTED_VALUE"""),38925.645833333336)</f>
        <v>38925.64583</v>
      </c>
      <c r="B480" s="2">
        <f>IFERROR(__xludf.DUMMYFUNCTION("""COMPUTED_VALUE"""),236.88)</f>
        <v>236.88</v>
      </c>
      <c r="C480" s="2">
        <f>IFERROR(__xludf.DUMMYFUNCTION("""COMPUTED_VALUE"""),239.99)</f>
        <v>239.99</v>
      </c>
      <c r="D480" s="2">
        <f>IFERROR(__xludf.DUMMYFUNCTION("""COMPUTED_VALUE"""),234.44)</f>
        <v>234.44</v>
      </c>
      <c r="E480" s="2">
        <f>IFERROR(__xludf.DUMMYFUNCTION("""COMPUTED_VALUE"""),237.46)</f>
        <v>237.46</v>
      </c>
      <c r="F480" s="2">
        <f>IFERROR(__xludf.DUMMYFUNCTION("""COMPUTED_VALUE"""),924981.0)</f>
        <v>924981</v>
      </c>
    </row>
    <row r="481">
      <c r="A481" s="3">
        <f>IFERROR(__xludf.DUMMYFUNCTION("""COMPUTED_VALUE"""),38926.645833333336)</f>
        <v>38926.64583</v>
      </c>
      <c r="B481" s="2">
        <f>IFERROR(__xludf.DUMMYFUNCTION("""COMPUTED_VALUE"""),235.03)</f>
        <v>235.03</v>
      </c>
      <c r="C481" s="2">
        <f>IFERROR(__xludf.DUMMYFUNCTION("""COMPUTED_VALUE"""),243.74)</f>
        <v>243.74</v>
      </c>
      <c r="D481" s="2">
        <f>IFERROR(__xludf.DUMMYFUNCTION("""COMPUTED_VALUE"""),231.0)</f>
        <v>231</v>
      </c>
      <c r="E481" s="2">
        <f>IFERROR(__xludf.DUMMYFUNCTION("""COMPUTED_VALUE"""),232.11)</f>
        <v>232.11</v>
      </c>
      <c r="F481" s="2">
        <f>IFERROR(__xludf.DUMMYFUNCTION("""COMPUTED_VALUE"""),754902.0)</f>
        <v>754902</v>
      </c>
    </row>
    <row r="482">
      <c r="A482" s="3">
        <f>IFERROR(__xludf.DUMMYFUNCTION("""COMPUTED_VALUE"""),38929.645833333336)</f>
        <v>38929.64583</v>
      </c>
      <c r="B482" s="2">
        <f>IFERROR(__xludf.DUMMYFUNCTION("""COMPUTED_VALUE"""),233.75)</f>
        <v>233.75</v>
      </c>
      <c r="C482" s="2">
        <f>IFERROR(__xludf.DUMMYFUNCTION("""COMPUTED_VALUE"""),241.25)</f>
        <v>241.25</v>
      </c>
      <c r="D482" s="2">
        <f>IFERROR(__xludf.DUMMYFUNCTION("""COMPUTED_VALUE"""),232.5)</f>
        <v>232.5</v>
      </c>
      <c r="E482" s="2">
        <f>IFERROR(__xludf.DUMMYFUNCTION("""COMPUTED_VALUE"""),234.04)</f>
        <v>234.04</v>
      </c>
      <c r="F482" s="2">
        <f>IFERROR(__xludf.DUMMYFUNCTION("""COMPUTED_VALUE"""),431175.0)</f>
        <v>431175</v>
      </c>
    </row>
    <row r="483">
      <c r="A483" s="3">
        <f>IFERROR(__xludf.DUMMYFUNCTION("""COMPUTED_VALUE"""),38930.645833333336)</f>
        <v>38930.64583</v>
      </c>
      <c r="B483" s="2">
        <f>IFERROR(__xludf.DUMMYFUNCTION("""COMPUTED_VALUE"""),215.75)</f>
        <v>215.75</v>
      </c>
      <c r="C483" s="2">
        <f>IFERROR(__xludf.DUMMYFUNCTION("""COMPUTED_VALUE"""),234.94)</f>
        <v>234.94</v>
      </c>
      <c r="D483" s="2">
        <f>IFERROR(__xludf.DUMMYFUNCTION("""COMPUTED_VALUE"""),215.75)</f>
        <v>215.75</v>
      </c>
      <c r="E483" s="2">
        <f>IFERROR(__xludf.DUMMYFUNCTION("""COMPUTED_VALUE"""),233.0)</f>
        <v>233</v>
      </c>
      <c r="F483" s="2">
        <f>IFERROR(__xludf.DUMMYFUNCTION("""COMPUTED_VALUE"""),440627.0)</f>
        <v>440627</v>
      </c>
    </row>
    <row r="484">
      <c r="A484" s="3">
        <f>IFERROR(__xludf.DUMMYFUNCTION("""COMPUTED_VALUE"""),38931.645833333336)</f>
        <v>38931.64583</v>
      </c>
      <c r="B484" s="2">
        <f>IFERROR(__xludf.DUMMYFUNCTION("""COMPUTED_VALUE"""),231.25)</f>
        <v>231.25</v>
      </c>
      <c r="C484" s="2">
        <f>IFERROR(__xludf.DUMMYFUNCTION("""COMPUTED_VALUE"""),235.63)</f>
        <v>235.63</v>
      </c>
      <c r="D484" s="2">
        <f>IFERROR(__xludf.DUMMYFUNCTION("""COMPUTED_VALUE"""),230.0)</f>
        <v>230</v>
      </c>
      <c r="E484" s="2">
        <f>IFERROR(__xludf.DUMMYFUNCTION("""COMPUTED_VALUE"""),235.05)</f>
        <v>235.05</v>
      </c>
      <c r="F484" s="2">
        <f>IFERROR(__xludf.DUMMYFUNCTION("""COMPUTED_VALUE"""),446183.0)</f>
        <v>446183</v>
      </c>
    </row>
    <row r="485">
      <c r="A485" s="3">
        <f>IFERROR(__xludf.DUMMYFUNCTION("""COMPUTED_VALUE"""),38932.645833333336)</f>
        <v>38932.64583</v>
      </c>
      <c r="B485" s="2">
        <f>IFERROR(__xludf.DUMMYFUNCTION("""COMPUTED_VALUE"""),235.63)</f>
        <v>235.63</v>
      </c>
      <c r="C485" s="2">
        <f>IFERROR(__xludf.DUMMYFUNCTION("""COMPUTED_VALUE"""),238.0)</f>
        <v>238</v>
      </c>
      <c r="D485" s="2">
        <f>IFERROR(__xludf.DUMMYFUNCTION("""COMPUTED_VALUE"""),234.28)</f>
        <v>234.28</v>
      </c>
      <c r="E485" s="2">
        <f>IFERROR(__xludf.DUMMYFUNCTION("""COMPUTED_VALUE"""),236.18)</f>
        <v>236.18</v>
      </c>
      <c r="F485" s="2">
        <f>IFERROR(__xludf.DUMMYFUNCTION("""COMPUTED_VALUE"""),752568.0)</f>
        <v>752568</v>
      </c>
    </row>
    <row r="486">
      <c r="A486" s="3">
        <f>IFERROR(__xludf.DUMMYFUNCTION("""COMPUTED_VALUE"""),38933.645833333336)</f>
        <v>38933.64583</v>
      </c>
      <c r="B486" s="2">
        <f>IFERROR(__xludf.DUMMYFUNCTION("""COMPUTED_VALUE"""),240.0)</f>
        <v>240</v>
      </c>
      <c r="C486" s="2">
        <f>IFERROR(__xludf.DUMMYFUNCTION("""COMPUTED_VALUE"""),240.95)</f>
        <v>240.95</v>
      </c>
      <c r="D486" s="2">
        <f>IFERROR(__xludf.DUMMYFUNCTION("""COMPUTED_VALUE"""),235.75)</f>
        <v>235.75</v>
      </c>
      <c r="E486" s="2">
        <f>IFERROR(__xludf.DUMMYFUNCTION("""COMPUTED_VALUE"""),237.14)</f>
        <v>237.14</v>
      </c>
      <c r="F486" s="2">
        <f>IFERROR(__xludf.DUMMYFUNCTION("""COMPUTED_VALUE"""),668550.0)</f>
        <v>668550</v>
      </c>
    </row>
    <row r="487">
      <c r="A487" s="3">
        <f>IFERROR(__xludf.DUMMYFUNCTION("""COMPUTED_VALUE"""),38936.645833333336)</f>
        <v>38936.64583</v>
      </c>
      <c r="B487" s="2">
        <f>IFERROR(__xludf.DUMMYFUNCTION("""COMPUTED_VALUE"""),237.75)</f>
        <v>237.75</v>
      </c>
      <c r="C487" s="2">
        <f>IFERROR(__xludf.DUMMYFUNCTION("""COMPUTED_VALUE"""),238.0)</f>
        <v>238</v>
      </c>
      <c r="D487" s="2">
        <f>IFERROR(__xludf.DUMMYFUNCTION("""COMPUTED_VALUE"""),232.75)</f>
        <v>232.75</v>
      </c>
      <c r="E487" s="2">
        <f>IFERROR(__xludf.DUMMYFUNCTION("""COMPUTED_VALUE"""),234.03)</f>
        <v>234.03</v>
      </c>
      <c r="F487" s="2">
        <f>IFERROR(__xludf.DUMMYFUNCTION("""COMPUTED_VALUE"""),429991.0)</f>
        <v>429991</v>
      </c>
    </row>
    <row r="488">
      <c r="A488" s="3">
        <f>IFERROR(__xludf.DUMMYFUNCTION("""COMPUTED_VALUE"""),38937.645833333336)</f>
        <v>38937.64583</v>
      </c>
      <c r="B488" s="2">
        <f>IFERROR(__xludf.DUMMYFUNCTION("""COMPUTED_VALUE"""),235.0)</f>
        <v>235</v>
      </c>
      <c r="C488" s="2">
        <f>IFERROR(__xludf.DUMMYFUNCTION("""COMPUTED_VALUE"""),239.5)</f>
        <v>239.5</v>
      </c>
      <c r="D488" s="2">
        <f>IFERROR(__xludf.DUMMYFUNCTION("""COMPUTED_VALUE"""),233.75)</f>
        <v>233.75</v>
      </c>
      <c r="E488" s="2">
        <f>IFERROR(__xludf.DUMMYFUNCTION("""COMPUTED_VALUE"""),238.7)</f>
        <v>238.7</v>
      </c>
      <c r="F488" s="2">
        <f>IFERROR(__xludf.DUMMYFUNCTION("""COMPUTED_VALUE"""),294600.0)</f>
        <v>294600</v>
      </c>
    </row>
    <row r="489">
      <c r="A489" s="3">
        <f>IFERROR(__xludf.DUMMYFUNCTION("""COMPUTED_VALUE"""),38938.645833333336)</f>
        <v>38938.64583</v>
      </c>
      <c r="B489" s="2">
        <f>IFERROR(__xludf.DUMMYFUNCTION("""COMPUTED_VALUE"""),237.5)</f>
        <v>237.5</v>
      </c>
      <c r="C489" s="2">
        <f>IFERROR(__xludf.DUMMYFUNCTION("""COMPUTED_VALUE"""),243.75)</f>
        <v>243.75</v>
      </c>
      <c r="D489" s="2">
        <f>IFERROR(__xludf.DUMMYFUNCTION("""COMPUTED_VALUE"""),235.88)</f>
        <v>235.88</v>
      </c>
      <c r="E489" s="2">
        <f>IFERROR(__xludf.DUMMYFUNCTION("""COMPUTED_VALUE"""),241.53)</f>
        <v>241.53</v>
      </c>
      <c r="F489" s="2">
        <f>IFERROR(__xludf.DUMMYFUNCTION("""COMPUTED_VALUE"""),513030.0)</f>
        <v>513030</v>
      </c>
    </row>
    <row r="490">
      <c r="A490" s="3">
        <f>IFERROR(__xludf.DUMMYFUNCTION("""COMPUTED_VALUE"""),38939.645833333336)</f>
        <v>38939.64583</v>
      </c>
      <c r="B490" s="2">
        <f>IFERROR(__xludf.DUMMYFUNCTION("""COMPUTED_VALUE"""),240.25)</f>
        <v>240.25</v>
      </c>
      <c r="C490" s="2">
        <f>IFERROR(__xludf.DUMMYFUNCTION("""COMPUTED_VALUE"""),243.75)</f>
        <v>243.75</v>
      </c>
      <c r="D490" s="2">
        <f>IFERROR(__xludf.DUMMYFUNCTION("""COMPUTED_VALUE"""),240.0)</f>
        <v>240</v>
      </c>
      <c r="E490" s="2">
        <f>IFERROR(__xludf.DUMMYFUNCTION("""COMPUTED_VALUE"""),241.44)</f>
        <v>241.44</v>
      </c>
      <c r="F490" s="2">
        <f>IFERROR(__xludf.DUMMYFUNCTION("""COMPUTED_VALUE"""),569781.0)</f>
        <v>569781</v>
      </c>
    </row>
    <row r="491">
      <c r="A491" s="3">
        <f>IFERROR(__xludf.DUMMYFUNCTION("""COMPUTED_VALUE"""),38940.645833333336)</f>
        <v>38940.64583</v>
      </c>
      <c r="B491" s="2">
        <f>IFERROR(__xludf.DUMMYFUNCTION("""COMPUTED_VALUE"""),242.48)</f>
        <v>242.48</v>
      </c>
      <c r="C491" s="2">
        <f>IFERROR(__xludf.DUMMYFUNCTION("""COMPUTED_VALUE"""),243.46)</f>
        <v>243.46</v>
      </c>
      <c r="D491" s="2">
        <f>IFERROR(__xludf.DUMMYFUNCTION("""COMPUTED_VALUE"""),239.25)</f>
        <v>239.25</v>
      </c>
      <c r="E491" s="2">
        <f>IFERROR(__xludf.DUMMYFUNCTION("""COMPUTED_VALUE"""),241.9)</f>
        <v>241.9</v>
      </c>
      <c r="F491" s="2">
        <f>IFERROR(__xludf.DUMMYFUNCTION("""COMPUTED_VALUE"""),473493.0)</f>
        <v>473493</v>
      </c>
    </row>
    <row r="492">
      <c r="A492" s="3">
        <f>IFERROR(__xludf.DUMMYFUNCTION("""COMPUTED_VALUE"""),38943.645833333336)</f>
        <v>38943.64583</v>
      </c>
      <c r="B492" s="2">
        <f>IFERROR(__xludf.DUMMYFUNCTION("""COMPUTED_VALUE"""),243.44)</f>
        <v>243.44</v>
      </c>
      <c r="C492" s="2">
        <f>IFERROR(__xludf.DUMMYFUNCTION("""COMPUTED_VALUE"""),243.75)</f>
        <v>243.75</v>
      </c>
      <c r="D492" s="2">
        <f>IFERROR(__xludf.DUMMYFUNCTION("""COMPUTED_VALUE"""),239.75)</f>
        <v>239.75</v>
      </c>
      <c r="E492" s="2">
        <f>IFERROR(__xludf.DUMMYFUNCTION("""COMPUTED_VALUE"""),241.16)</f>
        <v>241.16</v>
      </c>
      <c r="F492" s="2">
        <f>IFERROR(__xludf.DUMMYFUNCTION("""COMPUTED_VALUE"""),430357.0)</f>
        <v>430357</v>
      </c>
    </row>
    <row r="493">
      <c r="A493" s="3">
        <f>IFERROR(__xludf.DUMMYFUNCTION("""COMPUTED_VALUE"""),38945.645833333336)</f>
        <v>38945.64583</v>
      </c>
      <c r="B493" s="2">
        <f>IFERROR(__xludf.DUMMYFUNCTION("""COMPUTED_VALUE"""),244.75)</f>
        <v>244.75</v>
      </c>
      <c r="C493" s="2">
        <f>IFERROR(__xludf.DUMMYFUNCTION("""COMPUTED_VALUE"""),246.13)</f>
        <v>246.13</v>
      </c>
      <c r="D493" s="2">
        <f>IFERROR(__xludf.DUMMYFUNCTION("""COMPUTED_VALUE"""),242.0)</f>
        <v>242</v>
      </c>
      <c r="E493" s="2">
        <f>IFERROR(__xludf.DUMMYFUNCTION("""COMPUTED_VALUE"""),243.05)</f>
        <v>243.05</v>
      </c>
      <c r="F493" s="2">
        <f>IFERROR(__xludf.DUMMYFUNCTION("""COMPUTED_VALUE"""),951067.0)</f>
        <v>951067</v>
      </c>
    </row>
    <row r="494">
      <c r="A494" s="3">
        <f>IFERROR(__xludf.DUMMYFUNCTION("""COMPUTED_VALUE"""),38946.645833333336)</f>
        <v>38946.64583</v>
      </c>
      <c r="B494" s="2">
        <f>IFERROR(__xludf.DUMMYFUNCTION("""COMPUTED_VALUE"""),243.75)</f>
        <v>243.75</v>
      </c>
      <c r="C494" s="2">
        <f>IFERROR(__xludf.DUMMYFUNCTION("""COMPUTED_VALUE"""),245.75)</f>
        <v>245.75</v>
      </c>
      <c r="D494" s="2">
        <f>IFERROR(__xludf.DUMMYFUNCTION("""COMPUTED_VALUE"""),239.5)</f>
        <v>239.5</v>
      </c>
      <c r="E494" s="2">
        <f>IFERROR(__xludf.DUMMYFUNCTION("""COMPUTED_VALUE"""),240.04)</f>
        <v>240.04</v>
      </c>
      <c r="F494" s="2">
        <f>IFERROR(__xludf.DUMMYFUNCTION("""COMPUTED_VALUE"""),624292.0)</f>
        <v>624292</v>
      </c>
    </row>
    <row r="495">
      <c r="A495" s="3">
        <f>IFERROR(__xludf.DUMMYFUNCTION("""COMPUTED_VALUE"""),38947.645833333336)</f>
        <v>38947.64583</v>
      </c>
      <c r="B495" s="2">
        <f>IFERROR(__xludf.DUMMYFUNCTION("""COMPUTED_VALUE"""),241.25)</f>
        <v>241.25</v>
      </c>
      <c r="C495" s="2">
        <f>IFERROR(__xludf.DUMMYFUNCTION("""COMPUTED_VALUE"""),243.13)</f>
        <v>243.13</v>
      </c>
      <c r="D495" s="2">
        <f>IFERROR(__xludf.DUMMYFUNCTION("""COMPUTED_VALUE"""),240.0)</f>
        <v>240</v>
      </c>
      <c r="E495" s="2">
        <f>IFERROR(__xludf.DUMMYFUNCTION("""COMPUTED_VALUE"""),242.43)</f>
        <v>242.43</v>
      </c>
      <c r="F495" s="2">
        <f>IFERROR(__xludf.DUMMYFUNCTION("""COMPUTED_VALUE"""),450910.0)</f>
        <v>450910</v>
      </c>
    </row>
    <row r="496">
      <c r="A496" s="3">
        <f>IFERROR(__xludf.DUMMYFUNCTION("""COMPUTED_VALUE"""),38950.645833333336)</f>
        <v>38950.64583</v>
      </c>
      <c r="B496" s="2">
        <f>IFERROR(__xludf.DUMMYFUNCTION("""COMPUTED_VALUE"""),244.0)</f>
        <v>244</v>
      </c>
      <c r="C496" s="2">
        <f>IFERROR(__xludf.DUMMYFUNCTION("""COMPUTED_VALUE"""),244.0)</f>
        <v>244</v>
      </c>
      <c r="D496" s="2">
        <f>IFERROR(__xludf.DUMMYFUNCTION("""COMPUTED_VALUE"""),239.25)</f>
        <v>239.25</v>
      </c>
      <c r="E496" s="2">
        <f>IFERROR(__xludf.DUMMYFUNCTION("""COMPUTED_VALUE"""),242.33)</f>
        <v>242.33</v>
      </c>
      <c r="F496" s="2">
        <f>IFERROR(__xludf.DUMMYFUNCTION("""COMPUTED_VALUE"""),603522.0)</f>
        <v>603522</v>
      </c>
    </row>
    <row r="497">
      <c r="A497" s="3">
        <f>IFERROR(__xludf.DUMMYFUNCTION("""COMPUTED_VALUE"""),38951.645833333336)</f>
        <v>38951.64583</v>
      </c>
      <c r="B497" s="2">
        <f>IFERROR(__xludf.DUMMYFUNCTION("""COMPUTED_VALUE"""),243.0)</f>
        <v>243</v>
      </c>
      <c r="C497" s="2">
        <f>IFERROR(__xludf.DUMMYFUNCTION("""COMPUTED_VALUE"""),245.75)</f>
        <v>245.75</v>
      </c>
      <c r="D497" s="2">
        <f>IFERROR(__xludf.DUMMYFUNCTION("""COMPUTED_VALUE"""),242.5)</f>
        <v>242.5</v>
      </c>
      <c r="E497" s="2">
        <f>IFERROR(__xludf.DUMMYFUNCTION("""COMPUTED_VALUE"""),243.85)</f>
        <v>243.85</v>
      </c>
      <c r="F497" s="2">
        <f>IFERROR(__xludf.DUMMYFUNCTION("""COMPUTED_VALUE"""),544524.0)</f>
        <v>544524</v>
      </c>
    </row>
    <row r="498">
      <c r="A498" s="3">
        <f>IFERROR(__xludf.DUMMYFUNCTION("""COMPUTED_VALUE"""),38952.645833333336)</f>
        <v>38952.64583</v>
      </c>
      <c r="B498" s="2">
        <f>IFERROR(__xludf.DUMMYFUNCTION("""COMPUTED_VALUE"""),244.0)</f>
        <v>244</v>
      </c>
      <c r="C498" s="2">
        <f>IFERROR(__xludf.DUMMYFUNCTION("""COMPUTED_VALUE"""),244.69)</f>
        <v>244.69</v>
      </c>
      <c r="D498" s="2">
        <f>IFERROR(__xludf.DUMMYFUNCTION("""COMPUTED_VALUE"""),240.03)</f>
        <v>240.03</v>
      </c>
      <c r="E498" s="2">
        <f>IFERROR(__xludf.DUMMYFUNCTION("""COMPUTED_VALUE"""),240.78)</f>
        <v>240.78</v>
      </c>
      <c r="F498" s="2">
        <f>IFERROR(__xludf.DUMMYFUNCTION("""COMPUTED_VALUE"""),624434.0)</f>
        <v>624434</v>
      </c>
    </row>
    <row r="499">
      <c r="A499" s="3">
        <f>IFERROR(__xludf.DUMMYFUNCTION("""COMPUTED_VALUE"""),38953.645833333336)</f>
        <v>38953.64583</v>
      </c>
      <c r="B499" s="2">
        <f>IFERROR(__xludf.DUMMYFUNCTION("""COMPUTED_VALUE"""),242.5)</f>
        <v>242.5</v>
      </c>
      <c r="C499" s="2">
        <f>IFERROR(__xludf.DUMMYFUNCTION("""COMPUTED_VALUE"""),243.73)</f>
        <v>243.73</v>
      </c>
      <c r="D499" s="2">
        <f>IFERROR(__xludf.DUMMYFUNCTION("""COMPUTED_VALUE"""),238.31)</f>
        <v>238.31</v>
      </c>
      <c r="E499" s="2">
        <f>IFERROR(__xludf.DUMMYFUNCTION("""COMPUTED_VALUE"""),242.6)</f>
        <v>242.6</v>
      </c>
      <c r="F499" s="2">
        <f>IFERROR(__xludf.DUMMYFUNCTION("""COMPUTED_VALUE"""),592463.0)</f>
        <v>592463</v>
      </c>
    </row>
    <row r="500">
      <c r="A500" s="3">
        <f>IFERROR(__xludf.DUMMYFUNCTION("""COMPUTED_VALUE"""),38954.645833333336)</f>
        <v>38954.64583</v>
      </c>
      <c r="B500" s="2">
        <f>IFERROR(__xludf.DUMMYFUNCTION("""COMPUTED_VALUE"""),242.75)</f>
        <v>242.75</v>
      </c>
      <c r="C500" s="2">
        <f>IFERROR(__xludf.DUMMYFUNCTION("""COMPUTED_VALUE"""),244.23)</f>
        <v>244.23</v>
      </c>
      <c r="D500" s="2">
        <f>IFERROR(__xludf.DUMMYFUNCTION("""COMPUTED_VALUE"""),241.91)</f>
        <v>241.91</v>
      </c>
      <c r="E500" s="2">
        <f>IFERROR(__xludf.DUMMYFUNCTION("""COMPUTED_VALUE"""),243.6)</f>
        <v>243.6</v>
      </c>
      <c r="F500" s="2">
        <f>IFERROR(__xludf.DUMMYFUNCTION("""COMPUTED_VALUE"""),652938.0)</f>
        <v>652938</v>
      </c>
    </row>
    <row r="501">
      <c r="A501" s="3">
        <f>IFERROR(__xludf.DUMMYFUNCTION("""COMPUTED_VALUE"""),38957.645833333336)</f>
        <v>38957.64583</v>
      </c>
      <c r="B501" s="2">
        <f>IFERROR(__xludf.DUMMYFUNCTION("""COMPUTED_VALUE"""),243.75)</f>
        <v>243.75</v>
      </c>
      <c r="C501" s="2">
        <f>IFERROR(__xludf.DUMMYFUNCTION("""COMPUTED_VALUE"""),246.33)</f>
        <v>246.33</v>
      </c>
      <c r="D501" s="2">
        <f>IFERROR(__xludf.DUMMYFUNCTION("""COMPUTED_VALUE"""),242.08)</f>
        <v>242.08</v>
      </c>
      <c r="E501" s="2">
        <f>IFERROR(__xludf.DUMMYFUNCTION("""COMPUTED_VALUE"""),245.28)</f>
        <v>245.28</v>
      </c>
      <c r="F501" s="2">
        <f>IFERROR(__xludf.DUMMYFUNCTION("""COMPUTED_VALUE"""),575079.0)</f>
        <v>575079</v>
      </c>
    </row>
    <row r="502">
      <c r="A502" s="3">
        <f>IFERROR(__xludf.DUMMYFUNCTION("""COMPUTED_VALUE"""),38958.645833333336)</f>
        <v>38958.64583</v>
      </c>
      <c r="B502" s="2">
        <f>IFERROR(__xludf.DUMMYFUNCTION("""COMPUTED_VALUE"""),246.25)</f>
        <v>246.25</v>
      </c>
      <c r="C502" s="2">
        <f>IFERROR(__xludf.DUMMYFUNCTION("""COMPUTED_VALUE"""),248.0)</f>
        <v>248</v>
      </c>
      <c r="D502" s="2">
        <f>IFERROR(__xludf.DUMMYFUNCTION("""COMPUTED_VALUE"""),245.75)</f>
        <v>245.75</v>
      </c>
      <c r="E502" s="2">
        <f>IFERROR(__xludf.DUMMYFUNCTION("""COMPUTED_VALUE"""),247.53)</f>
        <v>247.53</v>
      </c>
      <c r="F502" s="2">
        <f>IFERROR(__xludf.DUMMYFUNCTION("""COMPUTED_VALUE"""),669899.0)</f>
        <v>669899</v>
      </c>
    </row>
    <row r="503">
      <c r="A503" s="3">
        <f>IFERROR(__xludf.DUMMYFUNCTION("""COMPUTED_VALUE"""),38959.645833333336)</f>
        <v>38959.64583</v>
      </c>
      <c r="B503" s="2">
        <f>IFERROR(__xludf.DUMMYFUNCTION("""COMPUTED_VALUE"""),247.78)</f>
        <v>247.78</v>
      </c>
      <c r="C503" s="2">
        <f>IFERROR(__xludf.DUMMYFUNCTION("""COMPUTED_VALUE"""),248.75)</f>
        <v>248.75</v>
      </c>
      <c r="D503" s="2">
        <f>IFERROR(__xludf.DUMMYFUNCTION("""COMPUTED_VALUE"""),245.26)</f>
        <v>245.26</v>
      </c>
      <c r="E503" s="2">
        <f>IFERROR(__xludf.DUMMYFUNCTION("""COMPUTED_VALUE"""),245.95)</f>
        <v>245.95</v>
      </c>
      <c r="F503" s="2">
        <f>IFERROR(__xludf.DUMMYFUNCTION("""COMPUTED_VALUE"""),686193.0)</f>
        <v>686193</v>
      </c>
    </row>
    <row r="504">
      <c r="A504" s="3">
        <f>IFERROR(__xludf.DUMMYFUNCTION("""COMPUTED_VALUE"""),38960.645833333336)</f>
        <v>38960.64583</v>
      </c>
      <c r="B504" s="2">
        <f>IFERROR(__xludf.DUMMYFUNCTION("""COMPUTED_VALUE"""),246.0)</f>
        <v>246</v>
      </c>
      <c r="C504" s="2">
        <f>IFERROR(__xludf.DUMMYFUNCTION("""COMPUTED_VALUE"""),251.0)</f>
        <v>251</v>
      </c>
      <c r="D504" s="2">
        <f>IFERROR(__xludf.DUMMYFUNCTION("""COMPUTED_VALUE"""),246.0)</f>
        <v>246</v>
      </c>
      <c r="E504" s="2">
        <f>IFERROR(__xludf.DUMMYFUNCTION("""COMPUTED_VALUE"""),249.51)</f>
        <v>249.51</v>
      </c>
      <c r="F504" s="2">
        <f>IFERROR(__xludf.DUMMYFUNCTION("""COMPUTED_VALUE"""),1519214.0)</f>
        <v>1519214</v>
      </c>
    </row>
    <row r="505">
      <c r="A505" s="3">
        <f>IFERROR(__xludf.DUMMYFUNCTION("""COMPUTED_VALUE"""),38961.645833333336)</f>
        <v>38961.64583</v>
      </c>
      <c r="B505" s="2">
        <f>IFERROR(__xludf.DUMMYFUNCTION("""COMPUTED_VALUE"""),249.0)</f>
        <v>249</v>
      </c>
      <c r="C505" s="2">
        <f>IFERROR(__xludf.DUMMYFUNCTION("""COMPUTED_VALUE"""),250.25)</f>
        <v>250.25</v>
      </c>
      <c r="D505" s="2">
        <f>IFERROR(__xludf.DUMMYFUNCTION("""COMPUTED_VALUE"""),247.78)</f>
        <v>247.78</v>
      </c>
      <c r="E505" s="2">
        <f>IFERROR(__xludf.DUMMYFUNCTION("""COMPUTED_VALUE"""),249.81)</f>
        <v>249.81</v>
      </c>
      <c r="F505" s="2">
        <f>IFERROR(__xludf.DUMMYFUNCTION("""COMPUTED_VALUE"""),432182.0)</f>
        <v>432182</v>
      </c>
    </row>
    <row r="506">
      <c r="A506" s="3">
        <f>IFERROR(__xludf.DUMMYFUNCTION("""COMPUTED_VALUE"""),38964.645833333336)</f>
        <v>38964.64583</v>
      </c>
      <c r="B506" s="2">
        <f>IFERROR(__xludf.DUMMYFUNCTION("""COMPUTED_VALUE"""),249.75)</f>
        <v>249.75</v>
      </c>
      <c r="C506" s="2">
        <f>IFERROR(__xludf.DUMMYFUNCTION("""COMPUTED_VALUE"""),255.0)</f>
        <v>255</v>
      </c>
      <c r="D506" s="2">
        <f>IFERROR(__xludf.DUMMYFUNCTION("""COMPUTED_VALUE"""),249.75)</f>
        <v>249.75</v>
      </c>
      <c r="E506" s="2">
        <f>IFERROR(__xludf.DUMMYFUNCTION("""COMPUTED_VALUE"""),254.29)</f>
        <v>254.29</v>
      </c>
      <c r="F506" s="2">
        <f>IFERROR(__xludf.DUMMYFUNCTION("""COMPUTED_VALUE"""),502623.0)</f>
        <v>502623</v>
      </c>
    </row>
    <row r="507">
      <c r="A507" s="3">
        <f>IFERROR(__xludf.DUMMYFUNCTION("""COMPUTED_VALUE"""),38965.645833333336)</f>
        <v>38965.64583</v>
      </c>
      <c r="B507" s="2">
        <f>IFERROR(__xludf.DUMMYFUNCTION("""COMPUTED_VALUE"""),255.75)</f>
        <v>255.75</v>
      </c>
      <c r="C507" s="2">
        <f>IFERROR(__xludf.DUMMYFUNCTION("""COMPUTED_VALUE"""),257.5)</f>
        <v>257.5</v>
      </c>
      <c r="D507" s="2">
        <f>IFERROR(__xludf.DUMMYFUNCTION("""COMPUTED_VALUE"""),250.25)</f>
        <v>250.25</v>
      </c>
      <c r="E507" s="2">
        <f>IFERROR(__xludf.DUMMYFUNCTION("""COMPUTED_VALUE"""),251.45)</f>
        <v>251.45</v>
      </c>
      <c r="F507" s="2">
        <f>IFERROR(__xludf.DUMMYFUNCTION("""COMPUTED_VALUE"""),986322.0)</f>
        <v>986322</v>
      </c>
    </row>
    <row r="508">
      <c r="A508" s="3">
        <f>IFERROR(__xludf.DUMMYFUNCTION("""COMPUTED_VALUE"""),38966.645833333336)</f>
        <v>38966.64583</v>
      </c>
      <c r="B508" s="2">
        <f>IFERROR(__xludf.DUMMYFUNCTION("""COMPUTED_VALUE"""),254.38)</f>
        <v>254.38</v>
      </c>
      <c r="C508" s="2">
        <f>IFERROR(__xludf.DUMMYFUNCTION("""COMPUTED_VALUE"""),254.38)</f>
        <v>254.38</v>
      </c>
      <c r="D508" s="2">
        <f>IFERROR(__xludf.DUMMYFUNCTION("""COMPUTED_VALUE"""),247.78)</f>
        <v>247.78</v>
      </c>
      <c r="E508" s="2">
        <f>IFERROR(__xludf.DUMMYFUNCTION("""COMPUTED_VALUE"""),248.4)</f>
        <v>248.4</v>
      </c>
      <c r="F508" s="2">
        <f>IFERROR(__xludf.DUMMYFUNCTION("""COMPUTED_VALUE"""),700108.0)</f>
        <v>700108</v>
      </c>
    </row>
    <row r="509">
      <c r="A509" s="3">
        <f>IFERROR(__xludf.DUMMYFUNCTION("""COMPUTED_VALUE"""),38967.645833333336)</f>
        <v>38967.64583</v>
      </c>
      <c r="B509" s="2">
        <f>IFERROR(__xludf.DUMMYFUNCTION("""COMPUTED_VALUE"""),245.08)</f>
        <v>245.08</v>
      </c>
      <c r="C509" s="2">
        <f>IFERROR(__xludf.DUMMYFUNCTION("""COMPUTED_VALUE"""),248.75)</f>
        <v>248.75</v>
      </c>
      <c r="D509" s="2">
        <f>IFERROR(__xludf.DUMMYFUNCTION("""COMPUTED_VALUE"""),245.08)</f>
        <v>245.08</v>
      </c>
      <c r="E509" s="2">
        <f>IFERROR(__xludf.DUMMYFUNCTION("""COMPUTED_VALUE"""),246.68)</f>
        <v>246.68</v>
      </c>
      <c r="F509" s="2">
        <f>IFERROR(__xludf.DUMMYFUNCTION("""COMPUTED_VALUE"""),395896.0)</f>
        <v>395896</v>
      </c>
    </row>
    <row r="510">
      <c r="A510" s="3">
        <f>IFERROR(__xludf.DUMMYFUNCTION("""COMPUTED_VALUE"""),38968.645833333336)</f>
        <v>38968.64583</v>
      </c>
      <c r="B510" s="2">
        <f>IFERROR(__xludf.DUMMYFUNCTION("""COMPUTED_VALUE"""),251.5)</f>
        <v>251.5</v>
      </c>
      <c r="C510" s="2">
        <f>IFERROR(__xludf.DUMMYFUNCTION("""COMPUTED_VALUE"""),251.5)</f>
        <v>251.5</v>
      </c>
      <c r="D510" s="2">
        <f>IFERROR(__xludf.DUMMYFUNCTION("""COMPUTED_VALUE"""),246.25)</f>
        <v>246.25</v>
      </c>
      <c r="E510" s="2">
        <f>IFERROR(__xludf.DUMMYFUNCTION("""COMPUTED_VALUE"""),247.75)</f>
        <v>247.75</v>
      </c>
      <c r="F510" s="2">
        <f>IFERROR(__xludf.DUMMYFUNCTION("""COMPUTED_VALUE"""),392641.0)</f>
        <v>392641</v>
      </c>
    </row>
    <row r="511">
      <c r="A511" s="3">
        <f>IFERROR(__xludf.DUMMYFUNCTION("""COMPUTED_VALUE"""),38971.645833333336)</f>
        <v>38971.64583</v>
      </c>
      <c r="B511" s="2">
        <f>IFERROR(__xludf.DUMMYFUNCTION("""COMPUTED_VALUE"""),249.75)</f>
        <v>249.75</v>
      </c>
      <c r="C511" s="2">
        <f>IFERROR(__xludf.DUMMYFUNCTION("""COMPUTED_VALUE"""),249.75)</f>
        <v>249.75</v>
      </c>
      <c r="D511" s="2">
        <f>IFERROR(__xludf.DUMMYFUNCTION("""COMPUTED_VALUE"""),237.25)</f>
        <v>237.25</v>
      </c>
      <c r="E511" s="2">
        <f>IFERROR(__xludf.DUMMYFUNCTION("""COMPUTED_VALUE"""),238.36)</f>
        <v>238.36</v>
      </c>
      <c r="F511" s="2">
        <f>IFERROR(__xludf.DUMMYFUNCTION("""COMPUTED_VALUE"""),1018370.0)</f>
        <v>1018370</v>
      </c>
    </row>
    <row r="512">
      <c r="A512" s="3">
        <f>IFERROR(__xludf.DUMMYFUNCTION("""COMPUTED_VALUE"""),38972.645833333336)</f>
        <v>38972.64583</v>
      </c>
      <c r="B512" s="2">
        <f>IFERROR(__xludf.DUMMYFUNCTION("""COMPUTED_VALUE"""),238.75)</f>
        <v>238.75</v>
      </c>
      <c r="C512" s="2">
        <f>IFERROR(__xludf.DUMMYFUNCTION("""COMPUTED_VALUE"""),245.0)</f>
        <v>245</v>
      </c>
      <c r="D512" s="2">
        <f>IFERROR(__xludf.DUMMYFUNCTION("""COMPUTED_VALUE"""),238.0)</f>
        <v>238</v>
      </c>
      <c r="E512" s="2">
        <f>IFERROR(__xludf.DUMMYFUNCTION("""COMPUTED_VALUE"""),244.48)</f>
        <v>244.48</v>
      </c>
      <c r="F512" s="2">
        <f>IFERROR(__xludf.DUMMYFUNCTION("""COMPUTED_VALUE"""),458814.0)</f>
        <v>458814</v>
      </c>
    </row>
    <row r="513">
      <c r="A513" s="3">
        <f>IFERROR(__xludf.DUMMYFUNCTION("""COMPUTED_VALUE"""),38973.645833333336)</f>
        <v>38973.64583</v>
      </c>
      <c r="B513" s="2">
        <f>IFERROR(__xludf.DUMMYFUNCTION("""COMPUTED_VALUE"""),245.75)</f>
        <v>245.75</v>
      </c>
      <c r="C513" s="2">
        <f>IFERROR(__xludf.DUMMYFUNCTION("""COMPUTED_VALUE"""),252.0)</f>
        <v>252</v>
      </c>
      <c r="D513" s="2">
        <f>IFERROR(__xludf.DUMMYFUNCTION("""COMPUTED_VALUE"""),245.25)</f>
        <v>245.25</v>
      </c>
      <c r="E513" s="2">
        <f>IFERROR(__xludf.DUMMYFUNCTION("""COMPUTED_VALUE"""),249.99)</f>
        <v>249.99</v>
      </c>
      <c r="F513" s="2">
        <f>IFERROR(__xludf.DUMMYFUNCTION("""COMPUTED_VALUE"""),576908.0)</f>
        <v>576908</v>
      </c>
    </row>
    <row r="514">
      <c r="A514" s="3">
        <f>IFERROR(__xludf.DUMMYFUNCTION("""COMPUTED_VALUE"""),38974.645833333336)</f>
        <v>38974.64583</v>
      </c>
      <c r="B514" s="2">
        <f>IFERROR(__xludf.DUMMYFUNCTION("""COMPUTED_VALUE"""),252.25)</f>
        <v>252.25</v>
      </c>
      <c r="C514" s="2">
        <f>IFERROR(__xludf.DUMMYFUNCTION("""COMPUTED_VALUE"""),254.0)</f>
        <v>254</v>
      </c>
      <c r="D514" s="2">
        <f>IFERROR(__xludf.DUMMYFUNCTION("""COMPUTED_VALUE"""),250.48)</f>
        <v>250.48</v>
      </c>
      <c r="E514" s="2">
        <f>IFERROR(__xludf.DUMMYFUNCTION("""COMPUTED_VALUE"""),253.35)</f>
        <v>253.35</v>
      </c>
      <c r="F514" s="2">
        <f>IFERROR(__xludf.DUMMYFUNCTION("""COMPUTED_VALUE"""),597182.0)</f>
        <v>597182</v>
      </c>
    </row>
    <row r="515">
      <c r="A515" s="3">
        <f>IFERROR(__xludf.DUMMYFUNCTION("""COMPUTED_VALUE"""),38975.645833333336)</f>
        <v>38975.64583</v>
      </c>
      <c r="B515" s="2">
        <f>IFERROR(__xludf.DUMMYFUNCTION("""COMPUTED_VALUE"""),253.5)</f>
        <v>253.5</v>
      </c>
      <c r="C515" s="2">
        <f>IFERROR(__xludf.DUMMYFUNCTION("""COMPUTED_VALUE"""),253.5)</f>
        <v>253.5</v>
      </c>
      <c r="D515" s="2">
        <f>IFERROR(__xludf.DUMMYFUNCTION("""COMPUTED_VALUE"""),249.18)</f>
        <v>249.18</v>
      </c>
      <c r="E515" s="2">
        <f>IFERROR(__xludf.DUMMYFUNCTION("""COMPUTED_VALUE"""),250.68)</f>
        <v>250.68</v>
      </c>
      <c r="F515" s="2">
        <f>IFERROR(__xludf.DUMMYFUNCTION("""COMPUTED_VALUE"""),589925.0)</f>
        <v>589925</v>
      </c>
    </row>
    <row r="516">
      <c r="A516" s="3">
        <f>IFERROR(__xludf.DUMMYFUNCTION("""COMPUTED_VALUE"""),38978.645833333336)</f>
        <v>38978.64583</v>
      </c>
      <c r="B516" s="2">
        <f>IFERROR(__xludf.DUMMYFUNCTION("""COMPUTED_VALUE"""),251.75)</f>
        <v>251.75</v>
      </c>
      <c r="C516" s="2">
        <f>IFERROR(__xludf.DUMMYFUNCTION("""COMPUTED_VALUE"""),252.75)</f>
        <v>252.75</v>
      </c>
      <c r="D516" s="2">
        <f>IFERROR(__xludf.DUMMYFUNCTION("""COMPUTED_VALUE"""),248.03)</f>
        <v>248.03</v>
      </c>
      <c r="E516" s="2">
        <f>IFERROR(__xludf.DUMMYFUNCTION("""COMPUTED_VALUE"""),249.04)</f>
        <v>249.04</v>
      </c>
      <c r="F516" s="2">
        <f>IFERROR(__xludf.DUMMYFUNCTION("""COMPUTED_VALUE"""),347597.0)</f>
        <v>347597</v>
      </c>
    </row>
    <row r="517">
      <c r="A517" s="3">
        <f>IFERROR(__xludf.DUMMYFUNCTION("""COMPUTED_VALUE"""),38979.645833333336)</f>
        <v>38979.64583</v>
      </c>
      <c r="B517" s="2">
        <f>IFERROR(__xludf.DUMMYFUNCTION("""COMPUTED_VALUE"""),249.25)</f>
        <v>249.25</v>
      </c>
      <c r="C517" s="2">
        <f>IFERROR(__xludf.DUMMYFUNCTION("""COMPUTED_VALUE"""),255.0)</f>
        <v>255</v>
      </c>
      <c r="D517" s="2">
        <f>IFERROR(__xludf.DUMMYFUNCTION("""COMPUTED_VALUE"""),247.6)</f>
        <v>247.6</v>
      </c>
      <c r="E517" s="2">
        <f>IFERROR(__xludf.DUMMYFUNCTION("""COMPUTED_VALUE"""),252.51)</f>
        <v>252.51</v>
      </c>
      <c r="F517" s="2">
        <f>IFERROR(__xludf.DUMMYFUNCTION("""COMPUTED_VALUE"""),993486.0)</f>
        <v>993486</v>
      </c>
    </row>
    <row r="518">
      <c r="A518" s="3">
        <f>IFERROR(__xludf.DUMMYFUNCTION("""COMPUTED_VALUE"""),38980.645833333336)</f>
        <v>38980.64583</v>
      </c>
      <c r="B518" s="2">
        <f>IFERROR(__xludf.DUMMYFUNCTION("""COMPUTED_VALUE"""),252.75)</f>
        <v>252.75</v>
      </c>
      <c r="C518" s="2">
        <f>IFERROR(__xludf.DUMMYFUNCTION("""COMPUTED_VALUE"""),258.5)</f>
        <v>258.5</v>
      </c>
      <c r="D518" s="2">
        <f>IFERROR(__xludf.DUMMYFUNCTION("""COMPUTED_VALUE"""),248.53)</f>
        <v>248.53</v>
      </c>
      <c r="E518" s="2">
        <f>IFERROR(__xludf.DUMMYFUNCTION("""COMPUTED_VALUE"""),257.51)</f>
        <v>257.51</v>
      </c>
      <c r="F518" s="2">
        <f>IFERROR(__xludf.DUMMYFUNCTION("""COMPUTED_VALUE"""),673974.0)</f>
        <v>673974</v>
      </c>
    </row>
    <row r="519">
      <c r="A519" s="3">
        <f>IFERROR(__xludf.DUMMYFUNCTION("""COMPUTED_VALUE"""),38981.645833333336)</f>
        <v>38981.64583</v>
      </c>
      <c r="B519" s="2">
        <f>IFERROR(__xludf.DUMMYFUNCTION("""COMPUTED_VALUE"""),258.0)</f>
        <v>258</v>
      </c>
      <c r="C519" s="2">
        <f>IFERROR(__xludf.DUMMYFUNCTION("""COMPUTED_VALUE"""),264.48)</f>
        <v>264.48</v>
      </c>
      <c r="D519" s="2">
        <f>IFERROR(__xludf.DUMMYFUNCTION("""COMPUTED_VALUE"""),254.5)</f>
        <v>254.5</v>
      </c>
      <c r="E519" s="2">
        <f>IFERROR(__xludf.DUMMYFUNCTION("""COMPUTED_VALUE"""),263.25)</f>
        <v>263.25</v>
      </c>
      <c r="F519" s="2">
        <f>IFERROR(__xludf.DUMMYFUNCTION("""COMPUTED_VALUE"""),1276796.0)</f>
        <v>1276796</v>
      </c>
    </row>
    <row r="520">
      <c r="A520" s="3">
        <f>IFERROR(__xludf.DUMMYFUNCTION("""COMPUTED_VALUE"""),38982.645833333336)</f>
        <v>38982.64583</v>
      </c>
      <c r="B520" s="2">
        <f>IFERROR(__xludf.DUMMYFUNCTION("""COMPUTED_VALUE"""),261.25)</f>
        <v>261.25</v>
      </c>
      <c r="C520" s="2">
        <f>IFERROR(__xludf.DUMMYFUNCTION("""COMPUTED_VALUE"""),263.46)</f>
        <v>263.46</v>
      </c>
      <c r="D520" s="2">
        <f>IFERROR(__xludf.DUMMYFUNCTION("""COMPUTED_VALUE"""),257.52)</f>
        <v>257.52</v>
      </c>
      <c r="E520" s="2">
        <f>IFERROR(__xludf.DUMMYFUNCTION("""COMPUTED_VALUE"""),259.89)</f>
        <v>259.89</v>
      </c>
      <c r="F520" s="2">
        <f>IFERROR(__xludf.DUMMYFUNCTION("""COMPUTED_VALUE"""),622161.0)</f>
        <v>622161</v>
      </c>
    </row>
    <row r="521">
      <c r="A521" s="3">
        <f>IFERROR(__xludf.DUMMYFUNCTION("""COMPUTED_VALUE"""),38985.645833333336)</f>
        <v>38985.64583</v>
      </c>
      <c r="B521" s="2">
        <f>IFERROR(__xludf.DUMMYFUNCTION("""COMPUTED_VALUE"""),261.75)</f>
        <v>261.75</v>
      </c>
      <c r="C521" s="2">
        <f>IFERROR(__xludf.DUMMYFUNCTION("""COMPUTED_VALUE"""),262.5)</f>
        <v>262.5</v>
      </c>
      <c r="D521" s="2">
        <f>IFERROR(__xludf.DUMMYFUNCTION("""COMPUTED_VALUE"""),255.56)</f>
        <v>255.56</v>
      </c>
      <c r="E521" s="2">
        <f>IFERROR(__xludf.DUMMYFUNCTION("""COMPUTED_VALUE"""),256.4)</f>
        <v>256.4</v>
      </c>
      <c r="F521" s="2">
        <f>IFERROR(__xludf.DUMMYFUNCTION("""COMPUTED_VALUE"""),337395.0)</f>
        <v>337395</v>
      </c>
    </row>
    <row r="522">
      <c r="A522" s="3">
        <f>IFERROR(__xludf.DUMMYFUNCTION("""COMPUTED_VALUE"""),38986.645833333336)</f>
        <v>38986.64583</v>
      </c>
      <c r="B522" s="2">
        <f>IFERROR(__xludf.DUMMYFUNCTION("""COMPUTED_VALUE"""),257.5)</f>
        <v>257.5</v>
      </c>
      <c r="C522" s="2">
        <f>IFERROR(__xludf.DUMMYFUNCTION("""COMPUTED_VALUE"""),262.5)</f>
        <v>262.5</v>
      </c>
      <c r="D522" s="2">
        <f>IFERROR(__xludf.DUMMYFUNCTION("""COMPUTED_VALUE"""),256.23)</f>
        <v>256.23</v>
      </c>
      <c r="E522" s="2">
        <f>IFERROR(__xludf.DUMMYFUNCTION("""COMPUTED_VALUE"""),261.08)</f>
        <v>261.08</v>
      </c>
      <c r="F522" s="2">
        <f>IFERROR(__xludf.DUMMYFUNCTION("""COMPUTED_VALUE"""),929252.0)</f>
        <v>929252</v>
      </c>
    </row>
    <row r="523">
      <c r="A523" s="3">
        <f>IFERROR(__xludf.DUMMYFUNCTION("""COMPUTED_VALUE"""),38987.645833333336)</f>
        <v>38987.64583</v>
      </c>
      <c r="B523" s="2">
        <f>IFERROR(__xludf.DUMMYFUNCTION("""COMPUTED_VALUE"""),262.5)</f>
        <v>262.5</v>
      </c>
      <c r="C523" s="2">
        <f>IFERROR(__xludf.DUMMYFUNCTION("""COMPUTED_VALUE"""),263.75)</f>
        <v>263.75</v>
      </c>
      <c r="D523" s="2">
        <f>IFERROR(__xludf.DUMMYFUNCTION("""COMPUTED_VALUE"""),259.04)</f>
        <v>259.04</v>
      </c>
      <c r="E523" s="2">
        <f>IFERROR(__xludf.DUMMYFUNCTION("""COMPUTED_VALUE"""),260.66)</f>
        <v>260.66</v>
      </c>
      <c r="F523" s="2">
        <f>IFERROR(__xludf.DUMMYFUNCTION("""COMPUTED_VALUE"""),838185.0)</f>
        <v>838185</v>
      </c>
    </row>
    <row r="524">
      <c r="A524" s="3">
        <f>IFERROR(__xludf.DUMMYFUNCTION("""COMPUTED_VALUE"""),38988.645833333336)</f>
        <v>38988.64583</v>
      </c>
      <c r="B524" s="2">
        <f>IFERROR(__xludf.DUMMYFUNCTION("""COMPUTED_VALUE"""),261.26)</f>
        <v>261.26</v>
      </c>
      <c r="C524" s="2">
        <f>IFERROR(__xludf.DUMMYFUNCTION("""COMPUTED_VALUE"""),262.25)</f>
        <v>262.25</v>
      </c>
      <c r="D524" s="2">
        <f>IFERROR(__xludf.DUMMYFUNCTION("""COMPUTED_VALUE"""),253.25)</f>
        <v>253.25</v>
      </c>
      <c r="E524" s="2">
        <f>IFERROR(__xludf.DUMMYFUNCTION("""COMPUTED_VALUE"""),255.11)</f>
        <v>255.11</v>
      </c>
      <c r="F524" s="2">
        <f>IFERROR(__xludf.DUMMYFUNCTION("""COMPUTED_VALUE"""),1530393.0)</f>
        <v>1530393</v>
      </c>
    </row>
    <row r="525">
      <c r="A525" s="3">
        <f>IFERROR(__xludf.DUMMYFUNCTION("""COMPUTED_VALUE"""),38989.645833333336)</f>
        <v>38989.64583</v>
      </c>
      <c r="B525" s="2">
        <f>IFERROR(__xludf.DUMMYFUNCTION("""COMPUTED_VALUE"""),255.53)</f>
        <v>255.53</v>
      </c>
      <c r="C525" s="2">
        <f>IFERROR(__xludf.DUMMYFUNCTION("""COMPUTED_VALUE"""),258.77)</f>
        <v>258.77</v>
      </c>
      <c r="D525" s="2">
        <f>IFERROR(__xludf.DUMMYFUNCTION("""COMPUTED_VALUE"""),255.0)</f>
        <v>255</v>
      </c>
      <c r="E525" s="2">
        <f>IFERROR(__xludf.DUMMYFUNCTION("""COMPUTED_VALUE"""),255.51)</f>
        <v>255.51</v>
      </c>
      <c r="F525" s="2">
        <f>IFERROR(__xludf.DUMMYFUNCTION("""COMPUTED_VALUE"""),438201.0)</f>
        <v>438201</v>
      </c>
    </row>
    <row r="526">
      <c r="A526" s="3">
        <f>IFERROR(__xludf.DUMMYFUNCTION("""COMPUTED_VALUE"""),38993.645833333336)</f>
        <v>38993.64583</v>
      </c>
      <c r="B526" s="2">
        <f>IFERROR(__xludf.DUMMYFUNCTION("""COMPUTED_VALUE"""),258.75)</f>
        <v>258.75</v>
      </c>
      <c r="C526" s="2">
        <f>IFERROR(__xludf.DUMMYFUNCTION("""COMPUTED_VALUE"""),258.75)</f>
        <v>258.75</v>
      </c>
      <c r="D526" s="2">
        <f>IFERROR(__xludf.DUMMYFUNCTION("""COMPUTED_VALUE"""),252.25)</f>
        <v>252.25</v>
      </c>
      <c r="E526" s="2">
        <f>IFERROR(__xludf.DUMMYFUNCTION("""COMPUTED_VALUE"""),253.58)</f>
        <v>253.58</v>
      </c>
      <c r="F526" s="2">
        <f>IFERROR(__xludf.DUMMYFUNCTION("""COMPUTED_VALUE"""),408178.0)</f>
        <v>408178</v>
      </c>
    </row>
    <row r="527">
      <c r="A527" s="3">
        <f>IFERROR(__xludf.DUMMYFUNCTION("""COMPUTED_VALUE"""),38994.645833333336)</f>
        <v>38994.64583</v>
      </c>
      <c r="B527" s="2">
        <f>IFERROR(__xludf.DUMMYFUNCTION("""COMPUTED_VALUE"""),254.0)</f>
        <v>254</v>
      </c>
      <c r="C527" s="2">
        <f>IFERROR(__xludf.DUMMYFUNCTION("""COMPUTED_VALUE"""),254.0)</f>
        <v>254</v>
      </c>
      <c r="D527" s="2">
        <f>IFERROR(__xludf.DUMMYFUNCTION("""COMPUTED_VALUE"""),245.84)</f>
        <v>245.84</v>
      </c>
      <c r="E527" s="2">
        <f>IFERROR(__xludf.DUMMYFUNCTION("""COMPUTED_VALUE"""),246.85)</f>
        <v>246.85</v>
      </c>
      <c r="F527" s="2">
        <f>IFERROR(__xludf.DUMMYFUNCTION("""COMPUTED_VALUE"""),1736907.0)</f>
        <v>1736907</v>
      </c>
    </row>
    <row r="528">
      <c r="A528" s="3">
        <f>IFERROR(__xludf.DUMMYFUNCTION("""COMPUTED_VALUE"""),38995.645833333336)</f>
        <v>38995.64583</v>
      </c>
      <c r="B528" s="2">
        <f>IFERROR(__xludf.DUMMYFUNCTION("""COMPUTED_VALUE"""),249.5)</f>
        <v>249.5</v>
      </c>
      <c r="C528" s="2">
        <f>IFERROR(__xludf.DUMMYFUNCTION("""COMPUTED_VALUE"""),252.25)</f>
        <v>252.25</v>
      </c>
      <c r="D528" s="2">
        <f>IFERROR(__xludf.DUMMYFUNCTION("""COMPUTED_VALUE"""),248.25)</f>
        <v>248.25</v>
      </c>
      <c r="E528" s="2">
        <f>IFERROR(__xludf.DUMMYFUNCTION("""COMPUTED_VALUE"""),249.94)</f>
        <v>249.94</v>
      </c>
      <c r="F528" s="2">
        <f>IFERROR(__xludf.DUMMYFUNCTION("""COMPUTED_VALUE"""),1462350.0)</f>
        <v>1462350</v>
      </c>
    </row>
    <row r="529">
      <c r="A529" s="3">
        <f>IFERROR(__xludf.DUMMYFUNCTION("""COMPUTED_VALUE"""),38996.645833333336)</f>
        <v>38996.64583</v>
      </c>
      <c r="B529" s="2">
        <f>IFERROR(__xludf.DUMMYFUNCTION("""COMPUTED_VALUE"""),250.25)</f>
        <v>250.25</v>
      </c>
      <c r="C529" s="2">
        <f>IFERROR(__xludf.DUMMYFUNCTION("""COMPUTED_VALUE"""),251.75)</f>
        <v>251.75</v>
      </c>
      <c r="D529" s="2">
        <f>IFERROR(__xludf.DUMMYFUNCTION("""COMPUTED_VALUE"""),247.0)</f>
        <v>247</v>
      </c>
      <c r="E529" s="2">
        <f>IFERROR(__xludf.DUMMYFUNCTION("""COMPUTED_VALUE"""),248.55)</f>
        <v>248.55</v>
      </c>
      <c r="F529" s="2">
        <f>IFERROR(__xludf.DUMMYFUNCTION("""COMPUTED_VALUE"""),691736.0)</f>
        <v>691736</v>
      </c>
    </row>
    <row r="530">
      <c r="A530" s="3">
        <f>IFERROR(__xludf.DUMMYFUNCTION("""COMPUTED_VALUE"""),38999.645833333336)</f>
        <v>38999.64583</v>
      </c>
      <c r="B530" s="2">
        <f>IFERROR(__xludf.DUMMYFUNCTION("""COMPUTED_VALUE"""),246.25)</f>
        <v>246.25</v>
      </c>
      <c r="C530" s="2">
        <f>IFERROR(__xludf.DUMMYFUNCTION("""COMPUTED_VALUE"""),252.25)</f>
        <v>252.25</v>
      </c>
      <c r="D530" s="2">
        <f>IFERROR(__xludf.DUMMYFUNCTION("""COMPUTED_VALUE"""),245.14)</f>
        <v>245.14</v>
      </c>
      <c r="E530" s="2">
        <f>IFERROR(__xludf.DUMMYFUNCTION("""COMPUTED_VALUE"""),250.54)</f>
        <v>250.54</v>
      </c>
      <c r="F530" s="2">
        <f>IFERROR(__xludf.DUMMYFUNCTION("""COMPUTED_VALUE"""),386708.0)</f>
        <v>386708</v>
      </c>
    </row>
    <row r="531">
      <c r="A531" s="3">
        <f>IFERROR(__xludf.DUMMYFUNCTION("""COMPUTED_VALUE"""),39000.645833333336)</f>
        <v>39000.64583</v>
      </c>
      <c r="B531" s="2">
        <f>IFERROR(__xludf.DUMMYFUNCTION("""COMPUTED_VALUE"""),250.75)</f>
        <v>250.75</v>
      </c>
      <c r="C531" s="2">
        <f>IFERROR(__xludf.DUMMYFUNCTION("""COMPUTED_VALUE"""),254.45)</f>
        <v>254.45</v>
      </c>
      <c r="D531" s="2">
        <f>IFERROR(__xludf.DUMMYFUNCTION("""COMPUTED_VALUE"""),250.75)</f>
        <v>250.75</v>
      </c>
      <c r="E531" s="2">
        <f>IFERROR(__xludf.DUMMYFUNCTION("""COMPUTED_VALUE"""),252.88)</f>
        <v>252.88</v>
      </c>
      <c r="F531" s="2">
        <f>IFERROR(__xludf.DUMMYFUNCTION("""COMPUTED_VALUE"""),692445.0)</f>
        <v>692445</v>
      </c>
    </row>
    <row r="532">
      <c r="A532" s="3">
        <f>IFERROR(__xludf.DUMMYFUNCTION("""COMPUTED_VALUE"""),39001.645833333336)</f>
        <v>39001.64583</v>
      </c>
      <c r="B532" s="2">
        <f>IFERROR(__xludf.DUMMYFUNCTION("""COMPUTED_VALUE"""),257.5)</f>
        <v>257.5</v>
      </c>
      <c r="C532" s="2">
        <f>IFERROR(__xludf.DUMMYFUNCTION("""COMPUTED_VALUE"""),269.85)</f>
        <v>269.85</v>
      </c>
      <c r="D532" s="2">
        <f>IFERROR(__xludf.DUMMYFUNCTION("""COMPUTED_VALUE"""),257.5)</f>
        <v>257.5</v>
      </c>
      <c r="E532" s="2">
        <f>IFERROR(__xludf.DUMMYFUNCTION("""COMPUTED_VALUE"""),261.19)</f>
        <v>261.19</v>
      </c>
      <c r="F532" s="2">
        <f>IFERROR(__xludf.DUMMYFUNCTION("""COMPUTED_VALUE"""),1693429.0)</f>
        <v>1693429</v>
      </c>
    </row>
    <row r="533">
      <c r="A533" s="3">
        <f>IFERROR(__xludf.DUMMYFUNCTION("""COMPUTED_VALUE"""),39002.645833333336)</f>
        <v>39002.64583</v>
      </c>
      <c r="B533" s="2">
        <f>IFERROR(__xludf.DUMMYFUNCTION("""COMPUTED_VALUE"""),262.5)</f>
        <v>262.5</v>
      </c>
      <c r="C533" s="2">
        <f>IFERROR(__xludf.DUMMYFUNCTION("""COMPUTED_VALUE"""),271.25)</f>
        <v>271.25</v>
      </c>
      <c r="D533" s="2">
        <f>IFERROR(__xludf.DUMMYFUNCTION("""COMPUTED_VALUE"""),260.25)</f>
        <v>260.25</v>
      </c>
      <c r="E533" s="2">
        <f>IFERROR(__xludf.DUMMYFUNCTION("""COMPUTED_VALUE"""),270.64)</f>
        <v>270.64</v>
      </c>
      <c r="F533" s="2">
        <f>IFERROR(__xludf.DUMMYFUNCTION("""COMPUTED_VALUE"""),1263212.0)</f>
        <v>1263212</v>
      </c>
    </row>
    <row r="534">
      <c r="A534" s="3">
        <f>IFERROR(__xludf.DUMMYFUNCTION("""COMPUTED_VALUE"""),39003.645833333336)</f>
        <v>39003.64583</v>
      </c>
      <c r="B534" s="2">
        <f>IFERROR(__xludf.DUMMYFUNCTION("""COMPUTED_VALUE"""),272.35)</f>
        <v>272.35</v>
      </c>
      <c r="C534" s="2">
        <f>IFERROR(__xludf.DUMMYFUNCTION("""COMPUTED_VALUE"""),280.0)</f>
        <v>280</v>
      </c>
      <c r="D534" s="2">
        <f>IFERROR(__xludf.DUMMYFUNCTION("""COMPUTED_VALUE"""),270.52)</f>
        <v>270.52</v>
      </c>
      <c r="E534" s="2">
        <f>IFERROR(__xludf.DUMMYFUNCTION("""COMPUTED_VALUE"""),275.9)</f>
        <v>275.9</v>
      </c>
      <c r="F534" s="2">
        <f>IFERROR(__xludf.DUMMYFUNCTION("""COMPUTED_VALUE"""),1218528.0)</f>
        <v>1218528</v>
      </c>
    </row>
    <row r="535">
      <c r="A535" s="3">
        <f>IFERROR(__xludf.DUMMYFUNCTION("""COMPUTED_VALUE"""),39006.645833333336)</f>
        <v>39006.64583</v>
      </c>
      <c r="B535" s="2">
        <f>IFERROR(__xludf.DUMMYFUNCTION("""COMPUTED_VALUE"""),281.25)</f>
        <v>281.25</v>
      </c>
      <c r="C535" s="2">
        <f>IFERROR(__xludf.DUMMYFUNCTION("""COMPUTED_VALUE"""),287.5)</f>
        <v>287.5</v>
      </c>
      <c r="D535" s="2">
        <f>IFERROR(__xludf.DUMMYFUNCTION("""COMPUTED_VALUE"""),278.75)</f>
        <v>278.75</v>
      </c>
      <c r="E535" s="2">
        <f>IFERROR(__xludf.DUMMYFUNCTION("""COMPUTED_VALUE"""),282.43)</f>
        <v>282.43</v>
      </c>
      <c r="F535" s="2">
        <f>IFERROR(__xludf.DUMMYFUNCTION("""COMPUTED_VALUE"""),2431765.0)</f>
        <v>2431765</v>
      </c>
    </row>
    <row r="536">
      <c r="A536" s="3">
        <f>IFERROR(__xludf.DUMMYFUNCTION("""COMPUTED_VALUE"""),39007.645833333336)</f>
        <v>39007.64583</v>
      </c>
      <c r="B536" s="2">
        <f>IFERROR(__xludf.DUMMYFUNCTION("""COMPUTED_VALUE"""),285.5)</f>
        <v>285.5</v>
      </c>
      <c r="C536" s="2">
        <f>IFERROR(__xludf.DUMMYFUNCTION("""COMPUTED_VALUE"""),292.44)</f>
        <v>292.44</v>
      </c>
      <c r="D536" s="2">
        <f>IFERROR(__xludf.DUMMYFUNCTION("""COMPUTED_VALUE"""),277.5)</f>
        <v>277.5</v>
      </c>
      <c r="E536" s="2">
        <f>IFERROR(__xludf.DUMMYFUNCTION("""COMPUTED_VALUE"""),279.23)</f>
        <v>279.23</v>
      </c>
      <c r="F536" s="2">
        <f>IFERROR(__xludf.DUMMYFUNCTION("""COMPUTED_VALUE"""),2187304.0)</f>
        <v>2187304</v>
      </c>
    </row>
    <row r="537">
      <c r="A537" s="3">
        <f>IFERROR(__xludf.DUMMYFUNCTION("""COMPUTED_VALUE"""),39008.645833333336)</f>
        <v>39008.64583</v>
      </c>
      <c r="B537" s="2">
        <f>IFERROR(__xludf.DUMMYFUNCTION("""COMPUTED_VALUE"""),277.52)</f>
        <v>277.52</v>
      </c>
      <c r="C537" s="2">
        <f>IFERROR(__xludf.DUMMYFUNCTION("""COMPUTED_VALUE"""),279.25)</f>
        <v>279.25</v>
      </c>
      <c r="D537" s="2">
        <f>IFERROR(__xludf.DUMMYFUNCTION("""COMPUTED_VALUE"""),275.25)</f>
        <v>275.25</v>
      </c>
      <c r="E537" s="2">
        <f>IFERROR(__xludf.DUMMYFUNCTION("""COMPUTED_VALUE"""),276.56)</f>
        <v>276.56</v>
      </c>
      <c r="F537" s="2">
        <f>IFERROR(__xludf.DUMMYFUNCTION("""COMPUTED_VALUE"""),1248771.0)</f>
        <v>1248771</v>
      </c>
    </row>
    <row r="538">
      <c r="A538" s="3">
        <f>IFERROR(__xludf.DUMMYFUNCTION("""COMPUTED_VALUE"""),39009.645833333336)</f>
        <v>39009.64583</v>
      </c>
      <c r="B538" s="2">
        <f>IFERROR(__xludf.DUMMYFUNCTION("""COMPUTED_VALUE"""),276.5)</f>
        <v>276.5</v>
      </c>
      <c r="C538" s="2">
        <f>IFERROR(__xludf.DUMMYFUNCTION("""COMPUTED_VALUE"""),278.19)</f>
        <v>278.19</v>
      </c>
      <c r="D538" s="2">
        <f>IFERROR(__xludf.DUMMYFUNCTION("""COMPUTED_VALUE"""),270.66)</f>
        <v>270.66</v>
      </c>
      <c r="E538" s="2">
        <f>IFERROR(__xludf.DUMMYFUNCTION("""COMPUTED_VALUE"""),273.1)</f>
        <v>273.1</v>
      </c>
      <c r="F538" s="2">
        <f>IFERROR(__xludf.DUMMYFUNCTION("""COMPUTED_VALUE"""),775905.0)</f>
        <v>775905</v>
      </c>
    </row>
    <row r="539">
      <c r="A539" s="3">
        <f>IFERROR(__xludf.DUMMYFUNCTION("""COMPUTED_VALUE"""),39010.645833333336)</f>
        <v>39010.64583</v>
      </c>
      <c r="B539" s="2">
        <f>IFERROR(__xludf.DUMMYFUNCTION("""COMPUTED_VALUE"""),275.0)</f>
        <v>275</v>
      </c>
      <c r="C539" s="2">
        <f>IFERROR(__xludf.DUMMYFUNCTION("""COMPUTED_VALUE"""),275.5)</f>
        <v>275.5</v>
      </c>
      <c r="D539" s="2">
        <f>IFERROR(__xludf.DUMMYFUNCTION("""COMPUTED_VALUE"""),271.52)</f>
        <v>271.52</v>
      </c>
      <c r="E539" s="2">
        <f>IFERROR(__xludf.DUMMYFUNCTION("""COMPUTED_VALUE"""),272.4)</f>
        <v>272.4</v>
      </c>
      <c r="F539" s="2">
        <f>IFERROR(__xludf.DUMMYFUNCTION("""COMPUTED_VALUE"""),532351.0)</f>
        <v>532351</v>
      </c>
    </row>
    <row r="540">
      <c r="A540" s="3">
        <f>IFERROR(__xludf.DUMMYFUNCTION("""COMPUTED_VALUE"""),39013.645833333336)</f>
        <v>39013.64583</v>
      </c>
      <c r="B540" s="2">
        <f>IFERROR(__xludf.DUMMYFUNCTION("""COMPUTED_VALUE"""),273.73)</f>
        <v>273.73</v>
      </c>
      <c r="C540" s="2">
        <f>IFERROR(__xludf.DUMMYFUNCTION("""COMPUTED_VALUE"""),273.73)</f>
        <v>273.73</v>
      </c>
      <c r="D540" s="2">
        <f>IFERROR(__xludf.DUMMYFUNCTION("""COMPUTED_VALUE"""),265.35)</f>
        <v>265.35</v>
      </c>
      <c r="E540" s="2">
        <f>IFERROR(__xludf.DUMMYFUNCTION("""COMPUTED_VALUE"""),270.02)</f>
        <v>270.02</v>
      </c>
      <c r="F540" s="2">
        <f>IFERROR(__xludf.DUMMYFUNCTION("""COMPUTED_VALUE"""),331976.0)</f>
        <v>331976</v>
      </c>
    </row>
    <row r="541">
      <c r="A541" s="3">
        <f>IFERROR(__xludf.DUMMYFUNCTION("""COMPUTED_VALUE"""),39016.645833333336)</f>
        <v>39016.64583</v>
      </c>
      <c r="B541" s="2">
        <f>IFERROR(__xludf.DUMMYFUNCTION("""COMPUTED_VALUE"""),270.25)</f>
        <v>270.25</v>
      </c>
      <c r="C541" s="2">
        <f>IFERROR(__xludf.DUMMYFUNCTION("""COMPUTED_VALUE"""),272.98)</f>
        <v>272.98</v>
      </c>
      <c r="D541" s="2">
        <f>IFERROR(__xludf.DUMMYFUNCTION("""COMPUTED_VALUE"""),268.75)</f>
        <v>268.75</v>
      </c>
      <c r="E541" s="2">
        <f>IFERROR(__xludf.DUMMYFUNCTION("""COMPUTED_VALUE"""),269.81)</f>
        <v>269.81</v>
      </c>
      <c r="F541" s="2">
        <f>IFERROR(__xludf.DUMMYFUNCTION("""COMPUTED_VALUE"""),1285053.0)</f>
        <v>1285053</v>
      </c>
    </row>
    <row r="542">
      <c r="A542" s="3">
        <f>IFERROR(__xludf.DUMMYFUNCTION("""COMPUTED_VALUE"""),39017.645833333336)</f>
        <v>39017.64583</v>
      </c>
      <c r="B542" s="2">
        <f>IFERROR(__xludf.DUMMYFUNCTION("""COMPUTED_VALUE"""),270.29)</f>
        <v>270.29</v>
      </c>
      <c r="C542" s="2">
        <f>IFERROR(__xludf.DUMMYFUNCTION("""COMPUTED_VALUE"""),272.5)</f>
        <v>272.5</v>
      </c>
      <c r="D542" s="2">
        <f>IFERROR(__xludf.DUMMYFUNCTION("""COMPUTED_VALUE"""),265.6)</f>
        <v>265.6</v>
      </c>
      <c r="E542" s="2">
        <f>IFERROR(__xludf.DUMMYFUNCTION("""COMPUTED_VALUE"""),268.66)</f>
        <v>268.66</v>
      </c>
      <c r="F542" s="2">
        <f>IFERROR(__xludf.DUMMYFUNCTION("""COMPUTED_VALUE"""),781602.0)</f>
        <v>781602</v>
      </c>
    </row>
    <row r="543">
      <c r="A543" s="3">
        <f>IFERROR(__xludf.DUMMYFUNCTION("""COMPUTED_VALUE"""),39020.645833333336)</f>
        <v>39020.64583</v>
      </c>
      <c r="B543" s="2">
        <f>IFERROR(__xludf.DUMMYFUNCTION("""COMPUTED_VALUE"""),269.0)</f>
        <v>269</v>
      </c>
      <c r="C543" s="2">
        <f>IFERROR(__xludf.DUMMYFUNCTION("""COMPUTED_VALUE"""),272.0)</f>
        <v>272</v>
      </c>
      <c r="D543" s="2">
        <f>IFERROR(__xludf.DUMMYFUNCTION("""COMPUTED_VALUE"""),265.05)</f>
        <v>265.05</v>
      </c>
      <c r="E543" s="2">
        <f>IFERROR(__xludf.DUMMYFUNCTION("""COMPUTED_VALUE"""),269.84)</f>
        <v>269.84</v>
      </c>
      <c r="F543" s="2">
        <f>IFERROR(__xludf.DUMMYFUNCTION("""COMPUTED_VALUE"""),1038543.0)</f>
        <v>1038543</v>
      </c>
    </row>
    <row r="544">
      <c r="A544" s="3">
        <f>IFERROR(__xludf.DUMMYFUNCTION("""COMPUTED_VALUE"""),39021.645833333336)</f>
        <v>39021.64583</v>
      </c>
      <c r="B544" s="2">
        <f>IFERROR(__xludf.DUMMYFUNCTION("""COMPUTED_VALUE"""),270.0)</f>
        <v>270</v>
      </c>
      <c r="C544" s="2">
        <f>IFERROR(__xludf.DUMMYFUNCTION("""COMPUTED_VALUE"""),274.7)</f>
        <v>274.7</v>
      </c>
      <c r="D544" s="2">
        <f>IFERROR(__xludf.DUMMYFUNCTION("""COMPUTED_VALUE"""),268.77)</f>
        <v>268.77</v>
      </c>
      <c r="E544" s="2">
        <f>IFERROR(__xludf.DUMMYFUNCTION("""COMPUTED_VALUE"""),271.77)</f>
        <v>271.77</v>
      </c>
      <c r="F544" s="2">
        <f>IFERROR(__xludf.DUMMYFUNCTION("""COMPUTED_VALUE"""),857734.0)</f>
        <v>857734</v>
      </c>
    </row>
    <row r="545">
      <c r="A545" s="3">
        <f>IFERROR(__xludf.DUMMYFUNCTION("""COMPUTED_VALUE"""),39022.645833333336)</f>
        <v>39022.64583</v>
      </c>
      <c r="B545" s="2">
        <f>IFERROR(__xludf.DUMMYFUNCTION("""COMPUTED_VALUE"""),274.25)</f>
        <v>274.25</v>
      </c>
      <c r="C545" s="2">
        <f>IFERROR(__xludf.DUMMYFUNCTION("""COMPUTED_VALUE"""),276.48)</f>
        <v>276.48</v>
      </c>
      <c r="D545" s="2">
        <f>IFERROR(__xludf.DUMMYFUNCTION("""COMPUTED_VALUE"""),270.08)</f>
        <v>270.08</v>
      </c>
      <c r="E545" s="2">
        <f>IFERROR(__xludf.DUMMYFUNCTION("""COMPUTED_VALUE"""),270.8)</f>
        <v>270.8</v>
      </c>
      <c r="F545" s="2">
        <f>IFERROR(__xludf.DUMMYFUNCTION("""COMPUTED_VALUE"""),477726.0)</f>
        <v>477726</v>
      </c>
    </row>
    <row r="546">
      <c r="A546" s="3">
        <f>IFERROR(__xludf.DUMMYFUNCTION("""COMPUTED_VALUE"""),39023.645833333336)</f>
        <v>39023.64583</v>
      </c>
      <c r="B546" s="2">
        <f>IFERROR(__xludf.DUMMYFUNCTION("""COMPUTED_VALUE"""),272.5)</f>
        <v>272.5</v>
      </c>
      <c r="C546" s="2">
        <f>IFERROR(__xludf.DUMMYFUNCTION("""COMPUTED_VALUE"""),272.5)</f>
        <v>272.5</v>
      </c>
      <c r="D546" s="2">
        <f>IFERROR(__xludf.DUMMYFUNCTION("""COMPUTED_VALUE"""),268.0)</f>
        <v>268</v>
      </c>
      <c r="E546" s="2">
        <f>IFERROR(__xludf.DUMMYFUNCTION("""COMPUTED_VALUE"""),270.01)</f>
        <v>270.01</v>
      </c>
      <c r="F546" s="2">
        <f>IFERROR(__xludf.DUMMYFUNCTION("""COMPUTED_VALUE"""),551094.0)</f>
        <v>551094</v>
      </c>
    </row>
    <row r="547">
      <c r="A547" s="3">
        <f>IFERROR(__xludf.DUMMYFUNCTION("""COMPUTED_VALUE"""),39024.645833333336)</f>
        <v>39024.64583</v>
      </c>
      <c r="B547" s="2">
        <f>IFERROR(__xludf.DUMMYFUNCTION("""COMPUTED_VALUE"""),271.25)</f>
        <v>271.25</v>
      </c>
      <c r="C547" s="2">
        <f>IFERROR(__xludf.DUMMYFUNCTION("""COMPUTED_VALUE"""),272.0)</f>
        <v>272</v>
      </c>
      <c r="D547" s="2">
        <f>IFERROR(__xludf.DUMMYFUNCTION("""COMPUTED_VALUE"""),264.5)</f>
        <v>264.5</v>
      </c>
      <c r="E547" s="2">
        <f>IFERROR(__xludf.DUMMYFUNCTION("""COMPUTED_VALUE"""),266.74)</f>
        <v>266.74</v>
      </c>
      <c r="F547" s="2">
        <f>IFERROR(__xludf.DUMMYFUNCTION("""COMPUTED_VALUE"""),786110.0)</f>
        <v>786110</v>
      </c>
    </row>
    <row r="548">
      <c r="A548" s="3">
        <f>IFERROR(__xludf.DUMMYFUNCTION("""COMPUTED_VALUE"""),39027.645833333336)</f>
        <v>39027.64583</v>
      </c>
      <c r="B548" s="2">
        <f>IFERROR(__xludf.DUMMYFUNCTION("""COMPUTED_VALUE"""),266.63)</f>
        <v>266.63</v>
      </c>
      <c r="C548" s="2">
        <f>IFERROR(__xludf.DUMMYFUNCTION("""COMPUTED_VALUE"""),267.48)</f>
        <v>267.48</v>
      </c>
      <c r="D548" s="2">
        <f>IFERROR(__xludf.DUMMYFUNCTION("""COMPUTED_VALUE"""),264.0)</f>
        <v>264</v>
      </c>
      <c r="E548" s="2">
        <f>IFERROR(__xludf.DUMMYFUNCTION("""COMPUTED_VALUE"""),264.85)</f>
        <v>264.85</v>
      </c>
      <c r="F548" s="2">
        <f>IFERROR(__xludf.DUMMYFUNCTION("""COMPUTED_VALUE"""),634223.0)</f>
        <v>634223</v>
      </c>
    </row>
    <row r="549">
      <c r="A549" s="3">
        <f>IFERROR(__xludf.DUMMYFUNCTION("""COMPUTED_VALUE"""),39028.645833333336)</f>
        <v>39028.64583</v>
      </c>
      <c r="B549" s="2">
        <f>IFERROR(__xludf.DUMMYFUNCTION("""COMPUTED_VALUE"""),268.5)</f>
        <v>268.5</v>
      </c>
      <c r="C549" s="2">
        <f>IFERROR(__xludf.DUMMYFUNCTION("""COMPUTED_VALUE"""),271.23)</f>
        <v>271.23</v>
      </c>
      <c r="D549" s="2">
        <f>IFERROR(__xludf.DUMMYFUNCTION("""COMPUTED_VALUE"""),265.05)</f>
        <v>265.05</v>
      </c>
      <c r="E549" s="2">
        <f>IFERROR(__xludf.DUMMYFUNCTION("""COMPUTED_VALUE"""),266.29)</f>
        <v>266.29</v>
      </c>
      <c r="F549" s="2">
        <f>IFERROR(__xludf.DUMMYFUNCTION("""COMPUTED_VALUE"""),804795.0)</f>
        <v>804795</v>
      </c>
    </row>
    <row r="550">
      <c r="A550" s="3">
        <f>IFERROR(__xludf.DUMMYFUNCTION("""COMPUTED_VALUE"""),39029.645833333336)</f>
        <v>39029.64583</v>
      </c>
      <c r="B550" s="2">
        <f>IFERROR(__xludf.DUMMYFUNCTION("""COMPUTED_VALUE"""),266.25)</f>
        <v>266.25</v>
      </c>
      <c r="C550" s="2">
        <f>IFERROR(__xludf.DUMMYFUNCTION("""COMPUTED_VALUE"""),267.73)</f>
        <v>267.73</v>
      </c>
      <c r="D550" s="2">
        <f>IFERROR(__xludf.DUMMYFUNCTION("""COMPUTED_VALUE"""),262.79)</f>
        <v>262.79</v>
      </c>
      <c r="E550" s="2">
        <f>IFERROR(__xludf.DUMMYFUNCTION("""COMPUTED_VALUE"""),265.83)</f>
        <v>265.83</v>
      </c>
      <c r="F550" s="2">
        <f>IFERROR(__xludf.DUMMYFUNCTION("""COMPUTED_VALUE"""),609190.0)</f>
        <v>609190</v>
      </c>
    </row>
    <row r="551">
      <c r="A551" s="3">
        <f>IFERROR(__xludf.DUMMYFUNCTION("""COMPUTED_VALUE"""),39030.645833333336)</f>
        <v>39030.64583</v>
      </c>
      <c r="B551" s="2">
        <f>IFERROR(__xludf.DUMMYFUNCTION("""COMPUTED_VALUE"""),267.25)</f>
        <v>267.25</v>
      </c>
      <c r="C551" s="2">
        <f>IFERROR(__xludf.DUMMYFUNCTION("""COMPUTED_VALUE"""),268.75)</f>
        <v>268.75</v>
      </c>
      <c r="D551" s="2">
        <f>IFERROR(__xludf.DUMMYFUNCTION("""COMPUTED_VALUE"""),263.34)</f>
        <v>263.34</v>
      </c>
      <c r="E551" s="2">
        <f>IFERROR(__xludf.DUMMYFUNCTION("""COMPUTED_VALUE"""),265.9)</f>
        <v>265.9</v>
      </c>
      <c r="F551" s="2">
        <f>IFERROR(__xludf.DUMMYFUNCTION("""COMPUTED_VALUE"""),841355.0)</f>
        <v>841355</v>
      </c>
    </row>
    <row r="552">
      <c r="A552" s="3">
        <f>IFERROR(__xludf.DUMMYFUNCTION("""COMPUTED_VALUE"""),39031.645833333336)</f>
        <v>39031.64583</v>
      </c>
      <c r="B552" s="2">
        <f>IFERROR(__xludf.DUMMYFUNCTION("""COMPUTED_VALUE"""),267.5)</f>
        <v>267.5</v>
      </c>
      <c r="C552" s="2">
        <f>IFERROR(__xludf.DUMMYFUNCTION("""COMPUTED_VALUE"""),273.68)</f>
        <v>273.68</v>
      </c>
      <c r="D552" s="2">
        <f>IFERROR(__xludf.DUMMYFUNCTION("""COMPUTED_VALUE"""),266.27)</f>
        <v>266.27</v>
      </c>
      <c r="E552" s="2">
        <f>IFERROR(__xludf.DUMMYFUNCTION("""COMPUTED_VALUE"""),267.18)</f>
        <v>267.18</v>
      </c>
      <c r="F552" s="2">
        <f>IFERROR(__xludf.DUMMYFUNCTION("""COMPUTED_VALUE"""),828369.0)</f>
        <v>828369</v>
      </c>
    </row>
    <row r="553">
      <c r="A553" s="3">
        <f>IFERROR(__xludf.DUMMYFUNCTION("""COMPUTED_VALUE"""),39034.645833333336)</f>
        <v>39034.64583</v>
      </c>
      <c r="B553" s="2">
        <f>IFERROR(__xludf.DUMMYFUNCTION("""COMPUTED_VALUE"""),267.7)</f>
        <v>267.7</v>
      </c>
      <c r="C553" s="2">
        <f>IFERROR(__xludf.DUMMYFUNCTION("""COMPUTED_VALUE"""),270.0)</f>
        <v>270</v>
      </c>
      <c r="D553" s="2">
        <f>IFERROR(__xludf.DUMMYFUNCTION("""COMPUTED_VALUE"""),266.52)</f>
        <v>266.52</v>
      </c>
      <c r="E553" s="2">
        <f>IFERROR(__xludf.DUMMYFUNCTION("""COMPUTED_VALUE"""),268.94)</f>
        <v>268.94</v>
      </c>
      <c r="F553" s="2">
        <f>IFERROR(__xludf.DUMMYFUNCTION("""COMPUTED_VALUE"""),505829.0)</f>
        <v>505829</v>
      </c>
    </row>
    <row r="554">
      <c r="A554" s="3">
        <f>IFERROR(__xludf.DUMMYFUNCTION("""COMPUTED_VALUE"""),39035.645833333336)</f>
        <v>39035.64583</v>
      </c>
      <c r="B554" s="2">
        <f>IFERROR(__xludf.DUMMYFUNCTION("""COMPUTED_VALUE"""),270.25)</f>
        <v>270.25</v>
      </c>
      <c r="C554" s="2">
        <f>IFERROR(__xludf.DUMMYFUNCTION("""COMPUTED_VALUE"""),277.5)</f>
        <v>277.5</v>
      </c>
      <c r="D554" s="2">
        <f>IFERROR(__xludf.DUMMYFUNCTION("""COMPUTED_VALUE"""),270.25)</f>
        <v>270.25</v>
      </c>
      <c r="E554" s="2">
        <f>IFERROR(__xludf.DUMMYFUNCTION("""COMPUTED_VALUE"""),276.56)</f>
        <v>276.56</v>
      </c>
      <c r="F554" s="2">
        <f>IFERROR(__xludf.DUMMYFUNCTION("""COMPUTED_VALUE"""),1500965.0)</f>
        <v>1500965</v>
      </c>
    </row>
    <row r="555">
      <c r="A555" s="3">
        <f>IFERROR(__xludf.DUMMYFUNCTION("""COMPUTED_VALUE"""),39036.645833333336)</f>
        <v>39036.64583</v>
      </c>
      <c r="B555" s="2">
        <f>IFERROR(__xludf.DUMMYFUNCTION("""COMPUTED_VALUE"""),278.75)</f>
        <v>278.75</v>
      </c>
      <c r="C555" s="2">
        <f>IFERROR(__xludf.DUMMYFUNCTION("""COMPUTED_VALUE"""),280.5)</f>
        <v>280.5</v>
      </c>
      <c r="D555" s="2">
        <f>IFERROR(__xludf.DUMMYFUNCTION("""COMPUTED_VALUE"""),272.64)</f>
        <v>272.64</v>
      </c>
      <c r="E555" s="2">
        <f>IFERROR(__xludf.DUMMYFUNCTION("""COMPUTED_VALUE"""),274.2)</f>
        <v>274.2</v>
      </c>
      <c r="F555" s="2">
        <f>IFERROR(__xludf.DUMMYFUNCTION("""COMPUTED_VALUE"""),674510.0)</f>
        <v>674510</v>
      </c>
    </row>
    <row r="556">
      <c r="A556" s="3">
        <f>IFERROR(__xludf.DUMMYFUNCTION("""COMPUTED_VALUE"""),39037.645833333336)</f>
        <v>39037.64583</v>
      </c>
      <c r="B556" s="2">
        <f>IFERROR(__xludf.DUMMYFUNCTION("""COMPUTED_VALUE"""),275.0)</f>
        <v>275</v>
      </c>
      <c r="C556" s="2">
        <f>IFERROR(__xludf.DUMMYFUNCTION("""COMPUTED_VALUE"""),276.5)</f>
        <v>276.5</v>
      </c>
      <c r="D556" s="2">
        <f>IFERROR(__xludf.DUMMYFUNCTION("""COMPUTED_VALUE"""),270.88)</f>
        <v>270.88</v>
      </c>
      <c r="E556" s="2">
        <f>IFERROR(__xludf.DUMMYFUNCTION("""COMPUTED_VALUE"""),271.84)</f>
        <v>271.84</v>
      </c>
      <c r="F556" s="2">
        <f>IFERROR(__xludf.DUMMYFUNCTION("""COMPUTED_VALUE"""),525422.0)</f>
        <v>525422</v>
      </c>
    </row>
    <row r="557">
      <c r="A557" s="3">
        <f>IFERROR(__xludf.DUMMYFUNCTION("""COMPUTED_VALUE"""),39038.645833333336)</f>
        <v>39038.64583</v>
      </c>
      <c r="B557" s="2">
        <f>IFERROR(__xludf.DUMMYFUNCTION("""COMPUTED_VALUE"""),273.5)</f>
        <v>273.5</v>
      </c>
      <c r="C557" s="2">
        <f>IFERROR(__xludf.DUMMYFUNCTION("""COMPUTED_VALUE"""),274.38)</f>
        <v>274.38</v>
      </c>
      <c r="D557" s="2">
        <f>IFERROR(__xludf.DUMMYFUNCTION("""COMPUTED_VALUE"""),270.3)</f>
        <v>270.3</v>
      </c>
      <c r="E557" s="2">
        <f>IFERROR(__xludf.DUMMYFUNCTION("""COMPUTED_VALUE"""),273.79)</f>
        <v>273.79</v>
      </c>
      <c r="F557" s="2">
        <f>IFERROR(__xludf.DUMMYFUNCTION("""COMPUTED_VALUE"""),555421.0)</f>
        <v>555421</v>
      </c>
    </row>
    <row r="558">
      <c r="A558" s="3">
        <f>IFERROR(__xludf.DUMMYFUNCTION("""COMPUTED_VALUE"""),39041.645833333336)</f>
        <v>39041.64583</v>
      </c>
      <c r="B558" s="2">
        <f>IFERROR(__xludf.DUMMYFUNCTION("""COMPUTED_VALUE"""),271.26)</f>
        <v>271.26</v>
      </c>
      <c r="C558" s="2">
        <f>IFERROR(__xludf.DUMMYFUNCTION("""COMPUTED_VALUE"""),280.25)</f>
        <v>280.25</v>
      </c>
      <c r="D558" s="2">
        <f>IFERROR(__xludf.DUMMYFUNCTION("""COMPUTED_VALUE"""),266.39)</f>
        <v>266.39</v>
      </c>
      <c r="E558" s="2">
        <f>IFERROR(__xludf.DUMMYFUNCTION("""COMPUTED_VALUE"""),279.46)</f>
        <v>279.46</v>
      </c>
      <c r="F558" s="2">
        <f>IFERROR(__xludf.DUMMYFUNCTION("""COMPUTED_VALUE"""),1293734.0)</f>
        <v>1293734</v>
      </c>
    </row>
    <row r="559">
      <c r="A559" s="3">
        <f>IFERROR(__xludf.DUMMYFUNCTION("""COMPUTED_VALUE"""),39042.645833333336)</f>
        <v>39042.64583</v>
      </c>
      <c r="B559" s="2">
        <f>IFERROR(__xludf.DUMMYFUNCTION("""COMPUTED_VALUE"""),279.05)</f>
        <v>279.05</v>
      </c>
      <c r="C559" s="2">
        <f>IFERROR(__xludf.DUMMYFUNCTION("""COMPUTED_VALUE"""),288.0)</f>
        <v>288</v>
      </c>
      <c r="D559" s="2">
        <f>IFERROR(__xludf.DUMMYFUNCTION("""COMPUTED_VALUE"""),278.5)</f>
        <v>278.5</v>
      </c>
      <c r="E559" s="2">
        <f>IFERROR(__xludf.DUMMYFUNCTION("""COMPUTED_VALUE"""),287.14)</f>
        <v>287.14</v>
      </c>
      <c r="F559" s="2">
        <f>IFERROR(__xludf.DUMMYFUNCTION("""COMPUTED_VALUE"""),1039538.0)</f>
        <v>1039538</v>
      </c>
    </row>
    <row r="560">
      <c r="A560" s="3">
        <f>IFERROR(__xludf.DUMMYFUNCTION("""COMPUTED_VALUE"""),39043.645833333336)</f>
        <v>39043.64583</v>
      </c>
      <c r="B560" s="2">
        <f>IFERROR(__xludf.DUMMYFUNCTION("""COMPUTED_VALUE"""),288.5)</f>
        <v>288.5</v>
      </c>
      <c r="C560" s="2">
        <f>IFERROR(__xludf.DUMMYFUNCTION("""COMPUTED_VALUE"""),292.75)</f>
        <v>292.75</v>
      </c>
      <c r="D560" s="2">
        <f>IFERROR(__xludf.DUMMYFUNCTION("""COMPUTED_VALUE"""),283.84)</f>
        <v>283.84</v>
      </c>
      <c r="E560" s="2">
        <f>IFERROR(__xludf.DUMMYFUNCTION("""COMPUTED_VALUE"""),287.02)</f>
        <v>287.02</v>
      </c>
      <c r="F560" s="2">
        <f>IFERROR(__xludf.DUMMYFUNCTION("""COMPUTED_VALUE"""),1397866.0)</f>
        <v>1397866</v>
      </c>
    </row>
    <row r="561">
      <c r="A561" s="3">
        <f>IFERROR(__xludf.DUMMYFUNCTION("""COMPUTED_VALUE"""),39044.645833333336)</f>
        <v>39044.64583</v>
      </c>
      <c r="B561" s="2">
        <f>IFERROR(__xludf.DUMMYFUNCTION("""COMPUTED_VALUE"""),289.0)</f>
        <v>289</v>
      </c>
      <c r="C561" s="2">
        <f>IFERROR(__xludf.DUMMYFUNCTION("""COMPUTED_VALUE"""),292.35)</f>
        <v>292.35</v>
      </c>
      <c r="D561" s="2">
        <f>IFERROR(__xludf.DUMMYFUNCTION("""COMPUTED_VALUE"""),285.0)</f>
        <v>285</v>
      </c>
      <c r="E561" s="2">
        <f>IFERROR(__xludf.DUMMYFUNCTION("""COMPUTED_VALUE"""),286.04)</f>
        <v>286.04</v>
      </c>
      <c r="F561" s="2">
        <f>IFERROR(__xludf.DUMMYFUNCTION("""COMPUTED_VALUE"""),967581.0)</f>
        <v>967581</v>
      </c>
    </row>
    <row r="562">
      <c r="A562" s="3">
        <f>IFERROR(__xludf.DUMMYFUNCTION("""COMPUTED_VALUE"""),39045.645833333336)</f>
        <v>39045.64583</v>
      </c>
      <c r="B562" s="2">
        <f>IFERROR(__xludf.DUMMYFUNCTION("""COMPUTED_VALUE"""),287.5)</f>
        <v>287.5</v>
      </c>
      <c r="C562" s="2">
        <f>IFERROR(__xludf.DUMMYFUNCTION("""COMPUTED_VALUE"""),289.23)</f>
        <v>289.23</v>
      </c>
      <c r="D562" s="2">
        <f>IFERROR(__xludf.DUMMYFUNCTION("""COMPUTED_VALUE"""),284.04)</f>
        <v>284.04</v>
      </c>
      <c r="E562" s="2">
        <f>IFERROR(__xludf.DUMMYFUNCTION("""COMPUTED_VALUE"""),287.5)</f>
        <v>287.5</v>
      </c>
      <c r="F562" s="2">
        <f>IFERROR(__xludf.DUMMYFUNCTION("""COMPUTED_VALUE"""),801326.0)</f>
        <v>801326</v>
      </c>
    </row>
    <row r="563">
      <c r="A563" s="3">
        <f>IFERROR(__xludf.DUMMYFUNCTION("""COMPUTED_VALUE"""),39048.645833333336)</f>
        <v>39048.64583</v>
      </c>
      <c r="B563" s="2">
        <f>IFERROR(__xludf.DUMMYFUNCTION("""COMPUTED_VALUE"""),287.5)</f>
        <v>287.5</v>
      </c>
      <c r="C563" s="2">
        <f>IFERROR(__xludf.DUMMYFUNCTION("""COMPUTED_VALUE"""),291.0)</f>
        <v>291</v>
      </c>
      <c r="D563" s="2">
        <f>IFERROR(__xludf.DUMMYFUNCTION("""COMPUTED_VALUE"""),287.5)</f>
        <v>287.5</v>
      </c>
      <c r="E563" s="2">
        <f>IFERROR(__xludf.DUMMYFUNCTION("""COMPUTED_VALUE"""),290.2)</f>
        <v>290.2</v>
      </c>
      <c r="F563" s="2">
        <f>IFERROR(__xludf.DUMMYFUNCTION("""COMPUTED_VALUE"""),733427.0)</f>
        <v>733427</v>
      </c>
    </row>
    <row r="564">
      <c r="A564" s="3">
        <f>IFERROR(__xludf.DUMMYFUNCTION("""COMPUTED_VALUE"""),39049.645833333336)</f>
        <v>39049.64583</v>
      </c>
      <c r="B564" s="2">
        <f>IFERROR(__xludf.DUMMYFUNCTION("""COMPUTED_VALUE"""),287.5)</f>
        <v>287.5</v>
      </c>
      <c r="C564" s="2">
        <f>IFERROR(__xludf.DUMMYFUNCTION("""COMPUTED_VALUE"""),289.0)</f>
        <v>289</v>
      </c>
      <c r="D564" s="2">
        <f>IFERROR(__xludf.DUMMYFUNCTION("""COMPUTED_VALUE"""),277.79)</f>
        <v>277.79</v>
      </c>
      <c r="E564" s="2">
        <f>IFERROR(__xludf.DUMMYFUNCTION("""COMPUTED_VALUE"""),287.46)</f>
        <v>287.46</v>
      </c>
      <c r="F564" s="2">
        <f>IFERROR(__xludf.DUMMYFUNCTION("""COMPUTED_VALUE"""),670740.0)</f>
        <v>670740</v>
      </c>
    </row>
    <row r="565">
      <c r="A565" s="3">
        <f>IFERROR(__xludf.DUMMYFUNCTION("""COMPUTED_VALUE"""),39050.645833333336)</f>
        <v>39050.64583</v>
      </c>
      <c r="B565" s="2">
        <f>IFERROR(__xludf.DUMMYFUNCTION("""COMPUTED_VALUE"""),290.0)</f>
        <v>290</v>
      </c>
      <c r="C565" s="2">
        <f>IFERROR(__xludf.DUMMYFUNCTION("""COMPUTED_VALUE"""),292.2)</f>
        <v>292.2</v>
      </c>
      <c r="D565" s="2">
        <f>IFERROR(__xludf.DUMMYFUNCTION("""COMPUTED_VALUE"""),287.5)</f>
        <v>287.5</v>
      </c>
      <c r="E565" s="2">
        <f>IFERROR(__xludf.DUMMYFUNCTION("""COMPUTED_VALUE"""),291.14)</f>
        <v>291.14</v>
      </c>
      <c r="F565" s="2">
        <f>IFERROR(__xludf.DUMMYFUNCTION("""COMPUTED_VALUE"""),650789.0)</f>
        <v>650789</v>
      </c>
    </row>
    <row r="566">
      <c r="A566" s="3">
        <f>IFERROR(__xludf.DUMMYFUNCTION("""COMPUTED_VALUE"""),39051.645833333336)</f>
        <v>39051.64583</v>
      </c>
      <c r="B566" s="2">
        <f>IFERROR(__xludf.DUMMYFUNCTION("""COMPUTED_VALUE"""),293.2)</f>
        <v>293.2</v>
      </c>
      <c r="C566" s="2">
        <f>IFERROR(__xludf.DUMMYFUNCTION("""COMPUTED_VALUE"""),301.25)</f>
        <v>301.25</v>
      </c>
      <c r="D566" s="2">
        <f>IFERROR(__xludf.DUMMYFUNCTION("""COMPUTED_VALUE"""),291.5)</f>
        <v>291.5</v>
      </c>
      <c r="E566" s="2">
        <f>IFERROR(__xludf.DUMMYFUNCTION("""COMPUTED_VALUE"""),299.7)</f>
        <v>299.7</v>
      </c>
      <c r="F566" s="2">
        <f>IFERROR(__xludf.DUMMYFUNCTION("""COMPUTED_VALUE"""),1563638.0)</f>
        <v>1563638</v>
      </c>
    </row>
    <row r="567">
      <c r="A567" s="3">
        <f>IFERROR(__xludf.DUMMYFUNCTION("""COMPUTED_VALUE"""),39052.645833333336)</f>
        <v>39052.64583</v>
      </c>
      <c r="B567" s="2">
        <f>IFERROR(__xludf.DUMMYFUNCTION("""COMPUTED_VALUE"""),300.0)</f>
        <v>300</v>
      </c>
      <c r="C567" s="2">
        <f>IFERROR(__xludf.DUMMYFUNCTION("""COMPUTED_VALUE"""),300.0)</f>
        <v>300</v>
      </c>
      <c r="D567" s="2">
        <f>IFERROR(__xludf.DUMMYFUNCTION("""COMPUTED_VALUE"""),295.31)</f>
        <v>295.31</v>
      </c>
      <c r="E567" s="2">
        <f>IFERROR(__xludf.DUMMYFUNCTION("""COMPUTED_VALUE"""),297.34)</f>
        <v>297.34</v>
      </c>
      <c r="F567" s="2">
        <f>IFERROR(__xludf.DUMMYFUNCTION("""COMPUTED_VALUE"""),940535.0)</f>
        <v>940535</v>
      </c>
    </row>
    <row r="568">
      <c r="A568" s="3">
        <f>IFERROR(__xludf.DUMMYFUNCTION("""COMPUTED_VALUE"""),39055.645833333336)</f>
        <v>39055.64583</v>
      </c>
      <c r="B568" s="2">
        <f>IFERROR(__xludf.DUMMYFUNCTION("""COMPUTED_VALUE"""),300.0)</f>
        <v>300</v>
      </c>
      <c r="C568" s="2">
        <f>IFERROR(__xludf.DUMMYFUNCTION("""COMPUTED_VALUE"""),302.75)</f>
        <v>302.75</v>
      </c>
      <c r="D568" s="2">
        <f>IFERROR(__xludf.DUMMYFUNCTION("""COMPUTED_VALUE"""),297.5)</f>
        <v>297.5</v>
      </c>
      <c r="E568" s="2">
        <f>IFERROR(__xludf.DUMMYFUNCTION("""COMPUTED_VALUE"""),298.1)</f>
        <v>298.1</v>
      </c>
      <c r="F568" s="2">
        <f>IFERROR(__xludf.DUMMYFUNCTION("""COMPUTED_VALUE"""),558523.0)</f>
        <v>558523</v>
      </c>
    </row>
    <row r="569">
      <c r="A569" s="3">
        <f>IFERROR(__xludf.DUMMYFUNCTION("""COMPUTED_VALUE"""),39056.645833333336)</f>
        <v>39056.64583</v>
      </c>
      <c r="B569" s="2">
        <f>IFERROR(__xludf.DUMMYFUNCTION("""COMPUTED_VALUE"""),302.43)</f>
        <v>302.43</v>
      </c>
      <c r="C569" s="2">
        <f>IFERROR(__xludf.DUMMYFUNCTION("""COMPUTED_VALUE"""),302.43)</f>
        <v>302.43</v>
      </c>
      <c r="D569" s="2">
        <f>IFERROR(__xludf.DUMMYFUNCTION("""COMPUTED_VALUE"""),296.25)</f>
        <v>296.25</v>
      </c>
      <c r="E569" s="2">
        <f>IFERROR(__xludf.DUMMYFUNCTION("""COMPUTED_VALUE"""),297.98)</f>
        <v>297.98</v>
      </c>
      <c r="F569" s="2">
        <f>IFERROR(__xludf.DUMMYFUNCTION("""COMPUTED_VALUE"""),529119.0)</f>
        <v>529119</v>
      </c>
    </row>
    <row r="570">
      <c r="A570" s="3">
        <f>IFERROR(__xludf.DUMMYFUNCTION("""COMPUTED_VALUE"""),39057.645833333336)</f>
        <v>39057.64583</v>
      </c>
      <c r="B570" s="2">
        <f>IFERROR(__xludf.DUMMYFUNCTION("""COMPUTED_VALUE"""),293.05)</f>
        <v>293.05</v>
      </c>
      <c r="C570" s="2">
        <f>IFERROR(__xludf.DUMMYFUNCTION("""COMPUTED_VALUE"""),301.75)</f>
        <v>301.75</v>
      </c>
      <c r="D570" s="2">
        <f>IFERROR(__xludf.DUMMYFUNCTION("""COMPUTED_VALUE"""),293.05)</f>
        <v>293.05</v>
      </c>
      <c r="E570" s="2">
        <f>IFERROR(__xludf.DUMMYFUNCTION("""COMPUTED_VALUE"""),299.65)</f>
        <v>299.65</v>
      </c>
      <c r="F570" s="2">
        <f>IFERROR(__xludf.DUMMYFUNCTION("""COMPUTED_VALUE"""),795214.0)</f>
        <v>795214</v>
      </c>
    </row>
    <row r="571">
      <c r="A571" s="3">
        <f>IFERROR(__xludf.DUMMYFUNCTION("""COMPUTED_VALUE"""),39058.645833333336)</f>
        <v>39058.64583</v>
      </c>
      <c r="B571" s="2">
        <f>IFERROR(__xludf.DUMMYFUNCTION("""COMPUTED_VALUE"""),301.25)</f>
        <v>301.25</v>
      </c>
      <c r="C571" s="2">
        <f>IFERROR(__xludf.DUMMYFUNCTION("""COMPUTED_VALUE"""),308.61)</f>
        <v>308.61</v>
      </c>
      <c r="D571" s="2">
        <f>IFERROR(__xludf.DUMMYFUNCTION("""COMPUTED_VALUE"""),296.77)</f>
        <v>296.77</v>
      </c>
      <c r="E571" s="2">
        <f>IFERROR(__xludf.DUMMYFUNCTION("""COMPUTED_VALUE"""),298.58)</f>
        <v>298.58</v>
      </c>
      <c r="F571" s="2">
        <f>IFERROR(__xludf.DUMMYFUNCTION("""COMPUTED_VALUE"""),718218.0)</f>
        <v>718218</v>
      </c>
    </row>
    <row r="572">
      <c r="A572" s="3">
        <f>IFERROR(__xludf.DUMMYFUNCTION("""COMPUTED_VALUE"""),39059.645833333336)</f>
        <v>39059.64583</v>
      </c>
      <c r="B572" s="2">
        <f>IFERROR(__xludf.DUMMYFUNCTION("""COMPUTED_VALUE"""),299.75)</f>
        <v>299.75</v>
      </c>
      <c r="C572" s="2">
        <f>IFERROR(__xludf.DUMMYFUNCTION("""COMPUTED_VALUE"""),299.75)</f>
        <v>299.75</v>
      </c>
      <c r="D572" s="2">
        <f>IFERROR(__xludf.DUMMYFUNCTION("""COMPUTED_VALUE"""),293.34)</f>
        <v>293.34</v>
      </c>
      <c r="E572" s="2">
        <f>IFERROR(__xludf.DUMMYFUNCTION("""COMPUTED_VALUE"""),294.23)</f>
        <v>294.23</v>
      </c>
      <c r="F572" s="2">
        <f>IFERROR(__xludf.DUMMYFUNCTION("""COMPUTED_VALUE"""),471817.0)</f>
        <v>471817</v>
      </c>
    </row>
    <row r="573">
      <c r="A573" s="3">
        <f>IFERROR(__xludf.DUMMYFUNCTION("""COMPUTED_VALUE"""),39062.645833333336)</f>
        <v>39062.64583</v>
      </c>
      <c r="B573" s="2">
        <f>IFERROR(__xludf.DUMMYFUNCTION("""COMPUTED_VALUE"""),293.75)</f>
        <v>293.75</v>
      </c>
      <c r="C573" s="2">
        <f>IFERROR(__xludf.DUMMYFUNCTION("""COMPUTED_VALUE"""),297.25)</f>
        <v>297.25</v>
      </c>
      <c r="D573" s="2">
        <f>IFERROR(__xludf.DUMMYFUNCTION("""COMPUTED_VALUE"""),283.5)</f>
        <v>283.5</v>
      </c>
      <c r="E573" s="2">
        <f>IFERROR(__xludf.DUMMYFUNCTION("""COMPUTED_VALUE"""),293.36)</f>
        <v>293.36</v>
      </c>
      <c r="F573" s="2">
        <f>IFERROR(__xludf.DUMMYFUNCTION("""COMPUTED_VALUE"""),1069858.0)</f>
        <v>1069858</v>
      </c>
    </row>
    <row r="574">
      <c r="A574" s="3">
        <f>IFERROR(__xludf.DUMMYFUNCTION("""COMPUTED_VALUE"""),39063.645833333336)</f>
        <v>39063.64583</v>
      </c>
      <c r="B574" s="2">
        <f>IFERROR(__xludf.DUMMYFUNCTION("""COMPUTED_VALUE"""),292.5)</f>
        <v>292.5</v>
      </c>
      <c r="C574" s="2">
        <f>IFERROR(__xludf.DUMMYFUNCTION("""COMPUTED_VALUE"""),295.0)</f>
        <v>295</v>
      </c>
      <c r="D574" s="2">
        <f>IFERROR(__xludf.DUMMYFUNCTION("""COMPUTED_VALUE"""),276.25)</f>
        <v>276.25</v>
      </c>
      <c r="E574" s="2">
        <f>IFERROR(__xludf.DUMMYFUNCTION("""COMPUTED_VALUE"""),280.13)</f>
        <v>280.13</v>
      </c>
      <c r="F574" s="2">
        <f>IFERROR(__xludf.DUMMYFUNCTION("""COMPUTED_VALUE"""),1279575.0)</f>
        <v>1279575</v>
      </c>
    </row>
    <row r="575">
      <c r="A575" s="3">
        <f>IFERROR(__xludf.DUMMYFUNCTION("""COMPUTED_VALUE"""),39064.645833333336)</f>
        <v>39064.64583</v>
      </c>
      <c r="B575" s="2">
        <f>IFERROR(__xludf.DUMMYFUNCTION("""COMPUTED_VALUE"""),280.13)</f>
        <v>280.13</v>
      </c>
      <c r="C575" s="2">
        <f>IFERROR(__xludf.DUMMYFUNCTION("""COMPUTED_VALUE"""),285.25)</f>
        <v>285.25</v>
      </c>
      <c r="D575" s="2">
        <f>IFERROR(__xludf.DUMMYFUNCTION("""COMPUTED_VALUE"""),270.09)</f>
        <v>270.09</v>
      </c>
      <c r="E575" s="2">
        <f>IFERROR(__xludf.DUMMYFUNCTION("""COMPUTED_VALUE"""),280.21)</f>
        <v>280.21</v>
      </c>
      <c r="F575" s="2">
        <f>IFERROR(__xludf.DUMMYFUNCTION("""COMPUTED_VALUE"""),904305.0)</f>
        <v>904305</v>
      </c>
    </row>
    <row r="576">
      <c r="A576" s="3">
        <f>IFERROR(__xludf.DUMMYFUNCTION("""COMPUTED_VALUE"""),39065.645833333336)</f>
        <v>39065.64583</v>
      </c>
      <c r="B576" s="2">
        <f>IFERROR(__xludf.DUMMYFUNCTION("""COMPUTED_VALUE"""),276.26)</f>
        <v>276.26</v>
      </c>
      <c r="C576" s="2">
        <f>IFERROR(__xludf.DUMMYFUNCTION("""COMPUTED_VALUE"""),290.0)</f>
        <v>290</v>
      </c>
      <c r="D576" s="2">
        <f>IFERROR(__xludf.DUMMYFUNCTION("""COMPUTED_VALUE"""),276.26)</f>
        <v>276.26</v>
      </c>
      <c r="E576" s="2">
        <f>IFERROR(__xludf.DUMMYFUNCTION("""COMPUTED_VALUE"""),287.4)</f>
        <v>287.4</v>
      </c>
      <c r="F576" s="2">
        <f>IFERROR(__xludf.DUMMYFUNCTION("""COMPUTED_VALUE"""),729006.0)</f>
        <v>729006</v>
      </c>
    </row>
    <row r="577">
      <c r="A577" s="3">
        <f>IFERROR(__xludf.DUMMYFUNCTION("""COMPUTED_VALUE"""),39066.645833333336)</f>
        <v>39066.64583</v>
      </c>
      <c r="B577" s="2">
        <f>IFERROR(__xludf.DUMMYFUNCTION("""COMPUTED_VALUE"""),292.1)</f>
        <v>292.1</v>
      </c>
      <c r="C577" s="2">
        <f>IFERROR(__xludf.DUMMYFUNCTION("""COMPUTED_VALUE"""),292.1)</f>
        <v>292.1</v>
      </c>
      <c r="D577" s="2">
        <f>IFERROR(__xludf.DUMMYFUNCTION("""COMPUTED_VALUE"""),287.0)</f>
        <v>287</v>
      </c>
      <c r="E577" s="2">
        <f>IFERROR(__xludf.DUMMYFUNCTION("""COMPUTED_VALUE"""),290.05)</f>
        <v>290.05</v>
      </c>
      <c r="F577" s="2">
        <f>IFERROR(__xludf.DUMMYFUNCTION("""COMPUTED_VALUE"""),576429.0)</f>
        <v>576429</v>
      </c>
    </row>
    <row r="578">
      <c r="A578" s="3">
        <f>IFERROR(__xludf.DUMMYFUNCTION("""COMPUTED_VALUE"""),39069.645833333336)</f>
        <v>39069.64583</v>
      </c>
      <c r="B578" s="2">
        <f>IFERROR(__xludf.DUMMYFUNCTION("""COMPUTED_VALUE"""),288.75)</f>
        <v>288.75</v>
      </c>
      <c r="C578" s="2">
        <f>IFERROR(__xludf.DUMMYFUNCTION("""COMPUTED_VALUE"""),297.1)</f>
        <v>297.1</v>
      </c>
      <c r="D578" s="2">
        <f>IFERROR(__xludf.DUMMYFUNCTION("""COMPUTED_VALUE"""),281.0)</f>
        <v>281</v>
      </c>
      <c r="E578" s="2">
        <f>IFERROR(__xludf.DUMMYFUNCTION("""COMPUTED_VALUE"""),295.31)</f>
        <v>295.31</v>
      </c>
      <c r="F578" s="2">
        <f>IFERROR(__xludf.DUMMYFUNCTION("""COMPUTED_VALUE"""),587856.0)</f>
        <v>587856</v>
      </c>
    </row>
    <row r="579">
      <c r="A579" s="3">
        <f>IFERROR(__xludf.DUMMYFUNCTION("""COMPUTED_VALUE"""),39070.645833333336)</f>
        <v>39070.64583</v>
      </c>
      <c r="B579" s="2">
        <f>IFERROR(__xludf.DUMMYFUNCTION("""COMPUTED_VALUE"""),295.25)</f>
        <v>295.25</v>
      </c>
      <c r="C579" s="2">
        <f>IFERROR(__xludf.DUMMYFUNCTION("""COMPUTED_VALUE"""),295.95)</f>
        <v>295.95</v>
      </c>
      <c r="D579" s="2">
        <f>IFERROR(__xludf.DUMMYFUNCTION("""COMPUTED_VALUE"""),281.25)</f>
        <v>281.25</v>
      </c>
      <c r="E579" s="2">
        <f>IFERROR(__xludf.DUMMYFUNCTION("""COMPUTED_VALUE"""),285.46)</f>
        <v>285.46</v>
      </c>
      <c r="F579" s="2">
        <f>IFERROR(__xludf.DUMMYFUNCTION("""COMPUTED_VALUE"""),905907.0)</f>
        <v>905907</v>
      </c>
    </row>
    <row r="580">
      <c r="A580" s="3">
        <f>IFERROR(__xludf.DUMMYFUNCTION("""COMPUTED_VALUE"""),39071.645833333336)</f>
        <v>39071.64583</v>
      </c>
      <c r="B580" s="2">
        <f>IFERROR(__xludf.DUMMYFUNCTION("""COMPUTED_VALUE"""),287.5)</f>
        <v>287.5</v>
      </c>
      <c r="C580" s="2">
        <f>IFERROR(__xludf.DUMMYFUNCTION("""COMPUTED_VALUE"""),291.96)</f>
        <v>291.96</v>
      </c>
      <c r="D580" s="2">
        <f>IFERROR(__xludf.DUMMYFUNCTION("""COMPUTED_VALUE"""),278.76)</f>
        <v>278.76</v>
      </c>
      <c r="E580" s="2">
        <f>IFERROR(__xludf.DUMMYFUNCTION("""COMPUTED_VALUE"""),282.19)</f>
        <v>282.19</v>
      </c>
      <c r="F580" s="2">
        <f>IFERROR(__xludf.DUMMYFUNCTION("""COMPUTED_VALUE"""),938915.0)</f>
        <v>938915</v>
      </c>
    </row>
    <row r="581">
      <c r="A581" s="3">
        <f>IFERROR(__xludf.DUMMYFUNCTION("""COMPUTED_VALUE"""),39072.645833333336)</f>
        <v>39072.64583</v>
      </c>
      <c r="B581" s="2">
        <f>IFERROR(__xludf.DUMMYFUNCTION("""COMPUTED_VALUE"""),284.25)</f>
        <v>284.25</v>
      </c>
      <c r="C581" s="2">
        <f>IFERROR(__xludf.DUMMYFUNCTION("""COMPUTED_VALUE"""),287.5)</f>
        <v>287.5</v>
      </c>
      <c r="D581" s="2">
        <f>IFERROR(__xludf.DUMMYFUNCTION("""COMPUTED_VALUE"""),277.75)</f>
        <v>277.75</v>
      </c>
      <c r="E581" s="2">
        <f>IFERROR(__xludf.DUMMYFUNCTION("""COMPUTED_VALUE"""),284.24)</f>
        <v>284.24</v>
      </c>
      <c r="F581" s="2">
        <f>IFERROR(__xludf.DUMMYFUNCTION("""COMPUTED_VALUE"""),563954.0)</f>
        <v>563954</v>
      </c>
    </row>
    <row r="582">
      <c r="A582" s="3">
        <f>IFERROR(__xludf.DUMMYFUNCTION("""COMPUTED_VALUE"""),39073.645833333336)</f>
        <v>39073.64583</v>
      </c>
      <c r="B582" s="2">
        <f>IFERROR(__xludf.DUMMYFUNCTION("""COMPUTED_VALUE"""),283.75)</f>
        <v>283.75</v>
      </c>
      <c r="C582" s="2">
        <f>IFERROR(__xludf.DUMMYFUNCTION("""COMPUTED_VALUE"""),290.0)</f>
        <v>290</v>
      </c>
      <c r="D582" s="2">
        <f>IFERROR(__xludf.DUMMYFUNCTION("""COMPUTED_VALUE"""),282.02)</f>
        <v>282.02</v>
      </c>
      <c r="E582" s="2">
        <f>IFERROR(__xludf.DUMMYFUNCTION("""COMPUTED_VALUE"""),288.49)</f>
        <v>288.49</v>
      </c>
      <c r="F582" s="2">
        <f>IFERROR(__xludf.DUMMYFUNCTION("""COMPUTED_VALUE"""),437504.0)</f>
        <v>437504</v>
      </c>
    </row>
    <row r="583">
      <c r="A583" s="3">
        <f>IFERROR(__xludf.DUMMYFUNCTION("""COMPUTED_VALUE"""),39077.645833333336)</f>
        <v>39077.64583</v>
      </c>
      <c r="B583" s="2">
        <f>IFERROR(__xludf.DUMMYFUNCTION("""COMPUTED_VALUE"""),288.25)</f>
        <v>288.25</v>
      </c>
      <c r="C583" s="2">
        <f>IFERROR(__xludf.DUMMYFUNCTION("""COMPUTED_VALUE"""),298.6)</f>
        <v>298.6</v>
      </c>
      <c r="D583" s="2">
        <f>IFERROR(__xludf.DUMMYFUNCTION("""COMPUTED_VALUE"""),288.25)</f>
        <v>288.25</v>
      </c>
      <c r="E583" s="2">
        <f>IFERROR(__xludf.DUMMYFUNCTION("""COMPUTED_VALUE"""),297.85)</f>
        <v>297.85</v>
      </c>
      <c r="F583" s="2">
        <f>IFERROR(__xludf.DUMMYFUNCTION("""COMPUTED_VALUE"""),449348.0)</f>
        <v>449348</v>
      </c>
    </row>
    <row r="584">
      <c r="A584" s="3">
        <f>IFERROR(__xludf.DUMMYFUNCTION("""COMPUTED_VALUE"""),39078.645833333336)</f>
        <v>39078.64583</v>
      </c>
      <c r="B584" s="2">
        <f>IFERROR(__xludf.DUMMYFUNCTION("""COMPUTED_VALUE"""),298.75)</f>
        <v>298.75</v>
      </c>
      <c r="C584" s="2">
        <f>IFERROR(__xludf.DUMMYFUNCTION("""COMPUTED_VALUE"""),301.5)</f>
        <v>301.5</v>
      </c>
      <c r="D584" s="2">
        <f>IFERROR(__xludf.DUMMYFUNCTION("""COMPUTED_VALUE"""),295.26)</f>
        <v>295.26</v>
      </c>
      <c r="E584" s="2">
        <f>IFERROR(__xludf.DUMMYFUNCTION("""COMPUTED_VALUE"""),299.0)</f>
        <v>299</v>
      </c>
      <c r="F584" s="2">
        <f>IFERROR(__xludf.DUMMYFUNCTION("""COMPUTED_VALUE"""),598600.0)</f>
        <v>598600</v>
      </c>
    </row>
    <row r="585">
      <c r="A585" s="3">
        <f>IFERROR(__xludf.DUMMYFUNCTION("""COMPUTED_VALUE"""),39079.645833333336)</f>
        <v>39079.64583</v>
      </c>
      <c r="B585" s="2">
        <f>IFERROR(__xludf.DUMMYFUNCTION("""COMPUTED_VALUE"""),301.35)</f>
        <v>301.35</v>
      </c>
      <c r="C585" s="2">
        <f>IFERROR(__xludf.DUMMYFUNCTION("""COMPUTED_VALUE"""),305.0)</f>
        <v>305</v>
      </c>
      <c r="D585" s="2">
        <f>IFERROR(__xludf.DUMMYFUNCTION("""COMPUTED_VALUE"""),297.0)</f>
        <v>297</v>
      </c>
      <c r="E585" s="2">
        <f>IFERROR(__xludf.DUMMYFUNCTION("""COMPUTED_VALUE"""),302.98)</f>
        <v>302.98</v>
      </c>
      <c r="F585" s="2">
        <f>IFERROR(__xludf.DUMMYFUNCTION("""COMPUTED_VALUE"""),604577.0)</f>
        <v>604577</v>
      </c>
    </row>
    <row r="586">
      <c r="A586" s="3">
        <f>IFERROR(__xludf.DUMMYFUNCTION("""COMPUTED_VALUE"""),39080.645833333336)</f>
        <v>39080.64583</v>
      </c>
      <c r="B586" s="2">
        <f>IFERROR(__xludf.DUMMYFUNCTION("""COMPUTED_VALUE"""),303.36)</f>
        <v>303.36</v>
      </c>
      <c r="C586" s="2">
        <f>IFERROR(__xludf.DUMMYFUNCTION("""COMPUTED_VALUE"""),307.35)</f>
        <v>307.35</v>
      </c>
      <c r="D586" s="2">
        <f>IFERROR(__xludf.DUMMYFUNCTION("""COMPUTED_VALUE"""),300.63)</f>
        <v>300.63</v>
      </c>
      <c r="E586" s="2">
        <f>IFERROR(__xludf.DUMMYFUNCTION("""COMPUTED_VALUE"""),305.5)</f>
        <v>305.5</v>
      </c>
      <c r="F586" s="2">
        <f>IFERROR(__xludf.DUMMYFUNCTION("""COMPUTED_VALUE"""),468617.0)</f>
        <v>468617</v>
      </c>
    </row>
    <row r="587">
      <c r="A587" s="3">
        <f>IFERROR(__xludf.DUMMYFUNCTION("""COMPUTED_VALUE"""),39084.645833333336)</f>
        <v>39084.64583</v>
      </c>
      <c r="B587" s="2">
        <f>IFERROR(__xludf.DUMMYFUNCTION("""COMPUTED_VALUE"""),307.35)</f>
        <v>307.35</v>
      </c>
      <c r="C587" s="2">
        <f>IFERROR(__xludf.DUMMYFUNCTION("""COMPUTED_VALUE"""),314.5)</f>
        <v>314.5</v>
      </c>
      <c r="D587" s="2">
        <f>IFERROR(__xludf.DUMMYFUNCTION("""COMPUTED_VALUE"""),304.0)</f>
        <v>304</v>
      </c>
      <c r="E587" s="2">
        <f>IFERROR(__xludf.DUMMYFUNCTION("""COMPUTED_VALUE"""),312.13)</f>
        <v>312.13</v>
      </c>
      <c r="F587" s="2">
        <f>IFERROR(__xludf.DUMMYFUNCTION("""COMPUTED_VALUE"""),386265.0)</f>
        <v>386265</v>
      </c>
    </row>
    <row r="588">
      <c r="A588" s="3">
        <f>IFERROR(__xludf.DUMMYFUNCTION("""COMPUTED_VALUE"""),39085.645833333336)</f>
        <v>39085.64583</v>
      </c>
      <c r="B588" s="2">
        <f>IFERROR(__xludf.DUMMYFUNCTION("""COMPUTED_VALUE"""),313.25)</f>
        <v>313.25</v>
      </c>
      <c r="C588" s="2">
        <f>IFERROR(__xludf.DUMMYFUNCTION("""COMPUTED_VALUE"""),322.0)</f>
        <v>322</v>
      </c>
      <c r="D588" s="2">
        <f>IFERROR(__xludf.DUMMYFUNCTION("""COMPUTED_VALUE"""),309.79)</f>
        <v>309.79</v>
      </c>
      <c r="E588" s="2">
        <f>IFERROR(__xludf.DUMMYFUNCTION("""COMPUTED_VALUE"""),320.04)</f>
        <v>320.04</v>
      </c>
      <c r="F588" s="2">
        <f>IFERROR(__xludf.DUMMYFUNCTION("""COMPUTED_VALUE"""),1096243.0)</f>
        <v>1096243</v>
      </c>
    </row>
    <row r="589">
      <c r="A589" s="3">
        <f>IFERROR(__xludf.DUMMYFUNCTION("""COMPUTED_VALUE"""),39086.645833333336)</f>
        <v>39086.64583</v>
      </c>
      <c r="B589" s="2">
        <f>IFERROR(__xludf.DUMMYFUNCTION("""COMPUTED_VALUE"""),321.25)</f>
        <v>321.25</v>
      </c>
      <c r="C589" s="2">
        <f>IFERROR(__xludf.DUMMYFUNCTION("""COMPUTED_VALUE"""),321.25)</f>
        <v>321.25</v>
      </c>
      <c r="D589" s="2">
        <f>IFERROR(__xludf.DUMMYFUNCTION("""COMPUTED_VALUE"""),312.52)</f>
        <v>312.52</v>
      </c>
      <c r="E589" s="2">
        <f>IFERROR(__xludf.DUMMYFUNCTION("""COMPUTED_VALUE"""),314.76)</f>
        <v>314.76</v>
      </c>
      <c r="F589" s="2">
        <f>IFERROR(__xludf.DUMMYFUNCTION("""COMPUTED_VALUE"""),992675.0)</f>
        <v>992675</v>
      </c>
    </row>
    <row r="590">
      <c r="A590" s="3">
        <f>IFERROR(__xludf.DUMMYFUNCTION("""COMPUTED_VALUE"""),39087.645833333336)</f>
        <v>39087.64583</v>
      </c>
      <c r="B590" s="2">
        <f>IFERROR(__xludf.DUMMYFUNCTION("""COMPUTED_VALUE"""),316.25)</f>
        <v>316.25</v>
      </c>
      <c r="C590" s="2">
        <f>IFERROR(__xludf.DUMMYFUNCTION("""COMPUTED_VALUE"""),317.15)</f>
        <v>317.15</v>
      </c>
      <c r="D590" s="2">
        <f>IFERROR(__xludf.DUMMYFUNCTION("""COMPUTED_VALUE"""),313.27)</f>
        <v>313.27</v>
      </c>
      <c r="E590" s="2">
        <f>IFERROR(__xludf.DUMMYFUNCTION("""COMPUTED_VALUE"""),315.75)</f>
        <v>315.75</v>
      </c>
      <c r="F590" s="2">
        <f>IFERROR(__xludf.DUMMYFUNCTION("""COMPUTED_VALUE"""),679685.0)</f>
        <v>679685</v>
      </c>
    </row>
    <row r="591">
      <c r="A591" s="3">
        <f>IFERROR(__xludf.DUMMYFUNCTION("""COMPUTED_VALUE"""),39090.645833333336)</f>
        <v>39090.64583</v>
      </c>
      <c r="B591" s="2">
        <f>IFERROR(__xludf.DUMMYFUNCTION("""COMPUTED_VALUE"""),314.75)</f>
        <v>314.75</v>
      </c>
      <c r="C591" s="2">
        <f>IFERROR(__xludf.DUMMYFUNCTION("""COMPUTED_VALUE"""),314.75)</f>
        <v>314.75</v>
      </c>
      <c r="D591" s="2">
        <f>IFERROR(__xludf.DUMMYFUNCTION("""COMPUTED_VALUE"""),303.75)</f>
        <v>303.75</v>
      </c>
      <c r="E591" s="2">
        <f>IFERROR(__xludf.DUMMYFUNCTION("""COMPUTED_VALUE"""),310.95)</f>
        <v>310.95</v>
      </c>
      <c r="F591" s="2">
        <f>IFERROR(__xludf.DUMMYFUNCTION("""COMPUTED_VALUE"""),1237973.0)</f>
        <v>1237973</v>
      </c>
    </row>
    <row r="592">
      <c r="A592" s="3">
        <f>IFERROR(__xludf.DUMMYFUNCTION("""COMPUTED_VALUE"""),39091.645833333336)</f>
        <v>39091.64583</v>
      </c>
      <c r="B592" s="2">
        <f>IFERROR(__xludf.DUMMYFUNCTION("""COMPUTED_VALUE"""),311.98)</f>
        <v>311.98</v>
      </c>
      <c r="C592" s="2">
        <f>IFERROR(__xludf.DUMMYFUNCTION("""COMPUTED_VALUE"""),315.46)</f>
        <v>315.46</v>
      </c>
      <c r="D592" s="2">
        <f>IFERROR(__xludf.DUMMYFUNCTION("""COMPUTED_VALUE"""),306.31)</f>
        <v>306.31</v>
      </c>
      <c r="E592" s="2">
        <f>IFERROR(__xludf.DUMMYFUNCTION("""COMPUTED_VALUE"""),314.1)</f>
        <v>314.1</v>
      </c>
      <c r="F592" s="2">
        <f>IFERROR(__xludf.DUMMYFUNCTION("""COMPUTED_VALUE"""),1005142.0)</f>
        <v>1005142</v>
      </c>
    </row>
    <row r="593">
      <c r="A593" s="3">
        <f>IFERROR(__xludf.DUMMYFUNCTION("""COMPUTED_VALUE"""),39092.645833333336)</f>
        <v>39092.64583</v>
      </c>
      <c r="B593" s="2">
        <f>IFERROR(__xludf.DUMMYFUNCTION("""COMPUTED_VALUE"""),311.14)</f>
        <v>311.14</v>
      </c>
      <c r="C593" s="2">
        <f>IFERROR(__xludf.DUMMYFUNCTION("""COMPUTED_VALUE"""),313.75)</f>
        <v>313.75</v>
      </c>
      <c r="D593" s="2">
        <f>IFERROR(__xludf.DUMMYFUNCTION("""COMPUTED_VALUE"""),307.5)</f>
        <v>307.5</v>
      </c>
      <c r="E593" s="2">
        <f>IFERROR(__xludf.DUMMYFUNCTION("""COMPUTED_VALUE"""),308.85)</f>
        <v>308.85</v>
      </c>
      <c r="F593" s="2">
        <f>IFERROR(__xludf.DUMMYFUNCTION("""COMPUTED_VALUE"""),732857.0)</f>
        <v>732857</v>
      </c>
    </row>
    <row r="594">
      <c r="A594" s="3">
        <f>IFERROR(__xludf.DUMMYFUNCTION("""COMPUTED_VALUE"""),39093.645833333336)</f>
        <v>39093.64583</v>
      </c>
      <c r="B594" s="2">
        <f>IFERROR(__xludf.DUMMYFUNCTION("""COMPUTED_VALUE"""),299.73)</f>
        <v>299.73</v>
      </c>
      <c r="C594" s="2">
        <f>IFERROR(__xludf.DUMMYFUNCTION("""COMPUTED_VALUE"""),324.5)</f>
        <v>324.5</v>
      </c>
      <c r="D594" s="2">
        <f>IFERROR(__xludf.DUMMYFUNCTION("""COMPUTED_VALUE"""),299.73)</f>
        <v>299.73</v>
      </c>
      <c r="E594" s="2">
        <f>IFERROR(__xludf.DUMMYFUNCTION("""COMPUTED_VALUE"""),319.41)</f>
        <v>319.41</v>
      </c>
      <c r="F594" s="2">
        <f>IFERROR(__xludf.DUMMYFUNCTION("""COMPUTED_VALUE"""),1850166.0)</f>
        <v>1850166</v>
      </c>
    </row>
    <row r="595">
      <c r="A595" s="3">
        <f>IFERROR(__xludf.DUMMYFUNCTION("""COMPUTED_VALUE"""),39094.645833333336)</f>
        <v>39094.64583</v>
      </c>
      <c r="B595" s="2">
        <f>IFERROR(__xludf.DUMMYFUNCTION("""COMPUTED_VALUE"""),322.54)</f>
        <v>322.54</v>
      </c>
      <c r="C595" s="2">
        <f>IFERROR(__xludf.DUMMYFUNCTION("""COMPUTED_VALUE"""),332.25)</f>
        <v>332.25</v>
      </c>
      <c r="D595" s="2">
        <f>IFERROR(__xludf.DUMMYFUNCTION("""COMPUTED_VALUE"""),322.54)</f>
        <v>322.54</v>
      </c>
      <c r="E595" s="2">
        <f>IFERROR(__xludf.DUMMYFUNCTION("""COMPUTED_VALUE"""),330.99)</f>
        <v>330.99</v>
      </c>
      <c r="F595" s="2">
        <f>IFERROR(__xludf.DUMMYFUNCTION("""COMPUTED_VALUE"""),1543937.0)</f>
        <v>1543937</v>
      </c>
    </row>
    <row r="596">
      <c r="A596" s="3">
        <f>IFERROR(__xludf.DUMMYFUNCTION("""COMPUTED_VALUE"""),39097.645833333336)</f>
        <v>39097.64583</v>
      </c>
      <c r="B596" s="2">
        <f>IFERROR(__xludf.DUMMYFUNCTION("""COMPUTED_VALUE"""),337.5)</f>
        <v>337.5</v>
      </c>
      <c r="C596" s="2">
        <f>IFERROR(__xludf.DUMMYFUNCTION("""COMPUTED_VALUE"""),342.0)</f>
        <v>342</v>
      </c>
      <c r="D596" s="2">
        <f>IFERROR(__xludf.DUMMYFUNCTION("""COMPUTED_VALUE"""),325.01)</f>
        <v>325.01</v>
      </c>
      <c r="E596" s="2">
        <f>IFERROR(__xludf.DUMMYFUNCTION("""COMPUTED_VALUE"""),331.59)</f>
        <v>331.59</v>
      </c>
      <c r="F596" s="2">
        <f>IFERROR(__xludf.DUMMYFUNCTION("""COMPUTED_VALUE"""),3063958.0)</f>
        <v>3063958</v>
      </c>
    </row>
    <row r="597">
      <c r="A597" s="3">
        <f>IFERROR(__xludf.DUMMYFUNCTION("""COMPUTED_VALUE"""),39098.645833333336)</f>
        <v>39098.64583</v>
      </c>
      <c r="B597" s="2">
        <f>IFERROR(__xludf.DUMMYFUNCTION("""COMPUTED_VALUE"""),347.24)</f>
        <v>347.24</v>
      </c>
      <c r="C597" s="2">
        <f>IFERROR(__xludf.DUMMYFUNCTION("""COMPUTED_VALUE"""),347.24)</f>
        <v>347.24</v>
      </c>
      <c r="D597" s="2">
        <f>IFERROR(__xludf.DUMMYFUNCTION("""COMPUTED_VALUE"""),329.75)</f>
        <v>329.75</v>
      </c>
      <c r="E597" s="2">
        <f>IFERROR(__xludf.DUMMYFUNCTION("""COMPUTED_VALUE"""),331.03)</f>
        <v>331.03</v>
      </c>
      <c r="F597" s="2">
        <f>IFERROR(__xludf.DUMMYFUNCTION("""COMPUTED_VALUE"""),1906491.0)</f>
        <v>1906491</v>
      </c>
    </row>
    <row r="598">
      <c r="A598" s="3">
        <f>IFERROR(__xludf.DUMMYFUNCTION("""COMPUTED_VALUE"""),39099.645833333336)</f>
        <v>39099.64583</v>
      </c>
      <c r="B598" s="2">
        <f>IFERROR(__xludf.DUMMYFUNCTION("""COMPUTED_VALUE"""),332.48)</f>
        <v>332.48</v>
      </c>
      <c r="C598" s="2">
        <f>IFERROR(__xludf.DUMMYFUNCTION("""COMPUTED_VALUE"""),333.75)</f>
        <v>333.75</v>
      </c>
      <c r="D598" s="2">
        <f>IFERROR(__xludf.DUMMYFUNCTION("""COMPUTED_VALUE"""),325.0)</f>
        <v>325</v>
      </c>
      <c r="E598" s="2">
        <f>IFERROR(__xludf.DUMMYFUNCTION("""COMPUTED_VALUE"""),326.16)</f>
        <v>326.16</v>
      </c>
      <c r="F598" s="2">
        <f>IFERROR(__xludf.DUMMYFUNCTION("""COMPUTED_VALUE"""),658457.0)</f>
        <v>658457</v>
      </c>
    </row>
    <row r="599">
      <c r="A599" s="3">
        <f>IFERROR(__xludf.DUMMYFUNCTION("""COMPUTED_VALUE"""),39100.645833333336)</f>
        <v>39100.64583</v>
      </c>
      <c r="B599" s="2">
        <f>IFERROR(__xludf.DUMMYFUNCTION("""COMPUTED_VALUE"""),326.25)</f>
        <v>326.25</v>
      </c>
      <c r="C599" s="2">
        <f>IFERROR(__xludf.DUMMYFUNCTION("""COMPUTED_VALUE"""),331.49)</f>
        <v>331.49</v>
      </c>
      <c r="D599" s="2">
        <f>IFERROR(__xludf.DUMMYFUNCTION("""COMPUTED_VALUE"""),326.25)</f>
        <v>326.25</v>
      </c>
      <c r="E599" s="2">
        <f>IFERROR(__xludf.DUMMYFUNCTION("""COMPUTED_VALUE"""),328.86)</f>
        <v>328.86</v>
      </c>
      <c r="F599" s="2">
        <f>IFERROR(__xludf.DUMMYFUNCTION("""COMPUTED_VALUE"""),679954.0)</f>
        <v>679954</v>
      </c>
    </row>
    <row r="600">
      <c r="A600" s="3">
        <f>IFERROR(__xludf.DUMMYFUNCTION("""COMPUTED_VALUE"""),39101.645833333336)</f>
        <v>39101.64583</v>
      </c>
      <c r="B600" s="2">
        <f>IFERROR(__xludf.DUMMYFUNCTION("""COMPUTED_VALUE"""),328.86)</f>
        <v>328.86</v>
      </c>
      <c r="C600" s="2">
        <f>IFERROR(__xludf.DUMMYFUNCTION("""COMPUTED_VALUE"""),331.63)</f>
        <v>331.63</v>
      </c>
      <c r="D600" s="2">
        <f>IFERROR(__xludf.DUMMYFUNCTION("""COMPUTED_VALUE"""),323.04)</f>
        <v>323.04</v>
      </c>
      <c r="E600" s="2">
        <f>IFERROR(__xludf.DUMMYFUNCTION("""COMPUTED_VALUE"""),324.54)</f>
        <v>324.54</v>
      </c>
      <c r="F600" s="2">
        <f>IFERROR(__xludf.DUMMYFUNCTION("""COMPUTED_VALUE"""),720514.0)</f>
        <v>720514</v>
      </c>
    </row>
    <row r="601">
      <c r="A601" s="3">
        <f>IFERROR(__xludf.DUMMYFUNCTION("""COMPUTED_VALUE"""),39104.645833333336)</f>
        <v>39104.64583</v>
      </c>
      <c r="B601" s="2">
        <f>IFERROR(__xludf.DUMMYFUNCTION("""COMPUTED_VALUE"""),325.02)</f>
        <v>325.02</v>
      </c>
      <c r="C601" s="2">
        <f>IFERROR(__xludf.DUMMYFUNCTION("""COMPUTED_VALUE"""),330.6)</f>
        <v>330.6</v>
      </c>
      <c r="D601" s="2">
        <f>IFERROR(__xludf.DUMMYFUNCTION("""COMPUTED_VALUE"""),322.51)</f>
        <v>322.51</v>
      </c>
      <c r="E601" s="2">
        <f>IFERROR(__xludf.DUMMYFUNCTION("""COMPUTED_VALUE"""),328.36)</f>
        <v>328.36</v>
      </c>
      <c r="F601" s="2">
        <f>IFERROR(__xludf.DUMMYFUNCTION("""COMPUTED_VALUE"""),795239.0)</f>
        <v>795239</v>
      </c>
    </row>
    <row r="602">
      <c r="A602" s="3">
        <f>IFERROR(__xludf.DUMMYFUNCTION("""COMPUTED_VALUE"""),39105.645833333336)</f>
        <v>39105.64583</v>
      </c>
      <c r="B602" s="2">
        <f>IFERROR(__xludf.DUMMYFUNCTION("""COMPUTED_VALUE"""),328.28)</f>
        <v>328.28</v>
      </c>
      <c r="C602" s="2">
        <f>IFERROR(__xludf.DUMMYFUNCTION("""COMPUTED_VALUE"""),328.49)</f>
        <v>328.49</v>
      </c>
      <c r="D602" s="2">
        <f>IFERROR(__xludf.DUMMYFUNCTION("""COMPUTED_VALUE"""),325.0)</f>
        <v>325</v>
      </c>
      <c r="E602" s="2">
        <f>IFERROR(__xludf.DUMMYFUNCTION("""COMPUTED_VALUE"""),325.68)</f>
        <v>325.68</v>
      </c>
      <c r="F602" s="2">
        <f>IFERROR(__xludf.DUMMYFUNCTION("""COMPUTED_VALUE"""),781038.0)</f>
        <v>781038</v>
      </c>
    </row>
    <row r="603">
      <c r="A603" s="3">
        <f>IFERROR(__xludf.DUMMYFUNCTION("""COMPUTED_VALUE"""),39106.645833333336)</f>
        <v>39106.64583</v>
      </c>
      <c r="B603" s="2">
        <f>IFERROR(__xludf.DUMMYFUNCTION("""COMPUTED_VALUE"""),327.88)</f>
        <v>327.88</v>
      </c>
      <c r="C603" s="2">
        <f>IFERROR(__xludf.DUMMYFUNCTION("""COMPUTED_VALUE"""),328.5)</f>
        <v>328.5</v>
      </c>
      <c r="D603" s="2">
        <f>IFERROR(__xludf.DUMMYFUNCTION("""COMPUTED_VALUE"""),324.54)</f>
        <v>324.54</v>
      </c>
      <c r="E603" s="2">
        <f>IFERROR(__xludf.DUMMYFUNCTION("""COMPUTED_VALUE"""),326.79)</f>
        <v>326.79</v>
      </c>
      <c r="F603" s="2">
        <f>IFERROR(__xludf.DUMMYFUNCTION("""COMPUTED_VALUE"""),588787.0)</f>
        <v>588787</v>
      </c>
    </row>
    <row r="604">
      <c r="A604" s="3">
        <f>IFERROR(__xludf.DUMMYFUNCTION("""COMPUTED_VALUE"""),39107.645833333336)</f>
        <v>39107.64583</v>
      </c>
      <c r="B604" s="2">
        <f>IFERROR(__xludf.DUMMYFUNCTION("""COMPUTED_VALUE"""),331.25)</f>
        <v>331.25</v>
      </c>
      <c r="C604" s="2">
        <f>IFERROR(__xludf.DUMMYFUNCTION("""COMPUTED_VALUE"""),342.25)</f>
        <v>342.25</v>
      </c>
      <c r="D604" s="2">
        <f>IFERROR(__xludf.DUMMYFUNCTION("""COMPUTED_VALUE"""),325.73)</f>
        <v>325.73</v>
      </c>
      <c r="E604" s="2">
        <f>IFERROR(__xludf.DUMMYFUNCTION("""COMPUTED_VALUE"""),328.86)</f>
        <v>328.86</v>
      </c>
      <c r="F604" s="2">
        <f>IFERROR(__xludf.DUMMYFUNCTION("""COMPUTED_VALUE"""),1388494.0)</f>
        <v>1388494</v>
      </c>
    </row>
    <row r="605">
      <c r="A605" s="3">
        <f>IFERROR(__xludf.DUMMYFUNCTION("""COMPUTED_VALUE"""),39111.645833333336)</f>
        <v>39111.64583</v>
      </c>
      <c r="B605" s="2">
        <f>IFERROR(__xludf.DUMMYFUNCTION("""COMPUTED_VALUE"""),328.75)</f>
        <v>328.75</v>
      </c>
      <c r="C605" s="2">
        <f>IFERROR(__xludf.DUMMYFUNCTION("""COMPUTED_VALUE"""),328.75)</f>
        <v>328.75</v>
      </c>
      <c r="D605" s="2">
        <f>IFERROR(__xludf.DUMMYFUNCTION("""COMPUTED_VALUE"""),322.75)</f>
        <v>322.75</v>
      </c>
      <c r="E605" s="2">
        <f>IFERROR(__xludf.DUMMYFUNCTION("""COMPUTED_VALUE"""),324.44)</f>
        <v>324.44</v>
      </c>
      <c r="F605" s="2">
        <f>IFERROR(__xludf.DUMMYFUNCTION("""COMPUTED_VALUE"""),745581.0)</f>
        <v>745581</v>
      </c>
    </row>
    <row r="606">
      <c r="A606" s="3">
        <f>IFERROR(__xludf.DUMMYFUNCTION("""COMPUTED_VALUE"""),39113.645833333336)</f>
        <v>39113.64583</v>
      </c>
      <c r="B606" s="2">
        <f>IFERROR(__xludf.DUMMYFUNCTION("""COMPUTED_VALUE"""),324.27)</f>
        <v>324.27</v>
      </c>
      <c r="C606" s="2">
        <f>IFERROR(__xludf.DUMMYFUNCTION("""COMPUTED_VALUE"""),328.48)</f>
        <v>328.48</v>
      </c>
      <c r="D606" s="2">
        <f>IFERROR(__xludf.DUMMYFUNCTION("""COMPUTED_VALUE"""),318.0)</f>
        <v>318</v>
      </c>
      <c r="E606" s="2">
        <f>IFERROR(__xludf.DUMMYFUNCTION("""COMPUTED_VALUE"""),319.48)</f>
        <v>319.48</v>
      </c>
      <c r="F606" s="2">
        <f>IFERROR(__xludf.DUMMYFUNCTION("""COMPUTED_VALUE"""),1216482.0)</f>
        <v>1216482</v>
      </c>
    </row>
    <row r="607">
      <c r="A607" s="3">
        <f>IFERROR(__xludf.DUMMYFUNCTION("""COMPUTED_VALUE"""),39114.645833333336)</f>
        <v>39114.64583</v>
      </c>
      <c r="B607" s="2">
        <f>IFERROR(__xludf.DUMMYFUNCTION("""COMPUTED_VALUE"""),322.49)</f>
        <v>322.49</v>
      </c>
      <c r="C607" s="2">
        <f>IFERROR(__xludf.DUMMYFUNCTION("""COMPUTED_VALUE"""),323.75)</f>
        <v>323.75</v>
      </c>
      <c r="D607" s="2">
        <f>IFERROR(__xludf.DUMMYFUNCTION("""COMPUTED_VALUE"""),318.75)</f>
        <v>318.75</v>
      </c>
      <c r="E607" s="2">
        <f>IFERROR(__xludf.DUMMYFUNCTION("""COMPUTED_VALUE"""),323.01)</f>
        <v>323.01</v>
      </c>
      <c r="F607" s="2">
        <f>IFERROR(__xludf.DUMMYFUNCTION("""COMPUTED_VALUE"""),464976.0)</f>
        <v>464976</v>
      </c>
    </row>
    <row r="608">
      <c r="A608" s="3">
        <f>IFERROR(__xludf.DUMMYFUNCTION("""COMPUTED_VALUE"""),39115.645833333336)</f>
        <v>39115.64583</v>
      </c>
      <c r="B608" s="2">
        <f>IFERROR(__xludf.DUMMYFUNCTION("""COMPUTED_VALUE"""),324.75)</f>
        <v>324.75</v>
      </c>
      <c r="C608" s="2">
        <f>IFERROR(__xludf.DUMMYFUNCTION("""COMPUTED_VALUE"""),326.75)</f>
        <v>326.75</v>
      </c>
      <c r="D608" s="2">
        <f>IFERROR(__xludf.DUMMYFUNCTION("""COMPUTED_VALUE"""),323.76)</f>
        <v>323.76</v>
      </c>
      <c r="E608" s="2">
        <f>IFERROR(__xludf.DUMMYFUNCTION("""COMPUTED_VALUE"""),325.13)</f>
        <v>325.13</v>
      </c>
      <c r="F608" s="2">
        <f>IFERROR(__xludf.DUMMYFUNCTION("""COMPUTED_VALUE"""),1068654.0)</f>
        <v>1068654</v>
      </c>
    </row>
    <row r="609">
      <c r="A609" s="3">
        <f>IFERROR(__xludf.DUMMYFUNCTION("""COMPUTED_VALUE"""),39118.645833333336)</f>
        <v>39118.64583</v>
      </c>
      <c r="B609" s="2">
        <f>IFERROR(__xludf.DUMMYFUNCTION("""COMPUTED_VALUE"""),326.25)</f>
        <v>326.25</v>
      </c>
      <c r="C609" s="2">
        <f>IFERROR(__xludf.DUMMYFUNCTION("""COMPUTED_VALUE"""),328.48)</f>
        <v>328.48</v>
      </c>
      <c r="D609" s="2">
        <f>IFERROR(__xludf.DUMMYFUNCTION("""COMPUTED_VALUE"""),323.5)</f>
        <v>323.5</v>
      </c>
      <c r="E609" s="2">
        <f>IFERROR(__xludf.DUMMYFUNCTION("""COMPUTED_VALUE"""),326.45)</f>
        <v>326.45</v>
      </c>
      <c r="F609" s="2">
        <f>IFERROR(__xludf.DUMMYFUNCTION("""COMPUTED_VALUE"""),752684.0)</f>
        <v>752684</v>
      </c>
    </row>
    <row r="610">
      <c r="A610" s="3">
        <f>IFERROR(__xludf.DUMMYFUNCTION("""COMPUTED_VALUE"""),39119.645833333336)</f>
        <v>39119.64583</v>
      </c>
      <c r="B610" s="2">
        <f>IFERROR(__xludf.DUMMYFUNCTION("""COMPUTED_VALUE"""),328.25)</f>
        <v>328.25</v>
      </c>
      <c r="C610" s="2">
        <f>IFERROR(__xludf.DUMMYFUNCTION("""COMPUTED_VALUE"""),328.48)</f>
        <v>328.48</v>
      </c>
      <c r="D610" s="2">
        <f>IFERROR(__xludf.DUMMYFUNCTION("""COMPUTED_VALUE"""),322.51)</f>
        <v>322.51</v>
      </c>
      <c r="E610" s="2">
        <f>IFERROR(__xludf.DUMMYFUNCTION("""COMPUTED_VALUE"""),324.6)</f>
        <v>324.6</v>
      </c>
      <c r="F610" s="2">
        <f>IFERROR(__xludf.DUMMYFUNCTION("""COMPUTED_VALUE"""),852991.0)</f>
        <v>852991</v>
      </c>
    </row>
    <row r="611">
      <c r="A611" s="3">
        <f>IFERROR(__xludf.DUMMYFUNCTION("""COMPUTED_VALUE"""),39120.645833333336)</f>
        <v>39120.64583</v>
      </c>
      <c r="B611" s="2">
        <f>IFERROR(__xludf.DUMMYFUNCTION("""COMPUTED_VALUE"""),325.0)</f>
        <v>325</v>
      </c>
      <c r="C611" s="2">
        <f>IFERROR(__xludf.DUMMYFUNCTION("""COMPUTED_VALUE"""),328.1)</f>
        <v>328.1</v>
      </c>
      <c r="D611" s="2">
        <f>IFERROR(__xludf.DUMMYFUNCTION("""COMPUTED_VALUE"""),323.8)</f>
        <v>323.8</v>
      </c>
      <c r="E611" s="2">
        <f>IFERROR(__xludf.DUMMYFUNCTION("""COMPUTED_VALUE"""),326.58)</f>
        <v>326.58</v>
      </c>
      <c r="F611" s="2">
        <f>IFERROR(__xludf.DUMMYFUNCTION("""COMPUTED_VALUE"""),649996.0)</f>
        <v>649996</v>
      </c>
    </row>
    <row r="612">
      <c r="A612" s="3">
        <f>IFERROR(__xludf.DUMMYFUNCTION("""COMPUTED_VALUE"""),39121.645833333336)</f>
        <v>39121.64583</v>
      </c>
      <c r="B612" s="2">
        <f>IFERROR(__xludf.DUMMYFUNCTION("""COMPUTED_VALUE"""),327.85)</f>
        <v>327.85</v>
      </c>
      <c r="C612" s="2">
        <f>IFERROR(__xludf.DUMMYFUNCTION("""COMPUTED_VALUE"""),328.73)</f>
        <v>328.73</v>
      </c>
      <c r="D612" s="2">
        <f>IFERROR(__xludf.DUMMYFUNCTION("""COMPUTED_VALUE"""),324.34)</f>
        <v>324.34</v>
      </c>
      <c r="E612" s="2">
        <f>IFERROR(__xludf.DUMMYFUNCTION("""COMPUTED_VALUE"""),326.13)</f>
        <v>326.13</v>
      </c>
      <c r="F612" s="2">
        <f>IFERROR(__xludf.DUMMYFUNCTION("""COMPUTED_VALUE"""),662506.0)</f>
        <v>662506</v>
      </c>
    </row>
    <row r="613">
      <c r="A613" s="3">
        <f>IFERROR(__xludf.DUMMYFUNCTION("""COMPUTED_VALUE"""),39122.645833333336)</f>
        <v>39122.64583</v>
      </c>
      <c r="B613" s="2">
        <f>IFERROR(__xludf.DUMMYFUNCTION("""COMPUTED_VALUE"""),327.35)</f>
        <v>327.35</v>
      </c>
      <c r="C613" s="2">
        <f>IFERROR(__xludf.DUMMYFUNCTION("""COMPUTED_VALUE"""),329.36)</f>
        <v>329.36</v>
      </c>
      <c r="D613" s="2">
        <f>IFERROR(__xludf.DUMMYFUNCTION("""COMPUTED_VALUE"""),320.79)</f>
        <v>320.79</v>
      </c>
      <c r="E613" s="2">
        <f>IFERROR(__xludf.DUMMYFUNCTION("""COMPUTED_VALUE"""),321.85)</f>
        <v>321.85</v>
      </c>
      <c r="F613" s="2">
        <f>IFERROR(__xludf.DUMMYFUNCTION("""COMPUTED_VALUE"""),498340.0)</f>
        <v>498340</v>
      </c>
    </row>
    <row r="614">
      <c r="A614" s="3">
        <f>IFERROR(__xludf.DUMMYFUNCTION("""COMPUTED_VALUE"""),39125.645833333336)</f>
        <v>39125.64583</v>
      </c>
      <c r="B614" s="2">
        <f>IFERROR(__xludf.DUMMYFUNCTION("""COMPUTED_VALUE"""),312.5)</f>
        <v>312.5</v>
      </c>
      <c r="C614" s="2">
        <f>IFERROR(__xludf.DUMMYFUNCTION("""COMPUTED_VALUE"""),324.68)</f>
        <v>324.68</v>
      </c>
      <c r="D614" s="2">
        <f>IFERROR(__xludf.DUMMYFUNCTION("""COMPUTED_VALUE"""),312.5)</f>
        <v>312.5</v>
      </c>
      <c r="E614" s="2">
        <f>IFERROR(__xludf.DUMMYFUNCTION("""COMPUTED_VALUE"""),313.95)</f>
        <v>313.95</v>
      </c>
      <c r="F614" s="2">
        <f>IFERROR(__xludf.DUMMYFUNCTION("""COMPUTED_VALUE"""),446597.0)</f>
        <v>446597</v>
      </c>
    </row>
    <row r="615">
      <c r="A615" s="3">
        <f>IFERROR(__xludf.DUMMYFUNCTION("""COMPUTED_VALUE"""),39126.645833333336)</f>
        <v>39126.64583</v>
      </c>
      <c r="B615" s="2">
        <f>IFERROR(__xludf.DUMMYFUNCTION("""COMPUTED_VALUE"""),314.0)</f>
        <v>314</v>
      </c>
      <c r="C615" s="2">
        <f>IFERROR(__xludf.DUMMYFUNCTION("""COMPUTED_VALUE"""),321.23)</f>
        <v>321.23</v>
      </c>
      <c r="D615" s="2">
        <f>IFERROR(__xludf.DUMMYFUNCTION("""COMPUTED_VALUE"""),308.75)</f>
        <v>308.75</v>
      </c>
      <c r="E615" s="2">
        <f>IFERROR(__xludf.DUMMYFUNCTION("""COMPUTED_VALUE"""),313.23)</f>
        <v>313.23</v>
      </c>
      <c r="F615" s="2">
        <f>IFERROR(__xludf.DUMMYFUNCTION("""COMPUTED_VALUE"""),1032588.0)</f>
        <v>1032588</v>
      </c>
    </row>
    <row r="616">
      <c r="A616" s="3">
        <f>IFERROR(__xludf.DUMMYFUNCTION("""COMPUTED_VALUE"""),39127.645833333336)</f>
        <v>39127.64583</v>
      </c>
      <c r="B616" s="2">
        <f>IFERROR(__xludf.DUMMYFUNCTION("""COMPUTED_VALUE"""),313.25)</f>
        <v>313.25</v>
      </c>
      <c r="C616" s="2">
        <f>IFERROR(__xludf.DUMMYFUNCTION("""COMPUTED_VALUE"""),316.75)</f>
        <v>316.75</v>
      </c>
      <c r="D616" s="2">
        <f>IFERROR(__xludf.DUMMYFUNCTION("""COMPUTED_VALUE"""),310.0)</f>
        <v>310</v>
      </c>
      <c r="E616" s="2">
        <f>IFERROR(__xludf.DUMMYFUNCTION("""COMPUTED_VALUE"""),315.19)</f>
        <v>315.19</v>
      </c>
      <c r="F616" s="2">
        <f>IFERROR(__xludf.DUMMYFUNCTION("""COMPUTED_VALUE"""),784469.0)</f>
        <v>784469</v>
      </c>
    </row>
    <row r="617">
      <c r="A617" s="3">
        <f>IFERROR(__xludf.DUMMYFUNCTION("""COMPUTED_VALUE"""),39128.645833333336)</f>
        <v>39128.64583</v>
      </c>
      <c r="B617" s="2">
        <f>IFERROR(__xludf.DUMMYFUNCTION("""COMPUTED_VALUE"""),316.25)</f>
        <v>316.25</v>
      </c>
      <c r="C617" s="2">
        <f>IFERROR(__xludf.DUMMYFUNCTION("""COMPUTED_VALUE"""),325.0)</f>
        <v>325</v>
      </c>
      <c r="D617" s="2">
        <f>IFERROR(__xludf.DUMMYFUNCTION("""COMPUTED_VALUE"""),306.27)</f>
        <v>306.27</v>
      </c>
      <c r="E617" s="2">
        <f>IFERROR(__xludf.DUMMYFUNCTION("""COMPUTED_VALUE"""),323.06)</f>
        <v>323.06</v>
      </c>
      <c r="F617" s="2">
        <f>IFERROR(__xludf.DUMMYFUNCTION("""COMPUTED_VALUE"""),918389.0)</f>
        <v>918389</v>
      </c>
    </row>
    <row r="618">
      <c r="A618" s="3">
        <f>IFERROR(__xludf.DUMMYFUNCTION("""COMPUTED_VALUE"""),39132.645833333336)</f>
        <v>39132.64583</v>
      </c>
      <c r="B618" s="2">
        <f>IFERROR(__xludf.DUMMYFUNCTION("""COMPUTED_VALUE"""),325.35)</f>
        <v>325.35</v>
      </c>
      <c r="C618" s="2">
        <f>IFERROR(__xludf.DUMMYFUNCTION("""COMPUTED_VALUE"""),329.68)</f>
        <v>329.68</v>
      </c>
      <c r="D618" s="2">
        <f>IFERROR(__xludf.DUMMYFUNCTION("""COMPUTED_VALUE"""),323.8)</f>
        <v>323.8</v>
      </c>
      <c r="E618" s="2">
        <f>IFERROR(__xludf.DUMMYFUNCTION("""COMPUTED_VALUE"""),327.45)</f>
        <v>327.45</v>
      </c>
      <c r="F618" s="2">
        <f>IFERROR(__xludf.DUMMYFUNCTION("""COMPUTED_VALUE"""),1184674.0)</f>
        <v>1184674</v>
      </c>
    </row>
    <row r="619">
      <c r="A619" s="3">
        <f>IFERROR(__xludf.DUMMYFUNCTION("""COMPUTED_VALUE"""),39133.645833333336)</f>
        <v>39133.64583</v>
      </c>
      <c r="B619" s="2">
        <f>IFERROR(__xludf.DUMMYFUNCTION("""COMPUTED_VALUE"""),328.48)</f>
        <v>328.48</v>
      </c>
      <c r="C619" s="2">
        <f>IFERROR(__xludf.DUMMYFUNCTION("""COMPUTED_VALUE"""),330.95)</f>
        <v>330.95</v>
      </c>
      <c r="D619" s="2">
        <f>IFERROR(__xludf.DUMMYFUNCTION("""COMPUTED_VALUE"""),323.75)</f>
        <v>323.75</v>
      </c>
      <c r="E619" s="2">
        <f>IFERROR(__xludf.DUMMYFUNCTION("""COMPUTED_VALUE"""),324.89)</f>
        <v>324.89</v>
      </c>
      <c r="F619" s="2">
        <f>IFERROR(__xludf.DUMMYFUNCTION("""COMPUTED_VALUE"""),1350037.0)</f>
        <v>1350037</v>
      </c>
    </row>
    <row r="620">
      <c r="A620" s="3">
        <f>IFERROR(__xludf.DUMMYFUNCTION("""COMPUTED_VALUE"""),39134.645833333336)</f>
        <v>39134.64583</v>
      </c>
      <c r="B620" s="2">
        <f>IFERROR(__xludf.DUMMYFUNCTION("""COMPUTED_VALUE"""),325.0)</f>
        <v>325</v>
      </c>
      <c r="C620" s="2">
        <f>IFERROR(__xludf.DUMMYFUNCTION("""COMPUTED_VALUE"""),327.94)</f>
        <v>327.94</v>
      </c>
      <c r="D620" s="2">
        <f>IFERROR(__xludf.DUMMYFUNCTION("""COMPUTED_VALUE"""),320.0)</f>
        <v>320</v>
      </c>
      <c r="E620" s="2">
        <f>IFERROR(__xludf.DUMMYFUNCTION("""COMPUTED_VALUE"""),320.96)</f>
        <v>320.96</v>
      </c>
      <c r="F620" s="2">
        <f>IFERROR(__xludf.DUMMYFUNCTION("""COMPUTED_VALUE"""),984547.0)</f>
        <v>984547</v>
      </c>
    </row>
    <row r="621">
      <c r="A621" s="3">
        <f>IFERROR(__xludf.DUMMYFUNCTION("""COMPUTED_VALUE"""),39135.645833333336)</f>
        <v>39135.64583</v>
      </c>
      <c r="B621" s="2">
        <f>IFERROR(__xludf.DUMMYFUNCTION("""COMPUTED_VALUE"""),325.0)</f>
        <v>325</v>
      </c>
      <c r="C621" s="2">
        <f>IFERROR(__xludf.DUMMYFUNCTION("""COMPUTED_VALUE"""),328.1)</f>
        <v>328.1</v>
      </c>
      <c r="D621" s="2">
        <f>IFERROR(__xludf.DUMMYFUNCTION("""COMPUTED_VALUE"""),321.5)</f>
        <v>321.5</v>
      </c>
      <c r="E621" s="2">
        <f>IFERROR(__xludf.DUMMYFUNCTION("""COMPUTED_VALUE"""),323.58)</f>
        <v>323.58</v>
      </c>
      <c r="F621" s="2">
        <f>IFERROR(__xludf.DUMMYFUNCTION("""COMPUTED_VALUE"""),1734778.0)</f>
        <v>1734778</v>
      </c>
    </row>
    <row r="622">
      <c r="A622" s="3">
        <f>IFERROR(__xludf.DUMMYFUNCTION("""COMPUTED_VALUE"""),39136.645833333336)</f>
        <v>39136.64583</v>
      </c>
      <c r="B622" s="2">
        <f>IFERROR(__xludf.DUMMYFUNCTION("""COMPUTED_VALUE"""),323.75)</f>
        <v>323.75</v>
      </c>
      <c r="C622" s="2">
        <f>IFERROR(__xludf.DUMMYFUNCTION("""COMPUTED_VALUE"""),324.88)</f>
        <v>324.88</v>
      </c>
      <c r="D622" s="2">
        <f>IFERROR(__xludf.DUMMYFUNCTION("""COMPUTED_VALUE"""),318.25)</f>
        <v>318.25</v>
      </c>
      <c r="E622" s="2">
        <f>IFERROR(__xludf.DUMMYFUNCTION("""COMPUTED_VALUE"""),319.34)</f>
        <v>319.34</v>
      </c>
      <c r="F622" s="2">
        <f>IFERROR(__xludf.DUMMYFUNCTION("""COMPUTED_VALUE"""),791922.0)</f>
        <v>791922</v>
      </c>
    </row>
    <row r="623">
      <c r="A623" s="3">
        <f>IFERROR(__xludf.DUMMYFUNCTION("""COMPUTED_VALUE"""),39139.645833333336)</f>
        <v>39139.64583</v>
      </c>
      <c r="B623" s="2">
        <f>IFERROR(__xludf.DUMMYFUNCTION("""COMPUTED_VALUE"""),318.0)</f>
        <v>318</v>
      </c>
      <c r="C623" s="2">
        <f>IFERROR(__xludf.DUMMYFUNCTION("""COMPUTED_VALUE"""),323.46)</f>
        <v>323.46</v>
      </c>
      <c r="D623" s="2">
        <f>IFERROR(__xludf.DUMMYFUNCTION("""COMPUTED_VALUE"""),308.13)</f>
        <v>308.13</v>
      </c>
      <c r="E623" s="2">
        <f>IFERROR(__xludf.DUMMYFUNCTION("""COMPUTED_VALUE"""),321.52)</f>
        <v>321.52</v>
      </c>
      <c r="F623" s="2">
        <f>IFERROR(__xludf.DUMMYFUNCTION("""COMPUTED_VALUE"""),1169421.0)</f>
        <v>1169421</v>
      </c>
    </row>
    <row r="624">
      <c r="A624" s="3">
        <f>IFERROR(__xludf.DUMMYFUNCTION("""COMPUTED_VALUE"""),39140.645833333336)</f>
        <v>39140.64583</v>
      </c>
      <c r="B624" s="2">
        <f>IFERROR(__xludf.DUMMYFUNCTION("""COMPUTED_VALUE"""),313.5)</f>
        <v>313.5</v>
      </c>
      <c r="C624" s="2">
        <f>IFERROR(__xludf.DUMMYFUNCTION("""COMPUTED_VALUE"""),323.55)</f>
        <v>323.55</v>
      </c>
      <c r="D624" s="2">
        <f>IFERROR(__xludf.DUMMYFUNCTION("""COMPUTED_VALUE"""),313.5)</f>
        <v>313.5</v>
      </c>
      <c r="E624" s="2">
        <f>IFERROR(__xludf.DUMMYFUNCTION("""COMPUTED_VALUE"""),316.04)</f>
        <v>316.04</v>
      </c>
      <c r="F624" s="2">
        <f>IFERROR(__xludf.DUMMYFUNCTION("""COMPUTED_VALUE"""),1177492.0)</f>
        <v>1177492</v>
      </c>
    </row>
    <row r="625">
      <c r="A625" s="3">
        <f>IFERROR(__xludf.DUMMYFUNCTION("""COMPUTED_VALUE"""),39141.645833333336)</f>
        <v>39141.64583</v>
      </c>
      <c r="B625" s="2">
        <f>IFERROR(__xludf.DUMMYFUNCTION("""COMPUTED_VALUE"""),308.25)</f>
        <v>308.25</v>
      </c>
      <c r="C625" s="2">
        <f>IFERROR(__xludf.DUMMYFUNCTION("""COMPUTED_VALUE"""),311.24)</f>
        <v>311.24</v>
      </c>
      <c r="D625" s="2">
        <f>IFERROR(__xludf.DUMMYFUNCTION("""COMPUTED_VALUE"""),293.0)</f>
        <v>293</v>
      </c>
      <c r="E625" s="2">
        <f>IFERROR(__xludf.DUMMYFUNCTION("""COMPUTED_VALUE"""),298.35)</f>
        <v>298.35</v>
      </c>
      <c r="F625" s="2">
        <f>IFERROR(__xludf.DUMMYFUNCTION("""COMPUTED_VALUE"""),2336989.0)</f>
        <v>2336989</v>
      </c>
    </row>
    <row r="626">
      <c r="A626" s="3">
        <f>IFERROR(__xludf.DUMMYFUNCTION("""COMPUTED_VALUE"""),39142.645833333336)</f>
        <v>39142.64583</v>
      </c>
      <c r="B626" s="2">
        <f>IFERROR(__xludf.DUMMYFUNCTION("""COMPUTED_VALUE"""),300.0)</f>
        <v>300</v>
      </c>
      <c r="C626" s="2">
        <f>IFERROR(__xludf.DUMMYFUNCTION("""COMPUTED_VALUE"""),317.0)</f>
        <v>317</v>
      </c>
      <c r="D626" s="2">
        <f>IFERROR(__xludf.DUMMYFUNCTION("""COMPUTED_VALUE"""),297.6)</f>
        <v>297.6</v>
      </c>
      <c r="E626" s="2">
        <f>IFERROR(__xludf.DUMMYFUNCTION("""COMPUTED_VALUE"""),313.66)</f>
        <v>313.66</v>
      </c>
      <c r="F626" s="2">
        <f>IFERROR(__xludf.DUMMYFUNCTION("""COMPUTED_VALUE"""),1964641.0)</f>
        <v>1964641</v>
      </c>
    </row>
    <row r="627">
      <c r="A627" s="3">
        <f>IFERROR(__xludf.DUMMYFUNCTION("""COMPUTED_VALUE"""),39143.645833333336)</f>
        <v>39143.64583</v>
      </c>
      <c r="B627" s="2">
        <f>IFERROR(__xludf.DUMMYFUNCTION("""COMPUTED_VALUE"""),313.7)</f>
        <v>313.7</v>
      </c>
      <c r="C627" s="2">
        <f>IFERROR(__xludf.DUMMYFUNCTION("""COMPUTED_VALUE"""),315.0)</f>
        <v>315</v>
      </c>
      <c r="D627" s="2">
        <f>IFERROR(__xludf.DUMMYFUNCTION("""COMPUTED_VALUE"""),300.25)</f>
        <v>300.25</v>
      </c>
      <c r="E627" s="2">
        <f>IFERROR(__xludf.DUMMYFUNCTION("""COMPUTED_VALUE"""),302.14)</f>
        <v>302.14</v>
      </c>
      <c r="F627" s="2">
        <f>IFERROR(__xludf.DUMMYFUNCTION("""COMPUTED_VALUE"""),1327938.0)</f>
        <v>1327938</v>
      </c>
    </row>
    <row r="628">
      <c r="A628" s="3">
        <f>IFERROR(__xludf.DUMMYFUNCTION("""COMPUTED_VALUE"""),39146.645833333336)</f>
        <v>39146.64583</v>
      </c>
      <c r="B628" s="2">
        <f>IFERROR(__xludf.DUMMYFUNCTION("""COMPUTED_VALUE"""),297.5)</f>
        <v>297.5</v>
      </c>
      <c r="C628" s="2">
        <f>IFERROR(__xludf.DUMMYFUNCTION("""COMPUTED_VALUE"""),299.75)</f>
        <v>299.75</v>
      </c>
      <c r="D628" s="2">
        <f>IFERROR(__xludf.DUMMYFUNCTION("""COMPUTED_VALUE"""),287.5)</f>
        <v>287.5</v>
      </c>
      <c r="E628" s="2">
        <f>IFERROR(__xludf.DUMMYFUNCTION("""COMPUTED_VALUE"""),288.89)</f>
        <v>288.89</v>
      </c>
      <c r="F628" s="2">
        <f>IFERROR(__xludf.DUMMYFUNCTION("""COMPUTED_VALUE"""),1280220.0)</f>
        <v>1280220</v>
      </c>
    </row>
    <row r="629">
      <c r="A629" s="3">
        <f>IFERROR(__xludf.DUMMYFUNCTION("""COMPUTED_VALUE"""),39147.645833333336)</f>
        <v>39147.64583</v>
      </c>
      <c r="B629" s="2">
        <f>IFERROR(__xludf.DUMMYFUNCTION("""COMPUTED_VALUE"""),302.5)</f>
        <v>302.5</v>
      </c>
      <c r="C629" s="2">
        <f>IFERROR(__xludf.DUMMYFUNCTION("""COMPUTED_VALUE"""),333.75)</f>
        <v>333.75</v>
      </c>
      <c r="D629" s="2">
        <f>IFERROR(__xludf.DUMMYFUNCTION("""COMPUTED_VALUE"""),290.27)</f>
        <v>290.27</v>
      </c>
      <c r="E629" s="2">
        <f>IFERROR(__xludf.DUMMYFUNCTION("""COMPUTED_VALUE"""),299.31)</f>
        <v>299.31</v>
      </c>
      <c r="F629" s="2">
        <f>IFERROR(__xludf.DUMMYFUNCTION("""COMPUTED_VALUE"""),905980.0)</f>
        <v>905980</v>
      </c>
    </row>
    <row r="630">
      <c r="A630" s="3">
        <f>IFERROR(__xludf.DUMMYFUNCTION("""COMPUTED_VALUE"""),39148.645833333336)</f>
        <v>39148.64583</v>
      </c>
      <c r="B630" s="2">
        <f>IFERROR(__xludf.DUMMYFUNCTION("""COMPUTED_VALUE"""),300.5)</f>
        <v>300.5</v>
      </c>
      <c r="C630" s="2">
        <f>IFERROR(__xludf.DUMMYFUNCTION("""COMPUTED_VALUE"""),306.18)</f>
        <v>306.18</v>
      </c>
      <c r="D630" s="2">
        <f>IFERROR(__xludf.DUMMYFUNCTION("""COMPUTED_VALUE"""),289.35)</f>
        <v>289.35</v>
      </c>
      <c r="E630" s="2">
        <f>IFERROR(__xludf.DUMMYFUNCTION("""COMPUTED_VALUE"""),297.95)</f>
        <v>297.95</v>
      </c>
      <c r="F630" s="2">
        <f>IFERROR(__xludf.DUMMYFUNCTION("""COMPUTED_VALUE"""),1110158.0)</f>
        <v>1110158</v>
      </c>
    </row>
    <row r="631">
      <c r="A631" s="3">
        <f>IFERROR(__xludf.DUMMYFUNCTION("""COMPUTED_VALUE"""),39149.645833333336)</f>
        <v>39149.64583</v>
      </c>
      <c r="B631" s="2">
        <f>IFERROR(__xludf.DUMMYFUNCTION("""COMPUTED_VALUE"""),297.5)</f>
        <v>297.5</v>
      </c>
      <c r="C631" s="2">
        <f>IFERROR(__xludf.DUMMYFUNCTION("""COMPUTED_VALUE"""),307.43)</f>
        <v>307.43</v>
      </c>
      <c r="D631" s="2">
        <f>IFERROR(__xludf.DUMMYFUNCTION("""COMPUTED_VALUE"""),297.5)</f>
        <v>297.5</v>
      </c>
      <c r="E631" s="2">
        <f>IFERROR(__xludf.DUMMYFUNCTION("""COMPUTED_VALUE"""),304.6)</f>
        <v>304.6</v>
      </c>
      <c r="F631" s="2">
        <f>IFERROR(__xludf.DUMMYFUNCTION("""COMPUTED_VALUE"""),568747.0)</f>
        <v>568747</v>
      </c>
    </row>
    <row r="632">
      <c r="A632" s="3">
        <f>IFERROR(__xludf.DUMMYFUNCTION("""COMPUTED_VALUE"""),39150.645833333336)</f>
        <v>39150.64583</v>
      </c>
      <c r="B632" s="2">
        <f>IFERROR(__xludf.DUMMYFUNCTION("""COMPUTED_VALUE"""),307.08)</f>
        <v>307.08</v>
      </c>
      <c r="C632" s="2">
        <f>IFERROR(__xludf.DUMMYFUNCTION("""COMPUTED_VALUE"""),308.25)</f>
        <v>308.25</v>
      </c>
      <c r="D632" s="2">
        <f>IFERROR(__xludf.DUMMYFUNCTION("""COMPUTED_VALUE"""),299.5)</f>
        <v>299.5</v>
      </c>
      <c r="E632" s="2">
        <f>IFERROR(__xludf.DUMMYFUNCTION("""COMPUTED_VALUE"""),303.04)</f>
        <v>303.04</v>
      </c>
      <c r="F632" s="2">
        <f>IFERROR(__xludf.DUMMYFUNCTION("""COMPUTED_VALUE"""),808037.0)</f>
        <v>808037</v>
      </c>
    </row>
    <row r="633">
      <c r="A633" s="3">
        <f>IFERROR(__xludf.DUMMYFUNCTION("""COMPUTED_VALUE"""),39153.645833333336)</f>
        <v>39153.64583</v>
      </c>
      <c r="B633" s="2">
        <f>IFERROR(__xludf.DUMMYFUNCTION("""COMPUTED_VALUE"""),306.18)</f>
        <v>306.18</v>
      </c>
      <c r="C633" s="2">
        <f>IFERROR(__xludf.DUMMYFUNCTION("""COMPUTED_VALUE"""),313.43)</f>
        <v>313.43</v>
      </c>
      <c r="D633" s="2">
        <f>IFERROR(__xludf.DUMMYFUNCTION("""COMPUTED_VALUE"""),302.75)</f>
        <v>302.75</v>
      </c>
      <c r="E633" s="2">
        <f>IFERROR(__xludf.DUMMYFUNCTION("""COMPUTED_VALUE"""),308.75)</f>
        <v>308.75</v>
      </c>
      <c r="F633" s="2">
        <f>IFERROR(__xludf.DUMMYFUNCTION("""COMPUTED_VALUE"""),909234.0)</f>
        <v>909234</v>
      </c>
    </row>
    <row r="634">
      <c r="A634" s="3">
        <f>IFERROR(__xludf.DUMMYFUNCTION("""COMPUTED_VALUE"""),39154.645833333336)</f>
        <v>39154.64583</v>
      </c>
      <c r="B634" s="2">
        <f>IFERROR(__xludf.DUMMYFUNCTION("""COMPUTED_VALUE"""),306.38)</f>
        <v>306.38</v>
      </c>
      <c r="C634" s="2">
        <f>IFERROR(__xludf.DUMMYFUNCTION("""COMPUTED_VALUE"""),317.23)</f>
        <v>317.23</v>
      </c>
      <c r="D634" s="2">
        <f>IFERROR(__xludf.DUMMYFUNCTION("""COMPUTED_VALUE"""),300.02)</f>
        <v>300.02</v>
      </c>
      <c r="E634" s="2">
        <f>IFERROR(__xludf.DUMMYFUNCTION("""COMPUTED_VALUE"""),316.35)</f>
        <v>316.35</v>
      </c>
      <c r="F634" s="2">
        <f>IFERROR(__xludf.DUMMYFUNCTION("""COMPUTED_VALUE"""),508022.0)</f>
        <v>508022</v>
      </c>
    </row>
    <row r="635">
      <c r="A635" s="3">
        <f>IFERROR(__xludf.DUMMYFUNCTION("""COMPUTED_VALUE"""),39155.645833333336)</f>
        <v>39155.64583</v>
      </c>
      <c r="B635" s="2">
        <f>IFERROR(__xludf.DUMMYFUNCTION("""COMPUTED_VALUE"""),306.25)</f>
        <v>306.25</v>
      </c>
      <c r="C635" s="2">
        <f>IFERROR(__xludf.DUMMYFUNCTION("""COMPUTED_VALUE"""),310.48)</f>
        <v>310.48</v>
      </c>
      <c r="D635" s="2">
        <f>IFERROR(__xludf.DUMMYFUNCTION("""COMPUTED_VALUE"""),301.25)</f>
        <v>301.25</v>
      </c>
      <c r="E635" s="2">
        <f>IFERROR(__xludf.DUMMYFUNCTION("""COMPUTED_VALUE"""),303.39)</f>
        <v>303.39</v>
      </c>
      <c r="F635" s="2">
        <f>IFERROR(__xludf.DUMMYFUNCTION("""COMPUTED_VALUE"""),956237.0)</f>
        <v>956237</v>
      </c>
    </row>
    <row r="636">
      <c r="A636" s="3">
        <f>IFERROR(__xludf.DUMMYFUNCTION("""COMPUTED_VALUE"""),39156.645833333336)</f>
        <v>39156.64583</v>
      </c>
      <c r="B636" s="2">
        <f>IFERROR(__xludf.DUMMYFUNCTION("""COMPUTED_VALUE"""),307.5)</f>
        <v>307.5</v>
      </c>
      <c r="C636" s="2">
        <f>IFERROR(__xludf.DUMMYFUNCTION("""COMPUTED_VALUE"""),312.75)</f>
        <v>312.75</v>
      </c>
      <c r="D636" s="2">
        <f>IFERROR(__xludf.DUMMYFUNCTION("""COMPUTED_VALUE"""),307.0)</f>
        <v>307</v>
      </c>
      <c r="E636" s="2">
        <f>IFERROR(__xludf.DUMMYFUNCTION("""COMPUTED_VALUE"""),308.58)</f>
        <v>308.58</v>
      </c>
      <c r="F636" s="2">
        <f>IFERROR(__xludf.DUMMYFUNCTION("""COMPUTED_VALUE"""),955822.0)</f>
        <v>955822</v>
      </c>
    </row>
    <row r="637">
      <c r="A637" s="3">
        <f>IFERROR(__xludf.DUMMYFUNCTION("""COMPUTED_VALUE"""),39157.645833333336)</f>
        <v>39157.64583</v>
      </c>
      <c r="B637" s="2">
        <f>IFERROR(__xludf.DUMMYFUNCTION("""COMPUTED_VALUE"""),310.35)</f>
        <v>310.35</v>
      </c>
      <c r="C637" s="2">
        <f>IFERROR(__xludf.DUMMYFUNCTION("""COMPUTED_VALUE"""),314.46)</f>
        <v>314.46</v>
      </c>
      <c r="D637" s="2">
        <f>IFERROR(__xludf.DUMMYFUNCTION("""COMPUTED_VALUE"""),303.79)</f>
        <v>303.79</v>
      </c>
      <c r="E637" s="2">
        <f>IFERROR(__xludf.DUMMYFUNCTION("""COMPUTED_VALUE"""),309.41)</f>
        <v>309.41</v>
      </c>
      <c r="F637" s="2">
        <f>IFERROR(__xludf.DUMMYFUNCTION("""COMPUTED_VALUE"""),1056071.0)</f>
        <v>1056071</v>
      </c>
    </row>
    <row r="638">
      <c r="A638" s="3">
        <f>IFERROR(__xludf.DUMMYFUNCTION("""COMPUTED_VALUE"""),39160.645833333336)</f>
        <v>39160.64583</v>
      </c>
      <c r="B638" s="2">
        <f>IFERROR(__xludf.DUMMYFUNCTION("""COMPUTED_VALUE"""),304.08)</f>
        <v>304.08</v>
      </c>
      <c r="C638" s="2">
        <f>IFERROR(__xludf.DUMMYFUNCTION("""COMPUTED_VALUE"""),316.19)</f>
        <v>316.19</v>
      </c>
      <c r="D638" s="2">
        <f>IFERROR(__xludf.DUMMYFUNCTION("""COMPUTED_VALUE"""),300.45)</f>
        <v>300.45</v>
      </c>
      <c r="E638" s="2">
        <f>IFERROR(__xludf.DUMMYFUNCTION("""COMPUTED_VALUE"""),315.23)</f>
        <v>315.23</v>
      </c>
      <c r="F638" s="2">
        <f>IFERROR(__xludf.DUMMYFUNCTION("""COMPUTED_VALUE"""),303424.0)</f>
        <v>303424</v>
      </c>
    </row>
    <row r="639">
      <c r="A639" s="3">
        <f>IFERROR(__xludf.DUMMYFUNCTION("""COMPUTED_VALUE"""),39161.645833333336)</f>
        <v>39161.64583</v>
      </c>
      <c r="B639" s="2">
        <f>IFERROR(__xludf.DUMMYFUNCTION("""COMPUTED_VALUE"""),315.0)</f>
        <v>315</v>
      </c>
      <c r="C639" s="2">
        <f>IFERROR(__xludf.DUMMYFUNCTION("""COMPUTED_VALUE"""),319.13)</f>
        <v>319.13</v>
      </c>
      <c r="D639" s="2">
        <f>IFERROR(__xludf.DUMMYFUNCTION("""COMPUTED_VALUE"""),312.0)</f>
        <v>312</v>
      </c>
      <c r="E639" s="2">
        <f>IFERROR(__xludf.DUMMYFUNCTION("""COMPUTED_VALUE"""),313.25)</f>
        <v>313.25</v>
      </c>
      <c r="F639" s="2">
        <f>IFERROR(__xludf.DUMMYFUNCTION("""COMPUTED_VALUE"""),693898.0)</f>
        <v>693898</v>
      </c>
    </row>
    <row r="640">
      <c r="A640" s="3">
        <f>IFERROR(__xludf.DUMMYFUNCTION("""COMPUTED_VALUE"""),39162.645833333336)</f>
        <v>39162.64583</v>
      </c>
      <c r="B640" s="2">
        <f>IFERROR(__xludf.DUMMYFUNCTION("""COMPUTED_VALUE"""),315.25)</f>
        <v>315.25</v>
      </c>
      <c r="C640" s="2">
        <f>IFERROR(__xludf.DUMMYFUNCTION("""COMPUTED_VALUE"""),317.35)</f>
        <v>317.35</v>
      </c>
      <c r="D640" s="2">
        <f>IFERROR(__xludf.DUMMYFUNCTION("""COMPUTED_VALUE"""),310.0)</f>
        <v>310</v>
      </c>
      <c r="E640" s="2">
        <f>IFERROR(__xludf.DUMMYFUNCTION("""COMPUTED_VALUE"""),316.75)</f>
        <v>316.75</v>
      </c>
      <c r="F640" s="2">
        <f>IFERROR(__xludf.DUMMYFUNCTION("""COMPUTED_VALUE"""),492509.0)</f>
        <v>492509</v>
      </c>
    </row>
    <row r="641">
      <c r="A641" s="3">
        <f>IFERROR(__xludf.DUMMYFUNCTION("""COMPUTED_VALUE"""),39163.645833333336)</f>
        <v>39163.64583</v>
      </c>
      <c r="B641" s="2">
        <f>IFERROR(__xludf.DUMMYFUNCTION("""COMPUTED_VALUE"""),319.25)</f>
        <v>319.25</v>
      </c>
      <c r="C641" s="2">
        <f>IFERROR(__xludf.DUMMYFUNCTION("""COMPUTED_VALUE"""),326.75)</f>
        <v>326.75</v>
      </c>
      <c r="D641" s="2">
        <f>IFERROR(__xludf.DUMMYFUNCTION("""COMPUTED_VALUE"""),319.25)</f>
        <v>319.25</v>
      </c>
      <c r="E641" s="2">
        <f>IFERROR(__xludf.DUMMYFUNCTION("""COMPUTED_VALUE"""),325.76)</f>
        <v>325.76</v>
      </c>
      <c r="F641" s="2">
        <f>IFERROR(__xludf.DUMMYFUNCTION("""COMPUTED_VALUE"""),1031398.0)</f>
        <v>1031398</v>
      </c>
    </row>
    <row r="642">
      <c r="A642" s="3">
        <f>IFERROR(__xludf.DUMMYFUNCTION("""COMPUTED_VALUE"""),39164.645833333336)</f>
        <v>39164.64583</v>
      </c>
      <c r="B642" s="2">
        <f>IFERROR(__xludf.DUMMYFUNCTION("""COMPUTED_VALUE"""),328.0)</f>
        <v>328</v>
      </c>
      <c r="C642" s="2">
        <f>IFERROR(__xludf.DUMMYFUNCTION("""COMPUTED_VALUE"""),330.0)</f>
        <v>330</v>
      </c>
      <c r="D642" s="2">
        <f>IFERROR(__xludf.DUMMYFUNCTION("""COMPUTED_VALUE"""),320.0)</f>
        <v>320</v>
      </c>
      <c r="E642" s="2">
        <f>IFERROR(__xludf.DUMMYFUNCTION("""COMPUTED_VALUE"""),322.05)</f>
        <v>322.05</v>
      </c>
      <c r="F642" s="2">
        <f>IFERROR(__xludf.DUMMYFUNCTION("""COMPUTED_VALUE"""),1316324.0)</f>
        <v>1316324</v>
      </c>
    </row>
    <row r="643">
      <c r="A643" s="3">
        <f>IFERROR(__xludf.DUMMYFUNCTION("""COMPUTED_VALUE"""),39167.645833333336)</f>
        <v>39167.64583</v>
      </c>
      <c r="B643" s="2">
        <f>IFERROR(__xludf.DUMMYFUNCTION("""COMPUTED_VALUE"""),321.25)</f>
        <v>321.25</v>
      </c>
      <c r="C643" s="2">
        <f>IFERROR(__xludf.DUMMYFUNCTION("""COMPUTED_VALUE"""),324.68)</f>
        <v>324.68</v>
      </c>
      <c r="D643" s="2">
        <f>IFERROR(__xludf.DUMMYFUNCTION("""COMPUTED_VALUE"""),313.81)</f>
        <v>313.81</v>
      </c>
      <c r="E643" s="2">
        <f>IFERROR(__xludf.DUMMYFUNCTION("""COMPUTED_VALUE"""),315.34)</f>
        <v>315.34</v>
      </c>
      <c r="F643" s="2">
        <f>IFERROR(__xludf.DUMMYFUNCTION("""COMPUTED_VALUE"""),1524684.0)</f>
        <v>1524684</v>
      </c>
    </row>
    <row r="644">
      <c r="A644" s="3">
        <f>IFERROR(__xludf.DUMMYFUNCTION("""COMPUTED_VALUE"""),39169.645833333336)</f>
        <v>39169.64583</v>
      </c>
      <c r="B644" s="2">
        <f>IFERROR(__xludf.DUMMYFUNCTION("""COMPUTED_VALUE"""),317.48)</f>
        <v>317.48</v>
      </c>
      <c r="C644" s="2">
        <f>IFERROR(__xludf.DUMMYFUNCTION("""COMPUTED_VALUE"""),317.48)</f>
        <v>317.48</v>
      </c>
      <c r="D644" s="2">
        <f>IFERROR(__xludf.DUMMYFUNCTION("""COMPUTED_VALUE"""),298.51)</f>
        <v>298.51</v>
      </c>
      <c r="E644" s="2">
        <f>IFERROR(__xludf.DUMMYFUNCTION("""COMPUTED_VALUE"""),300.25)</f>
        <v>300.25</v>
      </c>
      <c r="F644" s="2">
        <f>IFERROR(__xludf.DUMMYFUNCTION("""COMPUTED_VALUE"""),2204512.0)</f>
        <v>2204512</v>
      </c>
    </row>
    <row r="645">
      <c r="A645" s="3">
        <f>IFERROR(__xludf.DUMMYFUNCTION("""COMPUTED_VALUE"""),39170.645833333336)</f>
        <v>39170.64583</v>
      </c>
      <c r="B645" s="2">
        <f>IFERROR(__xludf.DUMMYFUNCTION("""COMPUTED_VALUE"""),297.24)</f>
        <v>297.24</v>
      </c>
      <c r="C645" s="2">
        <f>IFERROR(__xludf.DUMMYFUNCTION("""COMPUTED_VALUE"""),314.2)</f>
        <v>314.2</v>
      </c>
      <c r="D645" s="2">
        <f>IFERROR(__xludf.DUMMYFUNCTION("""COMPUTED_VALUE"""),297.24)</f>
        <v>297.24</v>
      </c>
      <c r="E645" s="2">
        <f>IFERROR(__xludf.DUMMYFUNCTION("""COMPUTED_VALUE"""),312.09)</f>
        <v>312.09</v>
      </c>
      <c r="F645" s="2">
        <f>IFERROR(__xludf.DUMMYFUNCTION("""COMPUTED_VALUE"""),2566656.0)</f>
        <v>2566656</v>
      </c>
    </row>
    <row r="646">
      <c r="A646" s="3">
        <f>IFERROR(__xludf.DUMMYFUNCTION("""COMPUTED_VALUE"""),39171.645833333336)</f>
        <v>39171.64583</v>
      </c>
      <c r="B646" s="2">
        <f>IFERROR(__xludf.DUMMYFUNCTION("""COMPUTED_VALUE"""),312.09)</f>
        <v>312.09</v>
      </c>
      <c r="C646" s="2">
        <f>IFERROR(__xludf.DUMMYFUNCTION("""COMPUTED_VALUE"""),313.7)</f>
        <v>313.7</v>
      </c>
      <c r="D646" s="2">
        <f>IFERROR(__xludf.DUMMYFUNCTION("""COMPUTED_VALUE"""),305.06)</f>
        <v>305.06</v>
      </c>
      <c r="E646" s="2">
        <f>IFERROR(__xludf.DUMMYFUNCTION("""COMPUTED_VALUE"""),308.46)</f>
        <v>308.46</v>
      </c>
      <c r="F646" s="2">
        <f>IFERROR(__xludf.DUMMYFUNCTION("""COMPUTED_VALUE"""),701764.0)</f>
        <v>701764</v>
      </c>
    </row>
    <row r="647">
      <c r="A647" s="3">
        <f>IFERROR(__xludf.DUMMYFUNCTION("""COMPUTED_VALUE"""),39174.645833333336)</f>
        <v>39174.64583</v>
      </c>
      <c r="B647" s="2">
        <f>IFERROR(__xludf.DUMMYFUNCTION("""COMPUTED_VALUE"""),302.5)</f>
        <v>302.5</v>
      </c>
      <c r="C647" s="2">
        <f>IFERROR(__xludf.DUMMYFUNCTION("""COMPUTED_VALUE"""),305.0)</f>
        <v>305</v>
      </c>
      <c r="D647" s="2">
        <f>IFERROR(__xludf.DUMMYFUNCTION("""COMPUTED_VALUE"""),296.25)</f>
        <v>296.25</v>
      </c>
      <c r="E647" s="2">
        <f>IFERROR(__xludf.DUMMYFUNCTION("""COMPUTED_VALUE"""),297.3)</f>
        <v>297.3</v>
      </c>
      <c r="F647" s="2">
        <f>IFERROR(__xludf.DUMMYFUNCTION("""COMPUTED_VALUE"""),968974.0)</f>
        <v>968974</v>
      </c>
    </row>
    <row r="648">
      <c r="A648" s="3">
        <f>IFERROR(__xludf.DUMMYFUNCTION("""COMPUTED_VALUE"""),39175.645833333336)</f>
        <v>39175.64583</v>
      </c>
      <c r="B648" s="2">
        <f>IFERROR(__xludf.DUMMYFUNCTION("""COMPUTED_VALUE"""),298.75)</f>
        <v>298.75</v>
      </c>
      <c r="C648" s="2">
        <f>IFERROR(__xludf.DUMMYFUNCTION("""COMPUTED_VALUE"""),304.2)</f>
        <v>304.2</v>
      </c>
      <c r="D648" s="2">
        <f>IFERROR(__xludf.DUMMYFUNCTION("""COMPUTED_VALUE"""),297.0)</f>
        <v>297</v>
      </c>
      <c r="E648" s="2">
        <f>IFERROR(__xludf.DUMMYFUNCTION("""COMPUTED_VALUE"""),300.66)</f>
        <v>300.66</v>
      </c>
      <c r="F648" s="2">
        <f>IFERROR(__xludf.DUMMYFUNCTION("""COMPUTED_VALUE"""),814213.0)</f>
        <v>814213</v>
      </c>
    </row>
    <row r="649">
      <c r="A649" s="3">
        <f>IFERROR(__xludf.DUMMYFUNCTION("""COMPUTED_VALUE"""),39176.645833333336)</f>
        <v>39176.64583</v>
      </c>
      <c r="B649" s="2">
        <f>IFERROR(__xludf.DUMMYFUNCTION("""COMPUTED_VALUE"""),304.5)</f>
        <v>304.5</v>
      </c>
      <c r="C649" s="2">
        <f>IFERROR(__xludf.DUMMYFUNCTION("""COMPUTED_VALUE"""),306.18)</f>
        <v>306.18</v>
      </c>
      <c r="D649" s="2">
        <f>IFERROR(__xludf.DUMMYFUNCTION("""COMPUTED_VALUE"""),297.6)</f>
        <v>297.6</v>
      </c>
      <c r="E649" s="2">
        <f>IFERROR(__xludf.DUMMYFUNCTION("""COMPUTED_VALUE"""),299.6)</f>
        <v>299.6</v>
      </c>
      <c r="F649" s="2">
        <f>IFERROR(__xludf.DUMMYFUNCTION("""COMPUTED_VALUE"""),600624.0)</f>
        <v>600624</v>
      </c>
    </row>
    <row r="650">
      <c r="A650" s="3">
        <f>IFERROR(__xludf.DUMMYFUNCTION("""COMPUTED_VALUE"""),39177.645833333336)</f>
        <v>39177.64583</v>
      </c>
      <c r="B650" s="2">
        <f>IFERROR(__xludf.DUMMYFUNCTION("""COMPUTED_VALUE"""),299.86)</f>
        <v>299.86</v>
      </c>
      <c r="C650" s="2">
        <f>IFERROR(__xludf.DUMMYFUNCTION("""COMPUTED_VALUE"""),301.5)</f>
        <v>301.5</v>
      </c>
      <c r="D650" s="2">
        <f>IFERROR(__xludf.DUMMYFUNCTION("""COMPUTED_VALUE"""),296.52)</f>
        <v>296.52</v>
      </c>
      <c r="E650" s="2">
        <f>IFERROR(__xludf.DUMMYFUNCTION("""COMPUTED_VALUE"""),298.55)</f>
        <v>298.55</v>
      </c>
      <c r="F650" s="2">
        <f>IFERROR(__xludf.DUMMYFUNCTION("""COMPUTED_VALUE"""),633498.0)</f>
        <v>633498</v>
      </c>
    </row>
    <row r="651">
      <c r="A651" s="3">
        <f>IFERROR(__xludf.DUMMYFUNCTION("""COMPUTED_VALUE"""),39181.645833333336)</f>
        <v>39181.64583</v>
      </c>
      <c r="B651" s="2">
        <f>IFERROR(__xludf.DUMMYFUNCTION("""COMPUTED_VALUE"""),300.13)</f>
        <v>300.13</v>
      </c>
      <c r="C651" s="2">
        <f>IFERROR(__xludf.DUMMYFUNCTION("""COMPUTED_VALUE"""),306.69)</f>
        <v>306.69</v>
      </c>
      <c r="D651" s="2">
        <f>IFERROR(__xludf.DUMMYFUNCTION("""COMPUTED_VALUE"""),300.13)</f>
        <v>300.13</v>
      </c>
      <c r="E651" s="2">
        <f>IFERROR(__xludf.DUMMYFUNCTION("""COMPUTED_VALUE"""),304.3)</f>
        <v>304.3</v>
      </c>
      <c r="F651" s="2">
        <f>IFERROR(__xludf.DUMMYFUNCTION("""COMPUTED_VALUE"""),571131.0)</f>
        <v>571131</v>
      </c>
    </row>
    <row r="652">
      <c r="A652" s="3">
        <f>IFERROR(__xludf.DUMMYFUNCTION("""COMPUTED_VALUE"""),39182.645833333336)</f>
        <v>39182.64583</v>
      </c>
      <c r="B652" s="2">
        <f>IFERROR(__xludf.DUMMYFUNCTION("""COMPUTED_VALUE"""),304.3)</f>
        <v>304.3</v>
      </c>
      <c r="C652" s="2">
        <f>IFERROR(__xludf.DUMMYFUNCTION("""COMPUTED_VALUE"""),306.25)</f>
        <v>306.25</v>
      </c>
      <c r="D652" s="2">
        <f>IFERROR(__xludf.DUMMYFUNCTION("""COMPUTED_VALUE"""),298.84)</f>
        <v>298.84</v>
      </c>
      <c r="E652" s="2">
        <f>IFERROR(__xludf.DUMMYFUNCTION("""COMPUTED_VALUE"""),299.34)</f>
        <v>299.34</v>
      </c>
      <c r="F652" s="2">
        <f>IFERROR(__xludf.DUMMYFUNCTION("""COMPUTED_VALUE"""),870060.0)</f>
        <v>870060</v>
      </c>
    </row>
    <row r="653">
      <c r="A653" s="3">
        <f>IFERROR(__xludf.DUMMYFUNCTION("""COMPUTED_VALUE"""),39183.645833333336)</f>
        <v>39183.64583</v>
      </c>
      <c r="B653" s="2">
        <f>IFERROR(__xludf.DUMMYFUNCTION("""COMPUTED_VALUE"""),301.35)</f>
        <v>301.35</v>
      </c>
      <c r="C653" s="2">
        <f>IFERROR(__xludf.DUMMYFUNCTION("""COMPUTED_VALUE"""),302.36)</f>
        <v>302.36</v>
      </c>
      <c r="D653" s="2">
        <f>IFERROR(__xludf.DUMMYFUNCTION("""COMPUTED_VALUE"""),296.75)</f>
        <v>296.75</v>
      </c>
      <c r="E653" s="2">
        <f>IFERROR(__xludf.DUMMYFUNCTION("""COMPUTED_VALUE"""),297.64)</f>
        <v>297.64</v>
      </c>
      <c r="F653" s="2">
        <f>IFERROR(__xludf.DUMMYFUNCTION("""COMPUTED_VALUE"""),956584.0)</f>
        <v>956584</v>
      </c>
    </row>
    <row r="654">
      <c r="A654" s="3">
        <f>IFERROR(__xludf.DUMMYFUNCTION("""COMPUTED_VALUE"""),39184.645833333336)</f>
        <v>39184.64583</v>
      </c>
      <c r="B654" s="2">
        <f>IFERROR(__xludf.DUMMYFUNCTION("""COMPUTED_VALUE"""),297.0)</f>
        <v>297</v>
      </c>
      <c r="C654" s="2">
        <f>IFERROR(__xludf.DUMMYFUNCTION("""COMPUTED_VALUE"""),302.25)</f>
        <v>302.25</v>
      </c>
      <c r="D654" s="2">
        <f>IFERROR(__xludf.DUMMYFUNCTION("""COMPUTED_VALUE"""),293.0)</f>
        <v>293</v>
      </c>
      <c r="E654" s="2">
        <f>IFERROR(__xludf.DUMMYFUNCTION("""COMPUTED_VALUE"""),300.24)</f>
        <v>300.24</v>
      </c>
      <c r="F654" s="2">
        <f>IFERROR(__xludf.DUMMYFUNCTION("""COMPUTED_VALUE"""),923739.0)</f>
        <v>923739</v>
      </c>
    </row>
    <row r="655">
      <c r="A655" s="3">
        <f>IFERROR(__xludf.DUMMYFUNCTION("""COMPUTED_VALUE"""),39185.645833333336)</f>
        <v>39185.64583</v>
      </c>
      <c r="B655" s="2">
        <f>IFERROR(__xludf.DUMMYFUNCTION("""COMPUTED_VALUE"""),302.5)</f>
        <v>302.5</v>
      </c>
      <c r="C655" s="2">
        <f>IFERROR(__xludf.DUMMYFUNCTION("""COMPUTED_VALUE"""),317.1)</f>
        <v>317.1</v>
      </c>
      <c r="D655" s="2">
        <f>IFERROR(__xludf.DUMMYFUNCTION("""COMPUTED_VALUE"""),298.5)</f>
        <v>298.5</v>
      </c>
      <c r="E655" s="2">
        <f>IFERROR(__xludf.DUMMYFUNCTION("""COMPUTED_VALUE"""),315.5)</f>
        <v>315.5</v>
      </c>
      <c r="F655" s="2">
        <f>IFERROR(__xludf.DUMMYFUNCTION("""COMPUTED_VALUE"""),2444712.0)</f>
        <v>2444712</v>
      </c>
    </row>
    <row r="656">
      <c r="A656" s="3">
        <f>IFERROR(__xludf.DUMMYFUNCTION("""COMPUTED_VALUE"""),39188.645833333336)</f>
        <v>39188.64583</v>
      </c>
      <c r="B656" s="2">
        <f>IFERROR(__xludf.DUMMYFUNCTION("""COMPUTED_VALUE"""),321.0)</f>
        <v>321</v>
      </c>
      <c r="C656" s="2">
        <f>IFERROR(__xludf.DUMMYFUNCTION("""COMPUTED_VALUE"""),326.48)</f>
        <v>326.48</v>
      </c>
      <c r="D656" s="2">
        <f>IFERROR(__xludf.DUMMYFUNCTION("""COMPUTED_VALUE"""),317.56)</f>
        <v>317.56</v>
      </c>
      <c r="E656" s="2">
        <f>IFERROR(__xludf.DUMMYFUNCTION("""COMPUTED_VALUE"""),320.06)</f>
        <v>320.06</v>
      </c>
      <c r="F656" s="2">
        <f>IFERROR(__xludf.DUMMYFUNCTION("""COMPUTED_VALUE"""),2496555.0)</f>
        <v>2496555</v>
      </c>
    </row>
    <row r="657">
      <c r="A657" s="3">
        <f>IFERROR(__xludf.DUMMYFUNCTION("""COMPUTED_VALUE"""),39189.645833333336)</f>
        <v>39189.64583</v>
      </c>
      <c r="B657" s="2">
        <f>IFERROR(__xludf.DUMMYFUNCTION("""COMPUTED_VALUE"""),321.43)</f>
        <v>321.43</v>
      </c>
      <c r="C657" s="2">
        <f>IFERROR(__xludf.DUMMYFUNCTION("""COMPUTED_VALUE"""),328.75)</f>
        <v>328.75</v>
      </c>
      <c r="D657" s="2">
        <f>IFERROR(__xludf.DUMMYFUNCTION("""COMPUTED_VALUE"""),309.5)</f>
        <v>309.5</v>
      </c>
      <c r="E657" s="2">
        <f>IFERROR(__xludf.DUMMYFUNCTION("""COMPUTED_VALUE"""),312.56)</f>
        <v>312.56</v>
      </c>
      <c r="F657" s="2">
        <f>IFERROR(__xludf.DUMMYFUNCTION("""COMPUTED_VALUE"""),2616241.0)</f>
        <v>2616241</v>
      </c>
    </row>
    <row r="658">
      <c r="A658" s="3">
        <f>IFERROR(__xludf.DUMMYFUNCTION("""COMPUTED_VALUE"""),39190.645833333336)</f>
        <v>39190.64583</v>
      </c>
      <c r="B658" s="2">
        <f>IFERROR(__xludf.DUMMYFUNCTION("""COMPUTED_VALUE"""),313.5)</f>
        <v>313.5</v>
      </c>
      <c r="C658" s="2">
        <f>IFERROR(__xludf.DUMMYFUNCTION("""COMPUTED_VALUE"""),316.25)</f>
        <v>316.25</v>
      </c>
      <c r="D658" s="2">
        <f>IFERROR(__xludf.DUMMYFUNCTION("""COMPUTED_VALUE"""),310.25)</f>
        <v>310.25</v>
      </c>
      <c r="E658" s="2">
        <f>IFERROR(__xludf.DUMMYFUNCTION("""COMPUTED_VALUE"""),311.88)</f>
        <v>311.88</v>
      </c>
      <c r="F658" s="2">
        <f>IFERROR(__xludf.DUMMYFUNCTION("""COMPUTED_VALUE"""),713396.0)</f>
        <v>713396</v>
      </c>
    </row>
    <row r="659">
      <c r="A659" s="3">
        <f>IFERROR(__xludf.DUMMYFUNCTION("""COMPUTED_VALUE"""),39191.645833333336)</f>
        <v>39191.64583</v>
      </c>
      <c r="B659" s="2">
        <f>IFERROR(__xludf.DUMMYFUNCTION("""COMPUTED_VALUE"""),307.5)</f>
        <v>307.5</v>
      </c>
      <c r="C659" s="2">
        <f>IFERROR(__xludf.DUMMYFUNCTION("""COMPUTED_VALUE"""),312.0)</f>
        <v>312</v>
      </c>
      <c r="D659" s="2">
        <f>IFERROR(__xludf.DUMMYFUNCTION("""COMPUTED_VALUE"""),301.27)</f>
        <v>301.27</v>
      </c>
      <c r="E659" s="2">
        <f>IFERROR(__xludf.DUMMYFUNCTION("""COMPUTED_VALUE"""),310.73)</f>
        <v>310.73</v>
      </c>
      <c r="F659" s="2">
        <f>IFERROR(__xludf.DUMMYFUNCTION("""COMPUTED_VALUE"""),791163.0)</f>
        <v>791163</v>
      </c>
    </row>
    <row r="660">
      <c r="A660" s="3">
        <f>IFERROR(__xludf.DUMMYFUNCTION("""COMPUTED_VALUE"""),39192.645833333336)</f>
        <v>39192.64583</v>
      </c>
      <c r="B660" s="2">
        <f>IFERROR(__xludf.DUMMYFUNCTION("""COMPUTED_VALUE"""),313.0)</f>
        <v>313</v>
      </c>
      <c r="C660" s="2">
        <f>IFERROR(__xludf.DUMMYFUNCTION("""COMPUTED_VALUE"""),316.99)</f>
        <v>316.99</v>
      </c>
      <c r="D660" s="2">
        <f>IFERROR(__xludf.DUMMYFUNCTION("""COMPUTED_VALUE"""),312.52)</f>
        <v>312.52</v>
      </c>
      <c r="E660" s="2">
        <f>IFERROR(__xludf.DUMMYFUNCTION("""COMPUTED_VALUE"""),314.41)</f>
        <v>314.41</v>
      </c>
      <c r="F660" s="2">
        <f>IFERROR(__xludf.DUMMYFUNCTION("""COMPUTED_VALUE"""),717688.0)</f>
        <v>717688</v>
      </c>
    </row>
    <row r="661">
      <c r="A661" s="3">
        <f>IFERROR(__xludf.DUMMYFUNCTION("""COMPUTED_VALUE"""),39195.645833333336)</f>
        <v>39195.64583</v>
      </c>
      <c r="B661" s="2">
        <f>IFERROR(__xludf.DUMMYFUNCTION("""COMPUTED_VALUE"""),313.75)</f>
        <v>313.75</v>
      </c>
      <c r="C661" s="2">
        <f>IFERROR(__xludf.DUMMYFUNCTION("""COMPUTED_VALUE"""),317.45)</f>
        <v>317.45</v>
      </c>
      <c r="D661" s="2">
        <f>IFERROR(__xludf.DUMMYFUNCTION("""COMPUTED_VALUE"""),311.25)</f>
        <v>311.25</v>
      </c>
      <c r="E661" s="2">
        <f>IFERROR(__xludf.DUMMYFUNCTION("""COMPUTED_VALUE"""),311.95)</f>
        <v>311.95</v>
      </c>
      <c r="F661" s="2">
        <f>IFERROR(__xludf.DUMMYFUNCTION("""COMPUTED_VALUE"""),566306.0)</f>
        <v>566306</v>
      </c>
    </row>
    <row r="662">
      <c r="A662" s="3">
        <f>IFERROR(__xludf.DUMMYFUNCTION("""COMPUTED_VALUE"""),39196.645833333336)</f>
        <v>39196.64583</v>
      </c>
      <c r="B662" s="2">
        <f>IFERROR(__xludf.DUMMYFUNCTION("""COMPUTED_VALUE"""),311.0)</f>
        <v>311</v>
      </c>
      <c r="C662" s="2">
        <f>IFERROR(__xludf.DUMMYFUNCTION("""COMPUTED_VALUE"""),315.5)</f>
        <v>315.5</v>
      </c>
      <c r="D662" s="2">
        <f>IFERROR(__xludf.DUMMYFUNCTION("""COMPUTED_VALUE"""),304.75)</f>
        <v>304.75</v>
      </c>
      <c r="E662" s="2">
        <f>IFERROR(__xludf.DUMMYFUNCTION("""COMPUTED_VALUE"""),306.21)</f>
        <v>306.21</v>
      </c>
      <c r="F662" s="2">
        <f>IFERROR(__xludf.DUMMYFUNCTION("""COMPUTED_VALUE"""),1730629.0)</f>
        <v>1730629</v>
      </c>
    </row>
    <row r="663">
      <c r="A663" s="3">
        <f>IFERROR(__xludf.DUMMYFUNCTION("""COMPUTED_VALUE"""),39197.645833333336)</f>
        <v>39197.64583</v>
      </c>
      <c r="B663" s="2">
        <f>IFERROR(__xludf.DUMMYFUNCTION("""COMPUTED_VALUE"""),306.25)</f>
        <v>306.25</v>
      </c>
      <c r="C663" s="2">
        <f>IFERROR(__xludf.DUMMYFUNCTION("""COMPUTED_VALUE"""),306.73)</f>
        <v>306.73</v>
      </c>
      <c r="D663" s="2">
        <f>IFERROR(__xludf.DUMMYFUNCTION("""COMPUTED_VALUE"""),302.0)</f>
        <v>302</v>
      </c>
      <c r="E663" s="2">
        <f>IFERROR(__xludf.DUMMYFUNCTION("""COMPUTED_VALUE"""),305.34)</f>
        <v>305.34</v>
      </c>
      <c r="F663" s="2">
        <f>IFERROR(__xludf.DUMMYFUNCTION("""COMPUTED_VALUE"""),5438101.0)</f>
        <v>5438101</v>
      </c>
    </row>
    <row r="664">
      <c r="A664" s="3">
        <f>IFERROR(__xludf.DUMMYFUNCTION("""COMPUTED_VALUE"""),39198.645833333336)</f>
        <v>39198.64583</v>
      </c>
      <c r="B664" s="2">
        <f>IFERROR(__xludf.DUMMYFUNCTION("""COMPUTED_VALUE"""),306.75)</f>
        <v>306.75</v>
      </c>
      <c r="C664" s="2">
        <f>IFERROR(__xludf.DUMMYFUNCTION("""COMPUTED_VALUE"""),312.4)</f>
        <v>312.4</v>
      </c>
      <c r="D664" s="2">
        <f>IFERROR(__xludf.DUMMYFUNCTION("""COMPUTED_VALUE"""),305.0)</f>
        <v>305</v>
      </c>
      <c r="E664" s="2">
        <f>IFERROR(__xludf.DUMMYFUNCTION("""COMPUTED_VALUE"""),310.1)</f>
        <v>310.1</v>
      </c>
      <c r="F664" s="2">
        <f>IFERROR(__xludf.DUMMYFUNCTION("""COMPUTED_VALUE"""),1485439.0)</f>
        <v>1485439</v>
      </c>
    </row>
    <row r="665">
      <c r="A665" s="3">
        <f>IFERROR(__xludf.DUMMYFUNCTION("""COMPUTED_VALUE"""),39199.645833333336)</f>
        <v>39199.64583</v>
      </c>
      <c r="B665" s="2">
        <f>IFERROR(__xludf.DUMMYFUNCTION("""COMPUTED_VALUE"""),308.75)</f>
        <v>308.75</v>
      </c>
      <c r="C665" s="2">
        <f>IFERROR(__xludf.DUMMYFUNCTION("""COMPUTED_VALUE"""),309.13)</f>
        <v>309.13</v>
      </c>
      <c r="D665" s="2">
        <f>IFERROR(__xludf.DUMMYFUNCTION("""COMPUTED_VALUE"""),304.31)</f>
        <v>304.31</v>
      </c>
      <c r="E665" s="2">
        <f>IFERROR(__xludf.DUMMYFUNCTION("""COMPUTED_VALUE"""),308.63)</f>
        <v>308.63</v>
      </c>
      <c r="F665" s="2">
        <f>IFERROR(__xludf.DUMMYFUNCTION("""COMPUTED_VALUE"""),1201321.0)</f>
        <v>1201321</v>
      </c>
    </row>
    <row r="666">
      <c r="A666" s="3">
        <f>IFERROR(__xludf.DUMMYFUNCTION("""COMPUTED_VALUE"""),39202.645833333336)</f>
        <v>39202.64583</v>
      </c>
      <c r="B666" s="2">
        <f>IFERROR(__xludf.DUMMYFUNCTION("""COMPUTED_VALUE"""),310.26)</f>
        <v>310.26</v>
      </c>
      <c r="C666" s="2">
        <f>IFERROR(__xludf.DUMMYFUNCTION("""COMPUTED_VALUE"""),317.48)</f>
        <v>317.48</v>
      </c>
      <c r="D666" s="2">
        <f>IFERROR(__xludf.DUMMYFUNCTION("""COMPUTED_VALUE"""),301.25)</f>
        <v>301.25</v>
      </c>
      <c r="E666" s="2">
        <f>IFERROR(__xludf.DUMMYFUNCTION("""COMPUTED_VALUE"""),316.5)</f>
        <v>316.5</v>
      </c>
      <c r="F666" s="2">
        <f>IFERROR(__xludf.DUMMYFUNCTION("""COMPUTED_VALUE"""),972013.0)</f>
        <v>972013</v>
      </c>
    </row>
    <row r="667">
      <c r="A667" s="3">
        <f>IFERROR(__xludf.DUMMYFUNCTION("""COMPUTED_VALUE"""),39205.645833333336)</f>
        <v>39205.64583</v>
      </c>
      <c r="B667" s="2">
        <f>IFERROR(__xludf.DUMMYFUNCTION("""COMPUTED_VALUE"""),318.7)</f>
        <v>318.7</v>
      </c>
      <c r="C667" s="2">
        <f>IFERROR(__xludf.DUMMYFUNCTION("""COMPUTED_VALUE"""),323.7)</f>
        <v>323.7</v>
      </c>
      <c r="D667" s="2">
        <f>IFERROR(__xludf.DUMMYFUNCTION("""COMPUTED_VALUE"""),318.14)</f>
        <v>318.14</v>
      </c>
      <c r="E667" s="2">
        <f>IFERROR(__xludf.DUMMYFUNCTION("""COMPUTED_VALUE"""),322.55)</f>
        <v>322.55</v>
      </c>
      <c r="F667" s="2">
        <f>IFERROR(__xludf.DUMMYFUNCTION("""COMPUTED_VALUE"""),1660757.0)</f>
        <v>1660757</v>
      </c>
    </row>
    <row r="668">
      <c r="A668" s="3">
        <f>IFERROR(__xludf.DUMMYFUNCTION("""COMPUTED_VALUE"""),39206.645833333336)</f>
        <v>39206.64583</v>
      </c>
      <c r="B668" s="2">
        <f>IFERROR(__xludf.DUMMYFUNCTION("""COMPUTED_VALUE"""),324.75)</f>
        <v>324.75</v>
      </c>
      <c r="C668" s="2">
        <f>IFERROR(__xludf.DUMMYFUNCTION("""COMPUTED_VALUE"""),332.48)</f>
        <v>332.48</v>
      </c>
      <c r="D668" s="2">
        <f>IFERROR(__xludf.DUMMYFUNCTION("""COMPUTED_VALUE"""),317.25)</f>
        <v>317.25</v>
      </c>
      <c r="E668" s="2">
        <f>IFERROR(__xludf.DUMMYFUNCTION("""COMPUTED_VALUE"""),318.26)</f>
        <v>318.26</v>
      </c>
      <c r="F668" s="2">
        <f>IFERROR(__xludf.DUMMYFUNCTION("""COMPUTED_VALUE"""),1775300.0)</f>
        <v>1775300</v>
      </c>
    </row>
    <row r="669">
      <c r="A669" s="3">
        <f>IFERROR(__xludf.DUMMYFUNCTION("""COMPUTED_VALUE"""),39209.645833333336)</f>
        <v>39209.64583</v>
      </c>
      <c r="B669" s="2">
        <f>IFERROR(__xludf.DUMMYFUNCTION("""COMPUTED_VALUE"""),320.5)</f>
        <v>320.5</v>
      </c>
      <c r="C669" s="2">
        <f>IFERROR(__xludf.DUMMYFUNCTION("""COMPUTED_VALUE"""),321.23)</f>
        <v>321.23</v>
      </c>
      <c r="D669" s="2">
        <f>IFERROR(__xludf.DUMMYFUNCTION("""COMPUTED_VALUE"""),316.29)</f>
        <v>316.29</v>
      </c>
      <c r="E669" s="2">
        <f>IFERROR(__xludf.DUMMYFUNCTION("""COMPUTED_VALUE"""),318.23)</f>
        <v>318.23</v>
      </c>
      <c r="F669" s="2">
        <f>IFERROR(__xludf.DUMMYFUNCTION("""COMPUTED_VALUE"""),1388332.0)</f>
        <v>1388332</v>
      </c>
    </row>
    <row r="670">
      <c r="A670" s="3">
        <f>IFERROR(__xludf.DUMMYFUNCTION("""COMPUTED_VALUE"""),39210.645833333336)</f>
        <v>39210.64583</v>
      </c>
      <c r="B670" s="2">
        <f>IFERROR(__xludf.DUMMYFUNCTION("""COMPUTED_VALUE"""),317.5)</f>
        <v>317.5</v>
      </c>
      <c r="C670" s="2">
        <f>IFERROR(__xludf.DUMMYFUNCTION("""COMPUTED_VALUE"""),320.0)</f>
        <v>320</v>
      </c>
      <c r="D670" s="2">
        <f>IFERROR(__xludf.DUMMYFUNCTION("""COMPUTED_VALUE"""),314.31)</f>
        <v>314.31</v>
      </c>
      <c r="E670" s="2">
        <f>IFERROR(__xludf.DUMMYFUNCTION("""COMPUTED_VALUE"""),316.64)</f>
        <v>316.64</v>
      </c>
      <c r="F670" s="2">
        <f>IFERROR(__xludf.DUMMYFUNCTION("""COMPUTED_VALUE"""),2047751.0)</f>
        <v>2047751</v>
      </c>
    </row>
    <row r="671">
      <c r="A671" s="3">
        <f>IFERROR(__xludf.DUMMYFUNCTION("""COMPUTED_VALUE"""),39211.645833333336)</f>
        <v>39211.64583</v>
      </c>
      <c r="B671" s="2">
        <f>IFERROR(__xludf.DUMMYFUNCTION("""COMPUTED_VALUE"""),325.0)</f>
        <v>325</v>
      </c>
      <c r="C671" s="2">
        <f>IFERROR(__xludf.DUMMYFUNCTION("""COMPUTED_VALUE"""),325.0)</f>
        <v>325</v>
      </c>
      <c r="D671" s="2">
        <f>IFERROR(__xludf.DUMMYFUNCTION("""COMPUTED_VALUE"""),306.25)</f>
        <v>306.25</v>
      </c>
      <c r="E671" s="2">
        <f>IFERROR(__xludf.DUMMYFUNCTION("""COMPUTED_VALUE"""),309.88)</f>
        <v>309.88</v>
      </c>
      <c r="F671" s="2">
        <f>IFERROR(__xludf.DUMMYFUNCTION("""COMPUTED_VALUE"""),1174957.0)</f>
        <v>1174957</v>
      </c>
    </row>
    <row r="672">
      <c r="A672" s="3">
        <f>IFERROR(__xludf.DUMMYFUNCTION("""COMPUTED_VALUE"""),39212.645833333336)</f>
        <v>39212.64583</v>
      </c>
      <c r="B672" s="2">
        <f>IFERROR(__xludf.DUMMYFUNCTION("""COMPUTED_VALUE"""),311.25)</f>
        <v>311.25</v>
      </c>
      <c r="C672" s="2">
        <f>IFERROR(__xludf.DUMMYFUNCTION("""COMPUTED_VALUE"""),322.48)</f>
        <v>322.48</v>
      </c>
      <c r="D672" s="2">
        <f>IFERROR(__xludf.DUMMYFUNCTION("""COMPUTED_VALUE"""),306.5)</f>
        <v>306.5</v>
      </c>
      <c r="E672" s="2">
        <f>IFERROR(__xludf.DUMMYFUNCTION("""COMPUTED_VALUE"""),307.43)</f>
        <v>307.43</v>
      </c>
      <c r="F672" s="2">
        <f>IFERROR(__xludf.DUMMYFUNCTION("""COMPUTED_VALUE"""),761050.0)</f>
        <v>761050</v>
      </c>
    </row>
    <row r="673">
      <c r="A673" s="3">
        <f>IFERROR(__xludf.DUMMYFUNCTION("""COMPUTED_VALUE"""),39213.645833333336)</f>
        <v>39213.64583</v>
      </c>
      <c r="B673" s="2">
        <f>IFERROR(__xludf.DUMMYFUNCTION("""COMPUTED_VALUE"""),312.5)</f>
        <v>312.5</v>
      </c>
      <c r="C673" s="2">
        <f>IFERROR(__xludf.DUMMYFUNCTION("""COMPUTED_VALUE"""),314.75)</f>
        <v>314.75</v>
      </c>
      <c r="D673" s="2">
        <f>IFERROR(__xludf.DUMMYFUNCTION("""COMPUTED_VALUE"""),302.5)</f>
        <v>302.5</v>
      </c>
      <c r="E673" s="2">
        <f>IFERROR(__xludf.DUMMYFUNCTION("""COMPUTED_VALUE"""),313.14)</f>
        <v>313.14</v>
      </c>
      <c r="F673" s="2">
        <f>IFERROR(__xludf.DUMMYFUNCTION("""COMPUTED_VALUE"""),966914.0)</f>
        <v>966914</v>
      </c>
    </row>
    <row r="674">
      <c r="A674" s="3">
        <f>IFERROR(__xludf.DUMMYFUNCTION("""COMPUTED_VALUE"""),39216.645833333336)</f>
        <v>39216.64583</v>
      </c>
      <c r="B674" s="2">
        <f>IFERROR(__xludf.DUMMYFUNCTION("""COMPUTED_VALUE"""),319.63)</f>
        <v>319.63</v>
      </c>
      <c r="C674" s="2">
        <f>IFERROR(__xludf.DUMMYFUNCTION("""COMPUTED_VALUE"""),319.63)</f>
        <v>319.63</v>
      </c>
      <c r="D674" s="2">
        <f>IFERROR(__xludf.DUMMYFUNCTION("""COMPUTED_VALUE"""),311.52)</f>
        <v>311.52</v>
      </c>
      <c r="E674" s="2">
        <f>IFERROR(__xludf.DUMMYFUNCTION("""COMPUTED_VALUE"""),312.56)</f>
        <v>312.56</v>
      </c>
      <c r="F674" s="2">
        <f>IFERROR(__xludf.DUMMYFUNCTION("""COMPUTED_VALUE"""),315094.0)</f>
        <v>315094</v>
      </c>
    </row>
    <row r="675">
      <c r="A675" s="3">
        <f>IFERROR(__xludf.DUMMYFUNCTION("""COMPUTED_VALUE"""),39217.645833333336)</f>
        <v>39217.64583</v>
      </c>
      <c r="B675" s="2">
        <f>IFERROR(__xludf.DUMMYFUNCTION("""COMPUTED_VALUE"""),315.0)</f>
        <v>315</v>
      </c>
      <c r="C675" s="2">
        <f>IFERROR(__xludf.DUMMYFUNCTION("""COMPUTED_VALUE"""),315.0)</f>
        <v>315</v>
      </c>
      <c r="D675" s="2">
        <f>IFERROR(__xludf.DUMMYFUNCTION("""COMPUTED_VALUE"""),306.25)</f>
        <v>306.25</v>
      </c>
      <c r="E675" s="2">
        <f>IFERROR(__xludf.DUMMYFUNCTION("""COMPUTED_VALUE"""),309.51)</f>
        <v>309.51</v>
      </c>
      <c r="F675" s="2">
        <f>IFERROR(__xludf.DUMMYFUNCTION("""COMPUTED_VALUE"""),1050780.0)</f>
        <v>1050780</v>
      </c>
    </row>
    <row r="676">
      <c r="A676" s="3">
        <f>IFERROR(__xludf.DUMMYFUNCTION("""COMPUTED_VALUE"""),39218.645833333336)</f>
        <v>39218.64583</v>
      </c>
      <c r="B676" s="2">
        <f>IFERROR(__xludf.DUMMYFUNCTION("""COMPUTED_VALUE"""),316.25)</f>
        <v>316.25</v>
      </c>
      <c r="C676" s="2">
        <f>IFERROR(__xludf.DUMMYFUNCTION("""COMPUTED_VALUE"""),316.25)</f>
        <v>316.25</v>
      </c>
      <c r="D676" s="2">
        <f>IFERROR(__xludf.DUMMYFUNCTION("""COMPUTED_VALUE"""),302.64)</f>
        <v>302.64</v>
      </c>
      <c r="E676" s="2">
        <f>IFERROR(__xludf.DUMMYFUNCTION("""COMPUTED_VALUE"""),306.05)</f>
        <v>306.05</v>
      </c>
      <c r="F676" s="2">
        <f>IFERROR(__xludf.DUMMYFUNCTION("""COMPUTED_VALUE"""),1630904.0)</f>
        <v>1630904</v>
      </c>
    </row>
    <row r="677">
      <c r="A677" s="3">
        <f>IFERROR(__xludf.DUMMYFUNCTION("""COMPUTED_VALUE"""),39219.645833333336)</f>
        <v>39219.64583</v>
      </c>
      <c r="B677" s="2">
        <f>IFERROR(__xludf.DUMMYFUNCTION("""COMPUTED_VALUE"""),308.27)</f>
        <v>308.27</v>
      </c>
      <c r="C677" s="2">
        <f>IFERROR(__xludf.DUMMYFUNCTION("""COMPUTED_VALUE"""),313.43)</f>
        <v>313.43</v>
      </c>
      <c r="D677" s="2">
        <f>IFERROR(__xludf.DUMMYFUNCTION("""COMPUTED_VALUE"""),307.5)</f>
        <v>307.5</v>
      </c>
      <c r="E677" s="2">
        <f>IFERROR(__xludf.DUMMYFUNCTION("""COMPUTED_VALUE"""),312.5)</f>
        <v>312.5</v>
      </c>
      <c r="F677" s="2">
        <f>IFERROR(__xludf.DUMMYFUNCTION("""COMPUTED_VALUE"""),732815.0)</f>
        <v>732815</v>
      </c>
    </row>
    <row r="678">
      <c r="A678" s="3">
        <f>IFERROR(__xludf.DUMMYFUNCTION("""COMPUTED_VALUE"""),39220.645833333336)</f>
        <v>39220.64583</v>
      </c>
      <c r="B678" s="2">
        <f>IFERROR(__xludf.DUMMYFUNCTION("""COMPUTED_VALUE"""),314.99)</f>
        <v>314.99</v>
      </c>
      <c r="C678" s="2">
        <f>IFERROR(__xludf.DUMMYFUNCTION("""COMPUTED_VALUE"""),319.0)</f>
        <v>319</v>
      </c>
      <c r="D678" s="2">
        <f>IFERROR(__xludf.DUMMYFUNCTION("""COMPUTED_VALUE"""),312.5)</f>
        <v>312.5</v>
      </c>
      <c r="E678" s="2">
        <f>IFERROR(__xludf.DUMMYFUNCTION("""COMPUTED_VALUE"""),313.21)</f>
        <v>313.21</v>
      </c>
      <c r="F678" s="2">
        <f>IFERROR(__xludf.DUMMYFUNCTION("""COMPUTED_VALUE"""),730251.0)</f>
        <v>730251</v>
      </c>
    </row>
    <row r="679">
      <c r="A679" s="3">
        <f>IFERROR(__xludf.DUMMYFUNCTION("""COMPUTED_VALUE"""),39223.645833333336)</f>
        <v>39223.64583</v>
      </c>
      <c r="B679" s="2">
        <f>IFERROR(__xludf.DUMMYFUNCTION("""COMPUTED_VALUE"""),317.5)</f>
        <v>317.5</v>
      </c>
      <c r="C679" s="2">
        <f>IFERROR(__xludf.DUMMYFUNCTION("""COMPUTED_VALUE"""),317.5)</f>
        <v>317.5</v>
      </c>
      <c r="D679" s="2">
        <f>IFERROR(__xludf.DUMMYFUNCTION("""COMPUTED_VALUE"""),307.5)</f>
        <v>307.5</v>
      </c>
      <c r="E679" s="2">
        <f>IFERROR(__xludf.DUMMYFUNCTION("""COMPUTED_VALUE"""),309.26)</f>
        <v>309.26</v>
      </c>
      <c r="F679" s="2">
        <f>IFERROR(__xludf.DUMMYFUNCTION("""COMPUTED_VALUE"""),714211.0)</f>
        <v>714211</v>
      </c>
    </row>
    <row r="680">
      <c r="A680" s="3">
        <f>IFERROR(__xludf.DUMMYFUNCTION("""COMPUTED_VALUE"""),39224.645833333336)</f>
        <v>39224.64583</v>
      </c>
      <c r="B680" s="2">
        <f>IFERROR(__xludf.DUMMYFUNCTION("""COMPUTED_VALUE"""),309.38)</f>
        <v>309.38</v>
      </c>
      <c r="C680" s="2">
        <f>IFERROR(__xludf.DUMMYFUNCTION("""COMPUTED_VALUE"""),311.0)</f>
        <v>311</v>
      </c>
      <c r="D680" s="2">
        <f>IFERROR(__xludf.DUMMYFUNCTION("""COMPUTED_VALUE"""),305.26)</f>
        <v>305.26</v>
      </c>
      <c r="E680" s="2">
        <f>IFERROR(__xludf.DUMMYFUNCTION("""COMPUTED_VALUE"""),307.66)</f>
        <v>307.66</v>
      </c>
      <c r="F680" s="2">
        <f>IFERROR(__xludf.DUMMYFUNCTION("""COMPUTED_VALUE"""),1540056.0)</f>
        <v>1540056</v>
      </c>
    </row>
    <row r="681">
      <c r="A681" s="3">
        <f>IFERROR(__xludf.DUMMYFUNCTION("""COMPUTED_VALUE"""),39225.645833333336)</f>
        <v>39225.64583</v>
      </c>
      <c r="B681" s="2">
        <f>IFERROR(__xludf.DUMMYFUNCTION("""COMPUTED_VALUE"""),310.38)</f>
        <v>310.38</v>
      </c>
      <c r="C681" s="2">
        <f>IFERROR(__xludf.DUMMYFUNCTION("""COMPUTED_VALUE"""),310.38)</f>
        <v>310.38</v>
      </c>
      <c r="D681" s="2">
        <f>IFERROR(__xludf.DUMMYFUNCTION("""COMPUTED_VALUE"""),306.27)</f>
        <v>306.27</v>
      </c>
      <c r="E681" s="2">
        <f>IFERROR(__xludf.DUMMYFUNCTION("""COMPUTED_VALUE"""),308.35)</f>
        <v>308.35</v>
      </c>
      <c r="F681" s="2">
        <f>IFERROR(__xludf.DUMMYFUNCTION("""COMPUTED_VALUE"""),317953.0)</f>
        <v>317953</v>
      </c>
    </row>
    <row r="682">
      <c r="A682" s="3">
        <f>IFERROR(__xludf.DUMMYFUNCTION("""COMPUTED_VALUE"""),39226.645833333336)</f>
        <v>39226.64583</v>
      </c>
      <c r="B682" s="2">
        <f>IFERROR(__xludf.DUMMYFUNCTION("""COMPUTED_VALUE"""),312.5)</f>
        <v>312.5</v>
      </c>
      <c r="C682" s="2">
        <f>IFERROR(__xludf.DUMMYFUNCTION("""COMPUTED_VALUE"""),312.5)</f>
        <v>312.5</v>
      </c>
      <c r="D682" s="2">
        <f>IFERROR(__xludf.DUMMYFUNCTION("""COMPUTED_VALUE"""),305.25)</f>
        <v>305.25</v>
      </c>
      <c r="E682" s="2">
        <f>IFERROR(__xludf.DUMMYFUNCTION("""COMPUTED_VALUE"""),306.19)</f>
        <v>306.19</v>
      </c>
      <c r="F682" s="2">
        <f>IFERROR(__xludf.DUMMYFUNCTION("""COMPUTED_VALUE"""),1138201.0)</f>
        <v>1138201</v>
      </c>
    </row>
    <row r="683">
      <c r="A683" s="3">
        <f>IFERROR(__xludf.DUMMYFUNCTION("""COMPUTED_VALUE"""),39227.645833333336)</f>
        <v>39227.64583</v>
      </c>
      <c r="B683" s="2">
        <f>IFERROR(__xludf.DUMMYFUNCTION("""COMPUTED_VALUE"""),305.24)</f>
        <v>305.24</v>
      </c>
      <c r="C683" s="2">
        <f>IFERROR(__xludf.DUMMYFUNCTION("""COMPUTED_VALUE"""),308.75)</f>
        <v>308.75</v>
      </c>
      <c r="D683" s="2">
        <f>IFERROR(__xludf.DUMMYFUNCTION("""COMPUTED_VALUE"""),302.0)</f>
        <v>302</v>
      </c>
      <c r="E683" s="2">
        <f>IFERROR(__xludf.DUMMYFUNCTION("""COMPUTED_VALUE"""),307.49)</f>
        <v>307.49</v>
      </c>
      <c r="F683" s="2">
        <f>IFERROR(__xludf.DUMMYFUNCTION("""COMPUTED_VALUE"""),1311042.0)</f>
        <v>1311042</v>
      </c>
    </row>
    <row r="684">
      <c r="A684" s="3">
        <f>IFERROR(__xludf.DUMMYFUNCTION("""COMPUTED_VALUE"""),39230.645833333336)</f>
        <v>39230.64583</v>
      </c>
      <c r="B684" s="2">
        <f>IFERROR(__xludf.DUMMYFUNCTION("""COMPUTED_VALUE"""),312.5)</f>
        <v>312.5</v>
      </c>
      <c r="C684" s="2">
        <f>IFERROR(__xludf.DUMMYFUNCTION("""COMPUTED_VALUE"""),312.5)</f>
        <v>312.5</v>
      </c>
      <c r="D684" s="2">
        <f>IFERROR(__xludf.DUMMYFUNCTION("""COMPUTED_VALUE"""),305.89)</f>
        <v>305.89</v>
      </c>
      <c r="E684" s="2">
        <f>IFERROR(__xludf.DUMMYFUNCTION("""COMPUTED_VALUE"""),306.38)</f>
        <v>306.38</v>
      </c>
      <c r="F684" s="2">
        <f>IFERROR(__xludf.DUMMYFUNCTION("""COMPUTED_VALUE"""),646293.0)</f>
        <v>646293</v>
      </c>
    </row>
    <row r="685">
      <c r="A685" s="3">
        <f>IFERROR(__xludf.DUMMYFUNCTION("""COMPUTED_VALUE"""),39231.645833333336)</f>
        <v>39231.64583</v>
      </c>
      <c r="B685" s="2">
        <f>IFERROR(__xludf.DUMMYFUNCTION("""COMPUTED_VALUE"""),306.23)</f>
        <v>306.23</v>
      </c>
      <c r="C685" s="2">
        <f>IFERROR(__xludf.DUMMYFUNCTION("""COMPUTED_VALUE"""),308.75)</f>
        <v>308.75</v>
      </c>
      <c r="D685" s="2">
        <f>IFERROR(__xludf.DUMMYFUNCTION("""COMPUTED_VALUE"""),305.0)</f>
        <v>305</v>
      </c>
      <c r="E685" s="2">
        <f>IFERROR(__xludf.DUMMYFUNCTION("""COMPUTED_VALUE"""),307.79)</f>
        <v>307.79</v>
      </c>
      <c r="F685" s="2">
        <f>IFERROR(__xludf.DUMMYFUNCTION("""COMPUTED_VALUE"""),741820.0)</f>
        <v>741820</v>
      </c>
    </row>
    <row r="686">
      <c r="A686" s="3">
        <f>IFERROR(__xludf.DUMMYFUNCTION("""COMPUTED_VALUE"""),39232.645833333336)</f>
        <v>39232.64583</v>
      </c>
      <c r="B686" s="2">
        <f>IFERROR(__xludf.DUMMYFUNCTION("""COMPUTED_VALUE"""),312.5)</f>
        <v>312.5</v>
      </c>
      <c r="C686" s="2">
        <f>IFERROR(__xludf.DUMMYFUNCTION("""COMPUTED_VALUE"""),312.5)</f>
        <v>312.5</v>
      </c>
      <c r="D686" s="2">
        <f>IFERROR(__xludf.DUMMYFUNCTION("""COMPUTED_VALUE"""),302.55)</f>
        <v>302.55</v>
      </c>
      <c r="E686" s="2">
        <f>IFERROR(__xludf.DUMMYFUNCTION("""COMPUTED_VALUE"""),303.91)</f>
        <v>303.91</v>
      </c>
      <c r="F686" s="2">
        <f>IFERROR(__xludf.DUMMYFUNCTION("""COMPUTED_VALUE"""),650014.0)</f>
        <v>650014</v>
      </c>
    </row>
    <row r="687">
      <c r="A687" s="3">
        <f>IFERROR(__xludf.DUMMYFUNCTION("""COMPUTED_VALUE"""),39233.645833333336)</f>
        <v>39233.64583</v>
      </c>
      <c r="B687" s="2">
        <f>IFERROR(__xludf.DUMMYFUNCTION("""COMPUTED_VALUE"""),307.25)</f>
        <v>307.25</v>
      </c>
      <c r="C687" s="2">
        <f>IFERROR(__xludf.DUMMYFUNCTION("""COMPUTED_VALUE"""),307.25)</f>
        <v>307.25</v>
      </c>
      <c r="D687" s="2">
        <f>IFERROR(__xludf.DUMMYFUNCTION("""COMPUTED_VALUE"""),300.0)</f>
        <v>300</v>
      </c>
      <c r="E687" s="2">
        <f>IFERROR(__xludf.DUMMYFUNCTION("""COMPUTED_VALUE"""),302.09)</f>
        <v>302.09</v>
      </c>
      <c r="F687" s="2">
        <f>IFERROR(__xludf.DUMMYFUNCTION("""COMPUTED_VALUE"""),1294123.0)</f>
        <v>1294123</v>
      </c>
    </row>
    <row r="688">
      <c r="A688" s="3">
        <f>IFERROR(__xludf.DUMMYFUNCTION("""COMPUTED_VALUE"""),39234.645833333336)</f>
        <v>39234.64583</v>
      </c>
      <c r="B688" s="2">
        <f>IFERROR(__xludf.DUMMYFUNCTION("""COMPUTED_VALUE"""),307.27)</f>
        <v>307.27</v>
      </c>
      <c r="C688" s="2">
        <f>IFERROR(__xludf.DUMMYFUNCTION("""COMPUTED_VALUE"""),307.27)</f>
        <v>307.27</v>
      </c>
      <c r="D688" s="2">
        <f>IFERROR(__xludf.DUMMYFUNCTION("""COMPUTED_VALUE"""),302.79)</f>
        <v>302.79</v>
      </c>
      <c r="E688" s="2">
        <f>IFERROR(__xludf.DUMMYFUNCTION("""COMPUTED_VALUE"""),304.68)</f>
        <v>304.68</v>
      </c>
      <c r="F688" s="2">
        <f>IFERROR(__xludf.DUMMYFUNCTION("""COMPUTED_VALUE"""),432247.0)</f>
        <v>432247</v>
      </c>
    </row>
    <row r="689">
      <c r="A689" s="3">
        <f>IFERROR(__xludf.DUMMYFUNCTION("""COMPUTED_VALUE"""),39237.645833333336)</f>
        <v>39237.64583</v>
      </c>
      <c r="B689" s="2">
        <f>IFERROR(__xludf.DUMMYFUNCTION("""COMPUTED_VALUE"""),307.0)</f>
        <v>307</v>
      </c>
      <c r="C689" s="2">
        <f>IFERROR(__xludf.DUMMYFUNCTION("""COMPUTED_VALUE"""),312.5)</f>
        <v>312.5</v>
      </c>
      <c r="D689" s="2">
        <f>IFERROR(__xludf.DUMMYFUNCTION("""COMPUTED_VALUE"""),300.5)</f>
        <v>300.5</v>
      </c>
      <c r="E689" s="2">
        <f>IFERROR(__xludf.DUMMYFUNCTION("""COMPUTED_VALUE"""),302.02)</f>
        <v>302.02</v>
      </c>
      <c r="F689" s="2">
        <f>IFERROR(__xludf.DUMMYFUNCTION("""COMPUTED_VALUE"""),463346.0)</f>
        <v>463346</v>
      </c>
    </row>
    <row r="690">
      <c r="A690" s="3">
        <f>IFERROR(__xludf.DUMMYFUNCTION("""COMPUTED_VALUE"""),39238.645833333336)</f>
        <v>39238.64583</v>
      </c>
      <c r="B690" s="2">
        <f>IFERROR(__xludf.DUMMYFUNCTION("""COMPUTED_VALUE"""),304.45)</f>
        <v>304.45</v>
      </c>
      <c r="C690" s="2">
        <f>IFERROR(__xludf.DUMMYFUNCTION("""COMPUTED_VALUE"""),304.45)</f>
        <v>304.45</v>
      </c>
      <c r="D690" s="2">
        <f>IFERROR(__xludf.DUMMYFUNCTION("""COMPUTED_VALUE"""),300.0)</f>
        <v>300</v>
      </c>
      <c r="E690" s="2">
        <f>IFERROR(__xludf.DUMMYFUNCTION("""COMPUTED_VALUE"""),302.01)</f>
        <v>302.01</v>
      </c>
      <c r="F690" s="2">
        <f>IFERROR(__xludf.DUMMYFUNCTION("""COMPUTED_VALUE"""),437900.0)</f>
        <v>437900</v>
      </c>
    </row>
    <row r="691">
      <c r="A691" s="3">
        <f>IFERROR(__xludf.DUMMYFUNCTION("""COMPUTED_VALUE"""),39239.645833333336)</f>
        <v>39239.64583</v>
      </c>
      <c r="B691" s="2">
        <f>IFERROR(__xludf.DUMMYFUNCTION("""COMPUTED_VALUE"""),303.75)</f>
        <v>303.75</v>
      </c>
      <c r="C691" s="2">
        <f>IFERROR(__xludf.DUMMYFUNCTION("""COMPUTED_VALUE"""),304.25)</f>
        <v>304.25</v>
      </c>
      <c r="D691" s="2">
        <f>IFERROR(__xludf.DUMMYFUNCTION("""COMPUTED_VALUE"""),294.55)</f>
        <v>294.55</v>
      </c>
      <c r="E691" s="2">
        <f>IFERROR(__xludf.DUMMYFUNCTION("""COMPUTED_VALUE"""),300.09)</f>
        <v>300.09</v>
      </c>
      <c r="F691" s="2">
        <f>IFERROR(__xludf.DUMMYFUNCTION("""COMPUTED_VALUE"""),958005.0)</f>
        <v>958005</v>
      </c>
    </row>
    <row r="692">
      <c r="A692" s="3">
        <f>IFERROR(__xludf.DUMMYFUNCTION("""COMPUTED_VALUE"""),39240.645833333336)</f>
        <v>39240.64583</v>
      </c>
      <c r="B692" s="2">
        <f>IFERROR(__xludf.DUMMYFUNCTION("""COMPUTED_VALUE"""),300.0)</f>
        <v>300</v>
      </c>
      <c r="C692" s="2">
        <f>IFERROR(__xludf.DUMMYFUNCTION("""COMPUTED_VALUE"""),303.6)</f>
        <v>303.6</v>
      </c>
      <c r="D692" s="2">
        <f>IFERROR(__xludf.DUMMYFUNCTION("""COMPUTED_VALUE"""),291.33)</f>
        <v>291.33</v>
      </c>
      <c r="E692" s="2">
        <f>IFERROR(__xludf.DUMMYFUNCTION("""COMPUTED_VALUE"""),301.75)</f>
        <v>301.75</v>
      </c>
      <c r="F692" s="2">
        <f>IFERROR(__xludf.DUMMYFUNCTION("""COMPUTED_VALUE"""),502235.0)</f>
        <v>502235</v>
      </c>
    </row>
    <row r="693">
      <c r="A693" s="3">
        <f>IFERROR(__xludf.DUMMYFUNCTION("""COMPUTED_VALUE"""),39241.645833333336)</f>
        <v>39241.64583</v>
      </c>
      <c r="B693" s="2">
        <f>IFERROR(__xludf.DUMMYFUNCTION("""COMPUTED_VALUE"""),301.63)</f>
        <v>301.63</v>
      </c>
      <c r="C693" s="2">
        <f>IFERROR(__xludf.DUMMYFUNCTION("""COMPUTED_VALUE"""),307.63)</f>
        <v>307.63</v>
      </c>
      <c r="D693" s="2">
        <f>IFERROR(__xludf.DUMMYFUNCTION("""COMPUTED_VALUE"""),297.5)</f>
        <v>297.5</v>
      </c>
      <c r="E693" s="2">
        <f>IFERROR(__xludf.DUMMYFUNCTION("""COMPUTED_VALUE"""),305.02)</f>
        <v>305.02</v>
      </c>
      <c r="F693" s="2">
        <f>IFERROR(__xludf.DUMMYFUNCTION("""COMPUTED_VALUE"""),1504769.0)</f>
        <v>1504769</v>
      </c>
    </row>
    <row r="694">
      <c r="A694" s="3">
        <f>IFERROR(__xludf.DUMMYFUNCTION("""COMPUTED_VALUE"""),39244.645833333336)</f>
        <v>39244.64583</v>
      </c>
      <c r="B694" s="2">
        <f>IFERROR(__xludf.DUMMYFUNCTION("""COMPUTED_VALUE"""),309.14)</f>
        <v>309.14</v>
      </c>
      <c r="C694" s="2">
        <f>IFERROR(__xludf.DUMMYFUNCTION("""COMPUTED_VALUE"""),309.85)</f>
        <v>309.85</v>
      </c>
      <c r="D694" s="2">
        <f>IFERROR(__xludf.DUMMYFUNCTION("""COMPUTED_VALUE"""),304.51)</f>
        <v>304.51</v>
      </c>
      <c r="E694" s="2">
        <f>IFERROR(__xludf.DUMMYFUNCTION("""COMPUTED_VALUE"""),305.34)</f>
        <v>305.34</v>
      </c>
      <c r="F694" s="2">
        <f>IFERROR(__xludf.DUMMYFUNCTION("""COMPUTED_VALUE"""),662034.0)</f>
        <v>662034</v>
      </c>
    </row>
    <row r="695">
      <c r="A695" s="3">
        <f>IFERROR(__xludf.DUMMYFUNCTION("""COMPUTED_VALUE"""),39245.645833333336)</f>
        <v>39245.64583</v>
      </c>
      <c r="B695" s="2">
        <f>IFERROR(__xludf.DUMMYFUNCTION("""COMPUTED_VALUE"""),302.5)</f>
        <v>302.5</v>
      </c>
      <c r="C695" s="2">
        <f>IFERROR(__xludf.DUMMYFUNCTION("""COMPUTED_VALUE"""),307.5)</f>
        <v>307.5</v>
      </c>
      <c r="D695" s="2">
        <f>IFERROR(__xludf.DUMMYFUNCTION("""COMPUTED_VALUE"""),300.0)</f>
        <v>300</v>
      </c>
      <c r="E695" s="2">
        <f>IFERROR(__xludf.DUMMYFUNCTION("""COMPUTED_VALUE"""),304.34)</f>
        <v>304.34</v>
      </c>
      <c r="F695" s="2">
        <f>IFERROR(__xludf.DUMMYFUNCTION("""COMPUTED_VALUE"""),350518.0)</f>
        <v>350518</v>
      </c>
    </row>
    <row r="696">
      <c r="A696" s="3">
        <f>IFERROR(__xludf.DUMMYFUNCTION("""COMPUTED_VALUE"""),39246.645833333336)</f>
        <v>39246.64583</v>
      </c>
      <c r="B696" s="2">
        <f>IFERROR(__xludf.DUMMYFUNCTION("""COMPUTED_VALUE"""),304.75)</f>
        <v>304.75</v>
      </c>
      <c r="C696" s="2">
        <f>IFERROR(__xludf.DUMMYFUNCTION("""COMPUTED_VALUE"""),305.0)</f>
        <v>305</v>
      </c>
      <c r="D696" s="2">
        <f>IFERROR(__xludf.DUMMYFUNCTION("""COMPUTED_VALUE"""),298.33)</f>
        <v>298.33</v>
      </c>
      <c r="E696" s="2">
        <f>IFERROR(__xludf.DUMMYFUNCTION("""COMPUTED_VALUE"""),300.81)</f>
        <v>300.81</v>
      </c>
      <c r="F696" s="2">
        <f>IFERROR(__xludf.DUMMYFUNCTION("""COMPUTED_VALUE"""),442122.0)</f>
        <v>442122</v>
      </c>
    </row>
    <row r="697">
      <c r="A697" s="3">
        <f>IFERROR(__xludf.DUMMYFUNCTION("""COMPUTED_VALUE"""),39247.645833333336)</f>
        <v>39247.64583</v>
      </c>
      <c r="B697" s="2">
        <f>IFERROR(__xludf.DUMMYFUNCTION("""COMPUTED_VALUE"""),302.5)</f>
        <v>302.5</v>
      </c>
      <c r="C697" s="2">
        <f>IFERROR(__xludf.DUMMYFUNCTION("""COMPUTED_VALUE"""),305.0)</f>
        <v>305</v>
      </c>
      <c r="D697" s="2">
        <f>IFERROR(__xludf.DUMMYFUNCTION("""COMPUTED_VALUE"""),300.33)</f>
        <v>300.33</v>
      </c>
      <c r="E697" s="2">
        <f>IFERROR(__xludf.DUMMYFUNCTION("""COMPUTED_VALUE"""),301.14)</f>
        <v>301.14</v>
      </c>
      <c r="F697" s="2">
        <f>IFERROR(__xludf.DUMMYFUNCTION("""COMPUTED_VALUE"""),1044017.0)</f>
        <v>1044017</v>
      </c>
    </row>
    <row r="698">
      <c r="A698" s="3">
        <f>IFERROR(__xludf.DUMMYFUNCTION("""COMPUTED_VALUE"""),39248.645833333336)</f>
        <v>39248.64583</v>
      </c>
      <c r="B698" s="2">
        <f>IFERROR(__xludf.DUMMYFUNCTION("""COMPUTED_VALUE"""),305.0)</f>
        <v>305</v>
      </c>
      <c r="C698" s="2">
        <f>IFERROR(__xludf.DUMMYFUNCTION("""COMPUTED_VALUE"""),305.0)</f>
        <v>305</v>
      </c>
      <c r="D698" s="2">
        <f>IFERROR(__xludf.DUMMYFUNCTION("""COMPUTED_VALUE"""),295.0)</f>
        <v>295</v>
      </c>
      <c r="E698" s="2">
        <f>IFERROR(__xludf.DUMMYFUNCTION("""COMPUTED_VALUE"""),296.1)</f>
        <v>296.1</v>
      </c>
      <c r="F698" s="2">
        <f>IFERROR(__xludf.DUMMYFUNCTION("""COMPUTED_VALUE"""),1245788.0)</f>
        <v>1245788</v>
      </c>
    </row>
    <row r="699">
      <c r="A699" s="3">
        <f>IFERROR(__xludf.DUMMYFUNCTION("""COMPUTED_VALUE"""),39251.645833333336)</f>
        <v>39251.64583</v>
      </c>
      <c r="B699" s="2">
        <f>IFERROR(__xludf.DUMMYFUNCTION("""COMPUTED_VALUE"""),298.25)</f>
        <v>298.25</v>
      </c>
      <c r="C699" s="2">
        <f>IFERROR(__xludf.DUMMYFUNCTION("""COMPUTED_VALUE"""),298.75)</f>
        <v>298.75</v>
      </c>
      <c r="D699" s="2">
        <f>IFERROR(__xludf.DUMMYFUNCTION("""COMPUTED_VALUE"""),290.0)</f>
        <v>290</v>
      </c>
      <c r="E699" s="2">
        <f>IFERROR(__xludf.DUMMYFUNCTION("""COMPUTED_VALUE"""),290.65)</f>
        <v>290.65</v>
      </c>
      <c r="F699" s="2">
        <f>IFERROR(__xludf.DUMMYFUNCTION("""COMPUTED_VALUE"""),718614.0)</f>
        <v>718614</v>
      </c>
    </row>
    <row r="700">
      <c r="A700" s="3">
        <f>IFERROR(__xludf.DUMMYFUNCTION("""COMPUTED_VALUE"""),39252.645833333336)</f>
        <v>39252.64583</v>
      </c>
      <c r="B700" s="2">
        <f>IFERROR(__xludf.DUMMYFUNCTION("""COMPUTED_VALUE"""),291.27)</f>
        <v>291.27</v>
      </c>
      <c r="C700" s="2">
        <f>IFERROR(__xludf.DUMMYFUNCTION("""COMPUTED_VALUE"""),291.38)</f>
        <v>291.38</v>
      </c>
      <c r="D700" s="2">
        <f>IFERROR(__xludf.DUMMYFUNCTION("""COMPUTED_VALUE"""),285.83)</f>
        <v>285.83</v>
      </c>
      <c r="E700" s="2">
        <f>IFERROR(__xludf.DUMMYFUNCTION("""COMPUTED_VALUE"""),290.0)</f>
        <v>290</v>
      </c>
      <c r="F700" s="2">
        <f>IFERROR(__xludf.DUMMYFUNCTION("""COMPUTED_VALUE"""),873859.0)</f>
        <v>873859</v>
      </c>
    </row>
    <row r="701">
      <c r="A701" s="3">
        <f>IFERROR(__xludf.DUMMYFUNCTION("""COMPUTED_VALUE"""),39253.645833333336)</f>
        <v>39253.64583</v>
      </c>
      <c r="B701" s="2">
        <f>IFERROR(__xludf.DUMMYFUNCTION("""COMPUTED_VALUE"""),290.25)</f>
        <v>290.25</v>
      </c>
      <c r="C701" s="2">
        <f>IFERROR(__xludf.DUMMYFUNCTION("""COMPUTED_VALUE"""),293.25)</f>
        <v>293.25</v>
      </c>
      <c r="D701" s="2">
        <f>IFERROR(__xludf.DUMMYFUNCTION("""COMPUTED_VALUE"""),285.25)</f>
        <v>285.25</v>
      </c>
      <c r="E701" s="2">
        <f>IFERROR(__xludf.DUMMYFUNCTION("""COMPUTED_VALUE"""),286.75)</f>
        <v>286.75</v>
      </c>
      <c r="F701" s="2">
        <f>IFERROR(__xludf.DUMMYFUNCTION("""COMPUTED_VALUE"""),1006242.0)</f>
        <v>1006242</v>
      </c>
    </row>
    <row r="702">
      <c r="A702" s="3">
        <f>IFERROR(__xludf.DUMMYFUNCTION("""COMPUTED_VALUE"""),39254.645833333336)</f>
        <v>39254.64583</v>
      </c>
      <c r="B702" s="2">
        <f>IFERROR(__xludf.DUMMYFUNCTION("""COMPUTED_VALUE"""),286.25)</f>
        <v>286.25</v>
      </c>
      <c r="C702" s="2">
        <f>IFERROR(__xludf.DUMMYFUNCTION("""COMPUTED_VALUE"""),287.7)</f>
        <v>287.7</v>
      </c>
      <c r="D702" s="2">
        <f>IFERROR(__xludf.DUMMYFUNCTION("""COMPUTED_VALUE"""),282.5)</f>
        <v>282.5</v>
      </c>
      <c r="E702" s="2">
        <f>IFERROR(__xludf.DUMMYFUNCTION("""COMPUTED_VALUE"""),286.4)</f>
        <v>286.4</v>
      </c>
      <c r="F702" s="2">
        <f>IFERROR(__xludf.DUMMYFUNCTION("""COMPUTED_VALUE"""),760932.0)</f>
        <v>760932</v>
      </c>
    </row>
    <row r="703">
      <c r="A703" s="3">
        <f>IFERROR(__xludf.DUMMYFUNCTION("""COMPUTED_VALUE"""),39255.645833333336)</f>
        <v>39255.64583</v>
      </c>
      <c r="B703" s="2">
        <f>IFERROR(__xludf.DUMMYFUNCTION("""COMPUTED_VALUE"""),286.25)</f>
        <v>286.25</v>
      </c>
      <c r="C703" s="2">
        <f>IFERROR(__xludf.DUMMYFUNCTION("""COMPUTED_VALUE"""),288.75)</f>
        <v>288.75</v>
      </c>
      <c r="D703" s="2">
        <f>IFERROR(__xludf.DUMMYFUNCTION("""COMPUTED_VALUE"""),283.63)</f>
        <v>283.63</v>
      </c>
      <c r="E703" s="2">
        <f>IFERROR(__xludf.DUMMYFUNCTION("""COMPUTED_VALUE"""),284.99)</f>
        <v>284.99</v>
      </c>
      <c r="F703" s="2">
        <f>IFERROR(__xludf.DUMMYFUNCTION("""COMPUTED_VALUE"""),669326.0)</f>
        <v>669326</v>
      </c>
    </row>
    <row r="704">
      <c r="A704" s="3">
        <f>IFERROR(__xludf.DUMMYFUNCTION("""COMPUTED_VALUE"""),39258.645833333336)</f>
        <v>39258.64583</v>
      </c>
      <c r="B704" s="2">
        <f>IFERROR(__xludf.DUMMYFUNCTION("""COMPUTED_VALUE"""),284.99)</f>
        <v>284.99</v>
      </c>
      <c r="C704" s="2">
        <f>IFERROR(__xludf.DUMMYFUNCTION("""COMPUTED_VALUE"""),287.5)</f>
        <v>287.5</v>
      </c>
      <c r="D704" s="2">
        <f>IFERROR(__xludf.DUMMYFUNCTION("""COMPUTED_VALUE"""),279.69)</f>
        <v>279.69</v>
      </c>
      <c r="E704" s="2">
        <f>IFERROR(__xludf.DUMMYFUNCTION("""COMPUTED_VALUE"""),281.44)</f>
        <v>281.44</v>
      </c>
      <c r="F704" s="2">
        <f>IFERROR(__xludf.DUMMYFUNCTION("""COMPUTED_VALUE"""),700944.0)</f>
        <v>700944</v>
      </c>
    </row>
    <row r="705">
      <c r="A705" s="3">
        <f>IFERROR(__xludf.DUMMYFUNCTION("""COMPUTED_VALUE"""),39259.645833333336)</f>
        <v>39259.64583</v>
      </c>
      <c r="B705" s="2">
        <f>IFERROR(__xludf.DUMMYFUNCTION("""COMPUTED_VALUE"""),282.75)</f>
        <v>282.75</v>
      </c>
      <c r="C705" s="2">
        <f>IFERROR(__xludf.DUMMYFUNCTION("""COMPUTED_VALUE"""),285.0)</f>
        <v>285</v>
      </c>
      <c r="D705" s="2">
        <f>IFERROR(__xludf.DUMMYFUNCTION("""COMPUTED_VALUE"""),279.46)</f>
        <v>279.46</v>
      </c>
      <c r="E705" s="2">
        <f>IFERROR(__xludf.DUMMYFUNCTION("""COMPUTED_VALUE"""),280.44)</f>
        <v>280.44</v>
      </c>
      <c r="F705" s="2">
        <f>IFERROR(__xludf.DUMMYFUNCTION("""COMPUTED_VALUE"""),708186.0)</f>
        <v>708186</v>
      </c>
    </row>
    <row r="706">
      <c r="A706" s="3">
        <f>IFERROR(__xludf.DUMMYFUNCTION("""COMPUTED_VALUE"""),39260.645833333336)</f>
        <v>39260.64583</v>
      </c>
      <c r="B706" s="2">
        <f>IFERROR(__xludf.DUMMYFUNCTION("""COMPUTED_VALUE"""),282.48)</f>
        <v>282.48</v>
      </c>
      <c r="C706" s="2">
        <f>IFERROR(__xludf.DUMMYFUNCTION("""COMPUTED_VALUE"""),284.68)</f>
        <v>284.68</v>
      </c>
      <c r="D706" s="2">
        <f>IFERROR(__xludf.DUMMYFUNCTION("""COMPUTED_VALUE"""),281.0)</f>
        <v>281</v>
      </c>
      <c r="E706" s="2">
        <f>IFERROR(__xludf.DUMMYFUNCTION("""COMPUTED_VALUE"""),283.29)</f>
        <v>283.29</v>
      </c>
      <c r="F706" s="2">
        <f>IFERROR(__xludf.DUMMYFUNCTION("""COMPUTED_VALUE"""),739174.0)</f>
        <v>739174</v>
      </c>
    </row>
    <row r="707">
      <c r="A707" s="3">
        <f>IFERROR(__xludf.DUMMYFUNCTION("""COMPUTED_VALUE"""),39261.645833333336)</f>
        <v>39261.64583</v>
      </c>
      <c r="B707" s="2">
        <f>IFERROR(__xludf.DUMMYFUNCTION("""COMPUTED_VALUE"""),285.99)</f>
        <v>285.99</v>
      </c>
      <c r="C707" s="2">
        <f>IFERROR(__xludf.DUMMYFUNCTION("""COMPUTED_VALUE"""),285.99)</f>
        <v>285.99</v>
      </c>
      <c r="D707" s="2">
        <f>IFERROR(__xludf.DUMMYFUNCTION("""COMPUTED_VALUE"""),281.25)</f>
        <v>281.25</v>
      </c>
      <c r="E707" s="2">
        <f>IFERROR(__xludf.DUMMYFUNCTION("""COMPUTED_VALUE"""),284.21)</f>
        <v>284.21</v>
      </c>
      <c r="F707" s="2">
        <f>IFERROR(__xludf.DUMMYFUNCTION("""COMPUTED_VALUE"""),1085698.0)</f>
        <v>1085698</v>
      </c>
    </row>
    <row r="708">
      <c r="A708" s="3">
        <f>IFERROR(__xludf.DUMMYFUNCTION("""COMPUTED_VALUE"""),39262.645833333336)</f>
        <v>39262.64583</v>
      </c>
      <c r="B708" s="2">
        <f>IFERROR(__xludf.DUMMYFUNCTION("""COMPUTED_VALUE"""),285.25)</f>
        <v>285.25</v>
      </c>
      <c r="C708" s="2">
        <f>IFERROR(__xludf.DUMMYFUNCTION("""COMPUTED_VALUE"""),289.0)</f>
        <v>289</v>
      </c>
      <c r="D708" s="2">
        <f>IFERROR(__xludf.DUMMYFUNCTION("""COMPUTED_VALUE"""),285.01)</f>
        <v>285.01</v>
      </c>
      <c r="E708" s="2">
        <f>IFERROR(__xludf.DUMMYFUNCTION("""COMPUTED_VALUE"""),287.34)</f>
        <v>287.34</v>
      </c>
      <c r="F708" s="2">
        <f>IFERROR(__xludf.DUMMYFUNCTION("""COMPUTED_VALUE"""),751114.0)</f>
        <v>751114</v>
      </c>
    </row>
    <row r="709">
      <c r="A709" s="3">
        <f>IFERROR(__xludf.DUMMYFUNCTION("""COMPUTED_VALUE"""),39265.645833333336)</f>
        <v>39265.64583</v>
      </c>
      <c r="B709" s="2">
        <f>IFERROR(__xludf.DUMMYFUNCTION("""COMPUTED_VALUE"""),288.25)</f>
        <v>288.25</v>
      </c>
      <c r="C709" s="2">
        <f>IFERROR(__xludf.DUMMYFUNCTION("""COMPUTED_VALUE"""),288.25)</f>
        <v>288.25</v>
      </c>
      <c r="D709" s="2">
        <f>IFERROR(__xludf.DUMMYFUNCTION("""COMPUTED_VALUE"""),282.75)</f>
        <v>282.75</v>
      </c>
      <c r="E709" s="2">
        <f>IFERROR(__xludf.DUMMYFUNCTION("""COMPUTED_VALUE"""),283.61)</f>
        <v>283.61</v>
      </c>
      <c r="F709" s="2">
        <f>IFERROR(__xludf.DUMMYFUNCTION("""COMPUTED_VALUE"""),369288.0)</f>
        <v>369288</v>
      </c>
    </row>
    <row r="710">
      <c r="A710" s="3">
        <f>IFERROR(__xludf.DUMMYFUNCTION("""COMPUTED_VALUE"""),39266.645833333336)</f>
        <v>39266.64583</v>
      </c>
      <c r="B710" s="2">
        <f>IFERROR(__xludf.DUMMYFUNCTION("""COMPUTED_VALUE"""),287.5)</f>
        <v>287.5</v>
      </c>
      <c r="C710" s="2">
        <f>IFERROR(__xludf.DUMMYFUNCTION("""COMPUTED_VALUE"""),287.5)</f>
        <v>287.5</v>
      </c>
      <c r="D710" s="2">
        <f>IFERROR(__xludf.DUMMYFUNCTION("""COMPUTED_VALUE"""),281.0)</f>
        <v>281</v>
      </c>
      <c r="E710" s="2">
        <f>IFERROR(__xludf.DUMMYFUNCTION("""COMPUTED_VALUE"""),281.9)</f>
        <v>281.9</v>
      </c>
      <c r="F710" s="2">
        <f>IFERROR(__xludf.DUMMYFUNCTION("""COMPUTED_VALUE"""),457342.0)</f>
        <v>457342</v>
      </c>
    </row>
    <row r="711">
      <c r="A711" s="3">
        <f>IFERROR(__xludf.DUMMYFUNCTION("""COMPUTED_VALUE"""),39267.645833333336)</f>
        <v>39267.64583</v>
      </c>
      <c r="B711" s="2">
        <f>IFERROR(__xludf.DUMMYFUNCTION("""COMPUTED_VALUE"""),282.0)</f>
        <v>282</v>
      </c>
      <c r="C711" s="2">
        <f>IFERROR(__xludf.DUMMYFUNCTION("""COMPUTED_VALUE"""),285.0)</f>
        <v>285</v>
      </c>
      <c r="D711" s="2">
        <f>IFERROR(__xludf.DUMMYFUNCTION("""COMPUTED_VALUE"""),279.0)</f>
        <v>279</v>
      </c>
      <c r="E711" s="2">
        <f>IFERROR(__xludf.DUMMYFUNCTION("""COMPUTED_VALUE"""),279.41)</f>
        <v>279.41</v>
      </c>
      <c r="F711" s="2">
        <f>IFERROR(__xludf.DUMMYFUNCTION("""COMPUTED_VALUE"""),603866.0)</f>
        <v>603866</v>
      </c>
    </row>
    <row r="712">
      <c r="A712" s="3">
        <f>IFERROR(__xludf.DUMMYFUNCTION("""COMPUTED_VALUE"""),39268.645833333336)</f>
        <v>39268.64583</v>
      </c>
      <c r="B712" s="2">
        <f>IFERROR(__xludf.DUMMYFUNCTION("""COMPUTED_VALUE"""),282.05)</f>
        <v>282.05</v>
      </c>
      <c r="C712" s="2">
        <f>IFERROR(__xludf.DUMMYFUNCTION("""COMPUTED_VALUE"""),282.05)</f>
        <v>282.05</v>
      </c>
      <c r="D712" s="2">
        <f>IFERROR(__xludf.DUMMYFUNCTION("""COMPUTED_VALUE"""),275.2)</f>
        <v>275.2</v>
      </c>
      <c r="E712" s="2">
        <f>IFERROR(__xludf.DUMMYFUNCTION("""COMPUTED_VALUE"""),277.91)</f>
        <v>277.91</v>
      </c>
      <c r="F712" s="2">
        <f>IFERROR(__xludf.DUMMYFUNCTION("""COMPUTED_VALUE"""),794801.0)</f>
        <v>794801</v>
      </c>
    </row>
    <row r="713">
      <c r="A713" s="3">
        <f>IFERROR(__xludf.DUMMYFUNCTION("""COMPUTED_VALUE"""),39269.645833333336)</f>
        <v>39269.64583</v>
      </c>
      <c r="B713" s="2">
        <f>IFERROR(__xludf.DUMMYFUNCTION("""COMPUTED_VALUE"""),278.75)</f>
        <v>278.75</v>
      </c>
      <c r="C713" s="2">
        <f>IFERROR(__xludf.DUMMYFUNCTION("""COMPUTED_VALUE"""),291.23)</f>
        <v>291.23</v>
      </c>
      <c r="D713" s="2">
        <f>IFERROR(__xludf.DUMMYFUNCTION("""COMPUTED_VALUE"""),275.02)</f>
        <v>275.02</v>
      </c>
      <c r="E713" s="2">
        <f>IFERROR(__xludf.DUMMYFUNCTION("""COMPUTED_VALUE"""),289.66)</f>
        <v>289.66</v>
      </c>
      <c r="F713" s="2">
        <f>IFERROR(__xludf.DUMMYFUNCTION("""COMPUTED_VALUE"""),1901421.0)</f>
        <v>1901421</v>
      </c>
    </row>
    <row r="714">
      <c r="A714" s="3">
        <f>IFERROR(__xludf.DUMMYFUNCTION("""COMPUTED_VALUE"""),39272.645833333336)</f>
        <v>39272.64583</v>
      </c>
      <c r="B714" s="2">
        <f>IFERROR(__xludf.DUMMYFUNCTION("""COMPUTED_VALUE"""),292.1)</f>
        <v>292.1</v>
      </c>
      <c r="C714" s="2">
        <f>IFERROR(__xludf.DUMMYFUNCTION("""COMPUTED_VALUE"""),295.6)</f>
        <v>295.6</v>
      </c>
      <c r="D714" s="2">
        <f>IFERROR(__xludf.DUMMYFUNCTION("""COMPUTED_VALUE"""),291.25)</f>
        <v>291.25</v>
      </c>
      <c r="E714" s="2">
        <f>IFERROR(__xludf.DUMMYFUNCTION("""COMPUTED_VALUE"""),294.19)</f>
        <v>294.19</v>
      </c>
      <c r="F714" s="2">
        <f>IFERROR(__xludf.DUMMYFUNCTION("""COMPUTED_VALUE"""),1339942.0)</f>
        <v>1339942</v>
      </c>
    </row>
    <row r="715">
      <c r="A715" s="3">
        <f>IFERROR(__xludf.DUMMYFUNCTION("""COMPUTED_VALUE"""),39273.645833333336)</f>
        <v>39273.64583</v>
      </c>
      <c r="B715" s="2">
        <f>IFERROR(__xludf.DUMMYFUNCTION("""COMPUTED_VALUE"""),296.25)</f>
        <v>296.25</v>
      </c>
      <c r="C715" s="2">
        <f>IFERROR(__xludf.DUMMYFUNCTION("""COMPUTED_VALUE"""),300.0)</f>
        <v>300</v>
      </c>
      <c r="D715" s="2">
        <f>IFERROR(__xludf.DUMMYFUNCTION("""COMPUTED_VALUE"""),292.0)</f>
        <v>292</v>
      </c>
      <c r="E715" s="2">
        <f>IFERROR(__xludf.DUMMYFUNCTION("""COMPUTED_VALUE"""),295.79)</f>
        <v>295.79</v>
      </c>
      <c r="F715" s="2">
        <f>IFERROR(__xludf.DUMMYFUNCTION("""COMPUTED_VALUE"""),1873242.0)</f>
        <v>1873242</v>
      </c>
    </row>
    <row r="716">
      <c r="A716" s="3">
        <f>IFERROR(__xludf.DUMMYFUNCTION("""COMPUTED_VALUE"""),39274.645833333336)</f>
        <v>39274.64583</v>
      </c>
      <c r="B716" s="2">
        <f>IFERROR(__xludf.DUMMYFUNCTION("""COMPUTED_VALUE"""),295.5)</f>
        <v>295.5</v>
      </c>
      <c r="C716" s="2">
        <f>IFERROR(__xludf.DUMMYFUNCTION("""COMPUTED_VALUE"""),296.25)</f>
        <v>296.25</v>
      </c>
      <c r="D716" s="2">
        <f>IFERROR(__xludf.DUMMYFUNCTION("""COMPUTED_VALUE"""),275.0)</f>
        <v>275</v>
      </c>
      <c r="E716" s="2">
        <f>IFERROR(__xludf.DUMMYFUNCTION("""COMPUTED_VALUE"""),287.23)</f>
        <v>287.23</v>
      </c>
      <c r="F716" s="2">
        <f>IFERROR(__xludf.DUMMYFUNCTION("""COMPUTED_VALUE"""),1515531.0)</f>
        <v>1515531</v>
      </c>
    </row>
    <row r="717">
      <c r="A717" s="3">
        <f>IFERROR(__xludf.DUMMYFUNCTION("""COMPUTED_VALUE"""),39275.645833333336)</f>
        <v>39275.64583</v>
      </c>
      <c r="B717" s="2">
        <f>IFERROR(__xludf.DUMMYFUNCTION("""COMPUTED_VALUE"""),288.75)</f>
        <v>288.75</v>
      </c>
      <c r="C717" s="2">
        <f>IFERROR(__xludf.DUMMYFUNCTION("""COMPUTED_VALUE"""),292.25)</f>
        <v>292.25</v>
      </c>
      <c r="D717" s="2">
        <f>IFERROR(__xludf.DUMMYFUNCTION("""COMPUTED_VALUE"""),283.5)</f>
        <v>283.5</v>
      </c>
      <c r="E717" s="2">
        <f>IFERROR(__xludf.DUMMYFUNCTION("""COMPUTED_VALUE"""),290.64)</f>
        <v>290.64</v>
      </c>
      <c r="F717" s="2">
        <f>IFERROR(__xludf.DUMMYFUNCTION("""COMPUTED_VALUE"""),1440986.0)</f>
        <v>1440986</v>
      </c>
    </row>
    <row r="718">
      <c r="A718" s="3">
        <f>IFERROR(__xludf.DUMMYFUNCTION("""COMPUTED_VALUE"""),39276.645833333336)</f>
        <v>39276.64583</v>
      </c>
      <c r="B718" s="2">
        <f>IFERROR(__xludf.DUMMYFUNCTION("""COMPUTED_VALUE"""),309.02)</f>
        <v>309.02</v>
      </c>
      <c r="C718" s="2">
        <f>IFERROR(__xludf.DUMMYFUNCTION("""COMPUTED_VALUE"""),315.38)</f>
        <v>315.38</v>
      </c>
      <c r="D718" s="2">
        <f>IFERROR(__xludf.DUMMYFUNCTION("""COMPUTED_VALUE"""),282.56)</f>
        <v>282.56</v>
      </c>
      <c r="E718" s="2">
        <f>IFERROR(__xludf.DUMMYFUNCTION("""COMPUTED_VALUE"""),284.0)</f>
        <v>284</v>
      </c>
      <c r="F718" s="2">
        <f>IFERROR(__xludf.DUMMYFUNCTION("""COMPUTED_VALUE"""),1446162.0)</f>
        <v>1446162</v>
      </c>
    </row>
    <row r="719">
      <c r="A719" s="3">
        <f>IFERROR(__xludf.DUMMYFUNCTION("""COMPUTED_VALUE"""),39279.645833333336)</f>
        <v>39279.64583</v>
      </c>
      <c r="B719" s="2">
        <f>IFERROR(__xludf.DUMMYFUNCTION("""COMPUTED_VALUE"""),283.75)</f>
        <v>283.75</v>
      </c>
      <c r="C719" s="2">
        <f>IFERROR(__xludf.DUMMYFUNCTION("""COMPUTED_VALUE"""),284.5)</f>
        <v>284.5</v>
      </c>
      <c r="D719" s="2">
        <f>IFERROR(__xludf.DUMMYFUNCTION("""COMPUTED_VALUE"""),278.5)</f>
        <v>278.5</v>
      </c>
      <c r="E719" s="2">
        <f>IFERROR(__xludf.DUMMYFUNCTION("""COMPUTED_VALUE"""),282.08)</f>
        <v>282.08</v>
      </c>
      <c r="F719" s="2">
        <f>IFERROR(__xludf.DUMMYFUNCTION("""COMPUTED_VALUE"""),997560.0)</f>
        <v>997560</v>
      </c>
    </row>
    <row r="720">
      <c r="A720" s="3">
        <f>IFERROR(__xludf.DUMMYFUNCTION("""COMPUTED_VALUE"""),39280.645833333336)</f>
        <v>39280.64583</v>
      </c>
      <c r="B720" s="2">
        <f>IFERROR(__xludf.DUMMYFUNCTION("""COMPUTED_VALUE"""),293.95)</f>
        <v>293.95</v>
      </c>
      <c r="C720" s="2">
        <f>IFERROR(__xludf.DUMMYFUNCTION("""COMPUTED_VALUE"""),293.95)</f>
        <v>293.95</v>
      </c>
      <c r="D720" s="2">
        <f>IFERROR(__xludf.DUMMYFUNCTION("""COMPUTED_VALUE"""),287.5)</f>
        <v>287.5</v>
      </c>
      <c r="E720" s="2">
        <f>IFERROR(__xludf.DUMMYFUNCTION("""COMPUTED_VALUE"""),288.94)</f>
        <v>288.94</v>
      </c>
      <c r="F720" s="2">
        <f>IFERROR(__xludf.DUMMYFUNCTION("""COMPUTED_VALUE"""),1541172.0)</f>
        <v>1541172</v>
      </c>
    </row>
    <row r="721">
      <c r="A721" s="3">
        <f>IFERROR(__xludf.DUMMYFUNCTION("""COMPUTED_VALUE"""),39281.645833333336)</f>
        <v>39281.64583</v>
      </c>
      <c r="B721" s="2">
        <f>IFERROR(__xludf.DUMMYFUNCTION("""COMPUTED_VALUE"""),289.25)</f>
        <v>289.25</v>
      </c>
      <c r="C721" s="2">
        <f>IFERROR(__xludf.DUMMYFUNCTION("""COMPUTED_VALUE"""),292.5)</f>
        <v>292.5</v>
      </c>
      <c r="D721" s="2">
        <f>IFERROR(__xludf.DUMMYFUNCTION("""COMPUTED_VALUE"""),286.84)</f>
        <v>286.84</v>
      </c>
      <c r="E721" s="2">
        <f>IFERROR(__xludf.DUMMYFUNCTION("""COMPUTED_VALUE"""),291.66)</f>
        <v>291.66</v>
      </c>
      <c r="F721" s="2">
        <f>IFERROR(__xludf.DUMMYFUNCTION("""COMPUTED_VALUE"""),1092795.0)</f>
        <v>1092795</v>
      </c>
    </row>
    <row r="722">
      <c r="A722" s="3">
        <f>IFERROR(__xludf.DUMMYFUNCTION("""COMPUTED_VALUE"""),39282.645833333336)</f>
        <v>39282.64583</v>
      </c>
      <c r="B722" s="2">
        <f>IFERROR(__xludf.DUMMYFUNCTION("""COMPUTED_VALUE"""),291.75)</f>
        <v>291.75</v>
      </c>
      <c r="C722" s="2">
        <f>IFERROR(__xludf.DUMMYFUNCTION("""COMPUTED_VALUE"""),296.25)</f>
        <v>296.25</v>
      </c>
      <c r="D722" s="2">
        <f>IFERROR(__xludf.DUMMYFUNCTION("""COMPUTED_VALUE"""),291.38)</f>
        <v>291.38</v>
      </c>
      <c r="E722" s="2">
        <f>IFERROR(__xludf.DUMMYFUNCTION("""COMPUTED_VALUE"""),295.55)</f>
        <v>295.55</v>
      </c>
      <c r="F722" s="2">
        <f>IFERROR(__xludf.DUMMYFUNCTION("""COMPUTED_VALUE"""),1018878.0)</f>
        <v>1018878</v>
      </c>
    </row>
    <row r="723">
      <c r="A723" s="3">
        <f>IFERROR(__xludf.DUMMYFUNCTION("""COMPUTED_VALUE"""),39283.645833333336)</f>
        <v>39283.64583</v>
      </c>
      <c r="B723" s="2">
        <f>IFERROR(__xludf.DUMMYFUNCTION("""COMPUTED_VALUE"""),297.25)</f>
        <v>297.25</v>
      </c>
      <c r="C723" s="2">
        <f>IFERROR(__xludf.DUMMYFUNCTION("""COMPUTED_VALUE"""),297.49)</f>
        <v>297.49</v>
      </c>
      <c r="D723" s="2">
        <f>IFERROR(__xludf.DUMMYFUNCTION("""COMPUTED_VALUE"""),291.85)</f>
        <v>291.85</v>
      </c>
      <c r="E723" s="2">
        <f>IFERROR(__xludf.DUMMYFUNCTION("""COMPUTED_VALUE"""),293.98)</f>
        <v>293.98</v>
      </c>
      <c r="F723" s="2">
        <f>IFERROR(__xludf.DUMMYFUNCTION("""COMPUTED_VALUE"""),936233.0)</f>
        <v>936233</v>
      </c>
    </row>
    <row r="724">
      <c r="A724" s="3">
        <f>IFERROR(__xludf.DUMMYFUNCTION("""COMPUTED_VALUE"""),39286.645833333336)</f>
        <v>39286.64583</v>
      </c>
      <c r="B724" s="2">
        <f>IFERROR(__xludf.DUMMYFUNCTION("""COMPUTED_VALUE"""),292.45)</f>
        <v>292.45</v>
      </c>
      <c r="C724" s="2">
        <f>IFERROR(__xludf.DUMMYFUNCTION("""COMPUTED_VALUE"""),298.75)</f>
        <v>298.75</v>
      </c>
      <c r="D724" s="2">
        <f>IFERROR(__xludf.DUMMYFUNCTION("""COMPUTED_VALUE"""),290.52)</f>
        <v>290.52</v>
      </c>
      <c r="E724" s="2">
        <f>IFERROR(__xludf.DUMMYFUNCTION("""COMPUTED_VALUE"""),297.74)</f>
        <v>297.74</v>
      </c>
      <c r="F724" s="2">
        <f>IFERROR(__xludf.DUMMYFUNCTION("""COMPUTED_VALUE"""),1179114.0)</f>
        <v>1179114</v>
      </c>
    </row>
    <row r="725">
      <c r="A725" s="3">
        <f>IFERROR(__xludf.DUMMYFUNCTION("""COMPUTED_VALUE"""),39287.645833333336)</f>
        <v>39287.64583</v>
      </c>
      <c r="B725" s="2">
        <f>IFERROR(__xludf.DUMMYFUNCTION("""COMPUTED_VALUE"""),297.48)</f>
        <v>297.48</v>
      </c>
      <c r="C725" s="2">
        <f>IFERROR(__xludf.DUMMYFUNCTION("""COMPUTED_VALUE"""),298.0)</f>
        <v>298</v>
      </c>
      <c r="D725" s="2">
        <f>IFERROR(__xludf.DUMMYFUNCTION("""COMPUTED_VALUE"""),291.75)</f>
        <v>291.75</v>
      </c>
      <c r="E725" s="2">
        <f>IFERROR(__xludf.DUMMYFUNCTION("""COMPUTED_VALUE"""),292.98)</f>
        <v>292.98</v>
      </c>
      <c r="F725" s="2">
        <f>IFERROR(__xludf.DUMMYFUNCTION("""COMPUTED_VALUE"""),781794.0)</f>
        <v>781794</v>
      </c>
    </row>
    <row r="726">
      <c r="A726" s="3">
        <f>IFERROR(__xludf.DUMMYFUNCTION("""COMPUTED_VALUE"""),39288.645833333336)</f>
        <v>39288.64583</v>
      </c>
      <c r="B726" s="2">
        <f>IFERROR(__xludf.DUMMYFUNCTION("""COMPUTED_VALUE"""),292.0)</f>
        <v>292</v>
      </c>
      <c r="C726" s="2">
        <f>IFERROR(__xludf.DUMMYFUNCTION("""COMPUTED_VALUE"""),292.75)</f>
        <v>292.75</v>
      </c>
      <c r="D726" s="2">
        <f>IFERROR(__xludf.DUMMYFUNCTION("""COMPUTED_VALUE"""),286.25)</f>
        <v>286.25</v>
      </c>
      <c r="E726" s="2">
        <f>IFERROR(__xludf.DUMMYFUNCTION("""COMPUTED_VALUE"""),287.05)</f>
        <v>287.05</v>
      </c>
      <c r="F726" s="2">
        <f>IFERROR(__xludf.DUMMYFUNCTION("""COMPUTED_VALUE"""),667543.0)</f>
        <v>667543</v>
      </c>
    </row>
    <row r="727">
      <c r="A727" s="3">
        <f>IFERROR(__xludf.DUMMYFUNCTION("""COMPUTED_VALUE"""),39289.645833333336)</f>
        <v>39289.64583</v>
      </c>
      <c r="B727" s="2">
        <f>IFERROR(__xludf.DUMMYFUNCTION("""COMPUTED_VALUE"""),288.75)</f>
        <v>288.75</v>
      </c>
      <c r="C727" s="2">
        <f>IFERROR(__xludf.DUMMYFUNCTION("""COMPUTED_VALUE"""),302.5)</f>
        <v>302.5</v>
      </c>
      <c r="D727" s="2">
        <f>IFERROR(__xludf.DUMMYFUNCTION("""COMPUTED_VALUE"""),286.27)</f>
        <v>286.27</v>
      </c>
      <c r="E727" s="2">
        <f>IFERROR(__xludf.DUMMYFUNCTION("""COMPUTED_VALUE"""),297.27)</f>
        <v>297.27</v>
      </c>
      <c r="F727" s="2">
        <f>IFERROR(__xludf.DUMMYFUNCTION("""COMPUTED_VALUE"""),1500701.0)</f>
        <v>1500701</v>
      </c>
    </row>
    <row r="728">
      <c r="A728" s="3">
        <f>IFERROR(__xludf.DUMMYFUNCTION("""COMPUTED_VALUE"""),39290.645833333336)</f>
        <v>39290.64583</v>
      </c>
      <c r="B728" s="2">
        <f>IFERROR(__xludf.DUMMYFUNCTION("""COMPUTED_VALUE"""),290.0)</f>
        <v>290</v>
      </c>
      <c r="C728" s="2">
        <f>IFERROR(__xludf.DUMMYFUNCTION("""COMPUTED_VALUE"""),293.75)</f>
        <v>293.75</v>
      </c>
      <c r="D728" s="2">
        <f>IFERROR(__xludf.DUMMYFUNCTION("""COMPUTED_VALUE"""),281.5)</f>
        <v>281.5</v>
      </c>
      <c r="E728" s="2">
        <f>IFERROR(__xludf.DUMMYFUNCTION("""COMPUTED_VALUE"""),288.25)</f>
        <v>288.25</v>
      </c>
      <c r="F728" s="2">
        <f>IFERROR(__xludf.DUMMYFUNCTION("""COMPUTED_VALUE"""),800809.0)</f>
        <v>800809</v>
      </c>
    </row>
    <row r="729">
      <c r="A729" s="3">
        <f>IFERROR(__xludf.DUMMYFUNCTION("""COMPUTED_VALUE"""),39293.645833333336)</f>
        <v>39293.64583</v>
      </c>
      <c r="B729" s="2">
        <f>IFERROR(__xludf.DUMMYFUNCTION("""COMPUTED_VALUE"""),287.5)</f>
        <v>287.5</v>
      </c>
      <c r="C729" s="2">
        <f>IFERROR(__xludf.DUMMYFUNCTION("""COMPUTED_VALUE"""),292.5)</f>
        <v>292.5</v>
      </c>
      <c r="D729" s="2">
        <f>IFERROR(__xludf.DUMMYFUNCTION("""COMPUTED_VALUE"""),282.56)</f>
        <v>282.56</v>
      </c>
      <c r="E729" s="2">
        <f>IFERROR(__xludf.DUMMYFUNCTION("""COMPUTED_VALUE"""),284.11)</f>
        <v>284.11</v>
      </c>
      <c r="F729" s="2">
        <f>IFERROR(__xludf.DUMMYFUNCTION("""COMPUTED_VALUE"""),458962.0)</f>
        <v>458962</v>
      </c>
    </row>
    <row r="730">
      <c r="A730" s="3">
        <f>IFERROR(__xludf.DUMMYFUNCTION("""COMPUTED_VALUE"""),39294.645833333336)</f>
        <v>39294.64583</v>
      </c>
      <c r="B730" s="2">
        <f>IFERROR(__xludf.DUMMYFUNCTION("""COMPUTED_VALUE"""),287.75)</f>
        <v>287.75</v>
      </c>
      <c r="C730" s="2">
        <f>IFERROR(__xludf.DUMMYFUNCTION("""COMPUTED_VALUE"""),290.5)</f>
        <v>290.5</v>
      </c>
      <c r="D730" s="2">
        <f>IFERROR(__xludf.DUMMYFUNCTION("""COMPUTED_VALUE"""),282.5)</f>
        <v>282.5</v>
      </c>
      <c r="E730" s="2">
        <f>IFERROR(__xludf.DUMMYFUNCTION("""COMPUTED_VALUE"""),289.08)</f>
        <v>289.08</v>
      </c>
      <c r="F730" s="2">
        <f>IFERROR(__xludf.DUMMYFUNCTION("""COMPUTED_VALUE"""),804635.0)</f>
        <v>804635</v>
      </c>
    </row>
    <row r="731">
      <c r="A731" s="3">
        <f>IFERROR(__xludf.DUMMYFUNCTION("""COMPUTED_VALUE"""),39295.645833333336)</f>
        <v>39295.64583</v>
      </c>
      <c r="B731" s="2">
        <f>IFERROR(__xludf.DUMMYFUNCTION("""COMPUTED_VALUE"""),286.25)</f>
        <v>286.25</v>
      </c>
      <c r="C731" s="2">
        <f>IFERROR(__xludf.DUMMYFUNCTION("""COMPUTED_VALUE"""),286.25)</f>
        <v>286.25</v>
      </c>
      <c r="D731" s="2">
        <f>IFERROR(__xludf.DUMMYFUNCTION("""COMPUTED_VALUE"""),277.75)</f>
        <v>277.75</v>
      </c>
      <c r="E731" s="2">
        <f>IFERROR(__xludf.DUMMYFUNCTION("""COMPUTED_VALUE"""),278.79)</f>
        <v>278.79</v>
      </c>
      <c r="F731" s="2">
        <f>IFERROR(__xludf.DUMMYFUNCTION("""COMPUTED_VALUE"""),1095543.0)</f>
        <v>1095543</v>
      </c>
    </row>
    <row r="732">
      <c r="A732" s="3">
        <f>IFERROR(__xludf.DUMMYFUNCTION("""COMPUTED_VALUE"""),39296.645833333336)</f>
        <v>39296.64583</v>
      </c>
      <c r="B732" s="2">
        <f>IFERROR(__xludf.DUMMYFUNCTION("""COMPUTED_VALUE"""),280.0)</f>
        <v>280</v>
      </c>
      <c r="C732" s="2">
        <f>IFERROR(__xludf.DUMMYFUNCTION("""COMPUTED_VALUE"""),281.13)</f>
        <v>281.13</v>
      </c>
      <c r="D732" s="2">
        <f>IFERROR(__xludf.DUMMYFUNCTION("""COMPUTED_VALUE"""),272.5)</f>
        <v>272.5</v>
      </c>
      <c r="E732" s="2">
        <f>IFERROR(__xludf.DUMMYFUNCTION("""COMPUTED_VALUE"""),273.79)</f>
        <v>273.79</v>
      </c>
      <c r="F732" s="2">
        <f>IFERROR(__xludf.DUMMYFUNCTION("""COMPUTED_VALUE"""),478002.0)</f>
        <v>478002</v>
      </c>
    </row>
    <row r="733">
      <c r="A733" s="3">
        <f>IFERROR(__xludf.DUMMYFUNCTION("""COMPUTED_VALUE"""),39297.645833333336)</f>
        <v>39297.64583</v>
      </c>
      <c r="B733" s="2">
        <f>IFERROR(__xludf.DUMMYFUNCTION("""COMPUTED_VALUE"""),278.5)</f>
        <v>278.5</v>
      </c>
      <c r="C733" s="2">
        <f>IFERROR(__xludf.DUMMYFUNCTION("""COMPUTED_VALUE"""),278.5)</f>
        <v>278.5</v>
      </c>
      <c r="D733" s="2">
        <f>IFERROR(__xludf.DUMMYFUNCTION("""COMPUTED_VALUE"""),270.88)</f>
        <v>270.88</v>
      </c>
      <c r="E733" s="2">
        <f>IFERROR(__xludf.DUMMYFUNCTION("""COMPUTED_VALUE"""),274.23)</f>
        <v>274.23</v>
      </c>
      <c r="F733" s="2">
        <f>IFERROR(__xludf.DUMMYFUNCTION("""COMPUTED_VALUE"""),498296.0)</f>
        <v>498296</v>
      </c>
    </row>
    <row r="734">
      <c r="A734" s="3">
        <f>IFERROR(__xludf.DUMMYFUNCTION("""COMPUTED_VALUE"""),39300.645833333336)</f>
        <v>39300.64583</v>
      </c>
      <c r="B734" s="2">
        <f>IFERROR(__xludf.DUMMYFUNCTION("""COMPUTED_VALUE"""),272.5)</f>
        <v>272.5</v>
      </c>
      <c r="C734" s="2">
        <f>IFERROR(__xludf.DUMMYFUNCTION("""COMPUTED_VALUE"""),279.5)</f>
        <v>279.5</v>
      </c>
      <c r="D734" s="2">
        <f>IFERROR(__xludf.DUMMYFUNCTION("""COMPUTED_VALUE"""),268.5)</f>
        <v>268.5</v>
      </c>
      <c r="E734" s="2">
        <f>IFERROR(__xludf.DUMMYFUNCTION("""COMPUTED_VALUE"""),274.86)</f>
        <v>274.86</v>
      </c>
      <c r="F734" s="2">
        <f>IFERROR(__xludf.DUMMYFUNCTION("""COMPUTED_VALUE"""),684387.0)</f>
        <v>684387</v>
      </c>
    </row>
    <row r="735">
      <c r="A735" s="3">
        <f>IFERROR(__xludf.DUMMYFUNCTION("""COMPUTED_VALUE"""),39301.645833333336)</f>
        <v>39301.64583</v>
      </c>
      <c r="B735" s="2">
        <f>IFERROR(__xludf.DUMMYFUNCTION("""COMPUTED_VALUE"""),278.27)</f>
        <v>278.27</v>
      </c>
      <c r="C735" s="2">
        <f>IFERROR(__xludf.DUMMYFUNCTION("""COMPUTED_VALUE"""),279.45)</f>
        <v>279.45</v>
      </c>
      <c r="D735" s="2">
        <f>IFERROR(__xludf.DUMMYFUNCTION("""COMPUTED_VALUE"""),273.52)</f>
        <v>273.52</v>
      </c>
      <c r="E735" s="2">
        <f>IFERROR(__xludf.DUMMYFUNCTION("""COMPUTED_VALUE"""),277.33)</f>
        <v>277.33</v>
      </c>
      <c r="F735" s="2">
        <f>IFERROR(__xludf.DUMMYFUNCTION("""COMPUTED_VALUE"""),746303.0)</f>
        <v>746303</v>
      </c>
    </row>
    <row r="736">
      <c r="A736" s="3">
        <f>IFERROR(__xludf.DUMMYFUNCTION("""COMPUTED_VALUE"""),39302.645833333336)</f>
        <v>39302.64583</v>
      </c>
      <c r="B736" s="2">
        <f>IFERROR(__xludf.DUMMYFUNCTION("""COMPUTED_VALUE"""),287.5)</f>
        <v>287.5</v>
      </c>
      <c r="C736" s="2">
        <f>IFERROR(__xludf.DUMMYFUNCTION("""COMPUTED_VALUE"""),292.25)</f>
        <v>292.25</v>
      </c>
      <c r="D736" s="2">
        <f>IFERROR(__xludf.DUMMYFUNCTION("""COMPUTED_VALUE"""),279.5)</f>
        <v>279.5</v>
      </c>
      <c r="E736" s="2">
        <f>IFERROR(__xludf.DUMMYFUNCTION("""COMPUTED_VALUE"""),288.15)</f>
        <v>288.15</v>
      </c>
      <c r="F736" s="2">
        <f>IFERROR(__xludf.DUMMYFUNCTION("""COMPUTED_VALUE"""),1013791.0)</f>
        <v>1013791</v>
      </c>
    </row>
    <row r="737">
      <c r="A737" s="3">
        <f>IFERROR(__xludf.DUMMYFUNCTION("""COMPUTED_VALUE"""),39303.645833333336)</f>
        <v>39303.64583</v>
      </c>
      <c r="B737" s="2">
        <f>IFERROR(__xludf.DUMMYFUNCTION("""COMPUTED_VALUE"""),290.0)</f>
        <v>290</v>
      </c>
      <c r="C737" s="2">
        <f>IFERROR(__xludf.DUMMYFUNCTION("""COMPUTED_VALUE"""),297.21)</f>
        <v>297.21</v>
      </c>
      <c r="D737" s="2">
        <f>IFERROR(__xludf.DUMMYFUNCTION("""COMPUTED_VALUE"""),283.8)</f>
        <v>283.8</v>
      </c>
      <c r="E737" s="2">
        <f>IFERROR(__xludf.DUMMYFUNCTION("""COMPUTED_VALUE"""),286.43)</f>
        <v>286.43</v>
      </c>
      <c r="F737" s="2">
        <f>IFERROR(__xludf.DUMMYFUNCTION("""COMPUTED_VALUE"""),1268609.0)</f>
        <v>1268609</v>
      </c>
    </row>
    <row r="738">
      <c r="A738" s="3">
        <f>IFERROR(__xludf.DUMMYFUNCTION("""COMPUTED_VALUE"""),39304.645833333336)</f>
        <v>39304.64583</v>
      </c>
      <c r="B738" s="2">
        <f>IFERROR(__xludf.DUMMYFUNCTION("""COMPUTED_VALUE"""),278.75)</f>
        <v>278.75</v>
      </c>
      <c r="C738" s="2">
        <f>IFERROR(__xludf.DUMMYFUNCTION("""COMPUTED_VALUE"""),288.38)</f>
        <v>288.38</v>
      </c>
      <c r="D738" s="2">
        <f>IFERROR(__xludf.DUMMYFUNCTION("""COMPUTED_VALUE"""),270.1)</f>
        <v>270.1</v>
      </c>
      <c r="E738" s="2">
        <f>IFERROR(__xludf.DUMMYFUNCTION("""COMPUTED_VALUE"""),286.13)</f>
        <v>286.13</v>
      </c>
      <c r="F738" s="2">
        <f>IFERROR(__xludf.DUMMYFUNCTION("""COMPUTED_VALUE"""),1572640.0)</f>
        <v>1572640</v>
      </c>
    </row>
    <row r="739">
      <c r="A739" s="3">
        <f>IFERROR(__xludf.DUMMYFUNCTION("""COMPUTED_VALUE"""),39307.645833333336)</f>
        <v>39307.64583</v>
      </c>
      <c r="B739" s="2">
        <f>IFERROR(__xludf.DUMMYFUNCTION("""COMPUTED_VALUE"""),287.5)</f>
        <v>287.5</v>
      </c>
      <c r="C739" s="2">
        <f>IFERROR(__xludf.DUMMYFUNCTION("""COMPUTED_VALUE"""),287.5)</f>
        <v>287.5</v>
      </c>
      <c r="D739" s="2">
        <f>IFERROR(__xludf.DUMMYFUNCTION("""COMPUTED_VALUE"""),281.29)</f>
        <v>281.29</v>
      </c>
      <c r="E739" s="2">
        <f>IFERROR(__xludf.DUMMYFUNCTION("""COMPUTED_VALUE"""),283.63)</f>
        <v>283.63</v>
      </c>
      <c r="F739" s="2">
        <f>IFERROR(__xludf.DUMMYFUNCTION("""COMPUTED_VALUE"""),301381.0)</f>
        <v>301381</v>
      </c>
    </row>
    <row r="740">
      <c r="A740" s="3">
        <f>IFERROR(__xludf.DUMMYFUNCTION("""COMPUTED_VALUE"""),39308.645833333336)</f>
        <v>39308.64583</v>
      </c>
      <c r="B740" s="2">
        <f>IFERROR(__xludf.DUMMYFUNCTION("""COMPUTED_VALUE"""),283.75)</f>
        <v>283.75</v>
      </c>
      <c r="C740" s="2">
        <f>IFERROR(__xludf.DUMMYFUNCTION("""COMPUTED_VALUE"""),285.0)</f>
        <v>285</v>
      </c>
      <c r="D740" s="2">
        <f>IFERROR(__xludf.DUMMYFUNCTION("""COMPUTED_VALUE"""),280.0)</f>
        <v>280</v>
      </c>
      <c r="E740" s="2">
        <f>IFERROR(__xludf.DUMMYFUNCTION("""COMPUTED_VALUE"""),282.56)</f>
        <v>282.56</v>
      </c>
      <c r="F740" s="2">
        <f>IFERROR(__xludf.DUMMYFUNCTION("""COMPUTED_VALUE"""),305699.0)</f>
        <v>305699</v>
      </c>
    </row>
    <row r="741">
      <c r="A741" s="3">
        <f>IFERROR(__xludf.DUMMYFUNCTION("""COMPUTED_VALUE"""),39310.645833333336)</f>
        <v>39310.64583</v>
      </c>
      <c r="B741" s="2">
        <f>IFERROR(__xludf.DUMMYFUNCTION("""COMPUTED_VALUE"""),275.0)</f>
        <v>275</v>
      </c>
      <c r="C741" s="2">
        <f>IFERROR(__xludf.DUMMYFUNCTION("""COMPUTED_VALUE"""),279.9)</f>
        <v>279.9</v>
      </c>
      <c r="D741" s="2">
        <f>IFERROR(__xludf.DUMMYFUNCTION("""COMPUTED_VALUE"""),271.25)</f>
        <v>271.25</v>
      </c>
      <c r="E741" s="2">
        <f>IFERROR(__xludf.DUMMYFUNCTION("""COMPUTED_VALUE"""),272.0)</f>
        <v>272</v>
      </c>
      <c r="F741" s="2">
        <f>IFERROR(__xludf.DUMMYFUNCTION("""COMPUTED_VALUE"""),1665780.0)</f>
        <v>1665780</v>
      </c>
    </row>
    <row r="742">
      <c r="A742" s="3">
        <f>IFERROR(__xludf.DUMMYFUNCTION("""COMPUTED_VALUE"""),39311.645833333336)</f>
        <v>39311.64583</v>
      </c>
      <c r="B742" s="2">
        <f>IFERROR(__xludf.DUMMYFUNCTION("""COMPUTED_VALUE"""),272.0)</f>
        <v>272</v>
      </c>
      <c r="C742" s="2">
        <f>IFERROR(__xludf.DUMMYFUNCTION("""COMPUTED_VALUE"""),273.25)</f>
        <v>273.25</v>
      </c>
      <c r="D742" s="2">
        <f>IFERROR(__xludf.DUMMYFUNCTION("""COMPUTED_VALUE"""),259.8)</f>
        <v>259.8</v>
      </c>
      <c r="E742" s="2">
        <f>IFERROR(__xludf.DUMMYFUNCTION("""COMPUTED_VALUE"""),264.04)</f>
        <v>264.04</v>
      </c>
      <c r="F742" s="2">
        <f>IFERROR(__xludf.DUMMYFUNCTION("""COMPUTED_VALUE"""),1725276.0)</f>
        <v>1725276</v>
      </c>
    </row>
    <row r="743">
      <c r="A743" s="3">
        <f>IFERROR(__xludf.DUMMYFUNCTION("""COMPUTED_VALUE"""),39314.645833333336)</f>
        <v>39314.64583</v>
      </c>
      <c r="B743" s="2">
        <f>IFERROR(__xludf.DUMMYFUNCTION("""COMPUTED_VALUE"""),270.88)</f>
        <v>270.88</v>
      </c>
      <c r="C743" s="2">
        <f>IFERROR(__xludf.DUMMYFUNCTION("""COMPUTED_VALUE"""),274.85)</f>
        <v>274.85</v>
      </c>
      <c r="D743" s="2">
        <f>IFERROR(__xludf.DUMMYFUNCTION("""COMPUTED_VALUE"""),262.77)</f>
        <v>262.77</v>
      </c>
      <c r="E743" s="2">
        <f>IFERROR(__xludf.DUMMYFUNCTION("""COMPUTED_VALUE"""),263.89)</f>
        <v>263.89</v>
      </c>
      <c r="F743" s="2">
        <f>IFERROR(__xludf.DUMMYFUNCTION("""COMPUTED_VALUE"""),1096711.0)</f>
        <v>1096711</v>
      </c>
    </row>
    <row r="744">
      <c r="A744" s="3">
        <f>IFERROR(__xludf.DUMMYFUNCTION("""COMPUTED_VALUE"""),39315.645833333336)</f>
        <v>39315.64583</v>
      </c>
      <c r="B744" s="2">
        <f>IFERROR(__xludf.DUMMYFUNCTION("""COMPUTED_VALUE"""),269.13)</f>
        <v>269.13</v>
      </c>
      <c r="C744" s="2">
        <f>IFERROR(__xludf.DUMMYFUNCTION("""COMPUTED_VALUE"""),269.13)</f>
        <v>269.13</v>
      </c>
      <c r="D744" s="2">
        <f>IFERROR(__xludf.DUMMYFUNCTION("""COMPUTED_VALUE"""),251.13)</f>
        <v>251.13</v>
      </c>
      <c r="E744" s="2">
        <f>IFERROR(__xludf.DUMMYFUNCTION("""COMPUTED_VALUE"""),253.81)</f>
        <v>253.81</v>
      </c>
      <c r="F744" s="2">
        <f>IFERROR(__xludf.DUMMYFUNCTION("""COMPUTED_VALUE"""),1090841.0)</f>
        <v>1090841</v>
      </c>
    </row>
    <row r="745">
      <c r="A745" s="3">
        <f>IFERROR(__xludf.DUMMYFUNCTION("""COMPUTED_VALUE"""),39316.645833333336)</f>
        <v>39316.64583</v>
      </c>
      <c r="B745" s="2">
        <f>IFERROR(__xludf.DUMMYFUNCTION("""COMPUTED_VALUE"""),255.0)</f>
        <v>255</v>
      </c>
      <c r="C745" s="2">
        <f>IFERROR(__xludf.DUMMYFUNCTION("""COMPUTED_VALUE"""),258.18)</f>
        <v>258.18</v>
      </c>
      <c r="D745" s="2">
        <f>IFERROR(__xludf.DUMMYFUNCTION("""COMPUTED_VALUE"""),249.0)</f>
        <v>249</v>
      </c>
      <c r="E745" s="2">
        <f>IFERROR(__xludf.DUMMYFUNCTION("""COMPUTED_VALUE"""),256.48)</f>
        <v>256.48</v>
      </c>
      <c r="F745" s="2">
        <f>IFERROR(__xludf.DUMMYFUNCTION("""COMPUTED_VALUE"""),956655.0)</f>
        <v>956655</v>
      </c>
    </row>
    <row r="746">
      <c r="A746" s="3">
        <f>IFERROR(__xludf.DUMMYFUNCTION("""COMPUTED_VALUE"""),39317.645833333336)</f>
        <v>39317.64583</v>
      </c>
      <c r="B746" s="2">
        <f>IFERROR(__xludf.DUMMYFUNCTION("""COMPUTED_VALUE"""),258.0)</f>
        <v>258</v>
      </c>
      <c r="C746" s="2">
        <f>IFERROR(__xludf.DUMMYFUNCTION("""COMPUTED_VALUE"""),262.0)</f>
        <v>262</v>
      </c>
      <c r="D746" s="2">
        <f>IFERROR(__xludf.DUMMYFUNCTION("""COMPUTED_VALUE"""),251.0)</f>
        <v>251</v>
      </c>
      <c r="E746" s="2">
        <f>IFERROR(__xludf.DUMMYFUNCTION("""COMPUTED_VALUE"""),251.98)</f>
        <v>251.98</v>
      </c>
      <c r="F746" s="2">
        <f>IFERROR(__xludf.DUMMYFUNCTION("""COMPUTED_VALUE"""),778437.0)</f>
        <v>778437</v>
      </c>
    </row>
    <row r="747">
      <c r="A747" s="3">
        <f>IFERROR(__xludf.DUMMYFUNCTION("""COMPUTED_VALUE"""),39318.645833333336)</f>
        <v>39318.64583</v>
      </c>
      <c r="B747" s="2">
        <f>IFERROR(__xludf.DUMMYFUNCTION("""COMPUTED_VALUE"""),253.75)</f>
        <v>253.75</v>
      </c>
      <c r="C747" s="2">
        <f>IFERROR(__xludf.DUMMYFUNCTION("""COMPUTED_VALUE"""),256.63)</f>
        <v>256.63</v>
      </c>
      <c r="D747" s="2">
        <f>IFERROR(__xludf.DUMMYFUNCTION("""COMPUTED_VALUE"""),249.88)</f>
        <v>249.88</v>
      </c>
      <c r="E747" s="2">
        <f>IFERROR(__xludf.DUMMYFUNCTION("""COMPUTED_VALUE"""),254.6)</f>
        <v>254.6</v>
      </c>
      <c r="F747" s="2">
        <f>IFERROR(__xludf.DUMMYFUNCTION("""COMPUTED_VALUE"""),481743.0)</f>
        <v>481743</v>
      </c>
    </row>
    <row r="748">
      <c r="A748" s="3">
        <f>IFERROR(__xludf.DUMMYFUNCTION("""COMPUTED_VALUE"""),39321.645833333336)</f>
        <v>39321.64583</v>
      </c>
      <c r="B748" s="2">
        <f>IFERROR(__xludf.DUMMYFUNCTION("""COMPUTED_VALUE"""),256.24)</f>
        <v>256.24</v>
      </c>
      <c r="C748" s="2">
        <f>IFERROR(__xludf.DUMMYFUNCTION("""COMPUTED_VALUE"""),259.7)</f>
        <v>259.7</v>
      </c>
      <c r="D748" s="2">
        <f>IFERROR(__xludf.DUMMYFUNCTION("""COMPUTED_VALUE"""),255.01)</f>
        <v>255.01</v>
      </c>
      <c r="E748" s="2">
        <f>IFERROR(__xludf.DUMMYFUNCTION("""COMPUTED_VALUE"""),256.63)</f>
        <v>256.63</v>
      </c>
      <c r="F748" s="2">
        <f>IFERROR(__xludf.DUMMYFUNCTION("""COMPUTED_VALUE"""),666714.0)</f>
        <v>666714</v>
      </c>
    </row>
    <row r="749">
      <c r="A749" s="3">
        <f>IFERROR(__xludf.DUMMYFUNCTION("""COMPUTED_VALUE"""),39322.645833333336)</f>
        <v>39322.64583</v>
      </c>
      <c r="B749" s="2">
        <f>IFERROR(__xludf.DUMMYFUNCTION("""COMPUTED_VALUE"""),259.0)</f>
        <v>259</v>
      </c>
      <c r="C749" s="2">
        <f>IFERROR(__xludf.DUMMYFUNCTION("""COMPUTED_VALUE"""),259.75)</f>
        <v>259.75</v>
      </c>
      <c r="D749" s="2">
        <f>IFERROR(__xludf.DUMMYFUNCTION("""COMPUTED_VALUE"""),252.75)</f>
        <v>252.75</v>
      </c>
      <c r="E749" s="2">
        <f>IFERROR(__xludf.DUMMYFUNCTION("""COMPUTED_VALUE"""),257.19)</f>
        <v>257.19</v>
      </c>
      <c r="F749" s="2">
        <f>IFERROR(__xludf.DUMMYFUNCTION("""COMPUTED_VALUE"""),565876.0)</f>
        <v>565876</v>
      </c>
    </row>
    <row r="750">
      <c r="A750" s="3">
        <f>IFERROR(__xludf.DUMMYFUNCTION("""COMPUTED_VALUE"""),39323.645833333336)</f>
        <v>39323.64583</v>
      </c>
      <c r="B750" s="2">
        <f>IFERROR(__xludf.DUMMYFUNCTION("""COMPUTED_VALUE"""),255.0)</f>
        <v>255</v>
      </c>
      <c r="C750" s="2">
        <f>IFERROR(__xludf.DUMMYFUNCTION("""COMPUTED_VALUE"""),259.95)</f>
        <v>259.95</v>
      </c>
      <c r="D750" s="2">
        <f>IFERROR(__xludf.DUMMYFUNCTION("""COMPUTED_VALUE"""),250.25)</f>
        <v>250.25</v>
      </c>
      <c r="E750" s="2">
        <f>IFERROR(__xludf.DUMMYFUNCTION("""COMPUTED_VALUE"""),257.9)</f>
        <v>257.9</v>
      </c>
      <c r="F750" s="2">
        <f>IFERROR(__xludf.DUMMYFUNCTION("""COMPUTED_VALUE"""),799172.0)</f>
        <v>799172</v>
      </c>
    </row>
    <row r="751">
      <c r="A751" s="3">
        <f>IFERROR(__xludf.DUMMYFUNCTION("""COMPUTED_VALUE"""),39324.645833333336)</f>
        <v>39324.64583</v>
      </c>
      <c r="B751" s="2">
        <f>IFERROR(__xludf.DUMMYFUNCTION("""COMPUTED_VALUE"""),260.5)</f>
        <v>260.5</v>
      </c>
      <c r="C751" s="2">
        <f>IFERROR(__xludf.DUMMYFUNCTION("""COMPUTED_VALUE"""),264.75)</f>
        <v>264.75</v>
      </c>
      <c r="D751" s="2">
        <f>IFERROR(__xludf.DUMMYFUNCTION("""COMPUTED_VALUE"""),256.25)</f>
        <v>256.25</v>
      </c>
      <c r="E751" s="2">
        <f>IFERROR(__xludf.DUMMYFUNCTION("""COMPUTED_VALUE"""),261.5)</f>
        <v>261.5</v>
      </c>
      <c r="F751" s="2">
        <f>IFERROR(__xludf.DUMMYFUNCTION("""COMPUTED_VALUE"""),1750793.0)</f>
        <v>1750793</v>
      </c>
    </row>
    <row r="752">
      <c r="A752" s="3">
        <f>IFERROR(__xludf.DUMMYFUNCTION("""COMPUTED_VALUE"""),39325.645833333336)</f>
        <v>39325.64583</v>
      </c>
      <c r="B752" s="2">
        <f>IFERROR(__xludf.DUMMYFUNCTION("""COMPUTED_VALUE"""),263.0)</f>
        <v>263</v>
      </c>
      <c r="C752" s="2">
        <f>IFERROR(__xludf.DUMMYFUNCTION("""COMPUTED_VALUE"""),267.43)</f>
        <v>267.43</v>
      </c>
      <c r="D752" s="2">
        <f>IFERROR(__xludf.DUMMYFUNCTION("""COMPUTED_VALUE"""),261.75)</f>
        <v>261.75</v>
      </c>
      <c r="E752" s="2">
        <f>IFERROR(__xludf.DUMMYFUNCTION("""COMPUTED_VALUE"""),266.09)</f>
        <v>266.09</v>
      </c>
      <c r="F752" s="2">
        <f>IFERROR(__xludf.DUMMYFUNCTION("""COMPUTED_VALUE"""),594374.0)</f>
        <v>594374</v>
      </c>
    </row>
    <row r="753">
      <c r="A753" s="3">
        <f>IFERROR(__xludf.DUMMYFUNCTION("""COMPUTED_VALUE"""),39328.645833333336)</f>
        <v>39328.64583</v>
      </c>
      <c r="B753" s="2">
        <f>IFERROR(__xludf.DUMMYFUNCTION("""COMPUTED_VALUE"""),267.5)</f>
        <v>267.5</v>
      </c>
      <c r="C753" s="2">
        <f>IFERROR(__xludf.DUMMYFUNCTION("""COMPUTED_VALUE"""),268.75)</f>
        <v>268.75</v>
      </c>
      <c r="D753" s="2">
        <f>IFERROR(__xludf.DUMMYFUNCTION("""COMPUTED_VALUE"""),263.35)</f>
        <v>263.35</v>
      </c>
      <c r="E753" s="2">
        <f>IFERROR(__xludf.DUMMYFUNCTION("""COMPUTED_VALUE"""),265.31)</f>
        <v>265.31</v>
      </c>
      <c r="F753" s="2">
        <f>IFERROR(__xludf.DUMMYFUNCTION("""COMPUTED_VALUE"""),624066.0)</f>
        <v>624066</v>
      </c>
    </row>
    <row r="754">
      <c r="A754" s="3">
        <f>IFERROR(__xludf.DUMMYFUNCTION("""COMPUTED_VALUE"""),39329.645833333336)</f>
        <v>39329.64583</v>
      </c>
      <c r="B754" s="2">
        <f>IFERROR(__xludf.DUMMYFUNCTION("""COMPUTED_VALUE"""),266.25)</f>
        <v>266.25</v>
      </c>
      <c r="C754" s="2">
        <f>IFERROR(__xludf.DUMMYFUNCTION("""COMPUTED_VALUE"""),271.93)</f>
        <v>271.93</v>
      </c>
      <c r="D754" s="2">
        <f>IFERROR(__xludf.DUMMYFUNCTION("""COMPUTED_VALUE"""),265.25)</f>
        <v>265.25</v>
      </c>
      <c r="E754" s="2">
        <f>IFERROR(__xludf.DUMMYFUNCTION("""COMPUTED_VALUE"""),266.52)</f>
        <v>266.52</v>
      </c>
      <c r="F754" s="2">
        <f>IFERROR(__xludf.DUMMYFUNCTION("""COMPUTED_VALUE"""),545689.0)</f>
        <v>545689</v>
      </c>
    </row>
    <row r="755">
      <c r="A755" s="3">
        <f>IFERROR(__xludf.DUMMYFUNCTION("""COMPUTED_VALUE"""),39330.645833333336)</f>
        <v>39330.64583</v>
      </c>
      <c r="B755" s="2">
        <f>IFERROR(__xludf.DUMMYFUNCTION("""COMPUTED_VALUE"""),266.75)</f>
        <v>266.75</v>
      </c>
      <c r="C755" s="2">
        <f>IFERROR(__xludf.DUMMYFUNCTION("""COMPUTED_VALUE"""),270.74)</f>
        <v>270.74</v>
      </c>
      <c r="D755" s="2">
        <f>IFERROR(__xludf.DUMMYFUNCTION("""COMPUTED_VALUE"""),266.27)</f>
        <v>266.27</v>
      </c>
      <c r="E755" s="2">
        <f>IFERROR(__xludf.DUMMYFUNCTION("""COMPUTED_VALUE"""),268.09)</f>
        <v>268.09</v>
      </c>
      <c r="F755" s="2">
        <f>IFERROR(__xludf.DUMMYFUNCTION("""COMPUTED_VALUE"""),879241.0)</f>
        <v>879241</v>
      </c>
    </row>
    <row r="756">
      <c r="A756" s="3">
        <f>IFERROR(__xludf.DUMMYFUNCTION("""COMPUTED_VALUE"""),39331.645833333336)</f>
        <v>39331.64583</v>
      </c>
      <c r="B756" s="2">
        <f>IFERROR(__xludf.DUMMYFUNCTION("""COMPUTED_VALUE"""),266.25)</f>
        <v>266.25</v>
      </c>
      <c r="C756" s="2">
        <f>IFERROR(__xludf.DUMMYFUNCTION("""COMPUTED_VALUE"""),270.25)</f>
        <v>270.25</v>
      </c>
      <c r="D756" s="2">
        <f>IFERROR(__xludf.DUMMYFUNCTION("""COMPUTED_VALUE"""),265.25)</f>
        <v>265.25</v>
      </c>
      <c r="E756" s="2">
        <f>IFERROR(__xludf.DUMMYFUNCTION("""COMPUTED_VALUE"""),269.5)</f>
        <v>269.5</v>
      </c>
      <c r="F756" s="2">
        <f>IFERROR(__xludf.DUMMYFUNCTION("""COMPUTED_VALUE"""),467965.0)</f>
        <v>467965</v>
      </c>
    </row>
    <row r="757">
      <c r="A757" s="3">
        <f>IFERROR(__xludf.DUMMYFUNCTION("""COMPUTED_VALUE"""),39332.645833333336)</f>
        <v>39332.64583</v>
      </c>
      <c r="B757" s="2">
        <f>IFERROR(__xludf.DUMMYFUNCTION("""COMPUTED_VALUE"""),269.25)</f>
        <v>269.25</v>
      </c>
      <c r="C757" s="2">
        <f>IFERROR(__xludf.DUMMYFUNCTION("""COMPUTED_VALUE"""),271.13)</f>
        <v>271.13</v>
      </c>
      <c r="D757" s="2">
        <f>IFERROR(__xludf.DUMMYFUNCTION("""COMPUTED_VALUE"""),267.5)</f>
        <v>267.5</v>
      </c>
      <c r="E757" s="2">
        <f>IFERROR(__xludf.DUMMYFUNCTION("""COMPUTED_VALUE"""),269.06)</f>
        <v>269.06</v>
      </c>
      <c r="F757" s="2">
        <f>IFERROR(__xludf.DUMMYFUNCTION("""COMPUTED_VALUE"""),422894.0)</f>
        <v>422894</v>
      </c>
    </row>
    <row r="758">
      <c r="A758" s="3">
        <f>IFERROR(__xludf.DUMMYFUNCTION("""COMPUTED_VALUE"""),39335.645833333336)</f>
        <v>39335.64583</v>
      </c>
      <c r="B758" s="2">
        <f>IFERROR(__xludf.DUMMYFUNCTION("""COMPUTED_VALUE"""),269.06)</f>
        <v>269.06</v>
      </c>
      <c r="C758" s="2">
        <f>IFERROR(__xludf.DUMMYFUNCTION("""COMPUTED_VALUE"""),269.06)</f>
        <v>269.06</v>
      </c>
      <c r="D758" s="2">
        <f>IFERROR(__xludf.DUMMYFUNCTION("""COMPUTED_VALUE"""),261.0)</f>
        <v>261</v>
      </c>
      <c r="E758" s="2">
        <f>IFERROR(__xludf.DUMMYFUNCTION("""COMPUTED_VALUE"""),261.81)</f>
        <v>261.81</v>
      </c>
      <c r="F758" s="2">
        <f>IFERROR(__xludf.DUMMYFUNCTION("""COMPUTED_VALUE"""),550265.0)</f>
        <v>550265</v>
      </c>
    </row>
    <row r="759">
      <c r="A759" s="3">
        <f>IFERROR(__xludf.DUMMYFUNCTION("""COMPUTED_VALUE"""),39336.645833333336)</f>
        <v>39336.64583</v>
      </c>
      <c r="B759" s="2">
        <f>IFERROR(__xludf.DUMMYFUNCTION("""COMPUTED_VALUE"""),273.61)</f>
        <v>273.61</v>
      </c>
      <c r="C759" s="2">
        <f>IFERROR(__xludf.DUMMYFUNCTION("""COMPUTED_VALUE"""),273.61)</f>
        <v>273.61</v>
      </c>
      <c r="D759" s="2">
        <f>IFERROR(__xludf.DUMMYFUNCTION("""COMPUTED_VALUE"""),255.0)</f>
        <v>255</v>
      </c>
      <c r="E759" s="2">
        <f>IFERROR(__xludf.DUMMYFUNCTION("""COMPUTED_VALUE"""),255.84)</f>
        <v>255.84</v>
      </c>
      <c r="F759" s="2">
        <f>IFERROR(__xludf.DUMMYFUNCTION("""COMPUTED_VALUE"""),846639.0)</f>
        <v>846639</v>
      </c>
    </row>
    <row r="760">
      <c r="A760" s="3">
        <f>IFERROR(__xludf.DUMMYFUNCTION("""COMPUTED_VALUE"""),39337.645833333336)</f>
        <v>39337.64583</v>
      </c>
      <c r="B760" s="2">
        <f>IFERROR(__xludf.DUMMYFUNCTION("""COMPUTED_VALUE"""),257.5)</f>
        <v>257.5</v>
      </c>
      <c r="C760" s="2">
        <f>IFERROR(__xludf.DUMMYFUNCTION("""COMPUTED_VALUE"""),259.44)</f>
        <v>259.44</v>
      </c>
      <c r="D760" s="2">
        <f>IFERROR(__xludf.DUMMYFUNCTION("""COMPUTED_VALUE"""),253.38)</f>
        <v>253.38</v>
      </c>
      <c r="E760" s="2">
        <f>IFERROR(__xludf.DUMMYFUNCTION("""COMPUTED_VALUE"""),253.9)</f>
        <v>253.9</v>
      </c>
      <c r="F760" s="2">
        <f>IFERROR(__xludf.DUMMYFUNCTION("""COMPUTED_VALUE"""),586026.0)</f>
        <v>586026</v>
      </c>
    </row>
    <row r="761">
      <c r="A761" s="3">
        <f>IFERROR(__xludf.DUMMYFUNCTION("""COMPUTED_VALUE"""),39338.645833333336)</f>
        <v>39338.64583</v>
      </c>
      <c r="B761" s="2">
        <f>IFERROR(__xludf.DUMMYFUNCTION("""COMPUTED_VALUE"""),256.23)</f>
        <v>256.23</v>
      </c>
      <c r="C761" s="2">
        <f>IFERROR(__xludf.DUMMYFUNCTION("""COMPUTED_VALUE"""),258.75)</f>
        <v>258.75</v>
      </c>
      <c r="D761" s="2">
        <f>IFERROR(__xludf.DUMMYFUNCTION("""COMPUTED_VALUE"""),252.6)</f>
        <v>252.6</v>
      </c>
      <c r="E761" s="2">
        <f>IFERROR(__xludf.DUMMYFUNCTION("""COMPUTED_VALUE"""),257.7)</f>
        <v>257.7</v>
      </c>
      <c r="F761" s="2">
        <f>IFERROR(__xludf.DUMMYFUNCTION("""COMPUTED_VALUE"""),538268.0)</f>
        <v>538268</v>
      </c>
    </row>
    <row r="762">
      <c r="A762" s="3">
        <f>IFERROR(__xludf.DUMMYFUNCTION("""COMPUTED_VALUE"""),39339.645833333336)</f>
        <v>39339.64583</v>
      </c>
      <c r="B762" s="2">
        <f>IFERROR(__xludf.DUMMYFUNCTION("""COMPUTED_VALUE"""),262.5)</f>
        <v>262.5</v>
      </c>
      <c r="C762" s="2">
        <f>IFERROR(__xludf.DUMMYFUNCTION("""COMPUTED_VALUE"""),262.5)</f>
        <v>262.5</v>
      </c>
      <c r="D762" s="2">
        <f>IFERROR(__xludf.DUMMYFUNCTION("""COMPUTED_VALUE"""),254.53)</f>
        <v>254.53</v>
      </c>
      <c r="E762" s="2">
        <f>IFERROR(__xludf.DUMMYFUNCTION("""COMPUTED_VALUE"""),255.61)</f>
        <v>255.61</v>
      </c>
      <c r="F762" s="2">
        <f>IFERROR(__xludf.DUMMYFUNCTION("""COMPUTED_VALUE"""),475057.0)</f>
        <v>475057</v>
      </c>
    </row>
    <row r="763">
      <c r="A763" s="3">
        <f>IFERROR(__xludf.DUMMYFUNCTION("""COMPUTED_VALUE"""),39342.645833333336)</f>
        <v>39342.64583</v>
      </c>
      <c r="B763" s="2">
        <f>IFERROR(__xludf.DUMMYFUNCTION("""COMPUTED_VALUE"""),256.25)</f>
        <v>256.25</v>
      </c>
      <c r="C763" s="2">
        <f>IFERROR(__xludf.DUMMYFUNCTION("""COMPUTED_VALUE"""),257.95)</f>
        <v>257.95</v>
      </c>
      <c r="D763" s="2">
        <f>IFERROR(__xludf.DUMMYFUNCTION("""COMPUTED_VALUE"""),248.93)</f>
        <v>248.93</v>
      </c>
      <c r="E763" s="2">
        <f>IFERROR(__xludf.DUMMYFUNCTION("""COMPUTED_VALUE"""),249.41)</f>
        <v>249.41</v>
      </c>
      <c r="F763" s="2">
        <f>IFERROR(__xludf.DUMMYFUNCTION("""COMPUTED_VALUE"""),1271544.0)</f>
        <v>1271544</v>
      </c>
    </row>
    <row r="764">
      <c r="A764" s="3">
        <f>IFERROR(__xludf.DUMMYFUNCTION("""COMPUTED_VALUE"""),39343.645833333336)</f>
        <v>39343.64583</v>
      </c>
      <c r="B764" s="2">
        <f>IFERROR(__xludf.DUMMYFUNCTION("""COMPUTED_VALUE"""),249.25)</f>
        <v>249.25</v>
      </c>
      <c r="C764" s="2">
        <f>IFERROR(__xludf.DUMMYFUNCTION("""COMPUTED_VALUE"""),251.93)</f>
        <v>251.93</v>
      </c>
      <c r="D764" s="2">
        <f>IFERROR(__xludf.DUMMYFUNCTION("""COMPUTED_VALUE"""),248.25)</f>
        <v>248.25</v>
      </c>
      <c r="E764" s="2">
        <f>IFERROR(__xludf.DUMMYFUNCTION("""COMPUTED_VALUE"""),250.61)</f>
        <v>250.61</v>
      </c>
      <c r="F764" s="2">
        <f>IFERROR(__xludf.DUMMYFUNCTION("""COMPUTED_VALUE"""),1235702.0)</f>
        <v>1235702</v>
      </c>
    </row>
    <row r="765">
      <c r="A765" s="3">
        <f>IFERROR(__xludf.DUMMYFUNCTION("""COMPUTED_VALUE"""),39344.645833333336)</f>
        <v>39344.64583</v>
      </c>
      <c r="B765" s="2">
        <f>IFERROR(__xludf.DUMMYFUNCTION("""COMPUTED_VALUE"""),256.25)</f>
        <v>256.25</v>
      </c>
      <c r="C765" s="2">
        <f>IFERROR(__xludf.DUMMYFUNCTION("""COMPUTED_VALUE"""),258.43)</f>
        <v>258.43</v>
      </c>
      <c r="D765" s="2">
        <f>IFERROR(__xludf.DUMMYFUNCTION("""COMPUTED_VALUE"""),254.3)</f>
        <v>254.3</v>
      </c>
      <c r="E765" s="2">
        <f>IFERROR(__xludf.DUMMYFUNCTION("""COMPUTED_VALUE"""),255.76)</f>
        <v>255.76</v>
      </c>
      <c r="F765" s="2">
        <f>IFERROR(__xludf.DUMMYFUNCTION("""COMPUTED_VALUE"""),1160667.0)</f>
        <v>1160667</v>
      </c>
    </row>
    <row r="766">
      <c r="A766" s="3">
        <f>IFERROR(__xludf.DUMMYFUNCTION("""COMPUTED_VALUE"""),39345.645833333336)</f>
        <v>39345.64583</v>
      </c>
      <c r="B766" s="2">
        <f>IFERROR(__xludf.DUMMYFUNCTION("""COMPUTED_VALUE"""),255.0)</f>
        <v>255</v>
      </c>
      <c r="C766" s="2">
        <f>IFERROR(__xludf.DUMMYFUNCTION("""COMPUTED_VALUE"""),255.53)</f>
        <v>255.53</v>
      </c>
      <c r="D766" s="2">
        <f>IFERROR(__xludf.DUMMYFUNCTION("""COMPUTED_VALUE"""),249.3)</f>
        <v>249.3</v>
      </c>
      <c r="E766" s="2">
        <f>IFERROR(__xludf.DUMMYFUNCTION("""COMPUTED_VALUE"""),250.51)</f>
        <v>250.51</v>
      </c>
      <c r="F766" s="2">
        <f>IFERROR(__xludf.DUMMYFUNCTION("""COMPUTED_VALUE"""),588789.0)</f>
        <v>588789</v>
      </c>
    </row>
    <row r="767">
      <c r="A767" s="3">
        <f>IFERROR(__xludf.DUMMYFUNCTION("""COMPUTED_VALUE"""),39346.645833333336)</f>
        <v>39346.64583</v>
      </c>
      <c r="B767" s="2">
        <f>IFERROR(__xludf.DUMMYFUNCTION("""COMPUTED_VALUE"""),247.75)</f>
        <v>247.75</v>
      </c>
      <c r="C767" s="2">
        <f>IFERROR(__xludf.DUMMYFUNCTION("""COMPUTED_VALUE"""),256.25)</f>
        <v>256.25</v>
      </c>
      <c r="D767" s="2">
        <f>IFERROR(__xludf.DUMMYFUNCTION("""COMPUTED_VALUE"""),244.5)</f>
        <v>244.5</v>
      </c>
      <c r="E767" s="2">
        <f>IFERROR(__xludf.DUMMYFUNCTION("""COMPUTED_VALUE"""),254.45)</f>
        <v>254.45</v>
      </c>
      <c r="F767" s="2">
        <f>IFERROR(__xludf.DUMMYFUNCTION("""COMPUTED_VALUE"""),1982165.0)</f>
        <v>1982165</v>
      </c>
    </row>
    <row r="768">
      <c r="A768" s="3">
        <f>IFERROR(__xludf.DUMMYFUNCTION("""COMPUTED_VALUE"""),39349.645833333336)</f>
        <v>39349.64583</v>
      </c>
      <c r="B768" s="2">
        <f>IFERROR(__xludf.DUMMYFUNCTION("""COMPUTED_VALUE"""),255.0)</f>
        <v>255</v>
      </c>
      <c r="C768" s="2">
        <f>IFERROR(__xludf.DUMMYFUNCTION("""COMPUTED_VALUE"""),257.5)</f>
        <v>257.5</v>
      </c>
      <c r="D768" s="2">
        <f>IFERROR(__xludf.DUMMYFUNCTION("""COMPUTED_VALUE"""),250.05)</f>
        <v>250.05</v>
      </c>
      <c r="E768" s="2">
        <f>IFERROR(__xludf.DUMMYFUNCTION("""COMPUTED_VALUE"""),251.81)</f>
        <v>251.81</v>
      </c>
      <c r="F768" s="2">
        <f>IFERROR(__xludf.DUMMYFUNCTION("""COMPUTED_VALUE"""),898767.0)</f>
        <v>898767</v>
      </c>
    </row>
    <row r="769">
      <c r="A769" s="3">
        <f>IFERROR(__xludf.DUMMYFUNCTION("""COMPUTED_VALUE"""),39350.645833333336)</f>
        <v>39350.64583</v>
      </c>
      <c r="B769" s="2">
        <f>IFERROR(__xludf.DUMMYFUNCTION("""COMPUTED_VALUE"""),252.5)</f>
        <v>252.5</v>
      </c>
      <c r="C769" s="2">
        <f>IFERROR(__xludf.DUMMYFUNCTION("""COMPUTED_VALUE"""),253.5)</f>
        <v>253.5</v>
      </c>
      <c r="D769" s="2">
        <f>IFERROR(__xludf.DUMMYFUNCTION("""COMPUTED_VALUE"""),249.05)</f>
        <v>249.05</v>
      </c>
      <c r="E769" s="2">
        <f>IFERROR(__xludf.DUMMYFUNCTION("""COMPUTED_VALUE"""),250.43)</f>
        <v>250.43</v>
      </c>
      <c r="F769" s="2">
        <f>IFERROR(__xludf.DUMMYFUNCTION("""COMPUTED_VALUE"""),1350124.0)</f>
        <v>1350124</v>
      </c>
    </row>
    <row r="770">
      <c r="A770" s="3">
        <f>IFERROR(__xludf.DUMMYFUNCTION("""COMPUTED_VALUE"""),39351.645833333336)</f>
        <v>39351.64583</v>
      </c>
      <c r="B770" s="2">
        <f>IFERROR(__xludf.DUMMYFUNCTION("""COMPUTED_VALUE"""),252.5)</f>
        <v>252.5</v>
      </c>
      <c r="C770" s="2">
        <f>IFERROR(__xludf.DUMMYFUNCTION("""COMPUTED_VALUE"""),262.2)</f>
        <v>262.2</v>
      </c>
      <c r="D770" s="2">
        <f>IFERROR(__xludf.DUMMYFUNCTION("""COMPUTED_VALUE"""),251.25)</f>
        <v>251.25</v>
      </c>
      <c r="E770" s="2">
        <f>IFERROR(__xludf.DUMMYFUNCTION("""COMPUTED_VALUE"""),260.19)</f>
        <v>260.19</v>
      </c>
      <c r="F770" s="2">
        <f>IFERROR(__xludf.DUMMYFUNCTION("""COMPUTED_VALUE"""),2085223.0)</f>
        <v>2085223</v>
      </c>
    </row>
    <row r="771">
      <c r="A771" s="3">
        <f>IFERROR(__xludf.DUMMYFUNCTION("""COMPUTED_VALUE"""),39352.645833333336)</f>
        <v>39352.64583</v>
      </c>
      <c r="B771" s="2">
        <f>IFERROR(__xludf.DUMMYFUNCTION("""COMPUTED_VALUE"""),262.5)</f>
        <v>262.5</v>
      </c>
      <c r="C771" s="2">
        <f>IFERROR(__xludf.DUMMYFUNCTION("""COMPUTED_VALUE"""),266.88)</f>
        <v>266.88</v>
      </c>
      <c r="D771" s="2">
        <f>IFERROR(__xludf.DUMMYFUNCTION("""COMPUTED_VALUE"""),261.75)</f>
        <v>261.75</v>
      </c>
      <c r="E771" s="2">
        <f>IFERROR(__xludf.DUMMYFUNCTION("""COMPUTED_VALUE"""),265.63)</f>
        <v>265.63</v>
      </c>
      <c r="F771" s="2">
        <f>IFERROR(__xludf.DUMMYFUNCTION("""COMPUTED_VALUE"""),2150535.0)</f>
        <v>2150535</v>
      </c>
    </row>
    <row r="772">
      <c r="A772" s="3">
        <f>IFERROR(__xludf.DUMMYFUNCTION("""COMPUTED_VALUE"""),39353.645833333336)</f>
        <v>39353.64583</v>
      </c>
      <c r="B772" s="2">
        <f>IFERROR(__xludf.DUMMYFUNCTION("""COMPUTED_VALUE"""),256.25)</f>
        <v>256.25</v>
      </c>
      <c r="C772" s="2">
        <f>IFERROR(__xludf.DUMMYFUNCTION("""COMPUTED_VALUE"""),270.0)</f>
        <v>270</v>
      </c>
      <c r="D772" s="2">
        <f>IFERROR(__xludf.DUMMYFUNCTION("""COMPUTED_VALUE"""),256.25)</f>
        <v>256.25</v>
      </c>
      <c r="E772" s="2">
        <f>IFERROR(__xludf.DUMMYFUNCTION("""COMPUTED_VALUE"""),265.04)</f>
        <v>265.04</v>
      </c>
      <c r="F772" s="2">
        <f>IFERROR(__xludf.DUMMYFUNCTION("""COMPUTED_VALUE"""),1562383.0)</f>
        <v>1562383</v>
      </c>
    </row>
    <row r="773">
      <c r="A773" s="3">
        <f>IFERROR(__xludf.DUMMYFUNCTION("""COMPUTED_VALUE"""),39356.645833333336)</f>
        <v>39356.64583</v>
      </c>
      <c r="B773" s="2">
        <f>IFERROR(__xludf.DUMMYFUNCTION("""COMPUTED_VALUE"""),265.25)</f>
        <v>265.25</v>
      </c>
      <c r="C773" s="2">
        <f>IFERROR(__xludf.DUMMYFUNCTION("""COMPUTED_VALUE"""),265.25)</f>
        <v>265.25</v>
      </c>
      <c r="D773" s="2">
        <f>IFERROR(__xludf.DUMMYFUNCTION("""COMPUTED_VALUE"""),255.75)</f>
        <v>255.75</v>
      </c>
      <c r="E773" s="2">
        <f>IFERROR(__xludf.DUMMYFUNCTION("""COMPUTED_VALUE"""),260.41)</f>
        <v>260.41</v>
      </c>
      <c r="F773" s="2">
        <f>IFERROR(__xludf.DUMMYFUNCTION("""COMPUTED_VALUE"""),544145.0)</f>
        <v>544145</v>
      </c>
    </row>
    <row r="774">
      <c r="A774" s="3">
        <f>IFERROR(__xludf.DUMMYFUNCTION("""COMPUTED_VALUE"""),39358.645833333336)</f>
        <v>39358.64583</v>
      </c>
      <c r="B774" s="2">
        <f>IFERROR(__xludf.DUMMYFUNCTION("""COMPUTED_VALUE"""),262.5)</f>
        <v>262.5</v>
      </c>
      <c r="C774" s="2">
        <f>IFERROR(__xludf.DUMMYFUNCTION("""COMPUTED_VALUE"""),273.75)</f>
        <v>273.75</v>
      </c>
      <c r="D774" s="2">
        <f>IFERROR(__xludf.DUMMYFUNCTION("""COMPUTED_VALUE"""),262.48)</f>
        <v>262.48</v>
      </c>
      <c r="E774" s="2">
        <f>IFERROR(__xludf.DUMMYFUNCTION("""COMPUTED_VALUE"""),269.8)</f>
        <v>269.8</v>
      </c>
      <c r="F774" s="2">
        <f>IFERROR(__xludf.DUMMYFUNCTION("""COMPUTED_VALUE"""),1280718.0)</f>
        <v>1280718</v>
      </c>
    </row>
    <row r="775">
      <c r="A775" s="3">
        <f>IFERROR(__xludf.DUMMYFUNCTION("""COMPUTED_VALUE"""),39359.645833333336)</f>
        <v>39359.64583</v>
      </c>
      <c r="B775" s="2">
        <f>IFERROR(__xludf.DUMMYFUNCTION("""COMPUTED_VALUE"""),271.25)</f>
        <v>271.25</v>
      </c>
      <c r="C775" s="2">
        <f>IFERROR(__xludf.DUMMYFUNCTION("""COMPUTED_VALUE"""),271.25)</f>
        <v>271.25</v>
      </c>
      <c r="D775" s="2">
        <f>IFERROR(__xludf.DUMMYFUNCTION("""COMPUTED_VALUE"""),263.5)</f>
        <v>263.5</v>
      </c>
      <c r="E775" s="2">
        <f>IFERROR(__xludf.DUMMYFUNCTION("""COMPUTED_VALUE"""),269.83)</f>
        <v>269.83</v>
      </c>
      <c r="F775" s="2">
        <f>IFERROR(__xludf.DUMMYFUNCTION("""COMPUTED_VALUE"""),1089951.0)</f>
        <v>1089951</v>
      </c>
    </row>
    <row r="776">
      <c r="A776" s="3">
        <f>IFERROR(__xludf.DUMMYFUNCTION("""COMPUTED_VALUE"""),39360.645833333336)</f>
        <v>39360.64583</v>
      </c>
      <c r="B776" s="2">
        <f>IFERROR(__xludf.DUMMYFUNCTION("""COMPUTED_VALUE"""),269.83)</f>
        <v>269.83</v>
      </c>
      <c r="C776" s="2">
        <f>IFERROR(__xludf.DUMMYFUNCTION("""COMPUTED_VALUE"""),269.83)</f>
        <v>269.83</v>
      </c>
      <c r="D776" s="2">
        <f>IFERROR(__xludf.DUMMYFUNCTION("""COMPUTED_VALUE"""),264.33)</f>
        <v>264.33</v>
      </c>
      <c r="E776" s="2">
        <f>IFERROR(__xludf.DUMMYFUNCTION("""COMPUTED_VALUE"""),268.2)</f>
        <v>268.2</v>
      </c>
      <c r="F776" s="2">
        <f>IFERROR(__xludf.DUMMYFUNCTION("""COMPUTED_VALUE"""),436012.0)</f>
        <v>436012</v>
      </c>
    </row>
    <row r="777">
      <c r="A777" s="3">
        <f>IFERROR(__xludf.DUMMYFUNCTION("""COMPUTED_VALUE"""),39363.645833333336)</f>
        <v>39363.64583</v>
      </c>
      <c r="B777" s="2">
        <f>IFERROR(__xludf.DUMMYFUNCTION("""COMPUTED_VALUE"""),270.26)</f>
        <v>270.26</v>
      </c>
      <c r="C777" s="2">
        <f>IFERROR(__xludf.DUMMYFUNCTION("""COMPUTED_VALUE"""),274.7)</f>
        <v>274.7</v>
      </c>
      <c r="D777" s="2">
        <f>IFERROR(__xludf.DUMMYFUNCTION("""COMPUTED_VALUE"""),265.55)</f>
        <v>265.55</v>
      </c>
      <c r="E777" s="2">
        <f>IFERROR(__xludf.DUMMYFUNCTION("""COMPUTED_VALUE"""),269.59)</f>
        <v>269.59</v>
      </c>
      <c r="F777" s="2">
        <f>IFERROR(__xludf.DUMMYFUNCTION("""COMPUTED_VALUE"""),665536.0)</f>
        <v>665536</v>
      </c>
    </row>
    <row r="778">
      <c r="A778" s="3">
        <f>IFERROR(__xludf.DUMMYFUNCTION("""COMPUTED_VALUE"""),39364.645833333336)</f>
        <v>39364.64583</v>
      </c>
      <c r="B778" s="2">
        <f>IFERROR(__xludf.DUMMYFUNCTION("""COMPUTED_VALUE"""),270.0)</f>
        <v>270</v>
      </c>
      <c r="C778" s="2">
        <f>IFERROR(__xludf.DUMMYFUNCTION("""COMPUTED_VALUE"""),276.2)</f>
        <v>276.2</v>
      </c>
      <c r="D778" s="2">
        <f>IFERROR(__xludf.DUMMYFUNCTION("""COMPUTED_VALUE"""),268.83)</f>
        <v>268.83</v>
      </c>
      <c r="E778" s="2">
        <f>IFERROR(__xludf.DUMMYFUNCTION("""COMPUTED_VALUE"""),273.74)</f>
        <v>273.74</v>
      </c>
      <c r="F778" s="2">
        <f>IFERROR(__xludf.DUMMYFUNCTION("""COMPUTED_VALUE"""),926910.0)</f>
        <v>926910</v>
      </c>
    </row>
    <row r="779">
      <c r="A779" s="3">
        <f>IFERROR(__xludf.DUMMYFUNCTION("""COMPUTED_VALUE"""),39365.645833333336)</f>
        <v>39365.64583</v>
      </c>
      <c r="B779" s="2">
        <f>IFERROR(__xludf.DUMMYFUNCTION("""COMPUTED_VALUE"""),276.18)</f>
        <v>276.18</v>
      </c>
      <c r="C779" s="2">
        <f>IFERROR(__xludf.DUMMYFUNCTION("""COMPUTED_VALUE"""),282.56)</f>
        <v>282.56</v>
      </c>
      <c r="D779" s="2">
        <f>IFERROR(__xludf.DUMMYFUNCTION("""COMPUTED_VALUE"""),274.6)</f>
        <v>274.6</v>
      </c>
      <c r="E779" s="2">
        <f>IFERROR(__xludf.DUMMYFUNCTION("""COMPUTED_VALUE"""),281.38)</f>
        <v>281.38</v>
      </c>
      <c r="F779" s="2">
        <f>IFERROR(__xludf.DUMMYFUNCTION("""COMPUTED_VALUE"""),995809.0)</f>
        <v>995809</v>
      </c>
    </row>
    <row r="780">
      <c r="A780" s="3">
        <f>IFERROR(__xludf.DUMMYFUNCTION("""COMPUTED_VALUE"""),39366.645833333336)</f>
        <v>39366.64583</v>
      </c>
      <c r="B780" s="2">
        <f>IFERROR(__xludf.DUMMYFUNCTION("""COMPUTED_VALUE"""),283.75)</f>
        <v>283.75</v>
      </c>
      <c r="C780" s="2">
        <f>IFERROR(__xludf.DUMMYFUNCTION("""COMPUTED_VALUE"""),283.85)</f>
        <v>283.85</v>
      </c>
      <c r="D780" s="2">
        <f>IFERROR(__xludf.DUMMYFUNCTION("""COMPUTED_VALUE"""),265.0)</f>
        <v>265</v>
      </c>
      <c r="E780" s="2">
        <f>IFERROR(__xludf.DUMMYFUNCTION("""COMPUTED_VALUE"""),268.0)</f>
        <v>268</v>
      </c>
      <c r="F780" s="2">
        <f>IFERROR(__xludf.DUMMYFUNCTION("""COMPUTED_VALUE"""),1399585.0)</f>
        <v>1399585</v>
      </c>
    </row>
    <row r="781">
      <c r="A781" s="3">
        <f>IFERROR(__xludf.DUMMYFUNCTION("""COMPUTED_VALUE"""),39367.645833333336)</f>
        <v>39367.64583</v>
      </c>
      <c r="B781" s="2">
        <f>IFERROR(__xludf.DUMMYFUNCTION("""COMPUTED_VALUE"""),263.0)</f>
        <v>263</v>
      </c>
      <c r="C781" s="2">
        <f>IFERROR(__xludf.DUMMYFUNCTION("""COMPUTED_VALUE"""),268.75)</f>
        <v>268.75</v>
      </c>
      <c r="D781" s="2">
        <f>IFERROR(__xludf.DUMMYFUNCTION("""COMPUTED_VALUE"""),257.58)</f>
        <v>257.58</v>
      </c>
      <c r="E781" s="2">
        <f>IFERROR(__xludf.DUMMYFUNCTION("""COMPUTED_VALUE"""),265.88)</f>
        <v>265.88</v>
      </c>
      <c r="F781" s="2">
        <f>IFERROR(__xludf.DUMMYFUNCTION("""COMPUTED_VALUE"""),1228230.0)</f>
        <v>1228230</v>
      </c>
    </row>
    <row r="782">
      <c r="A782" s="3">
        <f>IFERROR(__xludf.DUMMYFUNCTION("""COMPUTED_VALUE"""),39370.645833333336)</f>
        <v>39370.64583</v>
      </c>
      <c r="B782" s="2">
        <f>IFERROR(__xludf.DUMMYFUNCTION("""COMPUTED_VALUE"""),267.5)</f>
        <v>267.5</v>
      </c>
      <c r="C782" s="2">
        <f>IFERROR(__xludf.DUMMYFUNCTION("""COMPUTED_VALUE"""),272.91)</f>
        <v>272.91</v>
      </c>
      <c r="D782" s="2">
        <f>IFERROR(__xludf.DUMMYFUNCTION("""COMPUTED_VALUE"""),264.94)</f>
        <v>264.94</v>
      </c>
      <c r="E782" s="2">
        <f>IFERROR(__xludf.DUMMYFUNCTION("""COMPUTED_VALUE"""),268.54)</f>
        <v>268.54</v>
      </c>
      <c r="F782" s="2">
        <f>IFERROR(__xludf.DUMMYFUNCTION("""COMPUTED_VALUE"""),1717900.0)</f>
        <v>1717900</v>
      </c>
    </row>
    <row r="783">
      <c r="A783" s="3">
        <f>IFERROR(__xludf.DUMMYFUNCTION("""COMPUTED_VALUE"""),39371.645833333336)</f>
        <v>39371.64583</v>
      </c>
      <c r="B783" s="2">
        <f>IFERROR(__xludf.DUMMYFUNCTION("""COMPUTED_VALUE"""),275.0)</f>
        <v>275</v>
      </c>
      <c r="C783" s="2">
        <f>IFERROR(__xludf.DUMMYFUNCTION("""COMPUTED_VALUE"""),278.75)</f>
        <v>278.75</v>
      </c>
      <c r="D783" s="2">
        <f>IFERROR(__xludf.DUMMYFUNCTION("""COMPUTED_VALUE"""),265.25)</f>
        <v>265.25</v>
      </c>
      <c r="E783" s="2">
        <f>IFERROR(__xludf.DUMMYFUNCTION("""COMPUTED_VALUE"""),267.1)</f>
        <v>267.1</v>
      </c>
      <c r="F783" s="2">
        <f>IFERROR(__xludf.DUMMYFUNCTION("""COMPUTED_VALUE"""),1765132.0)</f>
        <v>1765132</v>
      </c>
    </row>
    <row r="784">
      <c r="A784" s="3">
        <f>IFERROR(__xludf.DUMMYFUNCTION("""COMPUTED_VALUE"""),39372.645833333336)</f>
        <v>39372.64583</v>
      </c>
      <c r="B784" s="2">
        <f>IFERROR(__xludf.DUMMYFUNCTION("""COMPUTED_VALUE"""),265.0)</f>
        <v>265</v>
      </c>
      <c r="C784" s="2">
        <f>IFERROR(__xludf.DUMMYFUNCTION("""COMPUTED_VALUE"""),278.75)</f>
        <v>278.75</v>
      </c>
      <c r="D784" s="2">
        <f>IFERROR(__xludf.DUMMYFUNCTION("""COMPUTED_VALUE"""),250.0)</f>
        <v>250</v>
      </c>
      <c r="E784" s="2">
        <f>IFERROR(__xludf.DUMMYFUNCTION("""COMPUTED_VALUE"""),273.68)</f>
        <v>273.68</v>
      </c>
      <c r="F784" s="2">
        <f>IFERROR(__xludf.DUMMYFUNCTION("""COMPUTED_VALUE"""),1731310.0)</f>
        <v>1731310</v>
      </c>
    </row>
    <row r="785">
      <c r="A785" s="3">
        <f>IFERROR(__xludf.DUMMYFUNCTION("""COMPUTED_VALUE"""),39373.645833333336)</f>
        <v>39373.64583</v>
      </c>
      <c r="B785" s="2">
        <f>IFERROR(__xludf.DUMMYFUNCTION("""COMPUTED_VALUE"""),283.75)</f>
        <v>283.75</v>
      </c>
      <c r="C785" s="2">
        <f>IFERROR(__xludf.DUMMYFUNCTION("""COMPUTED_VALUE"""),287.48)</f>
        <v>287.48</v>
      </c>
      <c r="D785" s="2">
        <f>IFERROR(__xludf.DUMMYFUNCTION("""COMPUTED_VALUE"""),269.33)</f>
        <v>269.33</v>
      </c>
      <c r="E785" s="2">
        <f>IFERROR(__xludf.DUMMYFUNCTION("""COMPUTED_VALUE"""),280.96)</f>
        <v>280.96</v>
      </c>
      <c r="F785" s="2">
        <f>IFERROR(__xludf.DUMMYFUNCTION("""COMPUTED_VALUE"""),3411359.0)</f>
        <v>3411359</v>
      </c>
    </row>
    <row r="786">
      <c r="A786" s="3">
        <f>IFERROR(__xludf.DUMMYFUNCTION("""COMPUTED_VALUE"""),39374.645833333336)</f>
        <v>39374.64583</v>
      </c>
      <c r="B786" s="2">
        <f>IFERROR(__xludf.DUMMYFUNCTION("""COMPUTED_VALUE"""),286.96)</f>
        <v>286.96</v>
      </c>
      <c r="C786" s="2">
        <f>IFERROR(__xludf.DUMMYFUNCTION("""COMPUTED_VALUE"""),287.5)</f>
        <v>287.5</v>
      </c>
      <c r="D786" s="2">
        <f>IFERROR(__xludf.DUMMYFUNCTION("""COMPUTED_VALUE"""),270.6)</f>
        <v>270.6</v>
      </c>
      <c r="E786" s="2">
        <f>IFERROR(__xludf.DUMMYFUNCTION("""COMPUTED_VALUE"""),277.21)</f>
        <v>277.21</v>
      </c>
      <c r="F786" s="2">
        <f>IFERROR(__xludf.DUMMYFUNCTION("""COMPUTED_VALUE"""),2023533.0)</f>
        <v>2023533</v>
      </c>
    </row>
    <row r="787">
      <c r="A787" s="3">
        <f>IFERROR(__xludf.DUMMYFUNCTION("""COMPUTED_VALUE"""),39377.645833333336)</f>
        <v>39377.64583</v>
      </c>
      <c r="B787" s="2">
        <f>IFERROR(__xludf.DUMMYFUNCTION("""COMPUTED_VALUE"""),279.25)</f>
        <v>279.25</v>
      </c>
      <c r="C787" s="2">
        <f>IFERROR(__xludf.DUMMYFUNCTION("""COMPUTED_VALUE"""),279.25)</f>
        <v>279.25</v>
      </c>
      <c r="D787" s="2">
        <f>IFERROR(__xludf.DUMMYFUNCTION("""COMPUTED_VALUE"""),266.27)</f>
        <v>266.27</v>
      </c>
      <c r="E787" s="2">
        <f>IFERROR(__xludf.DUMMYFUNCTION("""COMPUTED_VALUE"""),267.99)</f>
        <v>267.99</v>
      </c>
      <c r="F787" s="2">
        <f>IFERROR(__xludf.DUMMYFUNCTION("""COMPUTED_VALUE"""),959202.0)</f>
        <v>959202</v>
      </c>
    </row>
    <row r="788">
      <c r="A788" s="3">
        <f>IFERROR(__xludf.DUMMYFUNCTION("""COMPUTED_VALUE"""),39378.645833333336)</f>
        <v>39378.64583</v>
      </c>
      <c r="B788" s="2">
        <f>IFERROR(__xludf.DUMMYFUNCTION("""COMPUTED_VALUE"""),267.0)</f>
        <v>267</v>
      </c>
      <c r="C788" s="2">
        <f>IFERROR(__xludf.DUMMYFUNCTION("""COMPUTED_VALUE"""),275.0)</f>
        <v>275</v>
      </c>
      <c r="D788" s="2">
        <f>IFERROR(__xludf.DUMMYFUNCTION("""COMPUTED_VALUE"""),264.75)</f>
        <v>264.75</v>
      </c>
      <c r="E788" s="2">
        <f>IFERROR(__xludf.DUMMYFUNCTION("""COMPUTED_VALUE"""),265.9)</f>
        <v>265.9</v>
      </c>
      <c r="F788" s="2">
        <f>IFERROR(__xludf.DUMMYFUNCTION("""COMPUTED_VALUE"""),1465591.0)</f>
        <v>1465591</v>
      </c>
    </row>
    <row r="789">
      <c r="A789" s="3">
        <f>IFERROR(__xludf.DUMMYFUNCTION("""COMPUTED_VALUE"""),39379.645833333336)</f>
        <v>39379.64583</v>
      </c>
      <c r="B789" s="2">
        <f>IFERROR(__xludf.DUMMYFUNCTION("""COMPUTED_VALUE"""),275.0)</f>
        <v>275</v>
      </c>
      <c r="C789" s="2">
        <f>IFERROR(__xludf.DUMMYFUNCTION("""COMPUTED_VALUE"""),275.0)</f>
        <v>275</v>
      </c>
      <c r="D789" s="2">
        <f>IFERROR(__xludf.DUMMYFUNCTION("""COMPUTED_VALUE"""),260.83)</f>
        <v>260.83</v>
      </c>
      <c r="E789" s="2">
        <f>IFERROR(__xludf.DUMMYFUNCTION("""COMPUTED_VALUE"""),262.0)</f>
        <v>262</v>
      </c>
      <c r="F789" s="2">
        <f>IFERROR(__xludf.DUMMYFUNCTION("""COMPUTED_VALUE"""),1025247.0)</f>
        <v>1025247</v>
      </c>
    </row>
    <row r="790">
      <c r="A790" s="3">
        <f>IFERROR(__xludf.DUMMYFUNCTION("""COMPUTED_VALUE"""),39380.645833333336)</f>
        <v>39380.64583</v>
      </c>
      <c r="B790" s="2">
        <f>IFERROR(__xludf.DUMMYFUNCTION("""COMPUTED_VALUE"""),264.75)</f>
        <v>264.75</v>
      </c>
      <c r="C790" s="2">
        <f>IFERROR(__xludf.DUMMYFUNCTION("""COMPUTED_VALUE"""),265.0)</f>
        <v>265</v>
      </c>
      <c r="D790" s="2">
        <f>IFERROR(__xludf.DUMMYFUNCTION("""COMPUTED_VALUE"""),259.54)</f>
        <v>259.54</v>
      </c>
      <c r="E790" s="2">
        <f>IFERROR(__xludf.DUMMYFUNCTION("""COMPUTED_VALUE"""),262.4)</f>
        <v>262.4</v>
      </c>
      <c r="F790" s="2">
        <f>IFERROR(__xludf.DUMMYFUNCTION("""COMPUTED_VALUE"""),1231318.0)</f>
        <v>1231318</v>
      </c>
    </row>
    <row r="791">
      <c r="A791" s="3">
        <f>IFERROR(__xludf.DUMMYFUNCTION("""COMPUTED_VALUE"""),39381.645833333336)</f>
        <v>39381.64583</v>
      </c>
      <c r="B791" s="2">
        <f>IFERROR(__xludf.DUMMYFUNCTION("""COMPUTED_VALUE"""),262.5)</f>
        <v>262.5</v>
      </c>
      <c r="C791" s="2">
        <f>IFERROR(__xludf.DUMMYFUNCTION("""COMPUTED_VALUE"""),271.0)</f>
        <v>271</v>
      </c>
      <c r="D791" s="2">
        <f>IFERROR(__xludf.DUMMYFUNCTION("""COMPUTED_VALUE"""),260.55)</f>
        <v>260.55</v>
      </c>
      <c r="E791" s="2">
        <f>IFERROR(__xludf.DUMMYFUNCTION("""COMPUTED_VALUE"""),267.83)</f>
        <v>267.83</v>
      </c>
      <c r="F791" s="2">
        <f>IFERROR(__xludf.DUMMYFUNCTION("""COMPUTED_VALUE"""),740015.0)</f>
        <v>740015</v>
      </c>
    </row>
    <row r="792">
      <c r="A792" s="3">
        <f>IFERROR(__xludf.DUMMYFUNCTION("""COMPUTED_VALUE"""),39384.645833333336)</f>
        <v>39384.64583</v>
      </c>
      <c r="B792" s="2">
        <f>IFERROR(__xludf.DUMMYFUNCTION("""COMPUTED_VALUE"""),272.25)</f>
        <v>272.25</v>
      </c>
      <c r="C792" s="2">
        <f>IFERROR(__xludf.DUMMYFUNCTION("""COMPUTED_VALUE"""),272.5)</f>
        <v>272.5</v>
      </c>
      <c r="D792" s="2">
        <f>IFERROR(__xludf.DUMMYFUNCTION("""COMPUTED_VALUE"""),265.35)</f>
        <v>265.35</v>
      </c>
      <c r="E792" s="2">
        <f>IFERROR(__xludf.DUMMYFUNCTION("""COMPUTED_VALUE"""),267.0)</f>
        <v>267</v>
      </c>
      <c r="F792" s="2">
        <f>IFERROR(__xludf.DUMMYFUNCTION("""COMPUTED_VALUE"""),884013.0)</f>
        <v>884013</v>
      </c>
    </row>
    <row r="793">
      <c r="A793" s="3">
        <f>IFERROR(__xludf.DUMMYFUNCTION("""COMPUTED_VALUE"""),39385.645833333336)</f>
        <v>39385.64583</v>
      </c>
      <c r="B793" s="2">
        <f>IFERROR(__xludf.DUMMYFUNCTION("""COMPUTED_VALUE"""),268.0)</f>
        <v>268</v>
      </c>
      <c r="C793" s="2">
        <f>IFERROR(__xludf.DUMMYFUNCTION("""COMPUTED_VALUE"""),268.75)</f>
        <v>268.75</v>
      </c>
      <c r="D793" s="2">
        <f>IFERROR(__xludf.DUMMYFUNCTION("""COMPUTED_VALUE"""),260.08)</f>
        <v>260.08</v>
      </c>
      <c r="E793" s="2">
        <f>IFERROR(__xludf.DUMMYFUNCTION("""COMPUTED_VALUE"""),262.13)</f>
        <v>262.13</v>
      </c>
      <c r="F793" s="2">
        <f>IFERROR(__xludf.DUMMYFUNCTION("""COMPUTED_VALUE"""),786451.0)</f>
        <v>786451</v>
      </c>
    </row>
    <row r="794">
      <c r="A794" s="3">
        <f>IFERROR(__xludf.DUMMYFUNCTION("""COMPUTED_VALUE"""),39386.645833333336)</f>
        <v>39386.64583</v>
      </c>
      <c r="B794" s="2">
        <f>IFERROR(__xludf.DUMMYFUNCTION("""COMPUTED_VALUE"""),261.75)</f>
        <v>261.75</v>
      </c>
      <c r="C794" s="2">
        <f>IFERROR(__xludf.DUMMYFUNCTION("""COMPUTED_VALUE"""),265.93)</f>
        <v>265.93</v>
      </c>
      <c r="D794" s="2">
        <f>IFERROR(__xludf.DUMMYFUNCTION("""COMPUTED_VALUE"""),254.25)</f>
        <v>254.25</v>
      </c>
      <c r="E794" s="2">
        <f>IFERROR(__xludf.DUMMYFUNCTION("""COMPUTED_VALUE"""),259.5)</f>
        <v>259.5</v>
      </c>
      <c r="F794" s="2">
        <f>IFERROR(__xludf.DUMMYFUNCTION("""COMPUTED_VALUE"""),1.1804132E7)</f>
        <v>11804132</v>
      </c>
    </row>
    <row r="795">
      <c r="A795" s="3">
        <f>IFERROR(__xludf.DUMMYFUNCTION("""COMPUTED_VALUE"""),39387.645833333336)</f>
        <v>39387.64583</v>
      </c>
      <c r="B795" s="2">
        <f>IFERROR(__xludf.DUMMYFUNCTION("""COMPUTED_VALUE"""),263.75)</f>
        <v>263.75</v>
      </c>
      <c r="C795" s="2">
        <f>IFERROR(__xludf.DUMMYFUNCTION("""COMPUTED_VALUE"""),263.75)</f>
        <v>263.75</v>
      </c>
      <c r="D795" s="2">
        <f>IFERROR(__xludf.DUMMYFUNCTION("""COMPUTED_VALUE"""),254.88)</f>
        <v>254.88</v>
      </c>
      <c r="E795" s="2">
        <f>IFERROR(__xludf.DUMMYFUNCTION("""COMPUTED_VALUE"""),255.76)</f>
        <v>255.76</v>
      </c>
      <c r="F795" s="2">
        <f>IFERROR(__xludf.DUMMYFUNCTION("""COMPUTED_VALUE"""),1379601.0)</f>
        <v>1379601</v>
      </c>
    </row>
    <row r="796">
      <c r="A796" s="3">
        <f>IFERROR(__xludf.DUMMYFUNCTION("""COMPUTED_VALUE"""),39388.645833333336)</f>
        <v>39388.64583</v>
      </c>
      <c r="B796" s="2">
        <f>IFERROR(__xludf.DUMMYFUNCTION("""COMPUTED_VALUE"""),252.5)</f>
        <v>252.5</v>
      </c>
      <c r="C796" s="2">
        <f>IFERROR(__xludf.DUMMYFUNCTION("""COMPUTED_VALUE"""),257.5)</f>
        <v>257.5</v>
      </c>
      <c r="D796" s="2">
        <f>IFERROR(__xludf.DUMMYFUNCTION("""COMPUTED_VALUE"""),250.75)</f>
        <v>250.75</v>
      </c>
      <c r="E796" s="2">
        <f>IFERROR(__xludf.DUMMYFUNCTION("""COMPUTED_VALUE"""),255.3)</f>
        <v>255.3</v>
      </c>
      <c r="F796" s="2">
        <f>IFERROR(__xludf.DUMMYFUNCTION("""COMPUTED_VALUE"""),873670.0)</f>
        <v>873670</v>
      </c>
    </row>
    <row r="797">
      <c r="A797" s="3">
        <f>IFERROR(__xludf.DUMMYFUNCTION("""COMPUTED_VALUE"""),39391.645833333336)</f>
        <v>39391.64583</v>
      </c>
      <c r="B797" s="2">
        <f>IFERROR(__xludf.DUMMYFUNCTION("""COMPUTED_VALUE"""),255.25)</f>
        <v>255.25</v>
      </c>
      <c r="C797" s="2">
        <f>IFERROR(__xludf.DUMMYFUNCTION("""COMPUTED_VALUE"""),257.7)</f>
        <v>257.7</v>
      </c>
      <c r="D797" s="2">
        <f>IFERROR(__xludf.DUMMYFUNCTION("""COMPUTED_VALUE"""),251.31)</f>
        <v>251.31</v>
      </c>
      <c r="E797" s="2">
        <f>IFERROR(__xludf.DUMMYFUNCTION("""COMPUTED_VALUE"""),252.83)</f>
        <v>252.83</v>
      </c>
      <c r="F797" s="2">
        <f>IFERROR(__xludf.DUMMYFUNCTION("""COMPUTED_VALUE"""),469117.0)</f>
        <v>469117</v>
      </c>
    </row>
    <row r="798">
      <c r="A798" s="3">
        <f>IFERROR(__xludf.DUMMYFUNCTION("""COMPUTED_VALUE"""),39392.645833333336)</f>
        <v>39392.64583</v>
      </c>
      <c r="B798" s="2">
        <f>IFERROR(__xludf.DUMMYFUNCTION("""COMPUTED_VALUE"""),253.75)</f>
        <v>253.75</v>
      </c>
      <c r="C798" s="2">
        <f>IFERROR(__xludf.DUMMYFUNCTION("""COMPUTED_VALUE"""),254.95)</f>
        <v>254.95</v>
      </c>
      <c r="D798" s="2">
        <f>IFERROR(__xludf.DUMMYFUNCTION("""COMPUTED_VALUE"""),250.0)</f>
        <v>250</v>
      </c>
      <c r="E798" s="2">
        <f>IFERROR(__xludf.DUMMYFUNCTION("""COMPUTED_VALUE"""),251.08)</f>
        <v>251.08</v>
      </c>
      <c r="F798" s="2">
        <f>IFERROR(__xludf.DUMMYFUNCTION("""COMPUTED_VALUE"""),549747.0)</f>
        <v>549747</v>
      </c>
    </row>
    <row r="799">
      <c r="A799" s="3">
        <f>IFERROR(__xludf.DUMMYFUNCTION("""COMPUTED_VALUE"""),39393.645833333336)</f>
        <v>39393.64583</v>
      </c>
      <c r="B799" s="2">
        <f>IFERROR(__xludf.DUMMYFUNCTION("""COMPUTED_VALUE"""),251.28)</f>
        <v>251.28</v>
      </c>
      <c r="C799" s="2">
        <f>IFERROR(__xludf.DUMMYFUNCTION("""COMPUTED_VALUE"""),252.29)</f>
        <v>252.29</v>
      </c>
      <c r="D799" s="2">
        <f>IFERROR(__xludf.DUMMYFUNCTION("""COMPUTED_VALUE"""),246.53)</f>
        <v>246.53</v>
      </c>
      <c r="E799" s="2">
        <f>IFERROR(__xludf.DUMMYFUNCTION("""COMPUTED_VALUE"""),249.26)</f>
        <v>249.26</v>
      </c>
      <c r="F799" s="2">
        <f>IFERROR(__xludf.DUMMYFUNCTION("""COMPUTED_VALUE"""),876004.0)</f>
        <v>876004</v>
      </c>
    </row>
    <row r="800">
      <c r="A800" s="3">
        <f>IFERROR(__xludf.DUMMYFUNCTION("""COMPUTED_VALUE"""),39394.645833333336)</f>
        <v>39394.64583</v>
      </c>
      <c r="B800" s="2">
        <f>IFERROR(__xludf.DUMMYFUNCTION("""COMPUTED_VALUE"""),247.53)</f>
        <v>247.53</v>
      </c>
      <c r="C800" s="2">
        <f>IFERROR(__xludf.DUMMYFUNCTION("""COMPUTED_VALUE"""),249.95)</f>
        <v>249.95</v>
      </c>
      <c r="D800" s="2">
        <f>IFERROR(__xludf.DUMMYFUNCTION("""COMPUTED_VALUE"""),245.0)</f>
        <v>245</v>
      </c>
      <c r="E800" s="2">
        <f>IFERROR(__xludf.DUMMYFUNCTION("""COMPUTED_VALUE"""),247.41)</f>
        <v>247.41</v>
      </c>
      <c r="F800" s="2">
        <f>IFERROR(__xludf.DUMMYFUNCTION("""COMPUTED_VALUE"""),671741.0)</f>
        <v>671741</v>
      </c>
    </row>
    <row r="801">
      <c r="A801" s="3">
        <f>IFERROR(__xludf.DUMMYFUNCTION("""COMPUTED_VALUE"""),39395.645833333336)</f>
        <v>39395.64583</v>
      </c>
      <c r="B801" s="2">
        <f>IFERROR(__xludf.DUMMYFUNCTION("""COMPUTED_VALUE"""),253.75)</f>
        <v>253.75</v>
      </c>
      <c r="C801" s="2">
        <f>IFERROR(__xludf.DUMMYFUNCTION("""COMPUTED_VALUE"""),253.75)</f>
        <v>253.75</v>
      </c>
      <c r="D801" s="2">
        <f>IFERROR(__xludf.DUMMYFUNCTION("""COMPUTED_VALUE"""),245.78)</f>
        <v>245.78</v>
      </c>
      <c r="E801" s="2">
        <f>IFERROR(__xludf.DUMMYFUNCTION("""COMPUTED_VALUE"""),246.31)</f>
        <v>246.31</v>
      </c>
      <c r="F801" s="2">
        <f>IFERROR(__xludf.DUMMYFUNCTION("""COMPUTED_VALUE"""),84775.0)</f>
        <v>84775</v>
      </c>
    </row>
    <row r="802">
      <c r="A802" s="3">
        <f>IFERROR(__xludf.DUMMYFUNCTION("""COMPUTED_VALUE"""),39398.645833333336)</f>
        <v>39398.64583</v>
      </c>
      <c r="B802" s="2">
        <f>IFERROR(__xludf.DUMMYFUNCTION("""COMPUTED_VALUE"""),246.31)</f>
        <v>246.31</v>
      </c>
      <c r="C802" s="2">
        <f>IFERROR(__xludf.DUMMYFUNCTION("""COMPUTED_VALUE"""),246.31)</f>
        <v>246.31</v>
      </c>
      <c r="D802" s="2">
        <f>IFERROR(__xludf.DUMMYFUNCTION("""COMPUTED_VALUE"""),240.0)</f>
        <v>240</v>
      </c>
      <c r="E802" s="2">
        <f>IFERROR(__xludf.DUMMYFUNCTION("""COMPUTED_VALUE"""),240.96)</f>
        <v>240.96</v>
      </c>
      <c r="F802" s="2">
        <f>IFERROR(__xludf.DUMMYFUNCTION("""COMPUTED_VALUE"""),1320247.0)</f>
        <v>1320247</v>
      </c>
    </row>
    <row r="803">
      <c r="A803" s="3">
        <f>IFERROR(__xludf.DUMMYFUNCTION("""COMPUTED_VALUE"""),39399.645833333336)</f>
        <v>39399.64583</v>
      </c>
      <c r="B803" s="2">
        <f>IFERROR(__xludf.DUMMYFUNCTION("""COMPUTED_VALUE"""),240.96)</f>
        <v>240.96</v>
      </c>
      <c r="C803" s="2">
        <f>IFERROR(__xludf.DUMMYFUNCTION("""COMPUTED_VALUE"""),243.18)</f>
        <v>243.18</v>
      </c>
      <c r="D803" s="2">
        <f>IFERROR(__xludf.DUMMYFUNCTION("""COMPUTED_VALUE"""),231.66)</f>
        <v>231.66</v>
      </c>
      <c r="E803" s="2">
        <f>IFERROR(__xludf.DUMMYFUNCTION("""COMPUTED_VALUE"""),236.84)</f>
        <v>236.84</v>
      </c>
      <c r="F803" s="2">
        <f>IFERROR(__xludf.DUMMYFUNCTION("""COMPUTED_VALUE"""),1174497.0)</f>
        <v>1174497</v>
      </c>
    </row>
    <row r="804">
      <c r="A804" s="3">
        <f>IFERROR(__xludf.DUMMYFUNCTION("""COMPUTED_VALUE"""),39400.645833333336)</f>
        <v>39400.64583</v>
      </c>
      <c r="B804" s="2">
        <f>IFERROR(__xludf.DUMMYFUNCTION("""COMPUTED_VALUE"""),240.0)</f>
        <v>240</v>
      </c>
      <c r="C804" s="2">
        <f>IFERROR(__xludf.DUMMYFUNCTION("""COMPUTED_VALUE"""),261.27)</f>
        <v>261.27</v>
      </c>
      <c r="D804" s="2">
        <f>IFERROR(__xludf.DUMMYFUNCTION("""COMPUTED_VALUE"""),240.0)</f>
        <v>240</v>
      </c>
      <c r="E804" s="2">
        <f>IFERROR(__xludf.DUMMYFUNCTION("""COMPUTED_VALUE"""),246.68)</f>
        <v>246.68</v>
      </c>
      <c r="F804" s="2">
        <f>IFERROR(__xludf.DUMMYFUNCTION("""COMPUTED_VALUE"""),897092.0)</f>
        <v>897092</v>
      </c>
    </row>
    <row r="805">
      <c r="A805" s="3">
        <f>IFERROR(__xludf.DUMMYFUNCTION("""COMPUTED_VALUE"""),39401.645833333336)</f>
        <v>39401.64583</v>
      </c>
      <c r="B805" s="2">
        <f>IFERROR(__xludf.DUMMYFUNCTION("""COMPUTED_VALUE"""),247.75)</f>
        <v>247.75</v>
      </c>
      <c r="C805" s="2">
        <f>IFERROR(__xludf.DUMMYFUNCTION("""COMPUTED_VALUE"""),249.48)</f>
        <v>249.48</v>
      </c>
      <c r="D805" s="2">
        <f>IFERROR(__xludf.DUMMYFUNCTION("""COMPUTED_VALUE"""),242.5)</f>
        <v>242.5</v>
      </c>
      <c r="E805" s="2">
        <f>IFERROR(__xludf.DUMMYFUNCTION("""COMPUTED_VALUE"""),245.05)</f>
        <v>245.05</v>
      </c>
      <c r="F805" s="2">
        <f>IFERROR(__xludf.DUMMYFUNCTION("""COMPUTED_VALUE"""),573849.0)</f>
        <v>573849</v>
      </c>
    </row>
    <row r="806">
      <c r="A806" s="3">
        <f>IFERROR(__xludf.DUMMYFUNCTION("""COMPUTED_VALUE"""),39402.645833333336)</f>
        <v>39402.64583</v>
      </c>
      <c r="B806" s="2">
        <f>IFERROR(__xludf.DUMMYFUNCTION("""COMPUTED_VALUE"""),245.0)</f>
        <v>245</v>
      </c>
      <c r="C806" s="2">
        <f>IFERROR(__xludf.DUMMYFUNCTION("""COMPUTED_VALUE"""),249.5)</f>
        <v>249.5</v>
      </c>
      <c r="D806" s="2">
        <f>IFERROR(__xludf.DUMMYFUNCTION("""COMPUTED_VALUE"""),241.79)</f>
        <v>241.79</v>
      </c>
      <c r="E806" s="2">
        <f>IFERROR(__xludf.DUMMYFUNCTION("""COMPUTED_VALUE"""),245.73)</f>
        <v>245.73</v>
      </c>
      <c r="F806" s="2">
        <f>IFERROR(__xludf.DUMMYFUNCTION("""COMPUTED_VALUE"""),916704.0)</f>
        <v>916704</v>
      </c>
    </row>
    <row r="807">
      <c r="A807" s="3">
        <f>IFERROR(__xludf.DUMMYFUNCTION("""COMPUTED_VALUE"""),39405.645833333336)</f>
        <v>39405.64583</v>
      </c>
      <c r="B807" s="2">
        <f>IFERROR(__xludf.DUMMYFUNCTION("""COMPUTED_VALUE"""),240.03)</f>
        <v>240.03</v>
      </c>
      <c r="C807" s="2">
        <f>IFERROR(__xludf.DUMMYFUNCTION("""COMPUTED_VALUE"""),251.75)</f>
        <v>251.75</v>
      </c>
      <c r="D807" s="2">
        <f>IFERROR(__xludf.DUMMYFUNCTION("""COMPUTED_VALUE"""),240.03)</f>
        <v>240.03</v>
      </c>
      <c r="E807" s="2">
        <f>IFERROR(__xludf.DUMMYFUNCTION("""COMPUTED_VALUE"""),248.38)</f>
        <v>248.38</v>
      </c>
      <c r="F807" s="2">
        <f>IFERROR(__xludf.DUMMYFUNCTION("""COMPUTED_VALUE"""),735887.0)</f>
        <v>735887</v>
      </c>
    </row>
    <row r="808">
      <c r="A808" s="3">
        <f>IFERROR(__xludf.DUMMYFUNCTION("""COMPUTED_VALUE"""),39406.645833333336)</f>
        <v>39406.64583</v>
      </c>
      <c r="B808" s="2">
        <f>IFERROR(__xludf.DUMMYFUNCTION("""COMPUTED_VALUE"""),247.25)</f>
        <v>247.25</v>
      </c>
      <c r="C808" s="2">
        <f>IFERROR(__xludf.DUMMYFUNCTION("""COMPUTED_VALUE"""),247.25)</f>
        <v>247.25</v>
      </c>
      <c r="D808" s="2">
        <f>IFERROR(__xludf.DUMMYFUNCTION("""COMPUTED_VALUE"""),239.53)</f>
        <v>239.53</v>
      </c>
      <c r="E808" s="2">
        <f>IFERROR(__xludf.DUMMYFUNCTION("""COMPUTED_VALUE"""),240.33)</f>
        <v>240.33</v>
      </c>
      <c r="F808" s="2">
        <f>IFERROR(__xludf.DUMMYFUNCTION("""COMPUTED_VALUE"""),1027848.0)</f>
        <v>1027848</v>
      </c>
    </row>
    <row r="809">
      <c r="A809" s="3">
        <f>IFERROR(__xludf.DUMMYFUNCTION("""COMPUTED_VALUE"""),39407.645833333336)</f>
        <v>39407.64583</v>
      </c>
      <c r="B809" s="2">
        <f>IFERROR(__xludf.DUMMYFUNCTION("""COMPUTED_VALUE"""),240.33)</f>
        <v>240.33</v>
      </c>
      <c r="C809" s="2">
        <f>IFERROR(__xludf.DUMMYFUNCTION("""COMPUTED_VALUE"""),245.0)</f>
        <v>245</v>
      </c>
      <c r="D809" s="2">
        <f>IFERROR(__xludf.DUMMYFUNCTION("""COMPUTED_VALUE"""),234.0)</f>
        <v>234</v>
      </c>
      <c r="E809" s="2">
        <f>IFERROR(__xludf.DUMMYFUNCTION("""COMPUTED_VALUE"""),236.2)</f>
        <v>236.2</v>
      </c>
      <c r="F809" s="2">
        <f>IFERROR(__xludf.DUMMYFUNCTION("""COMPUTED_VALUE"""),834257.0)</f>
        <v>834257</v>
      </c>
    </row>
    <row r="810">
      <c r="A810" s="3">
        <f>IFERROR(__xludf.DUMMYFUNCTION("""COMPUTED_VALUE"""),39408.645833333336)</f>
        <v>39408.64583</v>
      </c>
      <c r="B810" s="2">
        <f>IFERROR(__xludf.DUMMYFUNCTION("""COMPUTED_VALUE"""),242.43)</f>
        <v>242.43</v>
      </c>
      <c r="C810" s="2">
        <f>IFERROR(__xludf.DUMMYFUNCTION("""COMPUTED_VALUE"""),242.43)</f>
        <v>242.43</v>
      </c>
      <c r="D810" s="2">
        <f>IFERROR(__xludf.DUMMYFUNCTION("""COMPUTED_VALUE"""),233.75)</f>
        <v>233.75</v>
      </c>
      <c r="E810" s="2">
        <f>IFERROR(__xludf.DUMMYFUNCTION("""COMPUTED_VALUE"""),237.55)</f>
        <v>237.55</v>
      </c>
      <c r="F810" s="2">
        <f>IFERROR(__xludf.DUMMYFUNCTION("""COMPUTED_VALUE"""),600589.0)</f>
        <v>600589</v>
      </c>
    </row>
    <row r="811">
      <c r="A811" s="3">
        <f>IFERROR(__xludf.DUMMYFUNCTION("""COMPUTED_VALUE"""),39409.645833333336)</f>
        <v>39409.64583</v>
      </c>
      <c r="B811" s="2">
        <f>IFERROR(__xludf.DUMMYFUNCTION("""COMPUTED_VALUE"""),238.13)</f>
        <v>238.13</v>
      </c>
      <c r="C811" s="2">
        <f>IFERROR(__xludf.DUMMYFUNCTION("""COMPUTED_VALUE"""),241.5)</f>
        <v>241.5</v>
      </c>
      <c r="D811" s="2">
        <f>IFERROR(__xludf.DUMMYFUNCTION("""COMPUTED_VALUE"""),237.44)</f>
        <v>237.44</v>
      </c>
      <c r="E811" s="2">
        <f>IFERROR(__xludf.DUMMYFUNCTION("""COMPUTED_VALUE"""),240.24)</f>
        <v>240.24</v>
      </c>
      <c r="F811" s="2">
        <f>IFERROR(__xludf.DUMMYFUNCTION("""COMPUTED_VALUE"""),568385.0)</f>
        <v>568385</v>
      </c>
    </row>
    <row r="812">
      <c r="A812" s="3">
        <f>IFERROR(__xludf.DUMMYFUNCTION("""COMPUTED_VALUE"""),39412.645833333336)</f>
        <v>39412.64583</v>
      </c>
      <c r="B812" s="2">
        <f>IFERROR(__xludf.DUMMYFUNCTION("""COMPUTED_VALUE"""),245.0)</f>
        <v>245</v>
      </c>
      <c r="C812" s="2">
        <f>IFERROR(__xludf.DUMMYFUNCTION("""COMPUTED_VALUE"""),248.5)</f>
        <v>248.5</v>
      </c>
      <c r="D812" s="2">
        <f>IFERROR(__xludf.DUMMYFUNCTION("""COMPUTED_VALUE"""),242.5)</f>
        <v>242.5</v>
      </c>
      <c r="E812" s="2">
        <f>IFERROR(__xludf.DUMMYFUNCTION("""COMPUTED_VALUE"""),246.28)</f>
        <v>246.28</v>
      </c>
      <c r="F812" s="2">
        <f>IFERROR(__xludf.DUMMYFUNCTION("""COMPUTED_VALUE"""),558575.0)</f>
        <v>558575</v>
      </c>
    </row>
    <row r="813">
      <c r="A813" s="3">
        <f>IFERROR(__xludf.DUMMYFUNCTION("""COMPUTED_VALUE"""),39413.645833333336)</f>
        <v>39413.64583</v>
      </c>
      <c r="B813" s="2">
        <f>IFERROR(__xludf.DUMMYFUNCTION("""COMPUTED_VALUE"""),247.63)</f>
        <v>247.63</v>
      </c>
      <c r="C813" s="2">
        <f>IFERROR(__xludf.DUMMYFUNCTION("""COMPUTED_VALUE"""),249.73)</f>
        <v>249.73</v>
      </c>
      <c r="D813" s="2">
        <f>IFERROR(__xludf.DUMMYFUNCTION("""COMPUTED_VALUE"""),242.53)</f>
        <v>242.53</v>
      </c>
      <c r="E813" s="2">
        <f>IFERROR(__xludf.DUMMYFUNCTION("""COMPUTED_VALUE"""),248.99)</f>
        <v>248.99</v>
      </c>
      <c r="F813" s="2">
        <f>IFERROR(__xludf.DUMMYFUNCTION("""COMPUTED_VALUE"""),375991.0)</f>
        <v>375991</v>
      </c>
    </row>
    <row r="814">
      <c r="A814" s="3">
        <f>IFERROR(__xludf.DUMMYFUNCTION("""COMPUTED_VALUE"""),39414.645833333336)</f>
        <v>39414.64583</v>
      </c>
      <c r="B814" s="2">
        <f>IFERROR(__xludf.DUMMYFUNCTION("""COMPUTED_VALUE"""),250.0)</f>
        <v>250</v>
      </c>
      <c r="C814" s="2">
        <f>IFERROR(__xludf.DUMMYFUNCTION("""COMPUTED_VALUE"""),250.95)</f>
        <v>250.95</v>
      </c>
      <c r="D814" s="2">
        <f>IFERROR(__xludf.DUMMYFUNCTION("""COMPUTED_VALUE"""),242.5)</f>
        <v>242.5</v>
      </c>
      <c r="E814" s="2">
        <f>IFERROR(__xludf.DUMMYFUNCTION("""COMPUTED_VALUE"""),244.13)</f>
        <v>244.13</v>
      </c>
      <c r="F814" s="2">
        <f>IFERROR(__xludf.DUMMYFUNCTION("""COMPUTED_VALUE"""),731922.0)</f>
        <v>731922</v>
      </c>
    </row>
    <row r="815">
      <c r="A815" s="3">
        <f>IFERROR(__xludf.DUMMYFUNCTION("""COMPUTED_VALUE"""),39415.645833333336)</f>
        <v>39415.64583</v>
      </c>
      <c r="B815" s="2">
        <f>IFERROR(__xludf.DUMMYFUNCTION("""COMPUTED_VALUE"""),250.0)</f>
        <v>250</v>
      </c>
      <c r="C815" s="2">
        <f>IFERROR(__xludf.DUMMYFUNCTION("""COMPUTED_VALUE"""),250.13)</f>
        <v>250.13</v>
      </c>
      <c r="D815" s="2">
        <f>IFERROR(__xludf.DUMMYFUNCTION("""COMPUTED_VALUE"""),238.75)</f>
        <v>238.75</v>
      </c>
      <c r="E815" s="2">
        <f>IFERROR(__xludf.DUMMYFUNCTION("""COMPUTED_VALUE"""),241.51)</f>
        <v>241.51</v>
      </c>
      <c r="F815" s="2">
        <f>IFERROR(__xludf.DUMMYFUNCTION("""COMPUTED_VALUE"""),1257422.0)</f>
        <v>1257422</v>
      </c>
    </row>
    <row r="816">
      <c r="A816" s="3">
        <f>IFERROR(__xludf.DUMMYFUNCTION("""COMPUTED_VALUE"""),39416.645833333336)</f>
        <v>39416.64583</v>
      </c>
      <c r="B816" s="2">
        <f>IFERROR(__xludf.DUMMYFUNCTION("""COMPUTED_VALUE"""),241.51)</f>
        <v>241.51</v>
      </c>
      <c r="C816" s="2">
        <f>IFERROR(__xludf.DUMMYFUNCTION("""COMPUTED_VALUE"""),254.5)</f>
        <v>254.5</v>
      </c>
      <c r="D816" s="2">
        <f>IFERROR(__xludf.DUMMYFUNCTION("""COMPUTED_VALUE"""),241.51)</f>
        <v>241.51</v>
      </c>
      <c r="E816" s="2">
        <f>IFERROR(__xludf.DUMMYFUNCTION("""COMPUTED_VALUE"""),253.05)</f>
        <v>253.05</v>
      </c>
      <c r="F816" s="2">
        <f>IFERROR(__xludf.DUMMYFUNCTION("""COMPUTED_VALUE"""),1333653.0)</f>
        <v>1333653</v>
      </c>
    </row>
    <row r="817">
      <c r="A817" s="3">
        <f>IFERROR(__xludf.DUMMYFUNCTION("""COMPUTED_VALUE"""),39419.645833333336)</f>
        <v>39419.64583</v>
      </c>
      <c r="B817" s="2">
        <f>IFERROR(__xludf.DUMMYFUNCTION("""COMPUTED_VALUE"""),254.0)</f>
        <v>254</v>
      </c>
      <c r="C817" s="2">
        <f>IFERROR(__xludf.DUMMYFUNCTION("""COMPUTED_VALUE"""),266.5)</f>
        <v>266.5</v>
      </c>
      <c r="D817" s="2">
        <f>IFERROR(__xludf.DUMMYFUNCTION("""COMPUTED_VALUE"""),252.6)</f>
        <v>252.6</v>
      </c>
      <c r="E817" s="2">
        <f>IFERROR(__xludf.DUMMYFUNCTION("""COMPUTED_VALUE"""),262.48)</f>
        <v>262.48</v>
      </c>
      <c r="F817" s="2">
        <f>IFERROR(__xludf.DUMMYFUNCTION("""COMPUTED_VALUE"""),1629087.0)</f>
        <v>1629087</v>
      </c>
    </row>
    <row r="818">
      <c r="A818" s="3">
        <f>IFERROR(__xludf.DUMMYFUNCTION("""COMPUTED_VALUE"""),39420.645833333336)</f>
        <v>39420.64583</v>
      </c>
      <c r="B818" s="2">
        <f>IFERROR(__xludf.DUMMYFUNCTION("""COMPUTED_VALUE"""),262.48)</f>
        <v>262.48</v>
      </c>
      <c r="C818" s="2">
        <f>IFERROR(__xludf.DUMMYFUNCTION("""COMPUTED_VALUE"""),262.5)</f>
        <v>262.5</v>
      </c>
      <c r="D818" s="2">
        <f>IFERROR(__xludf.DUMMYFUNCTION("""COMPUTED_VALUE"""),256.26)</f>
        <v>256.26</v>
      </c>
      <c r="E818" s="2">
        <f>IFERROR(__xludf.DUMMYFUNCTION("""COMPUTED_VALUE"""),257.43)</f>
        <v>257.43</v>
      </c>
      <c r="F818" s="2">
        <f>IFERROR(__xludf.DUMMYFUNCTION("""COMPUTED_VALUE"""),445956.0)</f>
        <v>445956</v>
      </c>
    </row>
    <row r="819">
      <c r="A819" s="3">
        <f>IFERROR(__xludf.DUMMYFUNCTION("""COMPUTED_VALUE"""),39421.645833333336)</f>
        <v>39421.64583</v>
      </c>
      <c r="B819" s="2">
        <f>IFERROR(__xludf.DUMMYFUNCTION("""COMPUTED_VALUE"""),257.5)</f>
        <v>257.5</v>
      </c>
      <c r="C819" s="2">
        <f>IFERROR(__xludf.DUMMYFUNCTION("""COMPUTED_VALUE"""),261.25)</f>
        <v>261.25</v>
      </c>
      <c r="D819" s="2">
        <f>IFERROR(__xludf.DUMMYFUNCTION("""COMPUTED_VALUE"""),255.13)</f>
        <v>255.13</v>
      </c>
      <c r="E819" s="2">
        <f>IFERROR(__xludf.DUMMYFUNCTION("""COMPUTED_VALUE"""),258.3)</f>
        <v>258.3</v>
      </c>
      <c r="F819" s="2">
        <f>IFERROR(__xludf.DUMMYFUNCTION("""COMPUTED_VALUE"""),517310.0)</f>
        <v>517310</v>
      </c>
    </row>
    <row r="820">
      <c r="A820" s="3">
        <f>IFERROR(__xludf.DUMMYFUNCTION("""COMPUTED_VALUE"""),39422.645833333336)</f>
        <v>39422.64583</v>
      </c>
      <c r="B820" s="2">
        <f>IFERROR(__xludf.DUMMYFUNCTION("""COMPUTED_VALUE"""),260.0)</f>
        <v>260</v>
      </c>
      <c r="C820" s="2">
        <f>IFERROR(__xludf.DUMMYFUNCTION("""COMPUTED_VALUE"""),262.93)</f>
        <v>262.93</v>
      </c>
      <c r="D820" s="2">
        <f>IFERROR(__xludf.DUMMYFUNCTION("""COMPUTED_VALUE"""),257.8)</f>
        <v>257.8</v>
      </c>
      <c r="E820" s="2">
        <f>IFERROR(__xludf.DUMMYFUNCTION("""COMPUTED_VALUE"""),258.89)</f>
        <v>258.89</v>
      </c>
      <c r="F820" s="2">
        <f>IFERROR(__xludf.DUMMYFUNCTION("""COMPUTED_VALUE"""),1040863.0)</f>
        <v>1040863</v>
      </c>
    </row>
    <row r="821">
      <c r="A821" s="3">
        <f>IFERROR(__xludf.DUMMYFUNCTION("""COMPUTED_VALUE"""),39423.645833333336)</f>
        <v>39423.64583</v>
      </c>
      <c r="B821" s="2">
        <f>IFERROR(__xludf.DUMMYFUNCTION("""COMPUTED_VALUE"""),260.0)</f>
        <v>260</v>
      </c>
      <c r="C821" s="2">
        <f>IFERROR(__xludf.DUMMYFUNCTION("""COMPUTED_VALUE"""),268.01)</f>
        <v>268.01</v>
      </c>
      <c r="D821" s="2">
        <f>IFERROR(__xludf.DUMMYFUNCTION("""COMPUTED_VALUE"""),256.56)</f>
        <v>256.56</v>
      </c>
      <c r="E821" s="2">
        <f>IFERROR(__xludf.DUMMYFUNCTION("""COMPUTED_VALUE"""),265.65)</f>
        <v>265.65</v>
      </c>
      <c r="F821" s="2">
        <f>IFERROR(__xludf.DUMMYFUNCTION("""COMPUTED_VALUE"""),1201452.0)</f>
        <v>1201452</v>
      </c>
    </row>
    <row r="822">
      <c r="A822" s="3">
        <f>IFERROR(__xludf.DUMMYFUNCTION("""COMPUTED_VALUE"""),39426.645833333336)</f>
        <v>39426.64583</v>
      </c>
      <c r="B822" s="2">
        <f>IFERROR(__xludf.DUMMYFUNCTION("""COMPUTED_VALUE"""),267.52)</f>
        <v>267.52</v>
      </c>
      <c r="C822" s="2">
        <f>IFERROR(__xludf.DUMMYFUNCTION("""COMPUTED_VALUE"""),268.5)</f>
        <v>268.5</v>
      </c>
      <c r="D822" s="2">
        <f>IFERROR(__xludf.DUMMYFUNCTION("""COMPUTED_VALUE"""),257.5)</f>
        <v>257.5</v>
      </c>
      <c r="E822" s="2">
        <f>IFERROR(__xludf.DUMMYFUNCTION("""COMPUTED_VALUE"""),258.9)</f>
        <v>258.9</v>
      </c>
      <c r="F822" s="2">
        <f>IFERROR(__xludf.DUMMYFUNCTION("""COMPUTED_VALUE"""),966005.0)</f>
        <v>966005</v>
      </c>
    </row>
    <row r="823">
      <c r="A823" s="3">
        <f>IFERROR(__xludf.DUMMYFUNCTION("""COMPUTED_VALUE"""),39427.645833333336)</f>
        <v>39427.64583</v>
      </c>
      <c r="B823" s="2">
        <f>IFERROR(__xludf.DUMMYFUNCTION("""COMPUTED_VALUE"""),262.25)</f>
        <v>262.25</v>
      </c>
      <c r="C823" s="2">
        <f>IFERROR(__xludf.DUMMYFUNCTION("""COMPUTED_VALUE"""),262.25)</f>
        <v>262.25</v>
      </c>
      <c r="D823" s="2">
        <f>IFERROR(__xludf.DUMMYFUNCTION("""COMPUTED_VALUE"""),256.31)</f>
        <v>256.31</v>
      </c>
      <c r="E823" s="2">
        <f>IFERROR(__xludf.DUMMYFUNCTION("""COMPUTED_VALUE"""),260.33)</f>
        <v>260.33</v>
      </c>
      <c r="F823" s="2">
        <f>IFERROR(__xludf.DUMMYFUNCTION("""COMPUTED_VALUE"""),726864.0)</f>
        <v>726864</v>
      </c>
    </row>
    <row r="824">
      <c r="A824" s="3">
        <f>IFERROR(__xludf.DUMMYFUNCTION("""COMPUTED_VALUE"""),39428.645833333336)</f>
        <v>39428.64583</v>
      </c>
      <c r="B824" s="2">
        <f>IFERROR(__xludf.DUMMYFUNCTION("""COMPUTED_VALUE"""),257.05)</f>
        <v>257.05</v>
      </c>
      <c r="C824" s="2">
        <f>IFERROR(__xludf.DUMMYFUNCTION("""COMPUTED_VALUE"""),265.0)</f>
        <v>265</v>
      </c>
      <c r="D824" s="2">
        <f>IFERROR(__xludf.DUMMYFUNCTION("""COMPUTED_VALUE"""),256.52)</f>
        <v>256.52</v>
      </c>
      <c r="E824" s="2">
        <f>IFERROR(__xludf.DUMMYFUNCTION("""COMPUTED_VALUE"""),263.35)</f>
        <v>263.35</v>
      </c>
      <c r="F824" s="2">
        <f>IFERROR(__xludf.DUMMYFUNCTION("""COMPUTED_VALUE"""),929652.0)</f>
        <v>929652</v>
      </c>
    </row>
    <row r="825">
      <c r="A825" s="3">
        <f>IFERROR(__xludf.DUMMYFUNCTION("""COMPUTED_VALUE"""),39429.645833333336)</f>
        <v>39429.64583</v>
      </c>
      <c r="B825" s="2">
        <f>IFERROR(__xludf.DUMMYFUNCTION("""COMPUTED_VALUE"""),262.43)</f>
        <v>262.43</v>
      </c>
      <c r="C825" s="2">
        <f>IFERROR(__xludf.DUMMYFUNCTION("""COMPUTED_VALUE"""),265.52)</f>
        <v>265.52</v>
      </c>
      <c r="D825" s="2">
        <f>IFERROR(__xludf.DUMMYFUNCTION("""COMPUTED_VALUE"""),256.93)</f>
        <v>256.93</v>
      </c>
      <c r="E825" s="2">
        <f>IFERROR(__xludf.DUMMYFUNCTION("""COMPUTED_VALUE"""),257.4)</f>
        <v>257.4</v>
      </c>
      <c r="F825" s="2">
        <f>IFERROR(__xludf.DUMMYFUNCTION("""COMPUTED_VALUE"""),1161434.0)</f>
        <v>1161434</v>
      </c>
    </row>
    <row r="826">
      <c r="A826" s="3">
        <f>IFERROR(__xludf.DUMMYFUNCTION("""COMPUTED_VALUE"""),39430.645833333336)</f>
        <v>39430.64583</v>
      </c>
      <c r="B826" s="2">
        <f>IFERROR(__xludf.DUMMYFUNCTION("""COMPUTED_VALUE"""),253.83)</f>
        <v>253.83</v>
      </c>
      <c r="C826" s="2">
        <f>IFERROR(__xludf.DUMMYFUNCTION("""COMPUTED_VALUE"""),263.75)</f>
        <v>263.75</v>
      </c>
      <c r="D826" s="2">
        <f>IFERROR(__xludf.DUMMYFUNCTION("""COMPUTED_VALUE"""),253.83)</f>
        <v>253.83</v>
      </c>
      <c r="E826" s="2">
        <f>IFERROR(__xludf.DUMMYFUNCTION("""COMPUTED_VALUE"""),260.1)</f>
        <v>260.1</v>
      </c>
      <c r="F826" s="2">
        <f>IFERROR(__xludf.DUMMYFUNCTION("""COMPUTED_VALUE"""),680109.0)</f>
        <v>680109</v>
      </c>
    </row>
    <row r="827">
      <c r="A827" s="3">
        <f>IFERROR(__xludf.DUMMYFUNCTION("""COMPUTED_VALUE"""),39433.645833333336)</f>
        <v>39433.64583</v>
      </c>
      <c r="B827" s="2">
        <f>IFERROR(__xludf.DUMMYFUNCTION("""COMPUTED_VALUE"""),268.1)</f>
        <v>268.1</v>
      </c>
      <c r="C827" s="2">
        <f>IFERROR(__xludf.DUMMYFUNCTION("""COMPUTED_VALUE"""),268.1)</f>
        <v>268.1</v>
      </c>
      <c r="D827" s="2">
        <f>IFERROR(__xludf.DUMMYFUNCTION("""COMPUTED_VALUE"""),251.25)</f>
        <v>251.25</v>
      </c>
      <c r="E827" s="2">
        <f>IFERROR(__xludf.DUMMYFUNCTION("""COMPUTED_VALUE"""),253.1)</f>
        <v>253.1</v>
      </c>
      <c r="F827" s="2">
        <f>IFERROR(__xludf.DUMMYFUNCTION("""COMPUTED_VALUE"""),800832.0)</f>
        <v>800832</v>
      </c>
    </row>
    <row r="828">
      <c r="A828" s="3">
        <f>IFERROR(__xludf.DUMMYFUNCTION("""COMPUTED_VALUE"""),39435.645833333336)</f>
        <v>39435.64583</v>
      </c>
      <c r="B828" s="2">
        <f>IFERROR(__xludf.DUMMYFUNCTION("""COMPUTED_VALUE"""),253.0)</f>
        <v>253</v>
      </c>
      <c r="C828" s="2">
        <f>IFERROR(__xludf.DUMMYFUNCTION("""COMPUTED_VALUE"""),257.2)</f>
        <v>257.2</v>
      </c>
      <c r="D828" s="2">
        <f>IFERROR(__xludf.DUMMYFUNCTION("""COMPUTED_VALUE"""),252.0)</f>
        <v>252</v>
      </c>
      <c r="E828" s="2">
        <f>IFERROR(__xludf.DUMMYFUNCTION("""COMPUTED_VALUE"""),256.13)</f>
        <v>256.13</v>
      </c>
      <c r="F828" s="2">
        <f>IFERROR(__xludf.DUMMYFUNCTION("""COMPUTED_VALUE"""),667755.0)</f>
        <v>667755</v>
      </c>
    </row>
    <row r="829">
      <c r="A829" s="3">
        <f>IFERROR(__xludf.DUMMYFUNCTION("""COMPUTED_VALUE"""),39436.645833333336)</f>
        <v>39436.64583</v>
      </c>
      <c r="B829" s="2">
        <f>IFERROR(__xludf.DUMMYFUNCTION("""COMPUTED_VALUE"""),257.38)</f>
        <v>257.38</v>
      </c>
      <c r="C829" s="2">
        <f>IFERROR(__xludf.DUMMYFUNCTION("""COMPUTED_VALUE"""),263.49)</f>
        <v>263.49</v>
      </c>
      <c r="D829" s="2">
        <f>IFERROR(__xludf.DUMMYFUNCTION("""COMPUTED_VALUE"""),255.75)</f>
        <v>255.75</v>
      </c>
      <c r="E829" s="2">
        <f>IFERROR(__xludf.DUMMYFUNCTION("""COMPUTED_VALUE"""),261.34)</f>
        <v>261.34</v>
      </c>
      <c r="F829" s="2">
        <f>IFERROR(__xludf.DUMMYFUNCTION("""COMPUTED_VALUE"""),759005.0)</f>
        <v>759005</v>
      </c>
    </row>
    <row r="830">
      <c r="A830" s="3">
        <f>IFERROR(__xludf.DUMMYFUNCTION("""COMPUTED_VALUE"""),39440.645833333336)</f>
        <v>39440.64583</v>
      </c>
      <c r="B830" s="2">
        <f>IFERROR(__xludf.DUMMYFUNCTION("""COMPUTED_VALUE"""),270.0)</f>
        <v>270</v>
      </c>
      <c r="C830" s="2">
        <f>IFERROR(__xludf.DUMMYFUNCTION("""COMPUTED_VALUE"""),280.0)</f>
        <v>280</v>
      </c>
      <c r="D830" s="2">
        <f>IFERROR(__xludf.DUMMYFUNCTION("""COMPUTED_VALUE"""),262.5)</f>
        <v>262.5</v>
      </c>
      <c r="E830" s="2">
        <f>IFERROR(__xludf.DUMMYFUNCTION("""COMPUTED_VALUE"""),277.43)</f>
        <v>277.43</v>
      </c>
      <c r="F830" s="2">
        <f>IFERROR(__xludf.DUMMYFUNCTION("""COMPUTED_VALUE"""),1163916.0)</f>
        <v>1163916</v>
      </c>
    </row>
    <row r="831">
      <c r="A831" s="3">
        <f>IFERROR(__xludf.DUMMYFUNCTION("""COMPUTED_VALUE"""),39442.645833333336)</f>
        <v>39442.64583</v>
      </c>
      <c r="B831" s="2">
        <f>IFERROR(__xludf.DUMMYFUNCTION("""COMPUTED_VALUE"""),278.75)</f>
        <v>278.75</v>
      </c>
      <c r="C831" s="2">
        <f>IFERROR(__xludf.DUMMYFUNCTION("""COMPUTED_VALUE"""),279.93)</f>
        <v>279.93</v>
      </c>
      <c r="D831" s="2">
        <f>IFERROR(__xludf.DUMMYFUNCTION("""COMPUTED_VALUE"""),271.54)</f>
        <v>271.54</v>
      </c>
      <c r="E831" s="2">
        <f>IFERROR(__xludf.DUMMYFUNCTION("""COMPUTED_VALUE"""),275.08)</f>
        <v>275.08</v>
      </c>
      <c r="F831" s="2">
        <f>IFERROR(__xludf.DUMMYFUNCTION("""COMPUTED_VALUE"""),726499.0)</f>
        <v>726499</v>
      </c>
    </row>
    <row r="832">
      <c r="A832" s="3">
        <f>IFERROR(__xludf.DUMMYFUNCTION("""COMPUTED_VALUE"""),39443.645833333336)</f>
        <v>39443.64583</v>
      </c>
      <c r="B832" s="2">
        <f>IFERROR(__xludf.DUMMYFUNCTION("""COMPUTED_VALUE"""),276.27)</f>
        <v>276.27</v>
      </c>
      <c r="C832" s="2">
        <f>IFERROR(__xludf.DUMMYFUNCTION("""COMPUTED_VALUE"""),280.0)</f>
        <v>280</v>
      </c>
      <c r="D832" s="2">
        <f>IFERROR(__xludf.DUMMYFUNCTION("""COMPUTED_VALUE"""),271.64)</f>
        <v>271.64</v>
      </c>
      <c r="E832" s="2">
        <f>IFERROR(__xludf.DUMMYFUNCTION("""COMPUTED_VALUE"""),277.69)</f>
        <v>277.69</v>
      </c>
      <c r="F832" s="2">
        <f>IFERROR(__xludf.DUMMYFUNCTION("""COMPUTED_VALUE"""),1002142.0)</f>
        <v>1002142</v>
      </c>
    </row>
    <row r="833">
      <c r="A833" s="3">
        <f>IFERROR(__xludf.DUMMYFUNCTION("""COMPUTED_VALUE"""),39444.645833333336)</f>
        <v>39444.64583</v>
      </c>
      <c r="B833" s="2">
        <f>IFERROR(__xludf.DUMMYFUNCTION("""COMPUTED_VALUE"""),275.0)</f>
        <v>275</v>
      </c>
      <c r="C833" s="2">
        <f>IFERROR(__xludf.DUMMYFUNCTION("""COMPUTED_VALUE"""),275.0)</f>
        <v>275</v>
      </c>
      <c r="D833" s="2">
        <f>IFERROR(__xludf.DUMMYFUNCTION("""COMPUTED_VALUE"""),265.0)</f>
        <v>265</v>
      </c>
      <c r="E833" s="2">
        <f>IFERROR(__xludf.DUMMYFUNCTION("""COMPUTED_VALUE"""),270.54)</f>
        <v>270.54</v>
      </c>
      <c r="F833" s="2">
        <f>IFERROR(__xludf.DUMMYFUNCTION("""COMPUTED_VALUE"""),549149.0)</f>
        <v>549149</v>
      </c>
    </row>
    <row r="834">
      <c r="A834" s="3">
        <f>IFERROR(__xludf.DUMMYFUNCTION("""COMPUTED_VALUE"""),39447.645833333336)</f>
        <v>39447.64583</v>
      </c>
      <c r="B834" s="2">
        <f>IFERROR(__xludf.DUMMYFUNCTION("""COMPUTED_VALUE"""),270.75)</f>
        <v>270.75</v>
      </c>
      <c r="C834" s="2">
        <f>IFERROR(__xludf.DUMMYFUNCTION("""COMPUTED_VALUE"""),274.01)</f>
        <v>274.01</v>
      </c>
      <c r="D834" s="2">
        <f>IFERROR(__xludf.DUMMYFUNCTION("""COMPUTED_VALUE"""),263.0)</f>
        <v>263</v>
      </c>
      <c r="E834" s="2">
        <f>IFERROR(__xludf.DUMMYFUNCTION("""COMPUTED_VALUE"""),269.35)</f>
        <v>269.35</v>
      </c>
      <c r="F834" s="2">
        <f>IFERROR(__xludf.DUMMYFUNCTION("""COMPUTED_VALUE"""),539042.0)</f>
        <v>539042</v>
      </c>
    </row>
    <row r="835">
      <c r="A835" s="3">
        <f>IFERROR(__xludf.DUMMYFUNCTION("""COMPUTED_VALUE"""),39448.645833333336)</f>
        <v>39448.64583</v>
      </c>
      <c r="B835" s="2">
        <f>IFERROR(__xludf.DUMMYFUNCTION("""COMPUTED_VALUE"""),269.25)</f>
        <v>269.25</v>
      </c>
      <c r="C835" s="2">
        <f>IFERROR(__xludf.DUMMYFUNCTION("""COMPUTED_VALUE"""),269.25)</f>
        <v>269.25</v>
      </c>
      <c r="D835" s="2">
        <f>IFERROR(__xludf.DUMMYFUNCTION("""COMPUTED_VALUE"""),263.0)</f>
        <v>263</v>
      </c>
      <c r="E835" s="2">
        <f>IFERROR(__xludf.DUMMYFUNCTION("""COMPUTED_VALUE"""),263.64)</f>
        <v>263.64</v>
      </c>
      <c r="F835" s="2">
        <f>IFERROR(__xludf.DUMMYFUNCTION("""COMPUTED_VALUE"""),232097.0)</f>
        <v>232097</v>
      </c>
    </row>
    <row r="836">
      <c r="A836" s="3">
        <f>IFERROR(__xludf.DUMMYFUNCTION("""COMPUTED_VALUE"""),39449.645833333336)</f>
        <v>39449.64583</v>
      </c>
      <c r="B836" s="2">
        <f>IFERROR(__xludf.DUMMYFUNCTION("""COMPUTED_VALUE"""),265.0)</f>
        <v>265</v>
      </c>
      <c r="C836" s="2">
        <f>IFERROR(__xludf.DUMMYFUNCTION("""COMPUTED_VALUE"""),265.25)</f>
        <v>265.25</v>
      </c>
      <c r="D836" s="2">
        <f>IFERROR(__xludf.DUMMYFUNCTION("""COMPUTED_VALUE"""),257.88)</f>
        <v>257.88</v>
      </c>
      <c r="E836" s="2">
        <f>IFERROR(__xludf.DUMMYFUNCTION("""COMPUTED_VALUE"""),262.5)</f>
        <v>262.5</v>
      </c>
      <c r="F836" s="2">
        <f>IFERROR(__xludf.DUMMYFUNCTION("""COMPUTED_VALUE"""),716231.0)</f>
        <v>716231</v>
      </c>
    </row>
    <row r="837">
      <c r="A837" s="3">
        <f>IFERROR(__xludf.DUMMYFUNCTION("""COMPUTED_VALUE"""),39450.645833333336)</f>
        <v>39450.64583</v>
      </c>
      <c r="B837" s="2">
        <f>IFERROR(__xludf.DUMMYFUNCTION("""COMPUTED_VALUE"""),257.52)</f>
        <v>257.52</v>
      </c>
      <c r="C837" s="2">
        <f>IFERROR(__xludf.DUMMYFUNCTION("""COMPUTED_VALUE"""),261.25)</f>
        <v>261.25</v>
      </c>
      <c r="D837" s="2">
        <f>IFERROR(__xludf.DUMMYFUNCTION("""COMPUTED_VALUE"""),251.34)</f>
        <v>251.34</v>
      </c>
      <c r="E837" s="2">
        <f>IFERROR(__xludf.DUMMYFUNCTION("""COMPUTED_VALUE"""),252.76)</f>
        <v>252.76</v>
      </c>
      <c r="F837" s="2">
        <f>IFERROR(__xludf.DUMMYFUNCTION("""COMPUTED_VALUE"""),1292070.0)</f>
        <v>1292070</v>
      </c>
    </row>
    <row r="838">
      <c r="A838" s="3">
        <f>IFERROR(__xludf.DUMMYFUNCTION("""COMPUTED_VALUE"""),39451.645833333336)</f>
        <v>39451.64583</v>
      </c>
      <c r="B838" s="2">
        <f>IFERROR(__xludf.DUMMYFUNCTION("""COMPUTED_VALUE"""),252.76)</f>
        <v>252.76</v>
      </c>
      <c r="C838" s="2">
        <f>IFERROR(__xludf.DUMMYFUNCTION("""COMPUTED_VALUE"""),255.73)</f>
        <v>255.73</v>
      </c>
      <c r="D838" s="2">
        <f>IFERROR(__xludf.DUMMYFUNCTION("""COMPUTED_VALUE"""),250.58)</f>
        <v>250.58</v>
      </c>
      <c r="E838" s="2">
        <f>IFERROR(__xludf.DUMMYFUNCTION("""COMPUTED_VALUE"""),251.3)</f>
        <v>251.3</v>
      </c>
      <c r="F838" s="2">
        <f>IFERROR(__xludf.DUMMYFUNCTION("""COMPUTED_VALUE"""),579717.0)</f>
        <v>579717</v>
      </c>
    </row>
    <row r="839">
      <c r="A839" s="3">
        <f>IFERROR(__xludf.DUMMYFUNCTION("""COMPUTED_VALUE"""),39454.645833333336)</f>
        <v>39454.64583</v>
      </c>
      <c r="B839" s="2">
        <f>IFERROR(__xludf.DUMMYFUNCTION("""COMPUTED_VALUE"""),250.0)</f>
        <v>250</v>
      </c>
      <c r="C839" s="2">
        <f>IFERROR(__xludf.DUMMYFUNCTION("""COMPUTED_VALUE"""),252.2)</f>
        <v>252.2</v>
      </c>
      <c r="D839" s="2">
        <f>IFERROR(__xludf.DUMMYFUNCTION("""COMPUTED_VALUE"""),243.13)</f>
        <v>243.13</v>
      </c>
      <c r="E839" s="2">
        <f>IFERROR(__xludf.DUMMYFUNCTION("""COMPUTED_VALUE"""),243.9)</f>
        <v>243.9</v>
      </c>
      <c r="F839" s="2">
        <f>IFERROR(__xludf.DUMMYFUNCTION("""COMPUTED_VALUE"""),911836.0)</f>
        <v>911836</v>
      </c>
    </row>
    <row r="840">
      <c r="A840" s="3">
        <f>IFERROR(__xludf.DUMMYFUNCTION("""COMPUTED_VALUE"""),39455.645833333336)</f>
        <v>39455.64583</v>
      </c>
      <c r="B840" s="2">
        <f>IFERROR(__xludf.DUMMYFUNCTION("""COMPUTED_VALUE"""),245.0)</f>
        <v>245</v>
      </c>
      <c r="C840" s="2">
        <f>IFERROR(__xludf.DUMMYFUNCTION("""COMPUTED_VALUE"""),248.0)</f>
        <v>248</v>
      </c>
      <c r="D840" s="2">
        <f>IFERROR(__xludf.DUMMYFUNCTION("""COMPUTED_VALUE"""),242.33)</f>
        <v>242.33</v>
      </c>
      <c r="E840" s="2">
        <f>IFERROR(__xludf.DUMMYFUNCTION("""COMPUTED_VALUE"""),246.96)</f>
        <v>246.96</v>
      </c>
      <c r="F840" s="2">
        <f>IFERROR(__xludf.DUMMYFUNCTION("""COMPUTED_VALUE"""),801933.0)</f>
        <v>801933</v>
      </c>
    </row>
    <row r="841">
      <c r="A841" s="3">
        <f>IFERROR(__xludf.DUMMYFUNCTION("""COMPUTED_VALUE"""),39456.645833333336)</f>
        <v>39456.64583</v>
      </c>
      <c r="B841" s="2">
        <f>IFERROR(__xludf.DUMMYFUNCTION("""COMPUTED_VALUE"""),248.7)</f>
        <v>248.7</v>
      </c>
      <c r="C841" s="2">
        <f>IFERROR(__xludf.DUMMYFUNCTION("""COMPUTED_VALUE"""),251.5)</f>
        <v>251.5</v>
      </c>
      <c r="D841" s="2">
        <f>IFERROR(__xludf.DUMMYFUNCTION("""COMPUTED_VALUE"""),247.48)</f>
        <v>247.48</v>
      </c>
      <c r="E841" s="2">
        <f>IFERROR(__xludf.DUMMYFUNCTION("""COMPUTED_VALUE"""),249.08)</f>
        <v>249.08</v>
      </c>
      <c r="F841" s="2">
        <f>IFERROR(__xludf.DUMMYFUNCTION("""COMPUTED_VALUE"""),612532.0)</f>
        <v>612532</v>
      </c>
    </row>
    <row r="842">
      <c r="A842" s="3">
        <f>IFERROR(__xludf.DUMMYFUNCTION("""COMPUTED_VALUE"""),39457.645833333336)</f>
        <v>39457.64583</v>
      </c>
      <c r="B842" s="2">
        <f>IFERROR(__xludf.DUMMYFUNCTION("""COMPUTED_VALUE"""),249.5)</f>
        <v>249.5</v>
      </c>
      <c r="C842" s="2">
        <f>IFERROR(__xludf.DUMMYFUNCTION("""COMPUTED_VALUE"""),252.38)</f>
        <v>252.38</v>
      </c>
      <c r="D842" s="2">
        <f>IFERROR(__xludf.DUMMYFUNCTION("""COMPUTED_VALUE"""),240.5)</f>
        <v>240.5</v>
      </c>
      <c r="E842" s="2">
        <f>IFERROR(__xludf.DUMMYFUNCTION("""COMPUTED_VALUE"""),245.41)</f>
        <v>245.41</v>
      </c>
      <c r="F842" s="2">
        <f>IFERROR(__xludf.DUMMYFUNCTION("""COMPUTED_VALUE"""),835594.0)</f>
        <v>835594</v>
      </c>
    </row>
    <row r="843">
      <c r="A843" s="3">
        <f>IFERROR(__xludf.DUMMYFUNCTION("""COMPUTED_VALUE"""),39458.645833333336)</f>
        <v>39458.64583</v>
      </c>
      <c r="B843" s="2">
        <f>IFERROR(__xludf.DUMMYFUNCTION("""COMPUTED_VALUE"""),228.84)</f>
        <v>228.84</v>
      </c>
      <c r="C843" s="2">
        <f>IFERROR(__xludf.DUMMYFUNCTION("""COMPUTED_VALUE"""),251.0)</f>
        <v>251</v>
      </c>
      <c r="D843" s="2">
        <f>IFERROR(__xludf.DUMMYFUNCTION("""COMPUTED_VALUE"""),228.84)</f>
        <v>228.84</v>
      </c>
      <c r="E843" s="2">
        <f>IFERROR(__xludf.DUMMYFUNCTION("""COMPUTED_VALUE"""),247.44)</f>
        <v>247.44</v>
      </c>
      <c r="F843" s="2">
        <f>IFERROR(__xludf.DUMMYFUNCTION("""COMPUTED_VALUE"""),537297.0)</f>
        <v>537297</v>
      </c>
    </row>
    <row r="844">
      <c r="A844" s="3">
        <f>IFERROR(__xludf.DUMMYFUNCTION("""COMPUTED_VALUE"""),39461.645833333336)</f>
        <v>39461.64583</v>
      </c>
      <c r="B844" s="2">
        <f>IFERROR(__xludf.DUMMYFUNCTION("""COMPUTED_VALUE"""),249.95)</f>
        <v>249.95</v>
      </c>
      <c r="C844" s="2">
        <f>IFERROR(__xludf.DUMMYFUNCTION("""COMPUTED_VALUE"""),249.95)</f>
        <v>249.95</v>
      </c>
      <c r="D844" s="2">
        <f>IFERROR(__xludf.DUMMYFUNCTION("""COMPUTED_VALUE"""),238.9)</f>
        <v>238.9</v>
      </c>
      <c r="E844" s="2">
        <f>IFERROR(__xludf.DUMMYFUNCTION("""COMPUTED_VALUE"""),240.29)</f>
        <v>240.29</v>
      </c>
      <c r="F844" s="2">
        <f>IFERROR(__xludf.DUMMYFUNCTION("""COMPUTED_VALUE"""),1039716.0)</f>
        <v>1039716</v>
      </c>
    </row>
    <row r="845">
      <c r="A845" s="3">
        <f>IFERROR(__xludf.DUMMYFUNCTION("""COMPUTED_VALUE"""),39462.645833333336)</f>
        <v>39462.64583</v>
      </c>
      <c r="B845" s="2">
        <f>IFERROR(__xludf.DUMMYFUNCTION("""COMPUTED_VALUE"""),241.25)</f>
        <v>241.25</v>
      </c>
      <c r="C845" s="2">
        <f>IFERROR(__xludf.DUMMYFUNCTION("""COMPUTED_VALUE"""),242.0)</f>
        <v>242</v>
      </c>
      <c r="D845" s="2">
        <f>IFERROR(__xludf.DUMMYFUNCTION("""COMPUTED_VALUE"""),233.5)</f>
        <v>233.5</v>
      </c>
      <c r="E845" s="2">
        <f>IFERROR(__xludf.DUMMYFUNCTION("""COMPUTED_VALUE"""),235.0)</f>
        <v>235</v>
      </c>
      <c r="F845" s="2">
        <f>IFERROR(__xludf.DUMMYFUNCTION("""COMPUTED_VALUE"""),733897.0)</f>
        <v>733897</v>
      </c>
    </row>
    <row r="846">
      <c r="A846" s="3">
        <f>IFERROR(__xludf.DUMMYFUNCTION("""COMPUTED_VALUE"""),39463.645833333336)</f>
        <v>39463.64583</v>
      </c>
      <c r="B846" s="2">
        <f>IFERROR(__xludf.DUMMYFUNCTION("""COMPUTED_VALUE"""),235.0)</f>
        <v>235</v>
      </c>
      <c r="C846" s="2">
        <f>IFERROR(__xludf.DUMMYFUNCTION("""COMPUTED_VALUE"""),241.68)</f>
        <v>241.68</v>
      </c>
      <c r="D846" s="2">
        <f>IFERROR(__xludf.DUMMYFUNCTION("""COMPUTED_VALUE"""),231.25)</f>
        <v>231.25</v>
      </c>
      <c r="E846" s="2">
        <f>IFERROR(__xludf.DUMMYFUNCTION("""COMPUTED_VALUE"""),236.24)</f>
        <v>236.24</v>
      </c>
      <c r="F846" s="2">
        <f>IFERROR(__xludf.DUMMYFUNCTION("""COMPUTED_VALUE"""),782989.0)</f>
        <v>782989</v>
      </c>
    </row>
    <row r="847">
      <c r="A847" s="3">
        <f>IFERROR(__xludf.DUMMYFUNCTION("""COMPUTED_VALUE"""),39464.645833333336)</f>
        <v>39464.64583</v>
      </c>
      <c r="B847" s="2">
        <f>IFERROR(__xludf.DUMMYFUNCTION("""COMPUTED_VALUE"""),241.45)</f>
        <v>241.45</v>
      </c>
      <c r="C847" s="2">
        <f>IFERROR(__xludf.DUMMYFUNCTION("""COMPUTED_VALUE"""),241.5)</f>
        <v>241.5</v>
      </c>
      <c r="D847" s="2">
        <f>IFERROR(__xludf.DUMMYFUNCTION("""COMPUTED_VALUE"""),229.75)</f>
        <v>229.75</v>
      </c>
      <c r="E847" s="2">
        <f>IFERROR(__xludf.DUMMYFUNCTION("""COMPUTED_VALUE"""),230.68)</f>
        <v>230.68</v>
      </c>
      <c r="F847" s="2">
        <f>IFERROR(__xludf.DUMMYFUNCTION("""COMPUTED_VALUE"""),1575524.0)</f>
        <v>1575524</v>
      </c>
    </row>
    <row r="848">
      <c r="A848" s="3">
        <f>IFERROR(__xludf.DUMMYFUNCTION("""COMPUTED_VALUE"""),39465.645833333336)</f>
        <v>39465.64583</v>
      </c>
      <c r="B848" s="2">
        <f>IFERROR(__xludf.DUMMYFUNCTION("""COMPUTED_VALUE"""),232.38)</f>
        <v>232.38</v>
      </c>
      <c r="C848" s="2">
        <f>IFERROR(__xludf.DUMMYFUNCTION("""COMPUTED_VALUE"""),235.0)</f>
        <v>235</v>
      </c>
      <c r="D848" s="2">
        <f>IFERROR(__xludf.DUMMYFUNCTION("""COMPUTED_VALUE"""),224.28)</f>
        <v>224.28</v>
      </c>
      <c r="E848" s="2">
        <f>IFERROR(__xludf.DUMMYFUNCTION("""COMPUTED_VALUE"""),225.8)</f>
        <v>225.8</v>
      </c>
      <c r="F848" s="2">
        <f>IFERROR(__xludf.DUMMYFUNCTION("""COMPUTED_VALUE"""),1083454.0)</f>
        <v>1083454</v>
      </c>
    </row>
    <row r="849">
      <c r="A849" s="3">
        <f>IFERROR(__xludf.DUMMYFUNCTION("""COMPUTED_VALUE"""),39468.645833333336)</f>
        <v>39468.64583</v>
      </c>
      <c r="B849" s="2">
        <f>IFERROR(__xludf.DUMMYFUNCTION("""COMPUTED_VALUE"""),226.0)</f>
        <v>226</v>
      </c>
      <c r="C849" s="2">
        <f>IFERROR(__xludf.DUMMYFUNCTION("""COMPUTED_VALUE"""),226.18)</f>
        <v>226.18</v>
      </c>
      <c r="D849" s="2">
        <f>IFERROR(__xludf.DUMMYFUNCTION("""COMPUTED_VALUE"""),201.31)</f>
        <v>201.31</v>
      </c>
      <c r="E849" s="2">
        <f>IFERROR(__xludf.DUMMYFUNCTION("""COMPUTED_VALUE"""),207.76)</f>
        <v>207.76</v>
      </c>
      <c r="F849" s="2">
        <f>IFERROR(__xludf.DUMMYFUNCTION("""COMPUTED_VALUE"""),1210008.0)</f>
        <v>1210008</v>
      </c>
    </row>
    <row r="850">
      <c r="A850" s="3">
        <f>IFERROR(__xludf.DUMMYFUNCTION("""COMPUTED_VALUE"""),39469.645833333336)</f>
        <v>39469.64583</v>
      </c>
      <c r="B850" s="2">
        <f>IFERROR(__xludf.DUMMYFUNCTION("""COMPUTED_VALUE"""),203.68)</f>
        <v>203.68</v>
      </c>
      <c r="C850" s="2">
        <f>IFERROR(__xludf.DUMMYFUNCTION("""COMPUTED_VALUE"""),247.5)</f>
        <v>247.5</v>
      </c>
      <c r="D850" s="2">
        <f>IFERROR(__xludf.DUMMYFUNCTION("""COMPUTED_VALUE"""),181.25)</f>
        <v>181.25</v>
      </c>
      <c r="E850" s="2">
        <f>IFERROR(__xludf.DUMMYFUNCTION("""COMPUTED_VALUE"""),199.56)</f>
        <v>199.56</v>
      </c>
      <c r="F850" s="2">
        <f>IFERROR(__xludf.DUMMYFUNCTION("""COMPUTED_VALUE"""),1594218.0)</f>
        <v>1594218</v>
      </c>
    </row>
    <row r="851">
      <c r="A851" s="3">
        <f>IFERROR(__xludf.DUMMYFUNCTION("""COMPUTED_VALUE"""),39470.645833333336)</f>
        <v>39470.64583</v>
      </c>
      <c r="B851" s="2">
        <f>IFERROR(__xludf.DUMMYFUNCTION("""COMPUTED_VALUE"""),214.75)</f>
        <v>214.75</v>
      </c>
      <c r="C851" s="2">
        <f>IFERROR(__xludf.DUMMYFUNCTION("""COMPUTED_VALUE"""),222.5)</f>
        <v>222.5</v>
      </c>
      <c r="D851" s="2">
        <f>IFERROR(__xludf.DUMMYFUNCTION("""COMPUTED_VALUE"""),201.25)</f>
        <v>201.25</v>
      </c>
      <c r="E851" s="2">
        <f>IFERROR(__xludf.DUMMYFUNCTION("""COMPUTED_VALUE"""),217.99)</f>
        <v>217.99</v>
      </c>
      <c r="F851" s="2">
        <f>IFERROR(__xludf.DUMMYFUNCTION("""COMPUTED_VALUE"""),1339780.0)</f>
        <v>1339780</v>
      </c>
    </row>
    <row r="852">
      <c r="A852" s="3">
        <f>IFERROR(__xludf.DUMMYFUNCTION("""COMPUTED_VALUE"""),39471.645833333336)</f>
        <v>39471.64583</v>
      </c>
      <c r="B852" s="2">
        <f>IFERROR(__xludf.DUMMYFUNCTION("""COMPUTED_VALUE"""),217.5)</f>
        <v>217.5</v>
      </c>
      <c r="C852" s="2">
        <f>IFERROR(__xludf.DUMMYFUNCTION("""COMPUTED_VALUE"""),222.0)</f>
        <v>222</v>
      </c>
      <c r="D852" s="2">
        <f>IFERROR(__xludf.DUMMYFUNCTION("""COMPUTED_VALUE"""),206.44)</f>
        <v>206.44</v>
      </c>
      <c r="E852" s="2">
        <f>IFERROR(__xludf.DUMMYFUNCTION("""COMPUTED_VALUE"""),210.81)</f>
        <v>210.81</v>
      </c>
      <c r="F852" s="2">
        <f>IFERROR(__xludf.DUMMYFUNCTION("""COMPUTED_VALUE"""),503334.0)</f>
        <v>503334</v>
      </c>
    </row>
    <row r="853">
      <c r="A853" s="3">
        <f>IFERROR(__xludf.DUMMYFUNCTION("""COMPUTED_VALUE"""),39472.645833333336)</f>
        <v>39472.64583</v>
      </c>
      <c r="B853" s="2">
        <f>IFERROR(__xludf.DUMMYFUNCTION("""COMPUTED_VALUE"""),213.25)</f>
        <v>213.25</v>
      </c>
      <c r="C853" s="2">
        <f>IFERROR(__xludf.DUMMYFUNCTION("""COMPUTED_VALUE"""),224.43)</f>
        <v>224.43</v>
      </c>
      <c r="D853" s="2">
        <f>IFERROR(__xludf.DUMMYFUNCTION("""COMPUTED_VALUE"""),212.53)</f>
        <v>212.53</v>
      </c>
      <c r="E853" s="2">
        <f>IFERROR(__xludf.DUMMYFUNCTION("""COMPUTED_VALUE"""),221.15)</f>
        <v>221.15</v>
      </c>
      <c r="F853" s="2">
        <f>IFERROR(__xludf.DUMMYFUNCTION("""COMPUTED_VALUE"""),560779.0)</f>
        <v>560779</v>
      </c>
    </row>
    <row r="854">
      <c r="A854" s="3">
        <f>IFERROR(__xludf.DUMMYFUNCTION("""COMPUTED_VALUE"""),39475.645833333336)</f>
        <v>39475.64583</v>
      </c>
      <c r="B854" s="2">
        <f>IFERROR(__xludf.DUMMYFUNCTION("""COMPUTED_VALUE"""),217.5)</f>
        <v>217.5</v>
      </c>
      <c r="C854" s="2">
        <f>IFERROR(__xludf.DUMMYFUNCTION("""COMPUTED_VALUE"""),217.5)</f>
        <v>217.5</v>
      </c>
      <c r="D854" s="2">
        <f>IFERROR(__xludf.DUMMYFUNCTION("""COMPUTED_VALUE"""),206.25)</f>
        <v>206.25</v>
      </c>
      <c r="E854" s="2">
        <f>IFERROR(__xludf.DUMMYFUNCTION("""COMPUTED_VALUE"""),213.58)</f>
        <v>213.58</v>
      </c>
      <c r="F854" s="2">
        <f>IFERROR(__xludf.DUMMYFUNCTION("""COMPUTED_VALUE"""),621415.0)</f>
        <v>621415</v>
      </c>
    </row>
    <row r="855">
      <c r="A855" s="3">
        <f>IFERROR(__xludf.DUMMYFUNCTION("""COMPUTED_VALUE"""),39476.645833333336)</f>
        <v>39476.64583</v>
      </c>
      <c r="B855" s="2">
        <f>IFERROR(__xludf.DUMMYFUNCTION("""COMPUTED_VALUE"""),214.0)</f>
        <v>214</v>
      </c>
      <c r="C855" s="2">
        <f>IFERROR(__xludf.DUMMYFUNCTION("""COMPUTED_VALUE"""),221.15)</f>
        <v>221.15</v>
      </c>
      <c r="D855" s="2">
        <f>IFERROR(__xludf.DUMMYFUNCTION("""COMPUTED_VALUE"""),213.75)</f>
        <v>213.75</v>
      </c>
      <c r="E855" s="2">
        <f>IFERROR(__xludf.DUMMYFUNCTION("""COMPUTED_VALUE"""),216.93)</f>
        <v>216.93</v>
      </c>
      <c r="F855" s="2">
        <f>IFERROR(__xludf.DUMMYFUNCTION("""COMPUTED_VALUE"""),814678.0)</f>
        <v>814678</v>
      </c>
    </row>
    <row r="856">
      <c r="A856" s="3">
        <f>IFERROR(__xludf.DUMMYFUNCTION("""COMPUTED_VALUE"""),39477.645833333336)</f>
        <v>39477.64583</v>
      </c>
      <c r="B856" s="2">
        <f>IFERROR(__xludf.DUMMYFUNCTION("""COMPUTED_VALUE"""),220.5)</f>
        <v>220.5</v>
      </c>
      <c r="C856" s="2">
        <f>IFERROR(__xludf.DUMMYFUNCTION("""COMPUTED_VALUE"""),223.0)</f>
        <v>223</v>
      </c>
      <c r="D856" s="2">
        <f>IFERROR(__xludf.DUMMYFUNCTION("""COMPUTED_VALUE"""),215.0)</f>
        <v>215</v>
      </c>
      <c r="E856" s="2">
        <f>IFERROR(__xludf.DUMMYFUNCTION("""COMPUTED_VALUE"""),217.46)</f>
        <v>217.46</v>
      </c>
      <c r="F856" s="2">
        <f>IFERROR(__xludf.DUMMYFUNCTION("""COMPUTED_VALUE"""),758214.0)</f>
        <v>758214</v>
      </c>
    </row>
    <row r="857">
      <c r="A857" s="3">
        <f>IFERROR(__xludf.DUMMYFUNCTION("""COMPUTED_VALUE"""),39478.645833333336)</f>
        <v>39478.64583</v>
      </c>
      <c r="B857" s="2">
        <f>IFERROR(__xludf.DUMMYFUNCTION("""COMPUTED_VALUE"""),217.5)</f>
        <v>217.5</v>
      </c>
      <c r="C857" s="2">
        <f>IFERROR(__xludf.DUMMYFUNCTION("""COMPUTED_VALUE"""),222.5)</f>
        <v>222.5</v>
      </c>
      <c r="D857" s="2">
        <f>IFERROR(__xludf.DUMMYFUNCTION("""COMPUTED_VALUE"""),208.84)</f>
        <v>208.84</v>
      </c>
      <c r="E857" s="2">
        <f>IFERROR(__xludf.DUMMYFUNCTION("""COMPUTED_VALUE"""),218.44)</f>
        <v>218.44</v>
      </c>
      <c r="F857" s="2">
        <f>IFERROR(__xludf.DUMMYFUNCTION("""COMPUTED_VALUE"""),1491739.0)</f>
        <v>1491739</v>
      </c>
    </row>
    <row r="858">
      <c r="A858" s="3">
        <f>IFERROR(__xludf.DUMMYFUNCTION("""COMPUTED_VALUE"""),39479.645833333336)</f>
        <v>39479.64583</v>
      </c>
      <c r="B858" s="2">
        <f>IFERROR(__xludf.DUMMYFUNCTION("""COMPUTED_VALUE"""),221.25)</f>
        <v>221.25</v>
      </c>
      <c r="C858" s="2">
        <f>IFERROR(__xludf.DUMMYFUNCTION("""COMPUTED_VALUE"""),235.28)</f>
        <v>235.28</v>
      </c>
      <c r="D858" s="2">
        <f>IFERROR(__xludf.DUMMYFUNCTION("""COMPUTED_VALUE"""),218.33)</f>
        <v>218.33</v>
      </c>
      <c r="E858" s="2">
        <f>IFERROR(__xludf.DUMMYFUNCTION("""COMPUTED_VALUE"""),232.38)</f>
        <v>232.38</v>
      </c>
      <c r="F858" s="2">
        <f>IFERROR(__xludf.DUMMYFUNCTION("""COMPUTED_VALUE"""),1042380.0)</f>
        <v>1042380</v>
      </c>
    </row>
    <row r="859">
      <c r="A859" s="3">
        <f>IFERROR(__xludf.DUMMYFUNCTION("""COMPUTED_VALUE"""),39482.645833333336)</f>
        <v>39482.64583</v>
      </c>
      <c r="B859" s="2">
        <f>IFERROR(__xludf.DUMMYFUNCTION("""COMPUTED_VALUE"""),236.25)</f>
        <v>236.25</v>
      </c>
      <c r="C859" s="2">
        <f>IFERROR(__xludf.DUMMYFUNCTION("""COMPUTED_VALUE"""),247.25)</f>
        <v>247.25</v>
      </c>
      <c r="D859" s="2">
        <f>IFERROR(__xludf.DUMMYFUNCTION("""COMPUTED_VALUE"""),234.75)</f>
        <v>234.75</v>
      </c>
      <c r="E859" s="2">
        <f>IFERROR(__xludf.DUMMYFUNCTION("""COMPUTED_VALUE"""),243.91)</f>
        <v>243.91</v>
      </c>
      <c r="F859" s="2">
        <f>IFERROR(__xludf.DUMMYFUNCTION("""COMPUTED_VALUE"""),932630.0)</f>
        <v>932630</v>
      </c>
    </row>
    <row r="860">
      <c r="A860" s="3">
        <f>IFERROR(__xludf.DUMMYFUNCTION("""COMPUTED_VALUE"""),39483.645833333336)</f>
        <v>39483.64583</v>
      </c>
      <c r="B860" s="2">
        <f>IFERROR(__xludf.DUMMYFUNCTION("""COMPUTED_VALUE"""),240.0)</f>
        <v>240</v>
      </c>
      <c r="C860" s="2">
        <f>IFERROR(__xludf.DUMMYFUNCTION("""COMPUTED_VALUE"""),243.75)</f>
        <v>243.75</v>
      </c>
      <c r="D860" s="2">
        <f>IFERROR(__xludf.DUMMYFUNCTION("""COMPUTED_VALUE"""),233.91)</f>
        <v>233.91</v>
      </c>
      <c r="E860" s="2">
        <f>IFERROR(__xludf.DUMMYFUNCTION("""COMPUTED_VALUE"""),238.76)</f>
        <v>238.76</v>
      </c>
      <c r="F860" s="2">
        <f>IFERROR(__xludf.DUMMYFUNCTION("""COMPUTED_VALUE"""),430718.0)</f>
        <v>430718</v>
      </c>
    </row>
    <row r="861">
      <c r="A861" s="3">
        <f>IFERROR(__xludf.DUMMYFUNCTION("""COMPUTED_VALUE"""),39484.645833333336)</f>
        <v>39484.64583</v>
      </c>
      <c r="B861" s="2">
        <f>IFERROR(__xludf.DUMMYFUNCTION("""COMPUTED_VALUE"""),232.5)</f>
        <v>232.5</v>
      </c>
      <c r="C861" s="2">
        <f>IFERROR(__xludf.DUMMYFUNCTION("""COMPUTED_VALUE"""),232.5)</f>
        <v>232.5</v>
      </c>
      <c r="D861" s="2">
        <f>IFERROR(__xludf.DUMMYFUNCTION("""COMPUTED_VALUE"""),223.63)</f>
        <v>223.63</v>
      </c>
      <c r="E861" s="2">
        <f>IFERROR(__xludf.DUMMYFUNCTION("""COMPUTED_VALUE"""),226.53)</f>
        <v>226.53</v>
      </c>
      <c r="F861" s="2">
        <f>IFERROR(__xludf.DUMMYFUNCTION("""COMPUTED_VALUE"""),1001988.0)</f>
        <v>1001988</v>
      </c>
    </row>
    <row r="862">
      <c r="A862" s="3">
        <f>IFERROR(__xludf.DUMMYFUNCTION("""COMPUTED_VALUE"""),39485.645833333336)</f>
        <v>39485.64583</v>
      </c>
      <c r="B862" s="2">
        <f>IFERROR(__xludf.DUMMYFUNCTION("""COMPUTED_VALUE"""),226.53)</f>
        <v>226.53</v>
      </c>
      <c r="C862" s="2">
        <f>IFERROR(__xludf.DUMMYFUNCTION("""COMPUTED_VALUE"""),226.53)</f>
        <v>226.53</v>
      </c>
      <c r="D862" s="2">
        <f>IFERROR(__xludf.DUMMYFUNCTION("""COMPUTED_VALUE"""),217.76)</f>
        <v>217.76</v>
      </c>
      <c r="E862" s="2">
        <f>IFERROR(__xludf.DUMMYFUNCTION("""COMPUTED_VALUE"""),219.76)</f>
        <v>219.76</v>
      </c>
      <c r="F862" s="2">
        <f>IFERROR(__xludf.DUMMYFUNCTION("""COMPUTED_VALUE"""),643663.0)</f>
        <v>643663</v>
      </c>
    </row>
    <row r="863">
      <c r="A863" s="3">
        <f>IFERROR(__xludf.DUMMYFUNCTION("""COMPUTED_VALUE"""),39486.645833333336)</f>
        <v>39486.64583</v>
      </c>
      <c r="B863" s="2">
        <f>IFERROR(__xludf.DUMMYFUNCTION("""COMPUTED_VALUE"""),221.0)</f>
        <v>221</v>
      </c>
      <c r="C863" s="2">
        <f>IFERROR(__xludf.DUMMYFUNCTION("""COMPUTED_VALUE"""),231.25)</f>
        <v>231.25</v>
      </c>
      <c r="D863" s="2">
        <f>IFERROR(__xludf.DUMMYFUNCTION("""COMPUTED_VALUE"""),220.0)</f>
        <v>220</v>
      </c>
      <c r="E863" s="2">
        <f>IFERROR(__xludf.DUMMYFUNCTION("""COMPUTED_VALUE"""),224.6)</f>
        <v>224.6</v>
      </c>
      <c r="F863" s="2">
        <f>IFERROR(__xludf.DUMMYFUNCTION("""COMPUTED_VALUE"""),644205.0)</f>
        <v>644205</v>
      </c>
    </row>
    <row r="864">
      <c r="A864" s="3">
        <f>IFERROR(__xludf.DUMMYFUNCTION("""COMPUTED_VALUE"""),39489.645833333336)</f>
        <v>39489.64583</v>
      </c>
      <c r="B864" s="2">
        <f>IFERROR(__xludf.DUMMYFUNCTION("""COMPUTED_VALUE"""),224.6)</f>
        <v>224.6</v>
      </c>
      <c r="C864" s="2">
        <f>IFERROR(__xludf.DUMMYFUNCTION("""COMPUTED_VALUE"""),233.0)</f>
        <v>233</v>
      </c>
      <c r="D864" s="2">
        <f>IFERROR(__xludf.DUMMYFUNCTION("""COMPUTED_VALUE"""),215.03)</f>
        <v>215.03</v>
      </c>
      <c r="E864" s="2">
        <f>IFERROR(__xludf.DUMMYFUNCTION("""COMPUTED_VALUE"""),226.53)</f>
        <v>226.53</v>
      </c>
      <c r="F864" s="2">
        <f>IFERROR(__xludf.DUMMYFUNCTION("""COMPUTED_VALUE"""),800247.0)</f>
        <v>800247</v>
      </c>
    </row>
    <row r="865">
      <c r="A865" s="3">
        <f>IFERROR(__xludf.DUMMYFUNCTION("""COMPUTED_VALUE"""),39490.645833333336)</f>
        <v>39490.64583</v>
      </c>
      <c r="B865" s="2">
        <f>IFERROR(__xludf.DUMMYFUNCTION("""COMPUTED_VALUE"""),226.25)</f>
        <v>226.25</v>
      </c>
      <c r="C865" s="2">
        <f>IFERROR(__xludf.DUMMYFUNCTION("""COMPUTED_VALUE"""),231.25)</f>
        <v>231.25</v>
      </c>
      <c r="D865" s="2">
        <f>IFERROR(__xludf.DUMMYFUNCTION("""COMPUTED_VALUE"""),215.0)</f>
        <v>215</v>
      </c>
      <c r="E865" s="2">
        <f>IFERROR(__xludf.DUMMYFUNCTION("""COMPUTED_VALUE"""),216.16)</f>
        <v>216.16</v>
      </c>
      <c r="F865" s="2">
        <f>IFERROR(__xludf.DUMMYFUNCTION("""COMPUTED_VALUE"""),1290332.0)</f>
        <v>1290332</v>
      </c>
    </row>
    <row r="866">
      <c r="A866" s="3">
        <f>IFERROR(__xludf.DUMMYFUNCTION("""COMPUTED_VALUE"""),39491.645833333336)</f>
        <v>39491.64583</v>
      </c>
      <c r="B866" s="2">
        <f>IFERROR(__xludf.DUMMYFUNCTION("""COMPUTED_VALUE"""),218.75)</f>
        <v>218.75</v>
      </c>
      <c r="C866" s="2">
        <f>IFERROR(__xludf.DUMMYFUNCTION("""COMPUTED_VALUE"""),224.25)</f>
        <v>224.25</v>
      </c>
      <c r="D866" s="2">
        <f>IFERROR(__xludf.DUMMYFUNCTION("""COMPUTED_VALUE"""),212.83)</f>
        <v>212.83</v>
      </c>
      <c r="E866" s="2">
        <f>IFERROR(__xludf.DUMMYFUNCTION("""COMPUTED_VALUE"""),217.24)</f>
        <v>217.24</v>
      </c>
      <c r="F866" s="2">
        <f>IFERROR(__xludf.DUMMYFUNCTION("""COMPUTED_VALUE"""),546344.0)</f>
        <v>546344</v>
      </c>
    </row>
    <row r="867">
      <c r="A867" s="3">
        <f>IFERROR(__xludf.DUMMYFUNCTION("""COMPUTED_VALUE"""),39492.645833333336)</f>
        <v>39492.64583</v>
      </c>
      <c r="B867" s="2">
        <f>IFERROR(__xludf.DUMMYFUNCTION("""COMPUTED_VALUE"""),221.25)</f>
        <v>221.25</v>
      </c>
      <c r="C867" s="2">
        <f>IFERROR(__xludf.DUMMYFUNCTION("""COMPUTED_VALUE"""),225.0)</f>
        <v>225</v>
      </c>
      <c r="D867" s="2">
        <f>IFERROR(__xludf.DUMMYFUNCTION("""COMPUTED_VALUE"""),215.25)</f>
        <v>215.25</v>
      </c>
      <c r="E867" s="2">
        <f>IFERROR(__xludf.DUMMYFUNCTION("""COMPUTED_VALUE"""),218.45)</f>
        <v>218.45</v>
      </c>
      <c r="F867" s="2">
        <f>IFERROR(__xludf.DUMMYFUNCTION("""COMPUTED_VALUE"""),561620.0)</f>
        <v>561620</v>
      </c>
    </row>
    <row r="868">
      <c r="A868" s="3">
        <f>IFERROR(__xludf.DUMMYFUNCTION("""COMPUTED_VALUE"""),39493.645833333336)</f>
        <v>39493.64583</v>
      </c>
      <c r="B868" s="2">
        <f>IFERROR(__xludf.DUMMYFUNCTION("""COMPUTED_VALUE"""),215.0)</f>
        <v>215</v>
      </c>
      <c r="C868" s="2">
        <f>IFERROR(__xludf.DUMMYFUNCTION("""COMPUTED_VALUE"""),221.76)</f>
        <v>221.76</v>
      </c>
      <c r="D868" s="2">
        <f>IFERROR(__xludf.DUMMYFUNCTION("""COMPUTED_VALUE"""),215.0)</f>
        <v>215</v>
      </c>
      <c r="E868" s="2">
        <f>IFERROR(__xludf.DUMMYFUNCTION("""COMPUTED_VALUE"""),218.18)</f>
        <v>218.18</v>
      </c>
      <c r="F868" s="2">
        <f>IFERROR(__xludf.DUMMYFUNCTION("""COMPUTED_VALUE"""),553261.0)</f>
        <v>553261</v>
      </c>
    </row>
    <row r="869">
      <c r="A869" s="3">
        <f>IFERROR(__xludf.DUMMYFUNCTION("""COMPUTED_VALUE"""),39496.645833333336)</f>
        <v>39496.64583</v>
      </c>
      <c r="B869" s="2">
        <f>IFERROR(__xludf.DUMMYFUNCTION("""COMPUTED_VALUE"""),218.18)</f>
        <v>218.18</v>
      </c>
      <c r="C869" s="2">
        <f>IFERROR(__xludf.DUMMYFUNCTION("""COMPUTED_VALUE"""),218.75)</f>
        <v>218.75</v>
      </c>
      <c r="D869" s="2">
        <f>IFERROR(__xludf.DUMMYFUNCTION("""COMPUTED_VALUE"""),212.5)</f>
        <v>212.5</v>
      </c>
      <c r="E869" s="2">
        <f>IFERROR(__xludf.DUMMYFUNCTION("""COMPUTED_VALUE"""),213.3)</f>
        <v>213.3</v>
      </c>
      <c r="F869" s="2">
        <f>IFERROR(__xludf.DUMMYFUNCTION("""COMPUTED_VALUE"""),430790.0)</f>
        <v>430790</v>
      </c>
    </row>
    <row r="870">
      <c r="A870" s="3">
        <f>IFERROR(__xludf.DUMMYFUNCTION("""COMPUTED_VALUE"""),39497.645833333336)</f>
        <v>39497.64583</v>
      </c>
      <c r="B870" s="2">
        <f>IFERROR(__xludf.DUMMYFUNCTION("""COMPUTED_VALUE"""),214.0)</f>
        <v>214</v>
      </c>
      <c r="C870" s="2">
        <f>IFERROR(__xludf.DUMMYFUNCTION("""COMPUTED_VALUE"""),221.0)</f>
        <v>221</v>
      </c>
      <c r="D870" s="2">
        <f>IFERROR(__xludf.DUMMYFUNCTION("""COMPUTED_VALUE"""),213.75)</f>
        <v>213.75</v>
      </c>
      <c r="E870" s="2">
        <f>IFERROR(__xludf.DUMMYFUNCTION("""COMPUTED_VALUE"""),218.86)</f>
        <v>218.86</v>
      </c>
      <c r="F870" s="2">
        <f>IFERROR(__xludf.DUMMYFUNCTION("""COMPUTED_VALUE"""),486822.0)</f>
        <v>486822</v>
      </c>
    </row>
    <row r="871">
      <c r="A871" s="3">
        <f>IFERROR(__xludf.DUMMYFUNCTION("""COMPUTED_VALUE"""),39498.645833333336)</f>
        <v>39498.64583</v>
      </c>
      <c r="B871" s="2">
        <f>IFERROR(__xludf.DUMMYFUNCTION("""COMPUTED_VALUE"""),219.98)</f>
        <v>219.98</v>
      </c>
      <c r="C871" s="2">
        <f>IFERROR(__xludf.DUMMYFUNCTION("""COMPUTED_VALUE"""),223.66)</f>
        <v>223.66</v>
      </c>
      <c r="D871" s="2">
        <f>IFERROR(__xludf.DUMMYFUNCTION("""COMPUTED_VALUE"""),218.31)</f>
        <v>218.31</v>
      </c>
      <c r="E871" s="2">
        <f>IFERROR(__xludf.DUMMYFUNCTION("""COMPUTED_VALUE"""),221.53)</f>
        <v>221.53</v>
      </c>
      <c r="F871" s="2">
        <f>IFERROR(__xludf.DUMMYFUNCTION("""COMPUTED_VALUE"""),765156.0)</f>
        <v>765156</v>
      </c>
    </row>
    <row r="872">
      <c r="A872" s="3">
        <f>IFERROR(__xludf.DUMMYFUNCTION("""COMPUTED_VALUE"""),39499.645833333336)</f>
        <v>39499.64583</v>
      </c>
      <c r="B872" s="2">
        <f>IFERROR(__xludf.DUMMYFUNCTION("""COMPUTED_VALUE"""),224.5)</f>
        <v>224.5</v>
      </c>
      <c r="C872" s="2">
        <f>IFERROR(__xludf.DUMMYFUNCTION("""COMPUTED_VALUE"""),232.75)</f>
        <v>232.75</v>
      </c>
      <c r="D872" s="2">
        <f>IFERROR(__xludf.DUMMYFUNCTION("""COMPUTED_VALUE"""),220.5)</f>
        <v>220.5</v>
      </c>
      <c r="E872" s="2">
        <f>IFERROR(__xludf.DUMMYFUNCTION("""COMPUTED_VALUE"""),228.66)</f>
        <v>228.66</v>
      </c>
      <c r="F872" s="2">
        <f>IFERROR(__xludf.DUMMYFUNCTION("""COMPUTED_VALUE"""),890513.0)</f>
        <v>890513</v>
      </c>
    </row>
    <row r="873">
      <c r="A873" s="3">
        <f>IFERROR(__xludf.DUMMYFUNCTION("""COMPUTED_VALUE"""),39500.645833333336)</f>
        <v>39500.64583</v>
      </c>
      <c r="B873" s="2">
        <f>IFERROR(__xludf.DUMMYFUNCTION("""COMPUTED_VALUE"""),230.0)</f>
        <v>230</v>
      </c>
      <c r="C873" s="2">
        <f>IFERROR(__xludf.DUMMYFUNCTION("""COMPUTED_VALUE"""),230.23)</f>
        <v>230.23</v>
      </c>
      <c r="D873" s="2">
        <f>IFERROR(__xludf.DUMMYFUNCTION("""COMPUTED_VALUE"""),221.25)</f>
        <v>221.25</v>
      </c>
      <c r="E873" s="2">
        <f>IFERROR(__xludf.DUMMYFUNCTION("""COMPUTED_VALUE"""),225.14)</f>
        <v>225.14</v>
      </c>
      <c r="F873" s="2">
        <f>IFERROR(__xludf.DUMMYFUNCTION("""COMPUTED_VALUE"""),600379.0)</f>
        <v>600379</v>
      </c>
    </row>
    <row r="874">
      <c r="A874" s="3">
        <f>IFERROR(__xludf.DUMMYFUNCTION("""COMPUTED_VALUE"""),39503.645833333336)</f>
        <v>39503.64583</v>
      </c>
      <c r="B874" s="2">
        <f>IFERROR(__xludf.DUMMYFUNCTION("""COMPUTED_VALUE"""),232.0)</f>
        <v>232</v>
      </c>
      <c r="C874" s="2">
        <f>IFERROR(__xludf.DUMMYFUNCTION("""COMPUTED_VALUE"""),232.25)</f>
        <v>232.25</v>
      </c>
      <c r="D874" s="2">
        <f>IFERROR(__xludf.DUMMYFUNCTION("""COMPUTED_VALUE"""),222.56)</f>
        <v>222.56</v>
      </c>
      <c r="E874" s="2">
        <f>IFERROR(__xludf.DUMMYFUNCTION("""COMPUTED_VALUE"""),225.19)</f>
        <v>225.19</v>
      </c>
      <c r="F874" s="2">
        <f>IFERROR(__xludf.DUMMYFUNCTION("""COMPUTED_VALUE"""),813865.0)</f>
        <v>813865</v>
      </c>
    </row>
    <row r="875">
      <c r="A875" s="3">
        <f>IFERROR(__xludf.DUMMYFUNCTION("""COMPUTED_VALUE"""),39504.645833333336)</f>
        <v>39504.64583</v>
      </c>
      <c r="B875" s="2">
        <f>IFERROR(__xludf.DUMMYFUNCTION("""COMPUTED_VALUE"""),231.0)</f>
        <v>231</v>
      </c>
      <c r="C875" s="2">
        <f>IFERROR(__xludf.DUMMYFUNCTION("""COMPUTED_VALUE"""),231.0)</f>
        <v>231</v>
      </c>
      <c r="D875" s="2">
        <f>IFERROR(__xludf.DUMMYFUNCTION("""COMPUTED_VALUE"""),223.75)</f>
        <v>223.75</v>
      </c>
      <c r="E875" s="2">
        <f>IFERROR(__xludf.DUMMYFUNCTION("""COMPUTED_VALUE"""),224.6)</f>
        <v>224.6</v>
      </c>
      <c r="F875" s="2">
        <f>IFERROR(__xludf.DUMMYFUNCTION("""COMPUTED_VALUE"""),1249896.0)</f>
        <v>1249896</v>
      </c>
    </row>
    <row r="876">
      <c r="A876" s="3">
        <f>IFERROR(__xludf.DUMMYFUNCTION("""COMPUTED_VALUE"""),39505.645833333336)</f>
        <v>39505.64583</v>
      </c>
      <c r="B876" s="2">
        <f>IFERROR(__xludf.DUMMYFUNCTION("""COMPUTED_VALUE"""),227.0)</f>
        <v>227</v>
      </c>
      <c r="C876" s="2">
        <f>IFERROR(__xludf.DUMMYFUNCTION("""COMPUTED_VALUE"""),228.71)</f>
        <v>228.71</v>
      </c>
      <c r="D876" s="2">
        <f>IFERROR(__xludf.DUMMYFUNCTION("""COMPUTED_VALUE"""),218.51)</f>
        <v>218.51</v>
      </c>
      <c r="E876" s="2">
        <f>IFERROR(__xludf.DUMMYFUNCTION("""COMPUTED_VALUE"""),219.39)</f>
        <v>219.39</v>
      </c>
      <c r="F876" s="2">
        <f>IFERROR(__xludf.DUMMYFUNCTION("""COMPUTED_VALUE"""),591014.0)</f>
        <v>591014</v>
      </c>
    </row>
    <row r="877">
      <c r="A877" s="3">
        <f>IFERROR(__xludf.DUMMYFUNCTION("""COMPUTED_VALUE"""),39506.645833333336)</f>
        <v>39506.64583</v>
      </c>
      <c r="B877" s="2">
        <f>IFERROR(__xludf.DUMMYFUNCTION("""COMPUTED_VALUE"""),221.25)</f>
        <v>221.25</v>
      </c>
      <c r="C877" s="2">
        <f>IFERROR(__xludf.DUMMYFUNCTION("""COMPUTED_VALUE"""),222.5)</f>
        <v>222.5</v>
      </c>
      <c r="D877" s="2">
        <f>IFERROR(__xludf.DUMMYFUNCTION("""COMPUTED_VALUE"""),218.0)</f>
        <v>218</v>
      </c>
      <c r="E877" s="2">
        <f>IFERROR(__xludf.DUMMYFUNCTION("""COMPUTED_VALUE"""),220.23)</f>
        <v>220.23</v>
      </c>
      <c r="F877" s="2">
        <f>IFERROR(__xludf.DUMMYFUNCTION("""COMPUTED_VALUE"""),1394751.0)</f>
        <v>1394751</v>
      </c>
    </row>
    <row r="878">
      <c r="A878" s="3">
        <f>IFERROR(__xludf.DUMMYFUNCTION("""COMPUTED_VALUE"""),39507.645833333336)</f>
        <v>39507.64583</v>
      </c>
      <c r="B878" s="2">
        <f>IFERROR(__xludf.DUMMYFUNCTION("""COMPUTED_VALUE"""),220.0)</f>
        <v>220</v>
      </c>
      <c r="C878" s="2">
        <f>IFERROR(__xludf.DUMMYFUNCTION("""COMPUTED_VALUE"""),222.93)</f>
        <v>222.93</v>
      </c>
      <c r="D878" s="2">
        <f>IFERROR(__xludf.DUMMYFUNCTION("""COMPUTED_VALUE"""),215.88)</f>
        <v>215.88</v>
      </c>
      <c r="E878" s="2">
        <f>IFERROR(__xludf.DUMMYFUNCTION("""COMPUTED_VALUE"""),219.35)</f>
        <v>219.35</v>
      </c>
      <c r="F878" s="2">
        <f>IFERROR(__xludf.DUMMYFUNCTION("""COMPUTED_VALUE"""),854120.0)</f>
        <v>854120</v>
      </c>
    </row>
    <row r="879">
      <c r="A879" s="3">
        <f>IFERROR(__xludf.DUMMYFUNCTION("""COMPUTED_VALUE"""),39510.645833333336)</f>
        <v>39510.64583</v>
      </c>
      <c r="B879" s="2">
        <f>IFERROR(__xludf.DUMMYFUNCTION("""COMPUTED_VALUE"""),216.5)</f>
        <v>216.5</v>
      </c>
      <c r="C879" s="2">
        <f>IFERROR(__xludf.DUMMYFUNCTION("""COMPUTED_VALUE"""),217.18)</f>
        <v>217.18</v>
      </c>
      <c r="D879" s="2">
        <f>IFERROR(__xludf.DUMMYFUNCTION("""COMPUTED_VALUE"""),210.0)</f>
        <v>210</v>
      </c>
      <c r="E879" s="2">
        <f>IFERROR(__xludf.DUMMYFUNCTION("""COMPUTED_VALUE"""),212.15)</f>
        <v>212.15</v>
      </c>
      <c r="F879" s="2">
        <f>IFERROR(__xludf.DUMMYFUNCTION("""COMPUTED_VALUE"""),785332.0)</f>
        <v>785332</v>
      </c>
    </row>
    <row r="880">
      <c r="A880" s="3">
        <f>IFERROR(__xludf.DUMMYFUNCTION("""COMPUTED_VALUE"""),39511.645833333336)</f>
        <v>39511.64583</v>
      </c>
      <c r="B880" s="2">
        <f>IFERROR(__xludf.DUMMYFUNCTION("""COMPUTED_VALUE"""),214.5)</f>
        <v>214.5</v>
      </c>
      <c r="C880" s="2">
        <f>IFERROR(__xludf.DUMMYFUNCTION("""COMPUTED_VALUE"""),217.5)</f>
        <v>217.5</v>
      </c>
      <c r="D880" s="2">
        <f>IFERROR(__xludf.DUMMYFUNCTION("""COMPUTED_VALUE"""),211.78)</f>
        <v>211.78</v>
      </c>
      <c r="E880" s="2">
        <f>IFERROR(__xludf.DUMMYFUNCTION("""COMPUTED_VALUE"""),214.7)</f>
        <v>214.7</v>
      </c>
      <c r="F880" s="2">
        <f>IFERROR(__xludf.DUMMYFUNCTION("""COMPUTED_VALUE"""),752633.0)</f>
        <v>752633</v>
      </c>
    </row>
    <row r="881">
      <c r="A881" s="3">
        <f>IFERROR(__xludf.DUMMYFUNCTION("""COMPUTED_VALUE"""),39512.645833333336)</f>
        <v>39512.64583</v>
      </c>
      <c r="B881" s="2">
        <f>IFERROR(__xludf.DUMMYFUNCTION("""COMPUTED_VALUE"""),211.25)</f>
        <v>211.25</v>
      </c>
      <c r="C881" s="2">
        <f>IFERROR(__xludf.DUMMYFUNCTION("""COMPUTED_VALUE"""),220.7)</f>
        <v>220.7</v>
      </c>
      <c r="D881" s="2">
        <f>IFERROR(__xludf.DUMMYFUNCTION("""COMPUTED_VALUE"""),211.25)</f>
        <v>211.25</v>
      </c>
      <c r="E881" s="2">
        <f>IFERROR(__xludf.DUMMYFUNCTION("""COMPUTED_VALUE"""),218.83)</f>
        <v>218.83</v>
      </c>
      <c r="F881" s="2">
        <f>IFERROR(__xludf.DUMMYFUNCTION("""COMPUTED_VALUE"""),552337.0)</f>
        <v>552337</v>
      </c>
    </row>
    <row r="882">
      <c r="A882" s="3">
        <f>IFERROR(__xludf.DUMMYFUNCTION("""COMPUTED_VALUE"""),39514.645833333336)</f>
        <v>39514.64583</v>
      </c>
      <c r="B882" s="2">
        <f>IFERROR(__xludf.DUMMYFUNCTION("""COMPUTED_VALUE"""),215.65)</f>
        <v>215.65</v>
      </c>
      <c r="C882" s="2">
        <f>IFERROR(__xludf.DUMMYFUNCTION("""COMPUTED_VALUE"""),216.53)</f>
        <v>216.53</v>
      </c>
      <c r="D882" s="2">
        <f>IFERROR(__xludf.DUMMYFUNCTION("""COMPUTED_VALUE"""),210.56)</f>
        <v>210.56</v>
      </c>
      <c r="E882" s="2">
        <f>IFERROR(__xludf.DUMMYFUNCTION("""COMPUTED_VALUE"""),211.54)</f>
        <v>211.54</v>
      </c>
      <c r="F882" s="2">
        <f>IFERROR(__xludf.DUMMYFUNCTION("""COMPUTED_VALUE"""),499207.0)</f>
        <v>499207</v>
      </c>
    </row>
    <row r="883">
      <c r="A883" s="3">
        <f>IFERROR(__xludf.DUMMYFUNCTION("""COMPUTED_VALUE"""),39517.645833333336)</f>
        <v>39517.64583</v>
      </c>
      <c r="B883" s="2">
        <f>IFERROR(__xludf.DUMMYFUNCTION("""COMPUTED_VALUE"""),211.54)</f>
        <v>211.54</v>
      </c>
      <c r="C883" s="2">
        <f>IFERROR(__xludf.DUMMYFUNCTION("""COMPUTED_VALUE"""),213.5)</f>
        <v>213.5</v>
      </c>
      <c r="D883" s="2">
        <f>IFERROR(__xludf.DUMMYFUNCTION("""COMPUTED_VALUE"""),207.5)</f>
        <v>207.5</v>
      </c>
      <c r="E883" s="2">
        <f>IFERROR(__xludf.DUMMYFUNCTION("""COMPUTED_VALUE"""),208.41)</f>
        <v>208.41</v>
      </c>
      <c r="F883" s="2">
        <f>IFERROR(__xludf.DUMMYFUNCTION("""COMPUTED_VALUE"""),623542.0)</f>
        <v>623542</v>
      </c>
    </row>
    <row r="884">
      <c r="A884" s="3">
        <f>IFERROR(__xludf.DUMMYFUNCTION("""COMPUTED_VALUE"""),39518.645833333336)</f>
        <v>39518.64583</v>
      </c>
      <c r="B884" s="2">
        <f>IFERROR(__xludf.DUMMYFUNCTION("""COMPUTED_VALUE"""),210.0)</f>
        <v>210</v>
      </c>
      <c r="C884" s="2">
        <f>IFERROR(__xludf.DUMMYFUNCTION("""COMPUTED_VALUE"""),210.0)</f>
        <v>210</v>
      </c>
      <c r="D884" s="2">
        <f>IFERROR(__xludf.DUMMYFUNCTION("""COMPUTED_VALUE"""),205.0)</f>
        <v>205</v>
      </c>
      <c r="E884" s="2">
        <f>IFERROR(__xludf.DUMMYFUNCTION("""COMPUTED_VALUE"""),205.88)</f>
        <v>205.88</v>
      </c>
      <c r="F884" s="2">
        <f>IFERROR(__xludf.DUMMYFUNCTION("""COMPUTED_VALUE"""),1010880.0)</f>
        <v>1010880</v>
      </c>
    </row>
    <row r="885">
      <c r="A885" s="3">
        <f>IFERROR(__xludf.DUMMYFUNCTION("""COMPUTED_VALUE"""),39519.645833333336)</f>
        <v>39519.64583</v>
      </c>
      <c r="B885" s="2">
        <f>IFERROR(__xludf.DUMMYFUNCTION("""COMPUTED_VALUE"""),209.75)</f>
        <v>209.75</v>
      </c>
      <c r="C885" s="2">
        <f>IFERROR(__xludf.DUMMYFUNCTION("""COMPUTED_VALUE"""),212.5)</f>
        <v>212.5</v>
      </c>
      <c r="D885" s="2">
        <f>IFERROR(__xludf.DUMMYFUNCTION("""COMPUTED_VALUE"""),202.56)</f>
        <v>202.56</v>
      </c>
      <c r="E885" s="2">
        <f>IFERROR(__xludf.DUMMYFUNCTION("""COMPUTED_VALUE"""),205.89)</f>
        <v>205.89</v>
      </c>
      <c r="F885" s="2">
        <f>IFERROR(__xludf.DUMMYFUNCTION("""COMPUTED_VALUE"""),471103.0)</f>
        <v>471103</v>
      </c>
    </row>
    <row r="886">
      <c r="A886" s="3">
        <f>IFERROR(__xludf.DUMMYFUNCTION("""COMPUTED_VALUE"""),39520.645833333336)</f>
        <v>39520.64583</v>
      </c>
      <c r="B886" s="2">
        <f>IFERROR(__xludf.DUMMYFUNCTION("""COMPUTED_VALUE"""),203.75)</f>
        <v>203.75</v>
      </c>
      <c r="C886" s="2">
        <f>IFERROR(__xludf.DUMMYFUNCTION("""COMPUTED_VALUE"""),203.75)</f>
        <v>203.75</v>
      </c>
      <c r="D886" s="2">
        <f>IFERROR(__xludf.DUMMYFUNCTION("""COMPUTED_VALUE"""),190.25)</f>
        <v>190.25</v>
      </c>
      <c r="E886" s="2">
        <f>IFERROR(__xludf.DUMMYFUNCTION("""COMPUTED_VALUE"""),194.93)</f>
        <v>194.93</v>
      </c>
      <c r="F886" s="2">
        <f>IFERROR(__xludf.DUMMYFUNCTION("""COMPUTED_VALUE"""),852150.0)</f>
        <v>852150</v>
      </c>
    </row>
    <row r="887">
      <c r="A887" s="3">
        <f>IFERROR(__xludf.DUMMYFUNCTION("""COMPUTED_VALUE"""),39521.645833333336)</f>
        <v>39521.64583</v>
      </c>
      <c r="B887" s="2">
        <f>IFERROR(__xludf.DUMMYFUNCTION("""COMPUTED_VALUE"""),195.0)</f>
        <v>195</v>
      </c>
      <c r="C887" s="2">
        <f>IFERROR(__xludf.DUMMYFUNCTION("""COMPUTED_VALUE"""),203.23)</f>
        <v>203.23</v>
      </c>
      <c r="D887" s="2">
        <f>IFERROR(__xludf.DUMMYFUNCTION("""COMPUTED_VALUE"""),187.5)</f>
        <v>187.5</v>
      </c>
      <c r="E887" s="2">
        <f>IFERROR(__xludf.DUMMYFUNCTION("""COMPUTED_VALUE"""),200.96)</f>
        <v>200.96</v>
      </c>
      <c r="F887" s="2">
        <f>IFERROR(__xludf.DUMMYFUNCTION("""COMPUTED_VALUE"""),554014.0)</f>
        <v>554014</v>
      </c>
    </row>
    <row r="888">
      <c r="A888" s="3">
        <f>IFERROR(__xludf.DUMMYFUNCTION("""COMPUTED_VALUE"""),39524.645833333336)</f>
        <v>39524.64583</v>
      </c>
      <c r="B888" s="2">
        <f>IFERROR(__xludf.DUMMYFUNCTION("""COMPUTED_VALUE"""),193.75)</f>
        <v>193.75</v>
      </c>
      <c r="C888" s="2">
        <f>IFERROR(__xludf.DUMMYFUNCTION("""COMPUTED_VALUE"""),199.43)</f>
        <v>199.43</v>
      </c>
      <c r="D888" s="2">
        <f>IFERROR(__xludf.DUMMYFUNCTION("""COMPUTED_VALUE"""),192.19)</f>
        <v>192.19</v>
      </c>
      <c r="E888" s="2">
        <f>IFERROR(__xludf.DUMMYFUNCTION("""COMPUTED_VALUE"""),197.96)</f>
        <v>197.96</v>
      </c>
      <c r="F888" s="2">
        <f>IFERROR(__xludf.DUMMYFUNCTION("""COMPUTED_VALUE"""),489726.0)</f>
        <v>489726</v>
      </c>
    </row>
    <row r="889">
      <c r="A889" s="3">
        <f>IFERROR(__xludf.DUMMYFUNCTION("""COMPUTED_VALUE"""),39525.645833333336)</f>
        <v>39525.64583</v>
      </c>
      <c r="B889" s="2">
        <f>IFERROR(__xludf.DUMMYFUNCTION("""COMPUTED_VALUE"""),197.5)</f>
        <v>197.5</v>
      </c>
      <c r="C889" s="2">
        <f>IFERROR(__xludf.DUMMYFUNCTION("""COMPUTED_VALUE"""),207.2)</f>
        <v>207.2</v>
      </c>
      <c r="D889" s="2">
        <f>IFERROR(__xludf.DUMMYFUNCTION("""COMPUTED_VALUE"""),192.5)</f>
        <v>192.5</v>
      </c>
      <c r="E889" s="2">
        <f>IFERROR(__xludf.DUMMYFUNCTION("""COMPUTED_VALUE"""),204.43)</f>
        <v>204.43</v>
      </c>
      <c r="F889" s="2">
        <f>IFERROR(__xludf.DUMMYFUNCTION("""COMPUTED_VALUE"""),899020.0)</f>
        <v>899020</v>
      </c>
    </row>
    <row r="890">
      <c r="A890" s="3">
        <f>IFERROR(__xludf.DUMMYFUNCTION("""COMPUTED_VALUE"""),39526.645833333336)</f>
        <v>39526.64583</v>
      </c>
      <c r="B890" s="2">
        <f>IFERROR(__xludf.DUMMYFUNCTION("""COMPUTED_VALUE"""),207.0)</f>
        <v>207</v>
      </c>
      <c r="C890" s="2">
        <f>IFERROR(__xludf.DUMMYFUNCTION("""COMPUTED_VALUE"""),210.0)</f>
        <v>210</v>
      </c>
      <c r="D890" s="2">
        <f>IFERROR(__xludf.DUMMYFUNCTION("""COMPUTED_VALUE"""),201.39)</f>
        <v>201.39</v>
      </c>
      <c r="E890" s="2">
        <f>IFERROR(__xludf.DUMMYFUNCTION("""COMPUTED_VALUE"""),202.86)</f>
        <v>202.86</v>
      </c>
      <c r="F890" s="2">
        <f>IFERROR(__xludf.DUMMYFUNCTION("""COMPUTED_VALUE"""),1090481.0)</f>
        <v>1090481</v>
      </c>
    </row>
    <row r="891">
      <c r="A891" s="3">
        <f>IFERROR(__xludf.DUMMYFUNCTION("""COMPUTED_VALUE"""),39531.645833333336)</f>
        <v>39531.64583</v>
      </c>
      <c r="B891" s="2">
        <f>IFERROR(__xludf.DUMMYFUNCTION("""COMPUTED_VALUE"""),202.86)</f>
        <v>202.86</v>
      </c>
      <c r="C891" s="2">
        <f>IFERROR(__xludf.DUMMYFUNCTION("""COMPUTED_VALUE"""),209.38)</f>
        <v>209.38</v>
      </c>
      <c r="D891" s="2">
        <f>IFERROR(__xludf.DUMMYFUNCTION("""COMPUTED_VALUE"""),202.86)</f>
        <v>202.86</v>
      </c>
      <c r="E891" s="2">
        <f>IFERROR(__xludf.DUMMYFUNCTION("""COMPUTED_VALUE"""),205.93)</f>
        <v>205.93</v>
      </c>
      <c r="F891" s="2">
        <f>IFERROR(__xludf.DUMMYFUNCTION("""COMPUTED_VALUE"""),825496.0)</f>
        <v>825496</v>
      </c>
    </row>
    <row r="892">
      <c r="A892" s="3">
        <f>IFERROR(__xludf.DUMMYFUNCTION("""COMPUTED_VALUE"""),39532.645833333336)</f>
        <v>39532.64583</v>
      </c>
      <c r="B892" s="2">
        <f>IFERROR(__xludf.DUMMYFUNCTION("""COMPUTED_VALUE"""),210.0)</f>
        <v>210</v>
      </c>
      <c r="C892" s="2">
        <f>IFERROR(__xludf.DUMMYFUNCTION("""COMPUTED_VALUE"""),224.96)</f>
        <v>224.96</v>
      </c>
      <c r="D892" s="2">
        <f>IFERROR(__xludf.DUMMYFUNCTION("""COMPUTED_VALUE"""),208.75)</f>
        <v>208.75</v>
      </c>
      <c r="E892" s="2">
        <f>IFERROR(__xludf.DUMMYFUNCTION("""COMPUTED_VALUE"""),219.13)</f>
        <v>219.13</v>
      </c>
      <c r="F892" s="2">
        <f>IFERROR(__xludf.DUMMYFUNCTION("""COMPUTED_VALUE"""),732224.0)</f>
        <v>732224</v>
      </c>
    </row>
    <row r="893">
      <c r="A893" s="3">
        <f>IFERROR(__xludf.DUMMYFUNCTION("""COMPUTED_VALUE"""),39533.645833333336)</f>
        <v>39533.64583</v>
      </c>
      <c r="B893" s="2">
        <f>IFERROR(__xludf.DUMMYFUNCTION("""COMPUTED_VALUE"""),235.0)</f>
        <v>235</v>
      </c>
      <c r="C893" s="2">
        <f>IFERROR(__xludf.DUMMYFUNCTION("""COMPUTED_VALUE"""),235.0)</f>
        <v>235</v>
      </c>
      <c r="D893" s="2">
        <f>IFERROR(__xludf.DUMMYFUNCTION("""COMPUTED_VALUE"""),212.89)</f>
        <v>212.89</v>
      </c>
      <c r="E893" s="2">
        <f>IFERROR(__xludf.DUMMYFUNCTION("""COMPUTED_VALUE"""),219.59)</f>
        <v>219.59</v>
      </c>
      <c r="F893" s="2">
        <f>IFERROR(__xludf.DUMMYFUNCTION("""COMPUTED_VALUE"""),542942.0)</f>
        <v>542942</v>
      </c>
    </row>
    <row r="894">
      <c r="A894" s="3">
        <f>IFERROR(__xludf.DUMMYFUNCTION("""COMPUTED_VALUE"""),39534.645833333336)</f>
        <v>39534.64583</v>
      </c>
      <c r="B894" s="2">
        <f>IFERROR(__xludf.DUMMYFUNCTION("""COMPUTED_VALUE"""),218.0)</f>
        <v>218</v>
      </c>
      <c r="C894" s="2">
        <f>IFERROR(__xludf.DUMMYFUNCTION("""COMPUTED_VALUE"""),219.0)</f>
        <v>219</v>
      </c>
      <c r="D894" s="2">
        <f>IFERROR(__xludf.DUMMYFUNCTION("""COMPUTED_VALUE"""),210.28)</f>
        <v>210.28</v>
      </c>
      <c r="E894" s="2">
        <f>IFERROR(__xludf.DUMMYFUNCTION("""COMPUTED_VALUE"""),213.13)</f>
        <v>213.13</v>
      </c>
      <c r="F894" s="2">
        <f>IFERROR(__xludf.DUMMYFUNCTION("""COMPUTED_VALUE"""),1537788.0)</f>
        <v>1537788</v>
      </c>
    </row>
    <row r="895">
      <c r="A895" s="3">
        <f>IFERROR(__xludf.DUMMYFUNCTION("""COMPUTED_VALUE"""),39535.645833333336)</f>
        <v>39535.64583</v>
      </c>
      <c r="B895" s="2">
        <f>IFERROR(__xludf.DUMMYFUNCTION("""COMPUTED_VALUE"""),213.25)</f>
        <v>213.25</v>
      </c>
      <c r="C895" s="2">
        <f>IFERROR(__xludf.DUMMYFUNCTION("""COMPUTED_VALUE"""),218.68)</f>
        <v>218.68</v>
      </c>
      <c r="D895" s="2">
        <f>IFERROR(__xludf.DUMMYFUNCTION("""COMPUTED_VALUE"""),213.0)</f>
        <v>213</v>
      </c>
      <c r="E895" s="2">
        <f>IFERROR(__xludf.DUMMYFUNCTION("""COMPUTED_VALUE"""),217.76)</f>
        <v>217.76</v>
      </c>
      <c r="F895" s="2">
        <f>IFERROR(__xludf.DUMMYFUNCTION("""COMPUTED_VALUE"""),908424.0)</f>
        <v>908424</v>
      </c>
    </row>
    <row r="896">
      <c r="A896" s="3">
        <f>IFERROR(__xludf.DUMMYFUNCTION("""COMPUTED_VALUE"""),39538.645833333336)</f>
        <v>39538.64583</v>
      </c>
      <c r="B896" s="2">
        <f>IFERROR(__xludf.DUMMYFUNCTION("""COMPUTED_VALUE"""),217.76)</f>
        <v>217.76</v>
      </c>
      <c r="C896" s="2">
        <f>IFERROR(__xludf.DUMMYFUNCTION("""COMPUTED_VALUE"""),217.76)</f>
        <v>217.76</v>
      </c>
      <c r="D896" s="2">
        <f>IFERROR(__xludf.DUMMYFUNCTION("""COMPUTED_VALUE"""),199.25)</f>
        <v>199.25</v>
      </c>
      <c r="E896" s="2">
        <f>IFERROR(__xludf.DUMMYFUNCTION("""COMPUTED_VALUE"""),202.61)</f>
        <v>202.61</v>
      </c>
      <c r="F896" s="2">
        <f>IFERROR(__xludf.DUMMYFUNCTION("""COMPUTED_VALUE"""),1012965.0)</f>
        <v>1012965</v>
      </c>
    </row>
    <row r="897">
      <c r="A897" s="3">
        <f>IFERROR(__xludf.DUMMYFUNCTION("""COMPUTED_VALUE"""),39539.645833333336)</f>
        <v>39539.64583</v>
      </c>
      <c r="B897" s="2">
        <f>IFERROR(__xludf.DUMMYFUNCTION("""COMPUTED_VALUE"""),205.0)</f>
        <v>205</v>
      </c>
      <c r="C897" s="2">
        <f>IFERROR(__xludf.DUMMYFUNCTION("""COMPUTED_VALUE"""),213.23)</f>
        <v>213.23</v>
      </c>
      <c r="D897" s="2">
        <f>IFERROR(__xludf.DUMMYFUNCTION("""COMPUTED_VALUE"""),202.5)</f>
        <v>202.5</v>
      </c>
      <c r="E897" s="2">
        <f>IFERROR(__xludf.DUMMYFUNCTION("""COMPUTED_VALUE"""),208.09)</f>
        <v>208.09</v>
      </c>
      <c r="F897" s="2">
        <f>IFERROR(__xludf.DUMMYFUNCTION("""COMPUTED_VALUE"""),521682.0)</f>
        <v>521682</v>
      </c>
    </row>
    <row r="898">
      <c r="A898" s="3">
        <f>IFERROR(__xludf.DUMMYFUNCTION("""COMPUTED_VALUE"""),39540.645833333336)</f>
        <v>39540.64583</v>
      </c>
      <c r="B898" s="2">
        <f>IFERROR(__xludf.DUMMYFUNCTION("""COMPUTED_VALUE"""),212.5)</f>
        <v>212.5</v>
      </c>
      <c r="C898" s="2">
        <f>IFERROR(__xludf.DUMMYFUNCTION("""COMPUTED_VALUE"""),217.25)</f>
        <v>217.25</v>
      </c>
      <c r="D898" s="2">
        <f>IFERROR(__xludf.DUMMYFUNCTION("""COMPUTED_VALUE"""),212.31)</f>
        <v>212.31</v>
      </c>
      <c r="E898" s="2">
        <f>IFERROR(__xludf.DUMMYFUNCTION("""COMPUTED_VALUE"""),212.81)</f>
        <v>212.81</v>
      </c>
      <c r="F898" s="2">
        <f>IFERROR(__xludf.DUMMYFUNCTION("""COMPUTED_VALUE"""),357211.0)</f>
        <v>357211</v>
      </c>
    </row>
    <row r="899">
      <c r="A899" s="3">
        <f>IFERROR(__xludf.DUMMYFUNCTION("""COMPUTED_VALUE"""),39541.645833333336)</f>
        <v>39541.64583</v>
      </c>
      <c r="B899" s="2">
        <f>IFERROR(__xludf.DUMMYFUNCTION("""COMPUTED_VALUE"""),212.5)</f>
        <v>212.5</v>
      </c>
      <c r="C899" s="2">
        <f>IFERROR(__xludf.DUMMYFUNCTION("""COMPUTED_VALUE"""),223.0)</f>
        <v>223</v>
      </c>
      <c r="D899" s="2">
        <f>IFERROR(__xludf.DUMMYFUNCTION("""COMPUTED_VALUE"""),212.5)</f>
        <v>212.5</v>
      </c>
      <c r="E899" s="2">
        <f>IFERROR(__xludf.DUMMYFUNCTION("""COMPUTED_VALUE"""),221.35)</f>
        <v>221.35</v>
      </c>
      <c r="F899" s="2">
        <f>IFERROR(__xludf.DUMMYFUNCTION("""COMPUTED_VALUE"""),821793.0)</f>
        <v>821793</v>
      </c>
    </row>
    <row r="900">
      <c r="A900" s="3">
        <f>IFERROR(__xludf.DUMMYFUNCTION("""COMPUTED_VALUE"""),39542.645833333336)</f>
        <v>39542.64583</v>
      </c>
      <c r="B900" s="2">
        <f>IFERROR(__xludf.DUMMYFUNCTION("""COMPUTED_VALUE"""),221.5)</f>
        <v>221.5</v>
      </c>
      <c r="C900" s="2">
        <f>IFERROR(__xludf.DUMMYFUNCTION("""COMPUTED_VALUE"""),222.48)</f>
        <v>222.48</v>
      </c>
      <c r="D900" s="2">
        <f>IFERROR(__xludf.DUMMYFUNCTION("""COMPUTED_VALUE"""),215.01)</f>
        <v>215.01</v>
      </c>
      <c r="E900" s="2">
        <f>IFERROR(__xludf.DUMMYFUNCTION("""COMPUTED_VALUE"""),218.23)</f>
        <v>218.23</v>
      </c>
      <c r="F900" s="2">
        <f>IFERROR(__xludf.DUMMYFUNCTION("""COMPUTED_VALUE"""),505211.0)</f>
        <v>505211</v>
      </c>
    </row>
    <row r="901">
      <c r="A901" s="3">
        <f>IFERROR(__xludf.DUMMYFUNCTION("""COMPUTED_VALUE"""),39545.645833333336)</f>
        <v>39545.64583</v>
      </c>
      <c r="B901" s="2">
        <f>IFERROR(__xludf.DUMMYFUNCTION("""COMPUTED_VALUE"""),223.75)</f>
        <v>223.75</v>
      </c>
      <c r="C901" s="2">
        <f>IFERROR(__xludf.DUMMYFUNCTION("""COMPUTED_VALUE"""),230.03)</f>
        <v>230.03</v>
      </c>
      <c r="D901" s="2">
        <f>IFERROR(__xludf.DUMMYFUNCTION("""COMPUTED_VALUE"""),219.55)</f>
        <v>219.55</v>
      </c>
      <c r="E901" s="2">
        <f>IFERROR(__xludf.DUMMYFUNCTION("""COMPUTED_VALUE"""),226.03)</f>
        <v>226.03</v>
      </c>
      <c r="F901" s="2">
        <f>IFERROR(__xludf.DUMMYFUNCTION("""COMPUTED_VALUE"""),914882.0)</f>
        <v>914882</v>
      </c>
    </row>
    <row r="902">
      <c r="A902" s="3">
        <f>IFERROR(__xludf.DUMMYFUNCTION("""COMPUTED_VALUE"""),39546.645833333336)</f>
        <v>39546.64583</v>
      </c>
      <c r="B902" s="2">
        <f>IFERROR(__xludf.DUMMYFUNCTION("""COMPUTED_VALUE"""),226.25)</f>
        <v>226.25</v>
      </c>
      <c r="C902" s="2">
        <f>IFERROR(__xludf.DUMMYFUNCTION("""COMPUTED_VALUE"""),226.75)</f>
        <v>226.75</v>
      </c>
      <c r="D902" s="2">
        <f>IFERROR(__xludf.DUMMYFUNCTION("""COMPUTED_VALUE"""),218.75)</f>
        <v>218.75</v>
      </c>
      <c r="E902" s="2">
        <f>IFERROR(__xludf.DUMMYFUNCTION("""COMPUTED_VALUE"""),221.84)</f>
        <v>221.84</v>
      </c>
      <c r="F902" s="2">
        <f>IFERROR(__xludf.DUMMYFUNCTION("""COMPUTED_VALUE"""),1013838.0)</f>
        <v>1013838</v>
      </c>
    </row>
    <row r="903">
      <c r="A903" s="3">
        <f>IFERROR(__xludf.DUMMYFUNCTION("""COMPUTED_VALUE"""),39547.645833333336)</f>
        <v>39547.64583</v>
      </c>
      <c r="B903" s="2">
        <f>IFERROR(__xludf.DUMMYFUNCTION("""COMPUTED_VALUE"""),220.0)</f>
        <v>220</v>
      </c>
      <c r="C903" s="2">
        <f>IFERROR(__xludf.DUMMYFUNCTION("""COMPUTED_VALUE"""),223.0)</f>
        <v>223</v>
      </c>
      <c r="D903" s="2">
        <f>IFERROR(__xludf.DUMMYFUNCTION("""COMPUTED_VALUE"""),217.25)</f>
        <v>217.25</v>
      </c>
      <c r="E903" s="2">
        <f>IFERROR(__xludf.DUMMYFUNCTION("""COMPUTED_VALUE"""),219.06)</f>
        <v>219.06</v>
      </c>
      <c r="F903" s="2">
        <f>IFERROR(__xludf.DUMMYFUNCTION("""COMPUTED_VALUE"""),370650.0)</f>
        <v>370650</v>
      </c>
    </row>
    <row r="904">
      <c r="A904" s="3">
        <f>IFERROR(__xludf.DUMMYFUNCTION("""COMPUTED_VALUE"""),39548.645833333336)</f>
        <v>39548.64583</v>
      </c>
      <c r="B904" s="2">
        <f>IFERROR(__xludf.DUMMYFUNCTION("""COMPUTED_VALUE"""),220.0)</f>
        <v>220</v>
      </c>
      <c r="C904" s="2">
        <f>IFERROR(__xludf.DUMMYFUNCTION("""COMPUTED_VALUE"""),229.91)</f>
        <v>229.91</v>
      </c>
      <c r="D904" s="2">
        <f>IFERROR(__xludf.DUMMYFUNCTION("""COMPUTED_VALUE"""),219.25)</f>
        <v>219.25</v>
      </c>
      <c r="E904" s="2">
        <f>IFERROR(__xludf.DUMMYFUNCTION("""COMPUTED_VALUE"""),224.89)</f>
        <v>224.89</v>
      </c>
      <c r="F904" s="2">
        <f>IFERROR(__xludf.DUMMYFUNCTION("""COMPUTED_VALUE"""),731483.0)</f>
        <v>731483</v>
      </c>
    </row>
    <row r="905">
      <c r="A905" s="3">
        <f>IFERROR(__xludf.DUMMYFUNCTION("""COMPUTED_VALUE"""),39549.645833333336)</f>
        <v>39549.64583</v>
      </c>
      <c r="B905" s="2">
        <f>IFERROR(__xludf.DUMMYFUNCTION("""COMPUTED_VALUE"""),225.76)</f>
        <v>225.76</v>
      </c>
      <c r="C905" s="2">
        <f>IFERROR(__xludf.DUMMYFUNCTION("""COMPUTED_VALUE"""),231.25)</f>
        <v>231.25</v>
      </c>
      <c r="D905" s="2">
        <f>IFERROR(__xludf.DUMMYFUNCTION("""COMPUTED_VALUE"""),223.31)</f>
        <v>223.31</v>
      </c>
      <c r="E905" s="2">
        <f>IFERROR(__xludf.DUMMYFUNCTION("""COMPUTED_VALUE"""),227.0)</f>
        <v>227</v>
      </c>
      <c r="F905" s="2">
        <f>IFERROR(__xludf.DUMMYFUNCTION("""COMPUTED_VALUE"""),547316.0)</f>
        <v>547316</v>
      </c>
    </row>
    <row r="906">
      <c r="A906" s="3">
        <f>IFERROR(__xludf.DUMMYFUNCTION("""COMPUTED_VALUE"""),39553.645833333336)</f>
        <v>39553.64583</v>
      </c>
      <c r="B906" s="2">
        <f>IFERROR(__xludf.DUMMYFUNCTION("""COMPUTED_VALUE"""),230.5)</f>
        <v>230.5</v>
      </c>
      <c r="C906" s="2">
        <f>IFERROR(__xludf.DUMMYFUNCTION("""COMPUTED_VALUE"""),246.25)</f>
        <v>246.25</v>
      </c>
      <c r="D906" s="2">
        <f>IFERROR(__xludf.DUMMYFUNCTION("""COMPUTED_VALUE"""),220.1)</f>
        <v>220.1</v>
      </c>
      <c r="E906" s="2">
        <f>IFERROR(__xludf.DUMMYFUNCTION("""COMPUTED_VALUE"""),243.54)</f>
        <v>243.54</v>
      </c>
      <c r="F906" s="2">
        <f>IFERROR(__xludf.DUMMYFUNCTION("""COMPUTED_VALUE"""),1425943.0)</f>
        <v>1425943</v>
      </c>
    </row>
    <row r="907">
      <c r="A907" s="3">
        <f>IFERROR(__xludf.DUMMYFUNCTION("""COMPUTED_VALUE"""),39554.645833333336)</f>
        <v>39554.64583</v>
      </c>
      <c r="B907" s="2">
        <f>IFERROR(__xludf.DUMMYFUNCTION("""COMPUTED_VALUE"""),246.25)</f>
        <v>246.25</v>
      </c>
      <c r="C907" s="2">
        <f>IFERROR(__xludf.DUMMYFUNCTION("""COMPUTED_VALUE"""),250.5)</f>
        <v>250.5</v>
      </c>
      <c r="D907" s="2">
        <f>IFERROR(__xludf.DUMMYFUNCTION("""COMPUTED_VALUE"""),240.5)</f>
        <v>240.5</v>
      </c>
      <c r="E907" s="2">
        <f>IFERROR(__xludf.DUMMYFUNCTION("""COMPUTED_VALUE"""),242.98)</f>
        <v>242.98</v>
      </c>
      <c r="F907" s="2">
        <f>IFERROR(__xludf.DUMMYFUNCTION("""COMPUTED_VALUE"""),1609692.0)</f>
        <v>1609692</v>
      </c>
    </row>
    <row r="908">
      <c r="A908" s="3">
        <f>IFERROR(__xludf.DUMMYFUNCTION("""COMPUTED_VALUE"""),39555.645833333336)</f>
        <v>39555.64583</v>
      </c>
      <c r="B908" s="2">
        <f>IFERROR(__xludf.DUMMYFUNCTION("""COMPUTED_VALUE"""),249.93)</f>
        <v>249.93</v>
      </c>
      <c r="C908" s="2">
        <f>IFERROR(__xludf.DUMMYFUNCTION("""COMPUTED_VALUE"""),252.5)</f>
        <v>252.5</v>
      </c>
      <c r="D908" s="2">
        <f>IFERROR(__xludf.DUMMYFUNCTION("""COMPUTED_VALUE"""),244.89)</f>
        <v>244.89</v>
      </c>
      <c r="E908" s="2">
        <f>IFERROR(__xludf.DUMMYFUNCTION("""COMPUTED_VALUE"""),250.23)</f>
        <v>250.23</v>
      </c>
      <c r="F908" s="2">
        <f>IFERROR(__xludf.DUMMYFUNCTION("""COMPUTED_VALUE"""),999889.0)</f>
        <v>999889</v>
      </c>
    </row>
    <row r="909">
      <c r="A909" s="3">
        <f>IFERROR(__xludf.DUMMYFUNCTION("""COMPUTED_VALUE"""),39559.645833333336)</f>
        <v>39559.64583</v>
      </c>
      <c r="B909" s="2">
        <f>IFERROR(__xludf.DUMMYFUNCTION("""COMPUTED_VALUE"""),252.25)</f>
        <v>252.25</v>
      </c>
      <c r="C909" s="2">
        <f>IFERROR(__xludf.DUMMYFUNCTION("""COMPUTED_VALUE"""),258.75)</f>
        <v>258.75</v>
      </c>
      <c r="D909" s="2">
        <f>IFERROR(__xludf.DUMMYFUNCTION("""COMPUTED_VALUE"""),246.65)</f>
        <v>246.65</v>
      </c>
      <c r="E909" s="2">
        <f>IFERROR(__xludf.DUMMYFUNCTION("""COMPUTED_VALUE"""),248.35)</f>
        <v>248.35</v>
      </c>
      <c r="F909" s="2">
        <f>IFERROR(__xludf.DUMMYFUNCTION("""COMPUTED_VALUE"""),849824.0)</f>
        <v>849824</v>
      </c>
    </row>
    <row r="910">
      <c r="A910" s="3">
        <f>IFERROR(__xludf.DUMMYFUNCTION("""COMPUTED_VALUE"""),39560.645833333336)</f>
        <v>39560.64583</v>
      </c>
      <c r="B910" s="2">
        <f>IFERROR(__xludf.DUMMYFUNCTION("""COMPUTED_VALUE"""),246.24)</f>
        <v>246.24</v>
      </c>
      <c r="C910" s="2">
        <f>IFERROR(__xludf.DUMMYFUNCTION("""COMPUTED_VALUE"""),246.24)</f>
        <v>246.24</v>
      </c>
      <c r="D910" s="2">
        <f>IFERROR(__xludf.DUMMYFUNCTION("""COMPUTED_VALUE"""),220.5)</f>
        <v>220.5</v>
      </c>
      <c r="E910" s="2">
        <f>IFERROR(__xludf.DUMMYFUNCTION("""COMPUTED_VALUE"""),221.8)</f>
        <v>221.8</v>
      </c>
      <c r="F910" s="2">
        <f>IFERROR(__xludf.DUMMYFUNCTION("""COMPUTED_VALUE"""),3446299.0)</f>
        <v>3446299</v>
      </c>
    </row>
    <row r="911">
      <c r="A911" s="3">
        <f>IFERROR(__xludf.DUMMYFUNCTION("""COMPUTED_VALUE"""),39561.645833333336)</f>
        <v>39561.64583</v>
      </c>
      <c r="B911" s="2">
        <f>IFERROR(__xludf.DUMMYFUNCTION("""COMPUTED_VALUE"""),221.75)</f>
        <v>221.75</v>
      </c>
      <c r="C911" s="2">
        <f>IFERROR(__xludf.DUMMYFUNCTION("""COMPUTED_VALUE"""),226.43)</f>
        <v>226.43</v>
      </c>
      <c r="D911" s="2">
        <f>IFERROR(__xludf.DUMMYFUNCTION("""COMPUTED_VALUE"""),220.01)</f>
        <v>220.01</v>
      </c>
      <c r="E911" s="2">
        <f>IFERROR(__xludf.DUMMYFUNCTION("""COMPUTED_VALUE"""),222.29)</f>
        <v>222.29</v>
      </c>
      <c r="F911" s="2">
        <f>IFERROR(__xludf.DUMMYFUNCTION("""COMPUTED_VALUE"""),1581539.0)</f>
        <v>1581539</v>
      </c>
    </row>
    <row r="912">
      <c r="A912" s="3">
        <f>IFERROR(__xludf.DUMMYFUNCTION("""COMPUTED_VALUE"""),39562.645833333336)</f>
        <v>39562.64583</v>
      </c>
      <c r="B912" s="2">
        <f>IFERROR(__xludf.DUMMYFUNCTION("""COMPUTED_VALUE"""),226.0)</f>
        <v>226</v>
      </c>
      <c r="C912" s="2">
        <f>IFERROR(__xludf.DUMMYFUNCTION("""COMPUTED_VALUE"""),226.23)</f>
        <v>226.23</v>
      </c>
      <c r="D912" s="2">
        <f>IFERROR(__xludf.DUMMYFUNCTION("""COMPUTED_VALUE"""),216.0)</f>
        <v>216</v>
      </c>
      <c r="E912" s="2">
        <f>IFERROR(__xludf.DUMMYFUNCTION("""COMPUTED_VALUE"""),222.69)</f>
        <v>222.69</v>
      </c>
      <c r="F912" s="2">
        <f>IFERROR(__xludf.DUMMYFUNCTION("""COMPUTED_VALUE"""),3822524.0)</f>
        <v>3822524</v>
      </c>
    </row>
    <row r="913">
      <c r="A913" s="3">
        <f>IFERROR(__xludf.DUMMYFUNCTION("""COMPUTED_VALUE"""),39563.645833333336)</f>
        <v>39563.64583</v>
      </c>
      <c r="B913" s="2">
        <f>IFERROR(__xludf.DUMMYFUNCTION("""COMPUTED_VALUE"""),228.0)</f>
        <v>228</v>
      </c>
      <c r="C913" s="2">
        <f>IFERROR(__xludf.DUMMYFUNCTION("""COMPUTED_VALUE"""),228.0)</f>
        <v>228</v>
      </c>
      <c r="D913" s="2">
        <f>IFERROR(__xludf.DUMMYFUNCTION("""COMPUTED_VALUE"""),221.25)</f>
        <v>221.25</v>
      </c>
      <c r="E913" s="2">
        <f>IFERROR(__xludf.DUMMYFUNCTION("""COMPUTED_VALUE"""),222.33)</f>
        <v>222.33</v>
      </c>
      <c r="F913" s="2">
        <f>IFERROR(__xludf.DUMMYFUNCTION("""COMPUTED_VALUE"""),1707142.0)</f>
        <v>1707142</v>
      </c>
    </row>
    <row r="914">
      <c r="A914" s="3">
        <f>IFERROR(__xludf.DUMMYFUNCTION("""COMPUTED_VALUE"""),39566.645833333336)</f>
        <v>39566.64583</v>
      </c>
      <c r="B914" s="2">
        <f>IFERROR(__xludf.DUMMYFUNCTION("""COMPUTED_VALUE"""),202.25)</f>
        <v>202.25</v>
      </c>
      <c r="C914" s="2">
        <f>IFERROR(__xludf.DUMMYFUNCTION("""COMPUTED_VALUE"""),224.0)</f>
        <v>224</v>
      </c>
      <c r="D914" s="2">
        <f>IFERROR(__xludf.DUMMYFUNCTION("""COMPUTED_VALUE"""),180.0)</f>
        <v>180</v>
      </c>
      <c r="E914" s="2">
        <f>IFERROR(__xludf.DUMMYFUNCTION("""COMPUTED_VALUE"""),220.43)</f>
        <v>220.43</v>
      </c>
      <c r="F914" s="2">
        <f>IFERROR(__xludf.DUMMYFUNCTION("""COMPUTED_VALUE"""),1649534.0)</f>
        <v>1649534</v>
      </c>
    </row>
    <row r="915">
      <c r="A915" s="3">
        <f>IFERROR(__xludf.DUMMYFUNCTION("""COMPUTED_VALUE"""),39567.645833333336)</f>
        <v>39567.64583</v>
      </c>
      <c r="B915" s="2">
        <f>IFERROR(__xludf.DUMMYFUNCTION("""COMPUTED_VALUE"""),220.51)</f>
        <v>220.51</v>
      </c>
      <c r="C915" s="2">
        <f>IFERROR(__xludf.DUMMYFUNCTION("""COMPUTED_VALUE"""),232.5)</f>
        <v>232.5</v>
      </c>
      <c r="D915" s="2">
        <f>IFERROR(__xludf.DUMMYFUNCTION("""COMPUTED_VALUE"""),217.54)</f>
        <v>217.54</v>
      </c>
      <c r="E915" s="2">
        <f>IFERROR(__xludf.DUMMYFUNCTION("""COMPUTED_VALUE"""),227.64)</f>
        <v>227.64</v>
      </c>
      <c r="F915" s="2">
        <f>IFERROR(__xludf.DUMMYFUNCTION("""COMPUTED_VALUE"""),4052462.0)</f>
        <v>4052462</v>
      </c>
    </row>
    <row r="916">
      <c r="A916" s="3">
        <f>IFERROR(__xludf.DUMMYFUNCTION("""COMPUTED_VALUE"""),39568.645833333336)</f>
        <v>39568.64583</v>
      </c>
      <c r="B916" s="2">
        <f>IFERROR(__xludf.DUMMYFUNCTION("""COMPUTED_VALUE"""),229.03)</f>
        <v>229.03</v>
      </c>
      <c r="C916" s="2">
        <f>IFERROR(__xludf.DUMMYFUNCTION("""COMPUTED_VALUE"""),233.94)</f>
        <v>233.94</v>
      </c>
      <c r="D916" s="2">
        <f>IFERROR(__xludf.DUMMYFUNCTION("""COMPUTED_VALUE"""),226.63)</f>
        <v>226.63</v>
      </c>
      <c r="E916" s="2">
        <f>IFERROR(__xludf.DUMMYFUNCTION("""COMPUTED_VALUE"""),230.25)</f>
        <v>230.25</v>
      </c>
      <c r="F916" s="2">
        <f>IFERROR(__xludf.DUMMYFUNCTION("""COMPUTED_VALUE"""),2371995.0)</f>
        <v>2371995</v>
      </c>
    </row>
    <row r="917">
      <c r="A917" s="3">
        <f>IFERROR(__xludf.DUMMYFUNCTION("""COMPUTED_VALUE"""),39570.645833333336)</f>
        <v>39570.64583</v>
      </c>
      <c r="B917" s="2">
        <f>IFERROR(__xludf.DUMMYFUNCTION("""COMPUTED_VALUE"""),231.25)</f>
        <v>231.25</v>
      </c>
      <c r="C917" s="2">
        <f>IFERROR(__xludf.DUMMYFUNCTION("""COMPUTED_VALUE"""),240.5)</f>
        <v>240.5</v>
      </c>
      <c r="D917" s="2">
        <f>IFERROR(__xludf.DUMMYFUNCTION("""COMPUTED_VALUE"""),231.0)</f>
        <v>231</v>
      </c>
      <c r="E917" s="2">
        <f>IFERROR(__xludf.DUMMYFUNCTION("""COMPUTED_VALUE"""),235.94)</f>
        <v>235.94</v>
      </c>
      <c r="F917" s="2">
        <f>IFERROR(__xludf.DUMMYFUNCTION("""COMPUTED_VALUE"""),1324695.0)</f>
        <v>1324695</v>
      </c>
    </row>
    <row r="918">
      <c r="A918" s="3">
        <f>IFERROR(__xludf.DUMMYFUNCTION("""COMPUTED_VALUE"""),39573.645833333336)</f>
        <v>39573.64583</v>
      </c>
      <c r="B918" s="2">
        <f>IFERROR(__xludf.DUMMYFUNCTION("""COMPUTED_VALUE"""),236.25)</f>
        <v>236.25</v>
      </c>
      <c r="C918" s="2">
        <f>IFERROR(__xludf.DUMMYFUNCTION("""COMPUTED_VALUE"""),237.38)</f>
        <v>237.38</v>
      </c>
      <c r="D918" s="2">
        <f>IFERROR(__xludf.DUMMYFUNCTION("""COMPUTED_VALUE"""),230.29)</f>
        <v>230.29</v>
      </c>
      <c r="E918" s="2">
        <f>IFERROR(__xludf.DUMMYFUNCTION("""COMPUTED_VALUE"""),231.86)</f>
        <v>231.86</v>
      </c>
      <c r="F918" s="2">
        <f>IFERROR(__xludf.DUMMYFUNCTION("""COMPUTED_VALUE"""),903441.0)</f>
        <v>903441</v>
      </c>
    </row>
    <row r="919">
      <c r="A919" s="3">
        <f>IFERROR(__xludf.DUMMYFUNCTION("""COMPUTED_VALUE"""),39574.645833333336)</f>
        <v>39574.64583</v>
      </c>
      <c r="B919" s="2">
        <f>IFERROR(__xludf.DUMMYFUNCTION("""COMPUTED_VALUE"""),227.5)</f>
        <v>227.5</v>
      </c>
      <c r="C919" s="2">
        <f>IFERROR(__xludf.DUMMYFUNCTION("""COMPUTED_VALUE"""),237.5)</f>
        <v>237.5</v>
      </c>
      <c r="D919" s="2">
        <f>IFERROR(__xludf.DUMMYFUNCTION("""COMPUTED_VALUE"""),218.15)</f>
        <v>218.15</v>
      </c>
      <c r="E919" s="2">
        <f>IFERROR(__xludf.DUMMYFUNCTION("""COMPUTED_VALUE"""),234.26)</f>
        <v>234.26</v>
      </c>
      <c r="F919" s="2">
        <f>IFERROR(__xludf.DUMMYFUNCTION("""COMPUTED_VALUE"""),995699.0)</f>
        <v>995699</v>
      </c>
    </row>
    <row r="920">
      <c r="A920" s="3">
        <f>IFERROR(__xludf.DUMMYFUNCTION("""COMPUTED_VALUE"""),39575.645833333336)</f>
        <v>39575.64583</v>
      </c>
      <c r="B920" s="2">
        <f>IFERROR(__xludf.DUMMYFUNCTION("""COMPUTED_VALUE"""),237.5)</f>
        <v>237.5</v>
      </c>
      <c r="C920" s="2">
        <f>IFERROR(__xludf.DUMMYFUNCTION("""COMPUTED_VALUE"""),244.98)</f>
        <v>244.98</v>
      </c>
      <c r="D920" s="2">
        <f>IFERROR(__xludf.DUMMYFUNCTION("""COMPUTED_VALUE"""),237.5)</f>
        <v>237.5</v>
      </c>
      <c r="E920" s="2">
        <f>IFERROR(__xludf.DUMMYFUNCTION("""COMPUTED_VALUE"""),241.69)</f>
        <v>241.69</v>
      </c>
      <c r="F920" s="2">
        <f>IFERROR(__xludf.DUMMYFUNCTION("""COMPUTED_VALUE"""),3146385.0)</f>
        <v>3146385</v>
      </c>
    </row>
    <row r="921">
      <c r="A921" s="3">
        <f>IFERROR(__xludf.DUMMYFUNCTION("""COMPUTED_VALUE"""),39576.645833333336)</f>
        <v>39576.64583</v>
      </c>
      <c r="B921" s="2">
        <f>IFERROR(__xludf.DUMMYFUNCTION("""COMPUTED_VALUE"""),241.23)</f>
        <v>241.23</v>
      </c>
      <c r="C921" s="2">
        <f>IFERROR(__xludf.DUMMYFUNCTION("""COMPUTED_VALUE"""),241.25)</f>
        <v>241.25</v>
      </c>
      <c r="D921" s="2">
        <f>IFERROR(__xludf.DUMMYFUNCTION("""COMPUTED_VALUE"""),229.5)</f>
        <v>229.5</v>
      </c>
      <c r="E921" s="2">
        <f>IFERROR(__xludf.DUMMYFUNCTION("""COMPUTED_VALUE"""),236.75)</f>
        <v>236.75</v>
      </c>
      <c r="F921" s="2">
        <f>IFERROR(__xludf.DUMMYFUNCTION("""COMPUTED_VALUE"""),2711458.0)</f>
        <v>2711458</v>
      </c>
    </row>
    <row r="922">
      <c r="A922" s="3">
        <f>IFERROR(__xludf.DUMMYFUNCTION("""COMPUTED_VALUE"""),39577.645833333336)</f>
        <v>39577.64583</v>
      </c>
      <c r="B922" s="2">
        <f>IFERROR(__xludf.DUMMYFUNCTION("""COMPUTED_VALUE"""),239.75)</f>
        <v>239.75</v>
      </c>
      <c r="C922" s="2">
        <f>IFERROR(__xludf.DUMMYFUNCTION("""COMPUTED_VALUE"""),239.75)</f>
        <v>239.75</v>
      </c>
      <c r="D922" s="2">
        <f>IFERROR(__xludf.DUMMYFUNCTION("""COMPUTED_VALUE"""),227.5)</f>
        <v>227.5</v>
      </c>
      <c r="E922" s="2">
        <f>IFERROR(__xludf.DUMMYFUNCTION("""COMPUTED_VALUE"""),229.25)</f>
        <v>229.25</v>
      </c>
      <c r="F922" s="2">
        <f>IFERROR(__xludf.DUMMYFUNCTION("""COMPUTED_VALUE"""),1123074.0)</f>
        <v>1123074</v>
      </c>
    </row>
    <row r="923">
      <c r="A923" s="3">
        <f>IFERROR(__xludf.DUMMYFUNCTION("""COMPUTED_VALUE"""),39580.645833333336)</f>
        <v>39580.64583</v>
      </c>
      <c r="B923" s="2">
        <f>IFERROR(__xludf.DUMMYFUNCTION("""COMPUTED_VALUE"""),229.25)</f>
        <v>229.25</v>
      </c>
      <c r="C923" s="2">
        <f>IFERROR(__xludf.DUMMYFUNCTION("""COMPUTED_VALUE"""),233.71)</f>
        <v>233.71</v>
      </c>
      <c r="D923" s="2">
        <f>IFERROR(__xludf.DUMMYFUNCTION("""COMPUTED_VALUE"""),227.58)</f>
        <v>227.58</v>
      </c>
      <c r="E923" s="2">
        <f>IFERROR(__xludf.DUMMYFUNCTION("""COMPUTED_VALUE"""),231.73)</f>
        <v>231.73</v>
      </c>
      <c r="F923" s="2">
        <f>IFERROR(__xludf.DUMMYFUNCTION("""COMPUTED_VALUE"""),974627.0)</f>
        <v>974627</v>
      </c>
    </row>
    <row r="924">
      <c r="A924" s="3">
        <f>IFERROR(__xludf.DUMMYFUNCTION("""COMPUTED_VALUE"""),39581.645833333336)</f>
        <v>39581.64583</v>
      </c>
      <c r="B924" s="2">
        <f>IFERROR(__xludf.DUMMYFUNCTION("""COMPUTED_VALUE"""),232.5)</f>
        <v>232.5</v>
      </c>
      <c r="C924" s="2">
        <f>IFERROR(__xludf.DUMMYFUNCTION("""COMPUTED_VALUE"""),235.35)</f>
        <v>235.35</v>
      </c>
      <c r="D924" s="2">
        <f>IFERROR(__xludf.DUMMYFUNCTION("""COMPUTED_VALUE"""),222.25)</f>
        <v>222.25</v>
      </c>
      <c r="E924" s="2">
        <f>IFERROR(__xludf.DUMMYFUNCTION("""COMPUTED_VALUE"""),226.26)</f>
        <v>226.26</v>
      </c>
      <c r="F924" s="2">
        <f>IFERROR(__xludf.DUMMYFUNCTION("""COMPUTED_VALUE"""),1115719.0)</f>
        <v>1115719</v>
      </c>
    </row>
    <row r="925">
      <c r="A925" s="3">
        <f>IFERROR(__xludf.DUMMYFUNCTION("""COMPUTED_VALUE"""),39582.645833333336)</f>
        <v>39582.64583</v>
      </c>
      <c r="B925" s="2">
        <f>IFERROR(__xludf.DUMMYFUNCTION("""COMPUTED_VALUE"""),226.25)</f>
        <v>226.25</v>
      </c>
      <c r="C925" s="2">
        <f>IFERROR(__xludf.DUMMYFUNCTION("""COMPUTED_VALUE"""),244.74)</f>
        <v>244.74</v>
      </c>
      <c r="D925" s="2">
        <f>IFERROR(__xludf.DUMMYFUNCTION("""COMPUTED_VALUE"""),222.79)</f>
        <v>222.79</v>
      </c>
      <c r="E925" s="2">
        <f>IFERROR(__xludf.DUMMYFUNCTION("""COMPUTED_VALUE"""),242.79)</f>
        <v>242.79</v>
      </c>
      <c r="F925" s="2">
        <f>IFERROR(__xludf.DUMMYFUNCTION("""COMPUTED_VALUE"""),2343297.0)</f>
        <v>2343297</v>
      </c>
    </row>
    <row r="926">
      <c r="A926" s="3">
        <f>IFERROR(__xludf.DUMMYFUNCTION("""COMPUTED_VALUE"""),39583.645833333336)</f>
        <v>39583.64583</v>
      </c>
      <c r="B926" s="2">
        <f>IFERROR(__xludf.DUMMYFUNCTION("""COMPUTED_VALUE"""),243.25)</f>
        <v>243.25</v>
      </c>
      <c r="C926" s="2">
        <f>IFERROR(__xludf.DUMMYFUNCTION("""COMPUTED_VALUE"""),250.5)</f>
        <v>250.5</v>
      </c>
      <c r="D926" s="2">
        <f>IFERROR(__xludf.DUMMYFUNCTION("""COMPUTED_VALUE"""),240.03)</f>
        <v>240.03</v>
      </c>
      <c r="E926" s="2">
        <f>IFERROR(__xludf.DUMMYFUNCTION("""COMPUTED_VALUE"""),246.19)</f>
        <v>246.19</v>
      </c>
      <c r="F926" s="2">
        <f>IFERROR(__xludf.DUMMYFUNCTION("""COMPUTED_VALUE"""),1794474.0)</f>
        <v>1794474</v>
      </c>
    </row>
    <row r="927">
      <c r="A927" s="3">
        <f>IFERROR(__xludf.DUMMYFUNCTION("""COMPUTED_VALUE"""),39584.645833333336)</f>
        <v>39584.64583</v>
      </c>
      <c r="B927" s="2">
        <f>IFERROR(__xludf.DUMMYFUNCTION("""COMPUTED_VALUE"""),248.5)</f>
        <v>248.5</v>
      </c>
      <c r="C927" s="2">
        <f>IFERROR(__xludf.DUMMYFUNCTION("""COMPUTED_VALUE"""),248.5)</f>
        <v>248.5</v>
      </c>
      <c r="D927" s="2">
        <f>IFERROR(__xludf.DUMMYFUNCTION("""COMPUTED_VALUE"""),242.13)</f>
        <v>242.13</v>
      </c>
      <c r="E927" s="2">
        <f>IFERROR(__xludf.DUMMYFUNCTION("""COMPUTED_VALUE"""),245.26)</f>
        <v>245.26</v>
      </c>
      <c r="F927" s="2">
        <f>IFERROR(__xludf.DUMMYFUNCTION("""COMPUTED_VALUE"""),959662.0)</f>
        <v>959662</v>
      </c>
    </row>
    <row r="928">
      <c r="A928" s="3">
        <f>IFERROR(__xludf.DUMMYFUNCTION("""COMPUTED_VALUE"""),39588.645833333336)</f>
        <v>39588.64583</v>
      </c>
      <c r="B928" s="2">
        <f>IFERROR(__xludf.DUMMYFUNCTION("""COMPUTED_VALUE"""),243.75)</f>
        <v>243.75</v>
      </c>
      <c r="C928" s="2">
        <f>IFERROR(__xludf.DUMMYFUNCTION("""COMPUTED_VALUE"""),247.5)</f>
        <v>247.5</v>
      </c>
      <c r="D928" s="2">
        <f>IFERROR(__xludf.DUMMYFUNCTION("""COMPUTED_VALUE"""),236.81)</f>
        <v>236.81</v>
      </c>
      <c r="E928" s="2">
        <f>IFERROR(__xludf.DUMMYFUNCTION("""COMPUTED_VALUE"""),239.03)</f>
        <v>239.03</v>
      </c>
      <c r="F928" s="2">
        <f>IFERROR(__xludf.DUMMYFUNCTION("""COMPUTED_VALUE"""),1236726.0)</f>
        <v>1236726</v>
      </c>
    </row>
    <row r="929">
      <c r="A929" s="3">
        <f>IFERROR(__xludf.DUMMYFUNCTION("""COMPUTED_VALUE"""),39589.645833333336)</f>
        <v>39589.64583</v>
      </c>
      <c r="B929" s="2">
        <f>IFERROR(__xludf.DUMMYFUNCTION("""COMPUTED_VALUE"""),232.0)</f>
        <v>232</v>
      </c>
      <c r="C929" s="2">
        <f>IFERROR(__xludf.DUMMYFUNCTION("""COMPUTED_VALUE"""),242.0)</f>
        <v>242</v>
      </c>
      <c r="D929" s="2">
        <f>IFERROR(__xludf.DUMMYFUNCTION("""COMPUTED_VALUE"""),228.75)</f>
        <v>228.75</v>
      </c>
      <c r="E929" s="2">
        <f>IFERROR(__xludf.DUMMYFUNCTION("""COMPUTED_VALUE"""),241.28)</f>
        <v>241.28</v>
      </c>
      <c r="F929" s="2">
        <f>IFERROR(__xludf.DUMMYFUNCTION("""COMPUTED_VALUE"""),785046.0)</f>
        <v>785046</v>
      </c>
    </row>
    <row r="930">
      <c r="A930" s="3">
        <f>IFERROR(__xludf.DUMMYFUNCTION("""COMPUTED_VALUE"""),39590.645833333336)</f>
        <v>39590.64583</v>
      </c>
      <c r="B930" s="2">
        <f>IFERROR(__xludf.DUMMYFUNCTION("""COMPUTED_VALUE"""),239.13)</f>
        <v>239.13</v>
      </c>
      <c r="C930" s="2">
        <f>IFERROR(__xludf.DUMMYFUNCTION("""COMPUTED_VALUE"""),246.38)</f>
        <v>246.38</v>
      </c>
      <c r="D930" s="2">
        <f>IFERROR(__xludf.DUMMYFUNCTION("""COMPUTED_VALUE"""),237.75)</f>
        <v>237.75</v>
      </c>
      <c r="E930" s="2">
        <f>IFERROR(__xludf.DUMMYFUNCTION("""COMPUTED_VALUE"""),240.29)</f>
        <v>240.29</v>
      </c>
      <c r="F930" s="2">
        <f>IFERROR(__xludf.DUMMYFUNCTION("""COMPUTED_VALUE"""),1361300.0)</f>
        <v>1361300</v>
      </c>
    </row>
    <row r="931">
      <c r="A931" s="3">
        <f>IFERROR(__xludf.DUMMYFUNCTION("""COMPUTED_VALUE"""),39591.645833333336)</f>
        <v>39591.64583</v>
      </c>
      <c r="B931" s="2">
        <f>IFERROR(__xludf.DUMMYFUNCTION("""COMPUTED_VALUE"""),243.73)</f>
        <v>243.73</v>
      </c>
      <c r="C931" s="2">
        <f>IFERROR(__xludf.DUMMYFUNCTION("""COMPUTED_VALUE"""),244.93)</f>
        <v>244.93</v>
      </c>
      <c r="D931" s="2">
        <f>IFERROR(__xludf.DUMMYFUNCTION("""COMPUTED_VALUE"""),231.53)</f>
        <v>231.53</v>
      </c>
      <c r="E931" s="2">
        <f>IFERROR(__xludf.DUMMYFUNCTION("""COMPUTED_VALUE"""),233.1)</f>
        <v>233.1</v>
      </c>
      <c r="F931" s="2">
        <f>IFERROR(__xludf.DUMMYFUNCTION("""COMPUTED_VALUE"""),1350346.0)</f>
        <v>1350346</v>
      </c>
    </row>
    <row r="932">
      <c r="A932" s="3">
        <f>IFERROR(__xludf.DUMMYFUNCTION("""COMPUTED_VALUE"""),39594.645833333336)</f>
        <v>39594.64583</v>
      </c>
      <c r="B932" s="2">
        <f>IFERROR(__xludf.DUMMYFUNCTION("""COMPUTED_VALUE"""),230.0)</f>
        <v>230</v>
      </c>
      <c r="C932" s="2">
        <f>IFERROR(__xludf.DUMMYFUNCTION("""COMPUTED_VALUE"""),240.73)</f>
        <v>240.73</v>
      </c>
      <c r="D932" s="2">
        <f>IFERROR(__xludf.DUMMYFUNCTION("""COMPUTED_VALUE"""),229.0)</f>
        <v>229</v>
      </c>
      <c r="E932" s="2">
        <f>IFERROR(__xludf.DUMMYFUNCTION("""COMPUTED_VALUE"""),238.86)</f>
        <v>238.86</v>
      </c>
      <c r="F932" s="2">
        <f>IFERROR(__xludf.DUMMYFUNCTION("""COMPUTED_VALUE"""),1364318.0)</f>
        <v>1364318</v>
      </c>
    </row>
    <row r="933">
      <c r="A933" s="3">
        <f>IFERROR(__xludf.DUMMYFUNCTION("""COMPUTED_VALUE"""),39595.645833333336)</f>
        <v>39595.64583</v>
      </c>
      <c r="B933" s="2">
        <f>IFERROR(__xludf.DUMMYFUNCTION("""COMPUTED_VALUE"""),245.0)</f>
        <v>245</v>
      </c>
      <c r="C933" s="2">
        <f>IFERROR(__xludf.DUMMYFUNCTION("""COMPUTED_VALUE"""),248.5)</f>
        <v>248.5</v>
      </c>
      <c r="D933" s="2">
        <f>IFERROR(__xludf.DUMMYFUNCTION("""COMPUTED_VALUE"""),236.5)</f>
        <v>236.5</v>
      </c>
      <c r="E933" s="2">
        <f>IFERROR(__xludf.DUMMYFUNCTION("""COMPUTED_VALUE"""),242.23)</f>
        <v>242.23</v>
      </c>
      <c r="F933" s="2">
        <f>IFERROR(__xludf.DUMMYFUNCTION("""COMPUTED_VALUE"""),1420518.0)</f>
        <v>1420518</v>
      </c>
    </row>
    <row r="934">
      <c r="A934" s="3">
        <f>IFERROR(__xludf.DUMMYFUNCTION("""COMPUTED_VALUE"""),39596.645833333336)</f>
        <v>39596.64583</v>
      </c>
      <c r="B934" s="2">
        <f>IFERROR(__xludf.DUMMYFUNCTION("""COMPUTED_VALUE"""),242.53)</f>
        <v>242.53</v>
      </c>
      <c r="C934" s="2">
        <f>IFERROR(__xludf.DUMMYFUNCTION("""COMPUTED_VALUE"""),253.81)</f>
        <v>253.81</v>
      </c>
      <c r="D934" s="2">
        <f>IFERROR(__xludf.DUMMYFUNCTION("""COMPUTED_VALUE"""),242.53)</f>
        <v>242.53</v>
      </c>
      <c r="E934" s="2">
        <f>IFERROR(__xludf.DUMMYFUNCTION("""COMPUTED_VALUE"""),252.36)</f>
        <v>252.36</v>
      </c>
      <c r="F934" s="2">
        <f>IFERROR(__xludf.DUMMYFUNCTION("""COMPUTED_VALUE"""),1367397.0)</f>
        <v>1367397</v>
      </c>
    </row>
    <row r="935">
      <c r="A935" s="3">
        <f>IFERROR(__xludf.DUMMYFUNCTION("""COMPUTED_VALUE"""),39597.645833333336)</f>
        <v>39597.64583</v>
      </c>
      <c r="B935" s="2">
        <f>IFERROR(__xludf.DUMMYFUNCTION("""COMPUTED_VALUE"""),252.25)</f>
        <v>252.25</v>
      </c>
      <c r="C935" s="2">
        <f>IFERROR(__xludf.DUMMYFUNCTION("""COMPUTED_VALUE"""),257.09)</f>
        <v>257.09</v>
      </c>
      <c r="D935" s="2">
        <f>IFERROR(__xludf.DUMMYFUNCTION("""COMPUTED_VALUE"""),246.0)</f>
        <v>246</v>
      </c>
      <c r="E935" s="2">
        <f>IFERROR(__xludf.DUMMYFUNCTION("""COMPUTED_VALUE"""),248.66)</f>
        <v>248.66</v>
      </c>
      <c r="F935" s="2">
        <f>IFERROR(__xludf.DUMMYFUNCTION("""COMPUTED_VALUE"""),2064735.0)</f>
        <v>2064735</v>
      </c>
    </row>
    <row r="936">
      <c r="A936" s="3">
        <f>IFERROR(__xludf.DUMMYFUNCTION("""COMPUTED_VALUE"""),39598.645833333336)</f>
        <v>39598.64583</v>
      </c>
      <c r="B936" s="2">
        <f>IFERROR(__xludf.DUMMYFUNCTION("""COMPUTED_VALUE"""),247.75)</f>
        <v>247.75</v>
      </c>
      <c r="C936" s="2">
        <f>IFERROR(__xludf.DUMMYFUNCTION("""COMPUTED_VALUE"""),262.25)</f>
        <v>262.25</v>
      </c>
      <c r="D936" s="2">
        <f>IFERROR(__xludf.DUMMYFUNCTION("""COMPUTED_VALUE"""),244.5)</f>
        <v>244.5</v>
      </c>
      <c r="E936" s="2">
        <f>IFERROR(__xludf.DUMMYFUNCTION("""COMPUTED_VALUE"""),259.79)</f>
        <v>259.79</v>
      </c>
      <c r="F936" s="2">
        <f>IFERROR(__xludf.DUMMYFUNCTION("""COMPUTED_VALUE"""),3871321.0)</f>
        <v>3871321</v>
      </c>
    </row>
    <row r="937">
      <c r="A937" s="3">
        <f>IFERROR(__xludf.DUMMYFUNCTION("""COMPUTED_VALUE"""),39601.645833333336)</f>
        <v>39601.64583</v>
      </c>
      <c r="B937" s="2">
        <f>IFERROR(__xludf.DUMMYFUNCTION("""COMPUTED_VALUE"""),253.75)</f>
        <v>253.75</v>
      </c>
      <c r="C937" s="2">
        <f>IFERROR(__xludf.DUMMYFUNCTION("""COMPUTED_VALUE"""),264.35)</f>
        <v>264.35</v>
      </c>
      <c r="D937" s="2">
        <f>IFERROR(__xludf.DUMMYFUNCTION("""COMPUTED_VALUE"""),241.25)</f>
        <v>241.25</v>
      </c>
      <c r="E937" s="2">
        <f>IFERROR(__xludf.DUMMYFUNCTION("""COMPUTED_VALUE"""),245.96)</f>
        <v>245.96</v>
      </c>
      <c r="F937" s="2">
        <f>IFERROR(__xludf.DUMMYFUNCTION("""COMPUTED_VALUE"""),1763691.0)</f>
        <v>1763691</v>
      </c>
    </row>
    <row r="938">
      <c r="A938" s="3">
        <f>IFERROR(__xludf.DUMMYFUNCTION("""COMPUTED_VALUE"""),39602.645833333336)</f>
        <v>39602.64583</v>
      </c>
      <c r="B938" s="2">
        <f>IFERROR(__xludf.DUMMYFUNCTION("""COMPUTED_VALUE"""),240.0)</f>
        <v>240</v>
      </c>
      <c r="C938" s="2">
        <f>IFERROR(__xludf.DUMMYFUNCTION("""COMPUTED_VALUE"""),247.5)</f>
        <v>247.5</v>
      </c>
      <c r="D938" s="2">
        <f>IFERROR(__xludf.DUMMYFUNCTION("""COMPUTED_VALUE"""),234.54)</f>
        <v>234.54</v>
      </c>
      <c r="E938" s="2">
        <f>IFERROR(__xludf.DUMMYFUNCTION("""COMPUTED_VALUE"""),243.79)</f>
        <v>243.79</v>
      </c>
      <c r="F938" s="2">
        <f>IFERROR(__xludf.DUMMYFUNCTION("""COMPUTED_VALUE"""),1225064.0)</f>
        <v>1225064</v>
      </c>
    </row>
    <row r="939">
      <c r="A939" s="3">
        <f>IFERROR(__xludf.DUMMYFUNCTION("""COMPUTED_VALUE"""),39603.645833333336)</f>
        <v>39603.64583</v>
      </c>
      <c r="B939" s="2">
        <f>IFERROR(__xludf.DUMMYFUNCTION("""COMPUTED_VALUE"""),247.45)</f>
        <v>247.45</v>
      </c>
      <c r="C939" s="2">
        <f>IFERROR(__xludf.DUMMYFUNCTION("""COMPUTED_VALUE"""),247.45)</f>
        <v>247.45</v>
      </c>
      <c r="D939" s="2">
        <f>IFERROR(__xludf.DUMMYFUNCTION("""COMPUTED_VALUE"""),236.59)</f>
        <v>236.59</v>
      </c>
      <c r="E939" s="2">
        <f>IFERROR(__xludf.DUMMYFUNCTION("""COMPUTED_VALUE"""),239.19)</f>
        <v>239.19</v>
      </c>
      <c r="F939" s="2">
        <f>IFERROR(__xludf.DUMMYFUNCTION("""COMPUTED_VALUE"""),946964.0)</f>
        <v>946964</v>
      </c>
    </row>
    <row r="940">
      <c r="A940" s="3">
        <f>IFERROR(__xludf.DUMMYFUNCTION("""COMPUTED_VALUE"""),39604.645833333336)</f>
        <v>39604.64583</v>
      </c>
      <c r="B940" s="2">
        <f>IFERROR(__xludf.DUMMYFUNCTION("""COMPUTED_VALUE"""),241.03)</f>
        <v>241.03</v>
      </c>
      <c r="C940" s="2">
        <f>IFERROR(__xludf.DUMMYFUNCTION("""COMPUTED_VALUE"""),249.2)</f>
        <v>249.2</v>
      </c>
      <c r="D940" s="2">
        <f>IFERROR(__xludf.DUMMYFUNCTION("""COMPUTED_VALUE"""),241.0)</f>
        <v>241</v>
      </c>
      <c r="E940" s="2">
        <f>IFERROR(__xludf.DUMMYFUNCTION("""COMPUTED_VALUE"""),245.46)</f>
        <v>245.46</v>
      </c>
      <c r="F940" s="2">
        <f>IFERROR(__xludf.DUMMYFUNCTION("""COMPUTED_VALUE"""),1476314.0)</f>
        <v>1476314</v>
      </c>
    </row>
    <row r="941">
      <c r="A941" s="3">
        <f>IFERROR(__xludf.DUMMYFUNCTION("""COMPUTED_VALUE"""),39605.645833333336)</f>
        <v>39605.64583</v>
      </c>
      <c r="B941" s="2">
        <f>IFERROR(__xludf.DUMMYFUNCTION("""COMPUTED_VALUE"""),247.5)</f>
        <v>247.5</v>
      </c>
      <c r="C941" s="2">
        <f>IFERROR(__xludf.DUMMYFUNCTION("""COMPUTED_VALUE"""),249.66)</f>
        <v>249.66</v>
      </c>
      <c r="D941" s="2">
        <f>IFERROR(__xludf.DUMMYFUNCTION("""COMPUTED_VALUE"""),239.45)</f>
        <v>239.45</v>
      </c>
      <c r="E941" s="2">
        <f>IFERROR(__xludf.DUMMYFUNCTION("""COMPUTED_VALUE"""),241.55)</f>
        <v>241.55</v>
      </c>
      <c r="F941" s="2">
        <f>IFERROR(__xludf.DUMMYFUNCTION("""COMPUTED_VALUE"""),1034446.0)</f>
        <v>1034446</v>
      </c>
    </row>
    <row r="942">
      <c r="A942" s="3">
        <f>IFERROR(__xludf.DUMMYFUNCTION("""COMPUTED_VALUE"""),39608.645833333336)</f>
        <v>39608.64583</v>
      </c>
      <c r="B942" s="2">
        <f>IFERROR(__xludf.DUMMYFUNCTION("""COMPUTED_VALUE"""),225.56)</f>
        <v>225.56</v>
      </c>
      <c r="C942" s="2">
        <f>IFERROR(__xludf.DUMMYFUNCTION("""COMPUTED_VALUE"""),241.23)</f>
        <v>241.23</v>
      </c>
      <c r="D942" s="2">
        <f>IFERROR(__xludf.DUMMYFUNCTION("""COMPUTED_VALUE"""),222.5)</f>
        <v>222.5</v>
      </c>
      <c r="E942" s="2">
        <f>IFERROR(__xludf.DUMMYFUNCTION("""COMPUTED_VALUE"""),228.53)</f>
        <v>228.53</v>
      </c>
      <c r="F942" s="2">
        <f>IFERROR(__xludf.DUMMYFUNCTION("""COMPUTED_VALUE"""),1535035.0)</f>
        <v>1535035</v>
      </c>
    </row>
    <row r="943">
      <c r="A943" s="3">
        <f>IFERROR(__xludf.DUMMYFUNCTION("""COMPUTED_VALUE"""),39609.645833333336)</f>
        <v>39609.64583</v>
      </c>
      <c r="B943" s="2">
        <f>IFERROR(__xludf.DUMMYFUNCTION("""COMPUTED_VALUE"""),227.5)</f>
        <v>227.5</v>
      </c>
      <c r="C943" s="2">
        <f>IFERROR(__xludf.DUMMYFUNCTION("""COMPUTED_VALUE"""),229.75)</f>
        <v>229.75</v>
      </c>
      <c r="D943" s="2">
        <f>IFERROR(__xludf.DUMMYFUNCTION("""COMPUTED_VALUE"""),216.75)</f>
        <v>216.75</v>
      </c>
      <c r="E943" s="2">
        <f>IFERROR(__xludf.DUMMYFUNCTION("""COMPUTED_VALUE"""),219.75)</f>
        <v>219.75</v>
      </c>
      <c r="F943" s="2">
        <f>IFERROR(__xludf.DUMMYFUNCTION("""COMPUTED_VALUE"""),1538843.0)</f>
        <v>1538843</v>
      </c>
    </row>
    <row r="944">
      <c r="A944" s="3">
        <f>IFERROR(__xludf.DUMMYFUNCTION("""COMPUTED_VALUE"""),39610.645833333336)</f>
        <v>39610.64583</v>
      </c>
      <c r="B944" s="2">
        <f>IFERROR(__xludf.DUMMYFUNCTION("""COMPUTED_VALUE"""),222.5)</f>
        <v>222.5</v>
      </c>
      <c r="C944" s="2">
        <f>IFERROR(__xludf.DUMMYFUNCTION("""COMPUTED_VALUE"""),227.5)</f>
        <v>227.5</v>
      </c>
      <c r="D944" s="2">
        <f>IFERROR(__xludf.DUMMYFUNCTION("""COMPUTED_VALUE"""),220.0)</f>
        <v>220</v>
      </c>
      <c r="E944" s="2">
        <f>IFERROR(__xludf.DUMMYFUNCTION("""COMPUTED_VALUE"""),222.59)</f>
        <v>222.59</v>
      </c>
      <c r="F944" s="2">
        <f>IFERROR(__xludf.DUMMYFUNCTION("""COMPUTED_VALUE"""),1028342.0)</f>
        <v>1028342</v>
      </c>
    </row>
    <row r="945">
      <c r="A945" s="3">
        <f>IFERROR(__xludf.DUMMYFUNCTION("""COMPUTED_VALUE"""),39611.645833333336)</f>
        <v>39611.64583</v>
      </c>
      <c r="B945" s="2">
        <f>IFERROR(__xludf.DUMMYFUNCTION("""COMPUTED_VALUE"""),223.5)</f>
        <v>223.5</v>
      </c>
      <c r="C945" s="2">
        <f>IFERROR(__xludf.DUMMYFUNCTION("""COMPUTED_VALUE"""),225.6)</f>
        <v>225.6</v>
      </c>
      <c r="D945" s="2">
        <f>IFERROR(__xludf.DUMMYFUNCTION("""COMPUTED_VALUE"""),214.25)</f>
        <v>214.25</v>
      </c>
      <c r="E945" s="2">
        <f>IFERROR(__xludf.DUMMYFUNCTION("""COMPUTED_VALUE"""),222.06)</f>
        <v>222.06</v>
      </c>
      <c r="F945" s="2">
        <f>IFERROR(__xludf.DUMMYFUNCTION("""COMPUTED_VALUE"""),616001.0)</f>
        <v>616001</v>
      </c>
    </row>
    <row r="946">
      <c r="A946" s="3">
        <f>IFERROR(__xludf.DUMMYFUNCTION("""COMPUTED_VALUE"""),39612.645833333336)</f>
        <v>39612.64583</v>
      </c>
      <c r="B946" s="2">
        <f>IFERROR(__xludf.DUMMYFUNCTION("""COMPUTED_VALUE"""),220.0)</f>
        <v>220</v>
      </c>
      <c r="C946" s="2">
        <f>IFERROR(__xludf.DUMMYFUNCTION("""COMPUTED_VALUE"""),230.48)</f>
        <v>230.48</v>
      </c>
      <c r="D946" s="2">
        <f>IFERROR(__xludf.DUMMYFUNCTION("""COMPUTED_VALUE"""),220.0)</f>
        <v>220</v>
      </c>
      <c r="E946" s="2">
        <f>IFERROR(__xludf.DUMMYFUNCTION("""COMPUTED_VALUE"""),227.4)</f>
        <v>227.4</v>
      </c>
      <c r="F946" s="2">
        <f>IFERROR(__xludf.DUMMYFUNCTION("""COMPUTED_VALUE"""),1683108.0)</f>
        <v>1683108</v>
      </c>
    </row>
    <row r="947">
      <c r="A947" s="3">
        <f>IFERROR(__xludf.DUMMYFUNCTION("""COMPUTED_VALUE"""),39615.645833333336)</f>
        <v>39615.64583</v>
      </c>
      <c r="B947" s="2">
        <f>IFERROR(__xludf.DUMMYFUNCTION("""COMPUTED_VALUE"""),229.75)</f>
        <v>229.75</v>
      </c>
      <c r="C947" s="2">
        <f>IFERROR(__xludf.DUMMYFUNCTION("""COMPUTED_VALUE"""),232.0)</f>
        <v>232</v>
      </c>
      <c r="D947" s="2">
        <f>IFERROR(__xludf.DUMMYFUNCTION("""COMPUTED_VALUE"""),225.81)</f>
        <v>225.81</v>
      </c>
      <c r="E947" s="2">
        <f>IFERROR(__xludf.DUMMYFUNCTION("""COMPUTED_VALUE"""),227.7)</f>
        <v>227.7</v>
      </c>
      <c r="F947" s="2">
        <f>IFERROR(__xludf.DUMMYFUNCTION("""COMPUTED_VALUE"""),1635446.0)</f>
        <v>1635446</v>
      </c>
    </row>
    <row r="948">
      <c r="A948" s="3">
        <f>IFERROR(__xludf.DUMMYFUNCTION("""COMPUTED_VALUE"""),39616.645833333336)</f>
        <v>39616.64583</v>
      </c>
      <c r="B948" s="2">
        <f>IFERROR(__xludf.DUMMYFUNCTION("""COMPUTED_VALUE"""),226.25)</f>
        <v>226.25</v>
      </c>
      <c r="C948" s="2">
        <f>IFERROR(__xludf.DUMMYFUNCTION("""COMPUTED_VALUE"""),231.75)</f>
        <v>231.75</v>
      </c>
      <c r="D948" s="2">
        <f>IFERROR(__xludf.DUMMYFUNCTION("""COMPUTED_VALUE"""),226.25)</f>
        <v>226.25</v>
      </c>
      <c r="E948" s="2">
        <f>IFERROR(__xludf.DUMMYFUNCTION("""COMPUTED_VALUE"""),230.33)</f>
        <v>230.33</v>
      </c>
      <c r="F948" s="2">
        <f>IFERROR(__xludf.DUMMYFUNCTION("""COMPUTED_VALUE"""),876206.0)</f>
        <v>876206</v>
      </c>
    </row>
    <row r="949">
      <c r="A949" s="3">
        <f>IFERROR(__xludf.DUMMYFUNCTION("""COMPUTED_VALUE"""),39617.645833333336)</f>
        <v>39617.64583</v>
      </c>
      <c r="B949" s="2">
        <f>IFERROR(__xludf.DUMMYFUNCTION("""COMPUTED_VALUE"""),230.2)</f>
        <v>230.2</v>
      </c>
      <c r="C949" s="2">
        <f>IFERROR(__xludf.DUMMYFUNCTION("""COMPUTED_VALUE"""),230.25)</f>
        <v>230.25</v>
      </c>
      <c r="D949" s="2">
        <f>IFERROR(__xludf.DUMMYFUNCTION("""COMPUTED_VALUE"""),222.75)</f>
        <v>222.75</v>
      </c>
      <c r="E949" s="2">
        <f>IFERROR(__xludf.DUMMYFUNCTION("""COMPUTED_VALUE"""),225.23)</f>
        <v>225.23</v>
      </c>
      <c r="F949" s="2">
        <f>IFERROR(__xludf.DUMMYFUNCTION("""COMPUTED_VALUE"""),1607834.0)</f>
        <v>1607834</v>
      </c>
    </row>
    <row r="950">
      <c r="A950" s="3">
        <f>IFERROR(__xludf.DUMMYFUNCTION("""COMPUTED_VALUE"""),39618.645833333336)</f>
        <v>39618.64583</v>
      </c>
      <c r="B950" s="2">
        <f>IFERROR(__xludf.DUMMYFUNCTION("""COMPUTED_VALUE"""),220.06)</f>
        <v>220.06</v>
      </c>
      <c r="C950" s="2">
        <f>IFERROR(__xludf.DUMMYFUNCTION("""COMPUTED_VALUE"""),224.5)</f>
        <v>224.5</v>
      </c>
      <c r="D950" s="2">
        <f>IFERROR(__xludf.DUMMYFUNCTION("""COMPUTED_VALUE"""),220.0)</f>
        <v>220</v>
      </c>
      <c r="E950" s="2">
        <f>IFERROR(__xludf.DUMMYFUNCTION("""COMPUTED_VALUE"""),222.0)</f>
        <v>222</v>
      </c>
      <c r="F950" s="2">
        <f>IFERROR(__xludf.DUMMYFUNCTION("""COMPUTED_VALUE"""),822267.0)</f>
        <v>822267</v>
      </c>
    </row>
    <row r="951">
      <c r="A951" s="3">
        <f>IFERROR(__xludf.DUMMYFUNCTION("""COMPUTED_VALUE"""),39619.645833333336)</f>
        <v>39619.64583</v>
      </c>
      <c r="B951" s="2">
        <f>IFERROR(__xludf.DUMMYFUNCTION("""COMPUTED_VALUE"""),224.98)</f>
        <v>224.98</v>
      </c>
      <c r="C951" s="2">
        <f>IFERROR(__xludf.DUMMYFUNCTION("""COMPUTED_VALUE"""),224.98)</f>
        <v>224.98</v>
      </c>
      <c r="D951" s="2">
        <f>IFERROR(__xludf.DUMMYFUNCTION("""COMPUTED_VALUE"""),210.39)</f>
        <v>210.39</v>
      </c>
      <c r="E951" s="2">
        <f>IFERROR(__xludf.DUMMYFUNCTION("""COMPUTED_VALUE"""),215.96)</f>
        <v>215.96</v>
      </c>
      <c r="F951" s="2">
        <f>IFERROR(__xludf.DUMMYFUNCTION("""COMPUTED_VALUE"""),2039440.0)</f>
        <v>2039440</v>
      </c>
    </row>
    <row r="952">
      <c r="A952" s="3">
        <f>IFERROR(__xludf.DUMMYFUNCTION("""COMPUTED_VALUE"""),39622.645833333336)</f>
        <v>39622.64583</v>
      </c>
      <c r="B952" s="2">
        <f>IFERROR(__xludf.DUMMYFUNCTION("""COMPUTED_VALUE"""),215.96)</f>
        <v>215.96</v>
      </c>
      <c r="C952" s="2">
        <f>IFERROR(__xludf.DUMMYFUNCTION("""COMPUTED_VALUE"""),219.86)</f>
        <v>219.86</v>
      </c>
      <c r="D952" s="2">
        <f>IFERROR(__xludf.DUMMYFUNCTION("""COMPUTED_VALUE"""),210.75)</f>
        <v>210.75</v>
      </c>
      <c r="E952" s="2">
        <f>IFERROR(__xludf.DUMMYFUNCTION("""COMPUTED_VALUE"""),214.61)</f>
        <v>214.61</v>
      </c>
      <c r="F952" s="2">
        <f>IFERROR(__xludf.DUMMYFUNCTION("""COMPUTED_VALUE"""),893078.0)</f>
        <v>893078</v>
      </c>
    </row>
    <row r="953">
      <c r="A953" s="3">
        <f>IFERROR(__xludf.DUMMYFUNCTION("""COMPUTED_VALUE"""),39623.645833333336)</f>
        <v>39623.64583</v>
      </c>
      <c r="B953" s="2">
        <f>IFERROR(__xludf.DUMMYFUNCTION("""COMPUTED_VALUE"""),212.5)</f>
        <v>212.5</v>
      </c>
      <c r="C953" s="2">
        <f>IFERROR(__xludf.DUMMYFUNCTION("""COMPUTED_VALUE"""),216.93)</f>
        <v>216.93</v>
      </c>
      <c r="D953" s="2">
        <f>IFERROR(__xludf.DUMMYFUNCTION("""COMPUTED_VALUE"""),205.85)</f>
        <v>205.85</v>
      </c>
      <c r="E953" s="2">
        <f>IFERROR(__xludf.DUMMYFUNCTION("""COMPUTED_VALUE"""),211.1)</f>
        <v>211.1</v>
      </c>
      <c r="F953" s="2">
        <f>IFERROR(__xludf.DUMMYFUNCTION("""COMPUTED_VALUE"""),2321794.0)</f>
        <v>2321794</v>
      </c>
    </row>
    <row r="954">
      <c r="A954" s="3">
        <f>IFERROR(__xludf.DUMMYFUNCTION("""COMPUTED_VALUE"""),39624.645833333336)</f>
        <v>39624.64583</v>
      </c>
      <c r="B954" s="2">
        <f>IFERROR(__xludf.DUMMYFUNCTION("""COMPUTED_VALUE"""),210.0)</f>
        <v>210</v>
      </c>
      <c r="C954" s="2">
        <f>IFERROR(__xludf.DUMMYFUNCTION("""COMPUTED_VALUE"""),221.25)</f>
        <v>221.25</v>
      </c>
      <c r="D954" s="2">
        <f>IFERROR(__xludf.DUMMYFUNCTION("""COMPUTED_VALUE"""),207.83)</f>
        <v>207.83</v>
      </c>
      <c r="E954" s="2">
        <f>IFERROR(__xludf.DUMMYFUNCTION("""COMPUTED_VALUE"""),219.2)</f>
        <v>219.2</v>
      </c>
      <c r="F954" s="2">
        <f>IFERROR(__xludf.DUMMYFUNCTION("""COMPUTED_VALUE"""),1478549.0)</f>
        <v>1478549</v>
      </c>
    </row>
    <row r="955">
      <c r="A955" s="3">
        <f>IFERROR(__xludf.DUMMYFUNCTION("""COMPUTED_VALUE"""),39625.645833333336)</f>
        <v>39625.64583</v>
      </c>
      <c r="B955" s="2">
        <f>IFERROR(__xludf.DUMMYFUNCTION("""COMPUTED_VALUE"""),221.0)</f>
        <v>221</v>
      </c>
      <c r="C955" s="2">
        <f>IFERROR(__xludf.DUMMYFUNCTION("""COMPUTED_VALUE"""),224.5)</f>
        <v>224.5</v>
      </c>
      <c r="D955" s="2">
        <f>IFERROR(__xludf.DUMMYFUNCTION("""COMPUTED_VALUE"""),215.1)</f>
        <v>215.1</v>
      </c>
      <c r="E955" s="2">
        <f>IFERROR(__xludf.DUMMYFUNCTION("""COMPUTED_VALUE"""),220.34)</f>
        <v>220.34</v>
      </c>
      <c r="F955" s="2">
        <f>IFERROR(__xludf.DUMMYFUNCTION("""COMPUTED_VALUE"""),1757079.0)</f>
        <v>1757079</v>
      </c>
    </row>
    <row r="956">
      <c r="A956" s="3">
        <f>IFERROR(__xludf.DUMMYFUNCTION("""COMPUTED_VALUE"""),39626.645833333336)</f>
        <v>39626.64583</v>
      </c>
      <c r="B956" s="2">
        <f>IFERROR(__xludf.DUMMYFUNCTION("""COMPUTED_VALUE"""),220.34)</f>
        <v>220.34</v>
      </c>
      <c r="C956" s="2">
        <f>IFERROR(__xludf.DUMMYFUNCTION("""COMPUTED_VALUE"""),220.34)</f>
        <v>220.34</v>
      </c>
      <c r="D956" s="2">
        <f>IFERROR(__xludf.DUMMYFUNCTION("""COMPUTED_VALUE"""),212.79)</f>
        <v>212.79</v>
      </c>
      <c r="E956" s="2">
        <f>IFERROR(__xludf.DUMMYFUNCTION("""COMPUTED_VALUE"""),216.38)</f>
        <v>216.38</v>
      </c>
      <c r="F956" s="2">
        <f>IFERROR(__xludf.DUMMYFUNCTION("""COMPUTED_VALUE"""),1565237.0)</f>
        <v>1565237</v>
      </c>
    </row>
    <row r="957">
      <c r="A957" s="3">
        <f>IFERROR(__xludf.DUMMYFUNCTION("""COMPUTED_VALUE"""),39629.645833333336)</f>
        <v>39629.64583</v>
      </c>
      <c r="B957" s="2">
        <f>IFERROR(__xludf.DUMMYFUNCTION("""COMPUTED_VALUE"""),217.75)</f>
        <v>217.75</v>
      </c>
      <c r="C957" s="2">
        <f>IFERROR(__xludf.DUMMYFUNCTION("""COMPUTED_VALUE"""),219.5)</f>
        <v>219.5</v>
      </c>
      <c r="D957" s="2">
        <f>IFERROR(__xludf.DUMMYFUNCTION("""COMPUTED_VALUE"""),212.5)</f>
        <v>212.5</v>
      </c>
      <c r="E957" s="2">
        <f>IFERROR(__xludf.DUMMYFUNCTION("""COMPUTED_VALUE"""),214.55)</f>
        <v>214.55</v>
      </c>
      <c r="F957" s="2">
        <f>IFERROR(__xludf.DUMMYFUNCTION("""COMPUTED_VALUE"""),814511.0)</f>
        <v>814511</v>
      </c>
    </row>
    <row r="958">
      <c r="A958" s="3">
        <f>IFERROR(__xludf.DUMMYFUNCTION("""COMPUTED_VALUE"""),39630.645833333336)</f>
        <v>39630.64583</v>
      </c>
      <c r="B958" s="2">
        <f>IFERROR(__xludf.DUMMYFUNCTION("""COMPUTED_VALUE"""),216.25)</f>
        <v>216.25</v>
      </c>
      <c r="C958" s="2">
        <f>IFERROR(__xludf.DUMMYFUNCTION("""COMPUTED_VALUE"""),218.0)</f>
        <v>218</v>
      </c>
      <c r="D958" s="2">
        <f>IFERROR(__xludf.DUMMYFUNCTION("""COMPUTED_VALUE"""),208.76)</f>
        <v>208.76</v>
      </c>
      <c r="E958" s="2">
        <f>IFERROR(__xludf.DUMMYFUNCTION("""COMPUTED_VALUE"""),211.93)</f>
        <v>211.93</v>
      </c>
      <c r="F958" s="2">
        <f>IFERROR(__xludf.DUMMYFUNCTION("""COMPUTED_VALUE"""),1264904.0)</f>
        <v>1264904</v>
      </c>
    </row>
    <row r="959">
      <c r="A959" s="3">
        <f>IFERROR(__xludf.DUMMYFUNCTION("""COMPUTED_VALUE"""),39631.645833333336)</f>
        <v>39631.64583</v>
      </c>
      <c r="B959" s="2">
        <f>IFERROR(__xludf.DUMMYFUNCTION("""COMPUTED_VALUE"""),212.5)</f>
        <v>212.5</v>
      </c>
      <c r="C959" s="2">
        <f>IFERROR(__xludf.DUMMYFUNCTION("""COMPUTED_VALUE"""),222.0)</f>
        <v>222</v>
      </c>
      <c r="D959" s="2">
        <f>IFERROR(__xludf.DUMMYFUNCTION("""COMPUTED_VALUE"""),210.0)</f>
        <v>210</v>
      </c>
      <c r="E959" s="2">
        <f>IFERROR(__xludf.DUMMYFUNCTION("""COMPUTED_VALUE"""),219.13)</f>
        <v>219.13</v>
      </c>
      <c r="F959" s="2">
        <f>IFERROR(__xludf.DUMMYFUNCTION("""COMPUTED_VALUE"""),2035278.0)</f>
        <v>2035278</v>
      </c>
    </row>
    <row r="960">
      <c r="A960" s="3">
        <f>IFERROR(__xludf.DUMMYFUNCTION("""COMPUTED_VALUE"""),39632.645833333336)</f>
        <v>39632.64583</v>
      </c>
      <c r="B960" s="2">
        <f>IFERROR(__xludf.DUMMYFUNCTION("""COMPUTED_VALUE"""),220.25)</f>
        <v>220.25</v>
      </c>
      <c r="C960" s="2">
        <f>IFERROR(__xludf.DUMMYFUNCTION("""COMPUTED_VALUE"""),220.25)</f>
        <v>220.25</v>
      </c>
      <c r="D960" s="2">
        <f>IFERROR(__xludf.DUMMYFUNCTION("""COMPUTED_VALUE"""),205.14)</f>
        <v>205.14</v>
      </c>
      <c r="E960" s="2">
        <f>IFERROR(__xludf.DUMMYFUNCTION("""COMPUTED_VALUE"""),214.16)</f>
        <v>214.16</v>
      </c>
      <c r="F960" s="2">
        <f>IFERROR(__xludf.DUMMYFUNCTION("""COMPUTED_VALUE"""),1043132.0)</f>
        <v>1043132</v>
      </c>
    </row>
    <row r="961">
      <c r="A961" s="3">
        <f>IFERROR(__xludf.DUMMYFUNCTION("""COMPUTED_VALUE"""),39633.645833333336)</f>
        <v>39633.64583</v>
      </c>
      <c r="B961" s="2">
        <f>IFERROR(__xludf.DUMMYFUNCTION("""COMPUTED_VALUE"""),217.48)</f>
        <v>217.48</v>
      </c>
      <c r="C961" s="2">
        <f>IFERROR(__xludf.DUMMYFUNCTION("""COMPUTED_VALUE"""),217.51)</f>
        <v>217.51</v>
      </c>
      <c r="D961" s="2">
        <f>IFERROR(__xludf.DUMMYFUNCTION("""COMPUTED_VALUE"""),208.88)</f>
        <v>208.88</v>
      </c>
      <c r="E961" s="2">
        <f>IFERROR(__xludf.DUMMYFUNCTION("""COMPUTED_VALUE"""),211.13)</f>
        <v>211.13</v>
      </c>
      <c r="F961" s="2">
        <f>IFERROR(__xludf.DUMMYFUNCTION("""COMPUTED_VALUE"""),984896.0)</f>
        <v>984896</v>
      </c>
    </row>
    <row r="962">
      <c r="A962" s="3">
        <f>IFERROR(__xludf.DUMMYFUNCTION("""COMPUTED_VALUE"""),39636.645833333336)</f>
        <v>39636.64583</v>
      </c>
      <c r="B962" s="2">
        <f>IFERROR(__xludf.DUMMYFUNCTION("""COMPUTED_VALUE"""),211.25)</f>
        <v>211.25</v>
      </c>
      <c r="C962" s="2">
        <f>IFERROR(__xludf.DUMMYFUNCTION("""COMPUTED_VALUE"""),216.0)</f>
        <v>216</v>
      </c>
      <c r="D962" s="2">
        <f>IFERROR(__xludf.DUMMYFUNCTION("""COMPUTED_VALUE"""),208.0)</f>
        <v>208</v>
      </c>
      <c r="E962" s="2">
        <f>IFERROR(__xludf.DUMMYFUNCTION("""COMPUTED_VALUE"""),213.06)</f>
        <v>213.06</v>
      </c>
      <c r="F962" s="2">
        <f>IFERROR(__xludf.DUMMYFUNCTION("""COMPUTED_VALUE"""),448533.0)</f>
        <v>448533</v>
      </c>
    </row>
    <row r="963">
      <c r="A963" s="3">
        <f>IFERROR(__xludf.DUMMYFUNCTION("""COMPUTED_VALUE"""),39637.645833333336)</f>
        <v>39637.64583</v>
      </c>
      <c r="B963" s="2">
        <f>IFERROR(__xludf.DUMMYFUNCTION("""COMPUTED_VALUE"""),207.54)</f>
        <v>207.54</v>
      </c>
      <c r="C963" s="2">
        <f>IFERROR(__xludf.DUMMYFUNCTION("""COMPUTED_VALUE"""),211.25)</f>
        <v>211.25</v>
      </c>
      <c r="D963" s="2">
        <f>IFERROR(__xludf.DUMMYFUNCTION("""COMPUTED_VALUE"""),204.5)</f>
        <v>204.5</v>
      </c>
      <c r="E963" s="2">
        <f>IFERROR(__xludf.DUMMYFUNCTION("""COMPUTED_VALUE"""),207.55)</f>
        <v>207.55</v>
      </c>
      <c r="F963" s="2">
        <f>IFERROR(__xludf.DUMMYFUNCTION("""COMPUTED_VALUE"""),986906.0)</f>
        <v>986906</v>
      </c>
    </row>
    <row r="964">
      <c r="A964" s="3">
        <f>IFERROR(__xludf.DUMMYFUNCTION("""COMPUTED_VALUE"""),39638.645833333336)</f>
        <v>39638.64583</v>
      </c>
      <c r="B964" s="2">
        <f>IFERROR(__xludf.DUMMYFUNCTION("""COMPUTED_VALUE"""),212.5)</f>
        <v>212.5</v>
      </c>
      <c r="C964" s="2">
        <f>IFERROR(__xludf.DUMMYFUNCTION("""COMPUTED_VALUE"""),222.49)</f>
        <v>222.49</v>
      </c>
      <c r="D964" s="2">
        <f>IFERROR(__xludf.DUMMYFUNCTION("""COMPUTED_VALUE"""),212.5)</f>
        <v>212.5</v>
      </c>
      <c r="E964" s="2">
        <f>IFERROR(__xludf.DUMMYFUNCTION("""COMPUTED_VALUE"""),219.19)</f>
        <v>219.19</v>
      </c>
      <c r="F964" s="2">
        <f>IFERROR(__xludf.DUMMYFUNCTION("""COMPUTED_VALUE"""),894637.0)</f>
        <v>894637</v>
      </c>
    </row>
    <row r="965">
      <c r="A965" s="3">
        <f>IFERROR(__xludf.DUMMYFUNCTION("""COMPUTED_VALUE"""),39639.645833333336)</f>
        <v>39639.64583</v>
      </c>
      <c r="B965" s="2">
        <f>IFERROR(__xludf.DUMMYFUNCTION("""COMPUTED_VALUE"""),217.5)</f>
        <v>217.5</v>
      </c>
      <c r="C965" s="2">
        <f>IFERROR(__xludf.DUMMYFUNCTION("""COMPUTED_VALUE"""),222.25)</f>
        <v>222.25</v>
      </c>
      <c r="D965" s="2">
        <f>IFERROR(__xludf.DUMMYFUNCTION("""COMPUTED_VALUE"""),213.09)</f>
        <v>213.09</v>
      </c>
      <c r="E965" s="2">
        <f>IFERROR(__xludf.DUMMYFUNCTION("""COMPUTED_VALUE"""),217.1)</f>
        <v>217.1</v>
      </c>
      <c r="F965" s="2">
        <f>IFERROR(__xludf.DUMMYFUNCTION("""COMPUTED_VALUE"""),876092.0)</f>
        <v>876092</v>
      </c>
    </row>
    <row r="966">
      <c r="A966" s="3">
        <f>IFERROR(__xludf.DUMMYFUNCTION("""COMPUTED_VALUE"""),39640.645833333336)</f>
        <v>39640.64583</v>
      </c>
      <c r="B966" s="2">
        <f>IFERROR(__xludf.DUMMYFUNCTION("""COMPUTED_VALUE"""),229.25)</f>
        <v>229.25</v>
      </c>
      <c r="C966" s="2">
        <f>IFERROR(__xludf.DUMMYFUNCTION("""COMPUTED_VALUE"""),235.75)</f>
        <v>235.75</v>
      </c>
      <c r="D966" s="2">
        <f>IFERROR(__xludf.DUMMYFUNCTION("""COMPUTED_VALUE"""),196.35)</f>
        <v>196.35</v>
      </c>
      <c r="E966" s="2">
        <f>IFERROR(__xludf.DUMMYFUNCTION("""COMPUTED_VALUE"""),199.65)</f>
        <v>199.65</v>
      </c>
      <c r="F966" s="2">
        <f>IFERROR(__xludf.DUMMYFUNCTION("""COMPUTED_VALUE"""),1380946.0)</f>
        <v>1380946</v>
      </c>
    </row>
    <row r="967">
      <c r="A967" s="3">
        <f>IFERROR(__xludf.DUMMYFUNCTION("""COMPUTED_VALUE"""),39643.645833333336)</f>
        <v>39643.64583</v>
      </c>
      <c r="B967" s="2">
        <f>IFERROR(__xludf.DUMMYFUNCTION("""COMPUTED_VALUE"""),200.0)</f>
        <v>200</v>
      </c>
      <c r="C967" s="2">
        <f>IFERROR(__xludf.DUMMYFUNCTION("""COMPUTED_VALUE"""),200.0)</f>
        <v>200</v>
      </c>
      <c r="D967" s="2">
        <f>IFERROR(__xludf.DUMMYFUNCTION("""COMPUTED_VALUE"""),190.25)</f>
        <v>190.25</v>
      </c>
      <c r="E967" s="2">
        <f>IFERROR(__xludf.DUMMYFUNCTION("""COMPUTED_VALUE"""),191.96)</f>
        <v>191.96</v>
      </c>
      <c r="F967" s="2">
        <f>IFERROR(__xludf.DUMMYFUNCTION("""COMPUTED_VALUE"""),1139974.0)</f>
        <v>1139974</v>
      </c>
    </row>
    <row r="968">
      <c r="A968" s="3">
        <f>IFERROR(__xludf.DUMMYFUNCTION("""COMPUTED_VALUE"""),39644.645833333336)</f>
        <v>39644.64583</v>
      </c>
      <c r="B968" s="2">
        <f>IFERROR(__xludf.DUMMYFUNCTION("""COMPUTED_VALUE"""),191.96)</f>
        <v>191.96</v>
      </c>
      <c r="C968" s="2">
        <f>IFERROR(__xludf.DUMMYFUNCTION("""COMPUTED_VALUE"""),196.61)</f>
        <v>196.61</v>
      </c>
      <c r="D968" s="2">
        <f>IFERROR(__xludf.DUMMYFUNCTION("""COMPUTED_VALUE"""),184.29)</f>
        <v>184.29</v>
      </c>
      <c r="E968" s="2">
        <f>IFERROR(__xludf.DUMMYFUNCTION("""COMPUTED_VALUE"""),187.66)</f>
        <v>187.66</v>
      </c>
      <c r="F968" s="2">
        <f>IFERROR(__xludf.DUMMYFUNCTION("""COMPUTED_VALUE"""),1127461.0)</f>
        <v>1127461</v>
      </c>
    </row>
    <row r="969">
      <c r="A969" s="3">
        <f>IFERROR(__xludf.DUMMYFUNCTION("""COMPUTED_VALUE"""),39645.645833333336)</f>
        <v>39645.64583</v>
      </c>
      <c r="B969" s="2">
        <f>IFERROR(__xludf.DUMMYFUNCTION("""COMPUTED_VALUE"""),188.66)</f>
        <v>188.66</v>
      </c>
      <c r="C969" s="2">
        <f>IFERROR(__xludf.DUMMYFUNCTION("""COMPUTED_VALUE"""),193.41)</f>
        <v>193.41</v>
      </c>
      <c r="D969" s="2">
        <f>IFERROR(__xludf.DUMMYFUNCTION("""COMPUTED_VALUE"""),178.98)</f>
        <v>178.98</v>
      </c>
      <c r="E969" s="2">
        <f>IFERROR(__xludf.DUMMYFUNCTION("""COMPUTED_VALUE"""),182.03)</f>
        <v>182.03</v>
      </c>
      <c r="F969" s="2">
        <f>IFERROR(__xludf.DUMMYFUNCTION("""COMPUTED_VALUE"""),1434975.0)</f>
        <v>1434975</v>
      </c>
    </row>
    <row r="970">
      <c r="A970" s="3">
        <f>IFERROR(__xludf.DUMMYFUNCTION("""COMPUTED_VALUE"""),39646.645833333336)</f>
        <v>39646.64583</v>
      </c>
      <c r="B970" s="2">
        <f>IFERROR(__xludf.DUMMYFUNCTION("""COMPUTED_VALUE"""),183.75)</f>
        <v>183.75</v>
      </c>
      <c r="C970" s="2">
        <f>IFERROR(__xludf.DUMMYFUNCTION("""COMPUTED_VALUE"""),196.73)</f>
        <v>196.73</v>
      </c>
      <c r="D970" s="2">
        <f>IFERROR(__xludf.DUMMYFUNCTION("""COMPUTED_VALUE"""),182.51)</f>
        <v>182.51</v>
      </c>
      <c r="E970" s="2">
        <f>IFERROR(__xludf.DUMMYFUNCTION("""COMPUTED_VALUE"""),195.81)</f>
        <v>195.81</v>
      </c>
      <c r="F970" s="2">
        <f>IFERROR(__xludf.DUMMYFUNCTION("""COMPUTED_VALUE"""),2587679.0)</f>
        <v>2587679</v>
      </c>
    </row>
    <row r="971">
      <c r="A971" s="3">
        <f>IFERROR(__xludf.DUMMYFUNCTION("""COMPUTED_VALUE"""),39647.645833333336)</f>
        <v>39647.64583</v>
      </c>
      <c r="B971" s="2">
        <f>IFERROR(__xludf.DUMMYFUNCTION("""COMPUTED_VALUE"""),195.0)</f>
        <v>195</v>
      </c>
      <c r="C971" s="2">
        <f>IFERROR(__xludf.DUMMYFUNCTION("""COMPUTED_VALUE"""),200.5)</f>
        <v>200.5</v>
      </c>
      <c r="D971" s="2">
        <f>IFERROR(__xludf.DUMMYFUNCTION("""COMPUTED_VALUE"""),187.25)</f>
        <v>187.25</v>
      </c>
      <c r="E971" s="2">
        <f>IFERROR(__xludf.DUMMYFUNCTION("""COMPUTED_VALUE"""),198.46)</f>
        <v>198.46</v>
      </c>
      <c r="F971" s="2">
        <f>IFERROR(__xludf.DUMMYFUNCTION("""COMPUTED_VALUE"""),2084874.0)</f>
        <v>2084874</v>
      </c>
    </row>
    <row r="972">
      <c r="A972" s="3">
        <f>IFERROR(__xludf.DUMMYFUNCTION("""COMPUTED_VALUE"""),39650.645833333336)</f>
        <v>39650.64583</v>
      </c>
      <c r="B972" s="2">
        <f>IFERROR(__xludf.DUMMYFUNCTION("""COMPUTED_VALUE"""),199.75)</f>
        <v>199.75</v>
      </c>
      <c r="C972" s="2">
        <f>IFERROR(__xludf.DUMMYFUNCTION("""COMPUTED_VALUE"""),203.75)</f>
        <v>203.75</v>
      </c>
      <c r="D972" s="2">
        <f>IFERROR(__xludf.DUMMYFUNCTION("""COMPUTED_VALUE"""),195.75)</f>
        <v>195.75</v>
      </c>
      <c r="E972" s="2">
        <f>IFERROR(__xludf.DUMMYFUNCTION("""COMPUTED_VALUE"""),203.2)</f>
        <v>203.2</v>
      </c>
      <c r="F972" s="2">
        <f>IFERROR(__xludf.DUMMYFUNCTION("""COMPUTED_VALUE"""),895517.0)</f>
        <v>895517</v>
      </c>
    </row>
    <row r="973">
      <c r="A973" s="3">
        <f>IFERROR(__xludf.DUMMYFUNCTION("""COMPUTED_VALUE"""),39651.645833333336)</f>
        <v>39651.64583</v>
      </c>
      <c r="B973" s="2">
        <f>IFERROR(__xludf.DUMMYFUNCTION("""COMPUTED_VALUE"""),204.0)</f>
        <v>204</v>
      </c>
      <c r="C973" s="2">
        <f>IFERROR(__xludf.DUMMYFUNCTION("""COMPUTED_VALUE"""),210.99)</f>
        <v>210.99</v>
      </c>
      <c r="D973" s="2">
        <f>IFERROR(__xludf.DUMMYFUNCTION("""COMPUTED_VALUE"""),201.51)</f>
        <v>201.51</v>
      </c>
      <c r="E973" s="2">
        <f>IFERROR(__xludf.DUMMYFUNCTION("""COMPUTED_VALUE"""),207.96)</f>
        <v>207.96</v>
      </c>
      <c r="F973" s="2">
        <f>IFERROR(__xludf.DUMMYFUNCTION("""COMPUTED_VALUE"""),1060291.0)</f>
        <v>1060291</v>
      </c>
    </row>
    <row r="974">
      <c r="A974" s="3">
        <f>IFERROR(__xludf.DUMMYFUNCTION("""COMPUTED_VALUE"""),39652.645833333336)</f>
        <v>39652.64583</v>
      </c>
      <c r="B974" s="2">
        <f>IFERROR(__xludf.DUMMYFUNCTION("""COMPUTED_VALUE"""),207.5)</f>
        <v>207.5</v>
      </c>
      <c r="C974" s="2">
        <f>IFERROR(__xludf.DUMMYFUNCTION("""COMPUTED_VALUE"""),217.5)</f>
        <v>217.5</v>
      </c>
      <c r="D974" s="2">
        <f>IFERROR(__xludf.DUMMYFUNCTION("""COMPUTED_VALUE"""),204.73)</f>
        <v>204.73</v>
      </c>
      <c r="E974" s="2">
        <f>IFERROR(__xludf.DUMMYFUNCTION("""COMPUTED_VALUE"""),215.14)</f>
        <v>215.14</v>
      </c>
      <c r="F974" s="2">
        <f>IFERROR(__xludf.DUMMYFUNCTION("""COMPUTED_VALUE"""),1492855.0)</f>
        <v>1492855</v>
      </c>
    </row>
    <row r="975">
      <c r="A975" s="3">
        <f>IFERROR(__xludf.DUMMYFUNCTION("""COMPUTED_VALUE"""),39653.645833333336)</f>
        <v>39653.64583</v>
      </c>
      <c r="B975" s="2">
        <f>IFERROR(__xludf.DUMMYFUNCTION("""COMPUTED_VALUE"""),218.63)</f>
        <v>218.63</v>
      </c>
      <c r="C975" s="2">
        <f>IFERROR(__xludf.DUMMYFUNCTION("""COMPUTED_VALUE"""),218.63)</f>
        <v>218.63</v>
      </c>
      <c r="D975" s="2">
        <f>IFERROR(__xludf.DUMMYFUNCTION("""COMPUTED_VALUE"""),198.09)</f>
        <v>198.09</v>
      </c>
      <c r="E975" s="2">
        <f>IFERROR(__xludf.DUMMYFUNCTION("""COMPUTED_VALUE"""),200.64)</f>
        <v>200.64</v>
      </c>
      <c r="F975" s="2">
        <f>IFERROR(__xludf.DUMMYFUNCTION("""COMPUTED_VALUE"""),2935584.0)</f>
        <v>2935584</v>
      </c>
    </row>
    <row r="976">
      <c r="A976" s="3">
        <f>IFERROR(__xludf.DUMMYFUNCTION("""COMPUTED_VALUE"""),39654.645833333336)</f>
        <v>39654.64583</v>
      </c>
      <c r="B976" s="2">
        <f>IFERROR(__xludf.DUMMYFUNCTION("""COMPUTED_VALUE"""),199.8)</f>
        <v>199.8</v>
      </c>
      <c r="C976" s="2">
        <f>IFERROR(__xludf.DUMMYFUNCTION("""COMPUTED_VALUE"""),212.38)</f>
        <v>212.38</v>
      </c>
      <c r="D976" s="2">
        <f>IFERROR(__xludf.DUMMYFUNCTION("""COMPUTED_VALUE"""),195.5)</f>
        <v>195.5</v>
      </c>
      <c r="E976" s="2">
        <f>IFERROR(__xludf.DUMMYFUNCTION("""COMPUTED_VALUE"""),199.8)</f>
        <v>199.8</v>
      </c>
      <c r="F976" s="2">
        <f>IFERROR(__xludf.DUMMYFUNCTION("""COMPUTED_VALUE"""),2210634.0)</f>
        <v>2210634</v>
      </c>
    </row>
    <row r="977">
      <c r="A977" s="3">
        <f>IFERROR(__xludf.DUMMYFUNCTION("""COMPUTED_VALUE"""),39657.645833333336)</f>
        <v>39657.64583</v>
      </c>
      <c r="B977" s="2">
        <f>IFERROR(__xludf.DUMMYFUNCTION("""COMPUTED_VALUE"""),200.0)</f>
        <v>200</v>
      </c>
      <c r="C977" s="2">
        <f>IFERROR(__xludf.DUMMYFUNCTION("""COMPUTED_VALUE"""),204.24)</f>
        <v>204.24</v>
      </c>
      <c r="D977" s="2">
        <f>IFERROR(__xludf.DUMMYFUNCTION("""COMPUTED_VALUE"""),196.25)</f>
        <v>196.25</v>
      </c>
      <c r="E977" s="2">
        <f>IFERROR(__xludf.DUMMYFUNCTION("""COMPUTED_VALUE"""),201.56)</f>
        <v>201.56</v>
      </c>
      <c r="F977" s="2">
        <f>IFERROR(__xludf.DUMMYFUNCTION("""COMPUTED_VALUE"""),492343.0)</f>
        <v>492343</v>
      </c>
    </row>
    <row r="978">
      <c r="A978" s="3">
        <f>IFERROR(__xludf.DUMMYFUNCTION("""COMPUTED_VALUE"""),39658.645833333336)</f>
        <v>39658.64583</v>
      </c>
      <c r="B978" s="2">
        <f>IFERROR(__xludf.DUMMYFUNCTION("""COMPUTED_VALUE"""),201.68)</f>
        <v>201.68</v>
      </c>
      <c r="C978" s="2">
        <f>IFERROR(__xludf.DUMMYFUNCTION("""COMPUTED_VALUE"""),203.45)</f>
        <v>203.45</v>
      </c>
      <c r="D978" s="2">
        <f>IFERROR(__xludf.DUMMYFUNCTION("""COMPUTED_VALUE"""),198.0)</f>
        <v>198</v>
      </c>
      <c r="E978" s="2">
        <f>IFERROR(__xludf.DUMMYFUNCTION("""COMPUTED_VALUE"""),202.24)</f>
        <v>202.24</v>
      </c>
      <c r="F978" s="2">
        <f>IFERROR(__xludf.DUMMYFUNCTION("""COMPUTED_VALUE"""),618048.0)</f>
        <v>618048</v>
      </c>
    </row>
    <row r="979">
      <c r="A979" s="3">
        <f>IFERROR(__xludf.DUMMYFUNCTION("""COMPUTED_VALUE"""),39659.645833333336)</f>
        <v>39659.64583</v>
      </c>
      <c r="B979" s="2">
        <f>IFERROR(__xludf.DUMMYFUNCTION("""COMPUTED_VALUE"""),211.5)</f>
        <v>211.5</v>
      </c>
      <c r="C979" s="2">
        <f>IFERROR(__xludf.DUMMYFUNCTION("""COMPUTED_VALUE"""),211.5)</f>
        <v>211.5</v>
      </c>
      <c r="D979" s="2">
        <f>IFERROR(__xludf.DUMMYFUNCTION("""COMPUTED_VALUE"""),200.0)</f>
        <v>200</v>
      </c>
      <c r="E979" s="2">
        <f>IFERROR(__xludf.DUMMYFUNCTION("""COMPUTED_VALUE"""),209.74)</f>
        <v>209.74</v>
      </c>
      <c r="F979" s="2">
        <f>IFERROR(__xludf.DUMMYFUNCTION("""COMPUTED_VALUE"""),1105019.0)</f>
        <v>1105019</v>
      </c>
    </row>
    <row r="980">
      <c r="A980" s="3">
        <f>IFERROR(__xludf.DUMMYFUNCTION("""COMPUTED_VALUE"""),39660.645833333336)</f>
        <v>39660.64583</v>
      </c>
      <c r="B980" s="2">
        <f>IFERROR(__xludf.DUMMYFUNCTION("""COMPUTED_VALUE"""),210.0)</f>
        <v>210</v>
      </c>
      <c r="C980" s="2">
        <f>IFERROR(__xludf.DUMMYFUNCTION("""COMPUTED_VALUE"""),210.5)</f>
        <v>210.5</v>
      </c>
      <c r="D980" s="2">
        <f>IFERROR(__xludf.DUMMYFUNCTION("""COMPUTED_VALUE"""),205.38)</f>
        <v>205.38</v>
      </c>
      <c r="E980" s="2">
        <f>IFERROR(__xludf.DUMMYFUNCTION("""COMPUTED_VALUE"""),208.44)</f>
        <v>208.44</v>
      </c>
      <c r="F980" s="2">
        <f>IFERROR(__xludf.DUMMYFUNCTION("""COMPUTED_VALUE"""),1298895.0)</f>
        <v>1298895</v>
      </c>
    </row>
    <row r="981">
      <c r="A981" s="3">
        <f>IFERROR(__xludf.DUMMYFUNCTION("""COMPUTED_VALUE"""),39661.645833333336)</f>
        <v>39661.64583</v>
      </c>
      <c r="B981" s="2">
        <f>IFERROR(__xludf.DUMMYFUNCTION("""COMPUTED_VALUE"""),206.25)</f>
        <v>206.25</v>
      </c>
      <c r="C981" s="2">
        <f>IFERROR(__xludf.DUMMYFUNCTION("""COMPUTED_VALUE"""),214.24)</f>
        <v>214.24</v>
      </c>
      <c r="D981" s="2">
        <f>IFERROR(__xludf.DUMMYFUNCTION("""COMPUTED_VALUE"""),202.81)</f>
        <v>202.81</v>
      </c>
      <c r="E981" s="2">
        <f>IFERROR(__xludf.DUMMYFUNCTION("""COMPUTED_VALUE"""),210.16)</f>
        <v>210.16</v>
      </c>
      <c r="F981" s="2">
        <f>IFERROR(__xludf.DUMMYFUNCTION("""COMPUTED_VALUE"""),1002931.0)</f>
        <v>1002931</v>
      </c>
    </row>
    <row r="982">
      <c r="A982" s="3">
        <f>IFERROR(__xludf.DUMMYFUNCTION("""COMPUTED_VALUE"""),39664.645833333336)</f>
        <v>39664.64583</v>
      </c>
      <c r="B982" s="2">
        <f>IFERROR(__xludf.DUMMYFUNCTION("""COMPUTED_VALUE"""),203.75)</f>
        <v>203.75</v>
      </c>
      <c r="C982" s="2">
        <f>IFERROR(__xludf.DUMMYFUNCTION("""COMPUTED_VALUE"""),210.0)</f>
        <v>210</v>
      </c>
      <c r="D982" s="2">
        <f>IFERROR(__xludf.DUMMYFUNCTION("""COMPUTED_VALUE"""),202.75)</f>
        <v>202.75</v>
      </c>
      <c r="E982" s="2">
        <f>IFERROR(__xludf.DUMMYFUNCTION("""COMPUTED_VALUE"""),203.84)</f>
        <v>203.84</v>
      </c>
      <c r="F982" s="2">
        <f>IFERROR(__xludf.DUMMYFUNCTION("""COMPUTED_VALUE"""),1309732.0)</f>
        <v>1309732</v>
      </c>
    </row>
    <row r="983">
      <c r="A983" s="3">
        <f>IFERROR(__xludf.DUMMYFUNCTION("""COMPUTED_VALUE"""),39665.645833333336)</f>
        <v>39665.64583</v>
      </c>
      <c r="B983" s="2">
        <f>IFERROR(__xludf.DUMMYFUNCTION("""COMPUTED_VALUE"""),203.85)</f>
        <v>203.85</v>
      </c>
      <c r="C983" s="2">
        <f>IFERROR(__xludf.DUMMYFUNCTION("""COMPUTED_VALUE"""),208.75)</f>
        <v>208.75</v>
      </c>
      <c r="D983" s="2">
        <f>IFERROR(__xludf.DUMMYFUNCTION("""COMPUTED_VALUE"""),201.31)</f>
        <v>201.31</v>
      </c>
      <c r="E983" s="2">
        <f>IFERROR(__xludf.DUMMYFUNCTION("""COMPUTED_VALUE"""),207.43)</f>
        <v>207.43</v>
      </c>
      <c r="F983" s="2">
        <f>IFERROR(__xludf.DUMMYFUNCTION("""COMPUTED_VALUE"""),1192050.0)</f>
        <v>1192050</v>
      </c>
    </row>
    <row r="984">
      <c r="A984" s="3">
        <f>IFERROR(__xludf.DUMMYFUNCTION("""COMPUTED_VALUE"""),39666.645833333336)</f>
        <v>39666.64583</v>
      </c>
      <c r="B984" s="2">
        <f>IFERROR(__xludf.DUMMYFUNCTION("""COMPUTED_VALUE"""),209.98)</f>
        <v>209.98</v>
      </c>
      <c r="C984" s="2">
        <f>IFERROR(__xludf.DUMMYFUNCTION("""COMPUTED_VALUE"""),217.49)</f>
        <v>217.49</v>
      </c>
      <c r="D984" s="2">
        <f>IFERROR(__xludf.DUMMYFUNCTION("""COMPUTED_VALUE"""),209.1)</f>
        <v>209.1</v>
      </c>
      <c r="E984" s="2">
        <f>IFERROR(__xludf.DUMMYFUNCTION("""COMPUTED_VALUE"""),215.14)</f>
        <v>215.14</v>
      </c>
      <c r="F984" s="2">
        <f>IFERROR(__xludf.DUMMYFUNCTION("""COMPUTED_VALUE"""),1252483.0)</f>
        <v>1252483</v>
      </c>
    </row>
    <row r="985">
      <c r="A985" s="3">
        <f>IFERROR(__xludf.DUMMYFUNCTION("""COMPUTED_VALUE"""),39667.645833333336)</f>
        <v>39667.64583</v>
      </c>
      <c r="B985" s="2">
        <f>IFERROR(__xludf.DUMMYFUNCTION("""COMPUTED_VALUE"""),214.75)</f>
        <v>214.75</v>
      </c>
      <c r="C985" s="2">
        <f>IFERROR(__xludf.DUMMYFUNCTION("""COMPUTED_VALUE"""),217.48)</f>
        <v>217.48</v>
      </c>
      <c r="D985" s="2">
        <f>IFERROR(__xludf.DUMMYFUNCTION("""COMPUTED_VALUE"""),211.25)</f>
        <v>211.25</v>
      </c>
      <c r="E985" s="2">
        <f>IFERROR(__xludf.DUMMYFUNCTION("""COMPUTED_VALUE"""),213.34)</f>
        <v>213.34</v>
      </c>
      <c r="F985" s="2">
        <f>IFERROR(__xludf.DUMMYFUNCTION("""COMPUTED_VALUE"""),768080.0)</f>
        <v>768080</v>
      </c>
    </row>
    <row r="986">
      <c r="A986" s="3">
        <f>IFERROR(__xludf.DUMMYFUNCTION("""COMPUTED_VALUE"""),39668.645833333336)</f>
        <v>39668.64583</v>
      </c>
      <c r="B986" s="2">
        <f>IFERROR(__xludf.DUMMYFUNCTION("""COMPUTED_VALUE"""),211.24)</f>
        <v>211.24</v>
      </c>
      <c r="C986" s="2">
        <f>IFERROR(__xludf.DUMMYFUNCTION("""COMPUTED_VALUE"""),214.25)</f>
        <v>214.25</v>
      </c>
      <c r="D986" s="2">
        <f>IFERROR(__xludf.DUMMYFUNCTION("""COMPUTED_VALUE"""),208.35)</f>
        <v>208.35</v>
      </c>
      <c r="E986" s="2">
        <f>IFERROR(__xludf.DUMMYFUNCTION("""COMPUTED_VALUE"""),211.28)</f>
        <v>211.28</v>
      </c>
      <c r="F986" s="2">
        <f>IFERROR(__xludf.DUMMYFUNCTION("""COMPUTED_VALUE"""),521668.0)</f>
        <v>521668</v>
      </c>
    </row>
    <row r="987">
      <c r="A987" s="3">
        <f>IFERROR(__xludf.DUMMYFUNCTION("""COMPUTED_VALUE"""),39671.645833333336)</f>
        <v>39671.64583</v>
      </c>
      <c r="B987" s="2">
        <f>IFERROR(__xludf.DUMMYFUNCTION("""COMPUTED_VALUE"""),213.0)</f>
        <v>213</v>
      </c>
      <c r="C987" s="2">
        <f>IFERROR(__xludf.DUMMYFUNCTION("""COMPUTED_VALUE"""),214.45)</f>
        <v>214.45</v>
      </c>
      <c r="D987" s="2">
        <f>IFERROR(__xludf.DUMMYFUNCTION("""COMPUTED_VALUE"""),206.13)</f>
        <v>206.13</v>
      </c>
      <c r="E987" s="2">
        <f>IFERROR(__xludf.DUMMYFUNCTION("""COMPUTED_VALUE"""),208.49)</f>
        <v>208.49</v>
      </c>
      <c r="F987" s="2">
        <f>IFERROR(__xludf.DUMMYFUNCTION("""COMPUTED_VALUE"""),851275.0)</f>
        <v>851275</v>
      </c>
    </row>
    <row r="988">
      <c r="A988" s="3">
        <f>IFERROR(__xludf.DUMMYFUNCTION("""COMPUTED_VALUE"""),39672.645833333336)</f>
        <v>39672.64583</v>
      </c>
      <c r="B988" s="2">
        <f>IFERROR(__xludf.DUMMYFUNCTION("""COMPUTED_VALUE"""),208.75)</f>
        <v>208.75</v>
      </c>
      <c r="C988" s="2">
        <f>IFERROR(__xludf.DUMMYFUNCTION("""COMPUTED_VALUE"""),210.93)</f>
        <v>210.93</v>
      </c>
      <c r="D988" s="2">
        <f>IFERROR(__xludf.DUMMYFUNCTION("""COMPUTED_VALUE"""),203.75)</f>
        <v>203.75</v>
      </c>
      <c r="E988" s="2">
        <f>IFERROR(__xludf.DUMMYFUNCTION("""COMPUTED_VALUE"""),204.81)</f>
        <v>204.81</v>
      </c>
      <c r="F988" s="2">
        <f>IFERROR(__xludf.DUMMYFUNCTION("""COMPUTED_VALUE"""),830876.0)</f>
        <v>830876</v>
      </c>
    </row>
    <row r="989">
      <c r="A989" s="3">
        <f>IFERROR(__xludf.DUMMYFUNCTION("""COMPUTED_VALUE"""),39673.645833333336)</f>
        <v>39673.64583</v>
      </c>
      <c r="B989" s="2">
        <f>IFERROR(__xludf.DUMMYFUNCTION("""COMPUTED_VALUE"""),200.0)</f>
        <v>200</v>
      </c>
      <c r="C989" s="2">
        <f>IFERROR(__xludf.DUMMYFUNCTION("""COMPUTED_VALUE"""),209.43)</f>
        <v>209.43</v>
      </c>
      <c r="D989" s="2">
        <f>IFERROR(__xludf.DUMMYFUNCTION("""COMPUTED_VALUE"""),200.0)</f>
        <v>200</v>
      </c>
      <c r="E989" s="2">
        <f>IFERROR(__xludf.DUMMYFUNCTION("""COMPUTED_VALUE"""),207.08)</f>
        <v>207.08</v>
      </c>
      <c r="F989" s="2">
        <f>IFERROR(__xludf.DUMMYFUNCTION("""COMPUTED_VALUE"""),924492.0)</f>
        <v>924492</v>
      </c>
    </row>
    <row r="990">
      <c r="A990" s="3">
        <f>IFERROR(__xludf.DUMMYFUNCTION("""COMPUTED_VALUE"""),39674.645833333336)</f>
        <v>39674.64583</v>
      </c>
      <c r="B990" s="2">
        <f>IFERROR(__xludf.DUMMYFUNCTION("""COMPUTED_VALUE"""),207.25)</f>
        <v>207.25</v>
      </c>
      <c r="C990" s="2">
        <f>IFERROR(__xludf.DUMMYFUNCTION("""COMPUTED_VALUE"""),211.16)</f>
        <v>211.16</v>
      </c>
      <c r="D990" s="2">
        <f>IFERROR(__xludf.DUMMYFUNCTION("""COMPUTED_VALUE"""),202.75)</f>
        <v>202.75</v>
      </c>
      <c r="E990" s="2">
        <f>IFERROR(__xludf.DUMMYFUNCTION("""COMPUTED_VALUE"""),208.3)</f>
        <v>208.3</v>
      </c>
      <c r="F990" s="2">
        <f>IFERROR(__xludf.DUMMYFUNCTION("""COMPUTED_VALUE"""),935377.0)</f>
        <v>935377</v>
      </c>
    </row>
    <row r="991">
      <c r="A991" s="3">
        <f>IFERROR(__xludf.DUMMYFUNCTION("""COMPUTED_VALUE"""),39678.645833333336)</f>
        <v>39678.64583</v>
      </c>
      <c r="B991" s="2">
        <f>IFERROR(__xludf.DUMMYFUNCTION("""COMPUTED_VALUE"""),210.0)</f>
        <v>210</v>
      </c>
      <c r="C991" s="2">
        <f>IFERROR(__xludf.DUMMYFUNCTION("""COMPUTED_VALUE"""),213.1)</f>
        <v>213.1</v>
      </c>
      <c r="D991" s="2">
        <f>IFERROR(__xludf.DUMMYFUNCTION("""COMPUTED_VALUE"""),208.75)</f>
        <v>208.75</v>
      </c>
      <c r="E991" s="2">
        <f>IFERROR(__xludf.DUMMYFUNCTION("""COMPUTED_VALUE"""),210.39)</f>
        <v>210.39</v>
      </c>
      <c r="F991" s="2">
        <f>IFERROR(__xludf.DUMMYFUNCTION("""COMPUTED_VALUE"""),489162.0)</f>
        <v>489162</v>
      </c>
    </row>
    <row r="992">
      <c r="A992" s="3">
        <f>IFERROR(__xludf.DUMMYFUNCTION("""COMPUTED_VALUE"""),39679.645833333336)</f>
        <v>39679.64583</v>
      </c>
      <c r="B992" s="2">
        <f>IFERROR(__xludf.DUMMYFUNCTION("""COMPUTED_VALUE"""),211.13)</f>
        <v>211.13</v>
      </c>
      <c r="C992" s="2">
        <f>IFERROR(__xludf.DUMMYFUNCTION("""COMPUTED_VALUE"""),212.75)</f>
        <v>212.75</v>
      </c>
      <c r="D992" s="2">
        <f>IFERROR(__xludf.DUMMYFUNCTION("""COMPUTED_VALUE"""),208.78)</f>
        <v>208.78</v>
      </c>
      <c r="E992" s="2">
        <f>IFERROR(__xludf.DUMMYFUNCTION("""COMPUTED_VALUE"""),210.31)</f>
        <v>210.31</v>
      </c>
      <c r="F992" s="2">
        <f>IFERROR(__xludf.DUMMYFUNCTION("""COMPUTED_VALUE"""),488325.0)</f>
        <v>488325</v>
      </c>
    </row>
    <row r="993">
      <c r="A993" s="3">
        <f>IFERROR(__xludf.DUMMYFUNCTION("""COMPUTED_VALUE"""),39680.645833333336)</f>
        <v>39680.64583</v>
      </c>
      <c r="B993" s="2">
        <f>IFERROR(__xludf.DUMMYFUNCTION("""COMPUTED_VALUE"""),210.68)</f>
        <v>210.68</v>
      </c>
      <c r="C993" s="2">
        <f>IFERROR(__xludf.DUMMYFUNCTION("""COMPUTED_VALUE"""),212.25)</f>
        <v>212.25</v>
      </c>
      <c r="D993" s="2">
        <f>IFERROR(__xludf.DUMMYFUNCTION("""COMPUTED_VALUE"""),208.75)</f>
        <v>208.75</v>
      </c>
      <c r="E993" s="2">
        <f>IFERROR(__xludf.DUMMYFUNCTION("""COMPUTED_VALUE"""),210.4)</f>
        <v>210.4</v>
      </c>
      <c r="F993" s="2">
        <f>IFERROR(__xludf.DUMMYFUNCTION("""COMPUTED_VALUE"""),281814.0)</f>
        <v>281814</v>
      </c>
    </row>
    <row r="994">
      <c r="A994" s="3">
        <f>IFERROR(__xludf.DUMMYFUNCTION("""COMPUTED_VALUE"""),39681.645833333336)</f>
        <v>39681.64583</v>
      </c>
      <c r="B994" s="2">
        <f>IFERROR(__xludf.DUMMYFUNCTION("""COMPUTED_VALUE"""),209.0)</f>
        <v>209</v>
      </c>
      <c r="C994" s="2">
        <f>IFERROR(__xludf.DUMMYFUNCTION("""COMPUTED_VALUE"""),210.5)</f>
        <v>210.5</v>
      </c>
      <c r="D994" s="2">
        <f>IFERROR(__xludf.DUMMYFUNCTION("""COMPUTED_VALUE"""),203.8)</f>
        <v>203.8</v>
      </c>
      <c r="E994" s="2">
        <f>IFERROR(__xludf.DUMMYFUNCTION("""COMPUTED_VALUE"""),204.46)</f>
        <v>204.46</v>
      </c>
      <c r="F994" s="2">
        <f>IFERROR(__xludf.DUMMYFUNCTION("""COMPUTED_VALUE"""),494129.0)</f>
        <v>494129</v>
      </c>
    </row>
    <row r="995">
      <c r="A995" s="3">
        <f>IFERROR(__xludf.DUMMYFUNCTION("""COMPUTED_VALUE"""),39682.645833333336)</f>
        <v>39682.64583</v>
      </c>
      <c r="B995" s="2">
        <f>IFERROR(__xludf.DUMMYFUNCTION("""COMPUTED_VALUE"""),204.75)</f>
        <v>204.75</v>
      </c>
      <c r="C995" s="2">
        <f>IFERROR(__xludf.DUMMYFUNCTION("""COMPUTED_VALUE"""),206.19)</f>
        <v>206.19</v>
      </c>
      <c r="D995" s="2">
        <f>IFERROR(__xludf.DUMMYFUNCTION("""COMPUTED_VALUE"""),200.88)</f>
        <v>200.88</v>
      </c>
      <c r="E995" s="2">
        <f>IFERROR(__xludf.DUMMYFUNCTION("""COMPUTED_VALUE"""),204.75)</f>
        <v>204.75</v>
      </c>
      <c r="F995" s="2">
        <f>IFERROR(__xludf.DUMMYFUNCTION("""COMPUTED_VALUE"""),661321.0)</f>
        <v>661321</v>
      </c>
    </row>
    <row r="996">
      <c r="A996" s="3">
        <f>IFERROR(__xludf.DUMMYFUNCTION("""COMPUTED_VALUE"""),39685.645833333336)</f>
        <v>39685.64583</v>
      </c>
      <c r="B996" s="2">
        <f>IFERROR(__xludf.DUMMYFUNCTION("""COMPUTED_VALUE"""),206.0)</f>
        <v>206</v>
      </c>
      <c r="C996" s="2">
        <f>IFERROR(__xludf.DUMMYFUNCTION("""COMPUTED_VALUE"""),208.75)</f>
        <v>208.75</v>
      </c>
      <c r="D996" s="2">
        <f>IFERROR(__xludf.DUMMYFUNCTION("""COMPUTED_VALUE"""),204.0)</f>
        <v>204</v>
      </c>
      <c r="E996" s="2">
        <f>IFERROR(__xludf.DUMMYFUNCTION("""COMPUTED_VALUE"""),204.55)</f>
        <v>204.55</v>
      </c>
      <c r="F996" s="2">
        <f>IFERROR(__xludf.DUMMYFUNCTION("""COMPUTED_VALUE"""),235561.0)</f>
        <v>235561</v>
      </c>
    </row>
    <row r="997">
      <c r="A997" s="3">
        <f>IFERROR(__xludf.DUMMYFUNCTION("""COMPUTED_VALUE"""),39686.645833333336)</f>
        <v>39686.64583</v>
      </c>
      <c r="B997" s="2">
        <f>IFERROR(__xludf.DUMMYFUNCTION("""COMPUTED_VALUE"""),202.49)</f>
        <v>202.49</v>
      </c>
      <c r="C997" s="2">
        <f>IFERROR(__xludf.DUMMYFUNCTION("""COMPUTED_VALUE"""),209.24)</f>
        <v>209.24</v>
      </c>
      <c r="D997" s="2">
        <f>IFERROR(__xludf.DUMMYFUNCTION("""COMPUTED_VALUE"""),202.49)</f>
        <v>202.49</v>
      </c>
      <c r="E997" s="2">
        <f>IFERROR(__xludf.DUMMYFUNCTION("""COMPUTED_VALUE"""),208.51)</f>
        <v>208.51</v>
      </c>
      <c r="F997" s="2">
        <f>IFERROR(__xludf.DUMMYFUNCTION("""COMPUTED_VALUE"""),551251.0)</f>
        <v>551251</v>
      </c>
    </row>
    <row r="998">
      <c r="A998" s="3">
        <f>IFERROR(__xludf.DUMMYFUNCTION("""COMPUTED_VALUE"""),39687.645833333336)</f>
        <v>39687.64583</v>
      </c>
      <c r="B998" s="2">
        <f>IFERROR(__xludf.DUMMYFUNCTION("""COMPUTED_VALUE"""),205.03)</f>
        <v>205.03</v>
      </c>
      <c r="C998" s="2">
        <f>IFERROR(__xludf.DUMMYFUNCTION("""COMPUTED_VALUE"""),209.0)</f>
        <v>209</v>
      </c>
      <c r="D998" s="2">
        <f>IFERROR(__xludf.DUMMYFUNCTION("""COMPUTED_VALUE"""),203.28)</f>
        <v>203.28</v>
      </c>
      <c r="E998" s="2">
        <f>IFERROR(__xludf.DUMMYFUNCTION("""COMPUTED_VALUE"""),204.61)</f>
        <v>204.61</v>
      </c>
      <c r="F998" s="2">
        <f>IFERROR(__xludf.DUMMYFUNCTION("""COMPUTED_VALUE"""),532947.0)</f>
        <v>532947</v>
      </c>
    </row>
    <row r="999">
      <c r="A999" s="3">
        <f>IFERROR(__xludf.DUMMYFUNCTION("""COMPUTED_VALUE"""),39688.645833333336)</f>
        <v>39688.64583</v>
      </c>
      <c r="B999" s="2">
        <f>IFERROR(__xludf.DUMMYFUNCTION("""COMPUTED_VALUE"""),205.0)</f>
        <v>205</v>
      </c>
      <c r="C999" s="2">
        <f>IFERROR(__xludf.DUMMYFUNCTION("""COMPUTED_VALUE"""),206.06)</f>
        <v>206.06</v>
      </c>
      <c r="D999" s="2">
        <f>IFERROR(__xludf.DUMMYFUNCTION("""COMPUTED_VALUE"""),195.66)</f>
        <v>195.66</v>
      </c>
      <c r="E999" s="2">
        <f>IFERROR(__xludf.DUMMYFUNCTION("""COMPUTED_VALUE"""),198.09)</f>
        <v>198.09</v>
      </c>
      <c r="F999" s="2">
        <f>IFERROR(__xludf.DUMMYFUNCTION("""COMPUTED_VALUE"""),1645172.0)</f>
        <v>1645172</v>
      </c>
    </row>
    <row r="1000">
      <c r="A1000" s="3">
        <f>IFERROR(__xludf.DUMMYFUNCTION("""COMPUTED_VALUE"""),39689.645833333336)</f>
        <v>39689.64583</v>
      </c>
      <c r="B1000" s="2">
        <f>IFERROR(__xludf.DUMMYFUNCTION("""COMPUTED_VALUE"""),200.0)</f>
        <v>200</v>
      </c>
      <c r="C1000" s="2">
        <f>IFERROR(__xludf.DUMMYFUNCTION("""COMPUTED_VALUE"""),204.99)</f>
        <v>204.99</v>
      </c>
      <c r="D1000" s="2">
        <f>IFERROR(__xludf.DUMMYFUNCTION("""COMPUTED_VALUE"""),200.0)</f>
        <v>200</v>
      </c>
      <c r="E1000" s="2">
        <f>IFERROR(__xludf.DUMMYFUNCTION("""COMPUTED_VALUE"""),203.05)</f>
        <v>203.05</v>
      </c>
      <c r="F1000" s="2">
        <f>IFERROR(__xludf.DUMMYFUNCTION("""COMPUTED_VALUE"""),499625.0)</f>
        <v>499625</v>
      </c>
    </row>
    <row r="1001">
      <c r="A1001" s="3">
        <f>IFERROR(__xludf.DUMMYFUNCTION("""COMPUTED_VALUE"""),39692.645833333336)</f>
        <v>39692.64583</v>
      </c>
      <c r="B1001" s="2">
        <f>IFERROR(__xludf.DUMMYFUNCTION("""COMPUTED_VALUE"""),203.75)</f>
        <v>203.75</v>
      </c>
      <c r="C1001" s="2">
        <f>IFERROR(__xludf.DUMMYFUNCTION("""COMPUTED_VALUE"""),205.0)</f>
        <v>205</v>
      </c>
      <c r="D1001" s="2">
        <f>IFERROR(__xludf.DUMMYFUNCTION("""COMPUTED_VALUE"""),201.75)</f>
        <v>201.75</v>
      </c>
      <c r="E1001" s="2">
        <f>IFERROR(__xludf.DUMMYFUNCTION("""COMPUTED_VALUE"""),203.74)</f>
        <v>203.74</v>
      </c>
      <c r="F1001" s="2">
        <f>IFERROR(__xludf.DUMMYFUNCTION("""COMPUTED_VALUE"""),381858.0)</f>
        <v>381858</v>
      </c>
    </row>
    <row r="1002">
      <c r="A1002" s="3">
        <f>IFERROR(__xludf.DUMMYFUNCTION("""COMPUTED_VALUE"""),39693.645833333336)</f>
        <v>39693.64583</v>
      </c>
      <c r="B1002" s="2">
        <f>IFERROR(__xludf.DUMMYFUNCTION("""COMPUTED_VALUE"""),203.74)</f>
        <v>203.74</v>
      </c>
      <c r="C1002" s="2">
        <f>IFERROR(__xludf.DUMMYFUNCTION("""COMPUTED_VALUE"""),213.25)</f>
        <v>213.25</v>
      </c>
      <c r="D1002" s="2">
        <f>IFERROR(__xludf.DUMMYFUNCTION("""COMPUTED_VALUE"""),203.74)</f>
        <v>203.74</v>
      </c>
      <c r="E1002" s="2">
        <f>IFERROR(__xludf.DUMMYFUNCTION("""COMPUTED_VALUE"""),212.2)</f>
        <v>212.2</v>
      </c>
      <c r="F1002" s="2">
        <f>IFERROR(__xludf.DUMMYFUNCTION("""COMPUTED_VALUE"""),661962.0)</f>
        <v>661962</v>
      </c>
    </row>
    <row r="1003">
      <c r="A1003" s="3">
        <f>IFERROR(__xludf.DUMMYFUNCTION("""COMPUTED_VALUE"""),39695.645833333336)</f>
        <v>39695.64583</v>
      </c>
      <c r="B1003" s="2">
        <f>IFERROR(__xludf.DUMMYFUNCTION("""COMPUTED_VALUE"""),211.25)</f>
        <v>211.25</v>
      </c>
      <c r="C1003" s="2">
        <f>IFERROR(__xludf.DUMMYFUNCTION("""COMPUTED_VALUE"""),213.7)</f>
        <v>213.7</v>
      </c>
      <c r="D1003" s="2">
        <f>IFERROR(__xludf.DUMMYFUNCTION("""COMPUTED_VALUE"""),208.09)</f>
        <v>208.09</v>
      </c>
      <c r="E1003" s="2">
        <f>IFERROR(__xludf.DUMMYFUNCTION("""COMPUTED_VALUE"""),211.05)</f>
        <v>211.05</v>
      </c>
      <c r="F1003" s="2">
        <f>IFERROR(__xludf.DUMMYFUNCTION("""COMPUTED_VALUE"""),615419.0)</f>
        <v>615419</v>
      </c>
    </row>
    <row r="1004">
      <c r="A1004" s="3">
        <f>IFERROR(__xludf.DUMMYFUNCTION("""COMPUTED_VALUE"""),39696.645833333336)</f>
        <v>39696.64583</v>
      </c>
      <c r="B1004" s="2">
        <f>IFERROR(__xludf.DUMMYFUNCTION("""COMPUTED_VALUE"""),212.5)</f>
        <v>212.5</v>
      </c>
      <c r="C1004" s="2">
        <f>IFERROR(__xludf.DUMMYFUNCTION("""COMPUTED_VALUE"""),212.5)</f>
        <v>212.5</v>
      </c>
      <c r="D1004" s="2">
        <f>IFERROR(__xludf.DUMMYFUNCTION("""COMPUTED_VALUE"""),206.25)</f>
        <v>206.25</v>
      </c>
      <c r="E1004" s="2">
        <f>IFERROR(__xludf.DUMMYFUNCTION("""COMPUTED_VALUE"""),209.6)</f>
        <v>209.6</v>
      </c>
      <c r="F1004" s="2">
        <f>IFERROR(__xludf.DUMMYFUNCTION("""COMPUTED_VALUE"""),611342.0)</f>
        <v>611342</v>
      </c>
    </row>
    <row r="1005">
      <c r="A1005" s="3">
        <f>IFERROR(__xludf.DUMMYFUNCTION("""COMPUTED_VALUE"""),39699.645833333336)</f>
        <v>39699.64583</v>
      </c>
      <c r="B1005" s="2">
        <f>IFERROR(__xludf.DUMMYFUNCTION("""COMPUTED_VALUE"""),215.0)</f>
        <v>215</v>
      </c>
      <c r="C1005" s="2">
        <f>IFERROR(__xludf.DUMMYFUNCTION("""COMPUTED_VALUE"""),218.6)</f>
        <v>218.6</v>
      </c>
      <c r="D1005" s="2">
        <f>IFERROR(__xludf.DUMMYFUNCTION("""COMPUTED_VALUE"""),210.5)</f>
        <v>210.5</v>
      </c>
      <c r="E1005" s="2">
        <f>IFERROR(__xludf.DUMMYFUNCTION("""COMPUTED_VALUE"""),214.18)</f>
        <v>214.18</v>
      </c>
      <c r="F1005" s="2">
        <f>IFERROR(__xludf.DUMMYFUNCTION("""COMPUTED_VALUE"""),1292608.0)</f>
        <v>1292608</v>
      </c>
    </row>
    <row r="1006">
      <c r="A1006" s="3">
        <f>IFERROR(__xludf.DUMMYFUNCTION("""COMPUTED_VALUE"""),39700.645833333336)</f>
        <v>39700.64583</v>
      </c>
      <c r="B1006" s="2">
        <f>IFERROR(__xludf.DUMMYFUNCTION("""COMPUTED_VALUE"""),213.75)</f>
        <v>213.75</v>
      </c>
      <c r="C1006" s="2">
        <f>IFERROR(__xludf.DUMMYFUNCTION("""COMPUTED_VALUE"""),217.93)</f>
        <v>217.93</v>
      </c>
      <c r="D1006" s="2">
        <f>IFERROR(__xludf.DUMMYFUNCTION("""COMPUTED_VALUE"""),210.0)</f>
        <v>210</v>
      </c>
      <c r="E1006" s="2">
        <f>IFERROR(__xludf.DUMMYFUNCTION("""COMPUTED_VALUE"""),216.2)</f>
        <v>216.2</v>
      </c>
      <c r="F1006" s="2">
        <f>IFERROR(__xludf.DUMMYFUNCTION("""COMPUTED_VALUE"""),703832.0)</f>
        <v>703832</v>
      </c>
    </row>
    <row r="1007">
      <c r="A1007" s="3">
        <f>IFERROR(__xludf.DUMMYFUNCTION("""COMPUTED_VALUE"""),39701.645833333336)</f>
        <v>39701.64583</v>
      </c>
      <c r="B1007" s="2">
        <f>IFERROR(__xludf.DUMMYFUNCTION("""COMPUTED_VALUE"""),215.29)</f>
        <v>215.29</v>
      </c>
      <c r="C1007" s="2">
        <f>IFERROR(__xludf.DUMMYFUNCTION("""COMPUTED_VALUE"""),217.55)</f>
        <v>217.55</v>
      </c>
      <c r="D1007" s="2">
        <f>IFERROR(__xludf.DUMMYFUNCTION("""COMPUTED_VALUE"""),212.03)</f>
        <v>212.03</v>
      </c>
      <c r="E1007" s="2">
        <f>IFERROR(__xludf.DUMMYFUNCTION("""COMPUTED_VALUE"""),212.73)</f>
        <v>212.73</v>
      </c>
      <c r="F1007" s="2">
        <f>IFERROR(__xludf.DUMMYFUNCTION("""COMPUTED_VALUE"""),765864.0)</f>
        <v>765864</v>
      </c>
    </row>
    <row r="1008">
      <c r="A1008" s="3">
        <f>IFERROR(__xludf.DUMMYFUNCTION("""COMPUTED_VALUE"""),39702.645833333336)</f>
        <v>39702.64583</v>
      </c>
      <c r="B1008" s="2">
        <f>IFERROR(__xludf.DUMMYFUNCTION("""COMPUTED_VALUE"""),212.73)</f>
        <v>212.73</v>
      </c>
      <c r="C1008" s="2">
        <f>IFERROR(__xludf.DUMMYFUNCTION("""COMPUTED_VALUE"""),217.0)</f>
        <v>217</v>
      </c>
      <c r="D1008" s="2">
        <f>IFERROR(__xludf.DUMMYFUNCTION("""COMPUTED_VALUE"""),207.25)</f>
        <v>207.25</v>
      </c>
      <c r="E1008" s="2">
        <f>IFERROR(__xludf.DUMMYFUNCTION("""COMPUTED_VALUE"""),209.18)</f>
        <v>209.18</v>
      </c>
      <c r="F1008" s="2">
        <f>IFERROR(__xludf.DUMMYFUNCTION("""COMPUTED_VALUE"""),477244.0)</f>
        <v>477244</v>
      </c>
    </row>
    <row r="1009">
      <c r="A1009" s="3">
        <f>IFERROR(__xludf.DUMMYFUNCTION("""COMPUTED_VALUE"""),39703.645833333336)</f>
        <v>39703.64583</v>
      </c>
      <c r="B1009" s="2">
        <f>IFERROR(__xludf.DUMMYFUNCTION("""COMPUTED_VALUE"""),216.25)</f>
        <v>216.25</v>
      </c>
      <c r="C1009" s="2">
        <f>IFERROR(__xludf.DUMMYFUNCTION("""COMPUTED_VALUE"""),216.25)</f>
        <v>216.25</v>
      </c>
      <c r="D1009" s="2">
        <f>IFERROR(__xludf.DUMMYFUNCTION("""COMPUTED_VALUE"""),200.24)</f>
        <v>200.24</v>
      </c>
      <c r="E1009" s="2">
        <f>IFERROR(__xludf.DUMMYFUNCTION("""COMPUTED_VALUE"""),202.64)</f>
        <v>202.64</v>
      </c>
      <c r="F1009" s="2">
        <f>IFERROR(__xludf.DUMMYFUNCTION("""COMPUTED_VALUE"""),893491.0)</f>
        <v>893491</v>
      </c>
    </row>
    <row r="1010">
      <c r="A1010" s="3">
        <f>IFERROR(__xludf.DUMMYFUNCTION("""COMPUTED_VALUE"""),39706.645833333336)</f>
        <v>39706.64583</v>
      </c>
      <c r="B1010" s="2">
        <f>IFERROR(__xludf.DUMMYFUNCTION("""COMPUTED_VALUE"""),195.0)</f>
        <v>195</v>
      </c>
      <c r="C1010" s="2">
        <f>IFERROR(__xludf.DUMMYFUNCTION("""COMPUTED_VALUE"""),199.75)</f>
        <v>199.75</v>
      </c>
      <c r="D1010" s="2">
        <f>IFERROR(__xludf.DUMMYFUNCTION("""COMPUTED_VALUE"""),186.25)</f>
        <v>186.25</v>
      </c>
      <c r="E1010" s="2">
        <f>IFERROR(__xludf.DUMMYFUNCTION("""COMPUTED_VALUE"""),190.7)</f>
        <v>190.7</v>
      </c>
      <c r="F1010" s="2">
        <f>IFERROR(__xludf.DUMMYFUNCTION("""COMPUTED_VALUE"""),2137737.0)</f>
        <v>2137737</v>
      </c>
    </row>
    <row r="1011">
      <c r="A1011" s="3">
        <f>IFERROR(__xludf.DUMMYFUNCTION("""COMPUTED_VALUE"""),39707.645833333336)</f>
        <v>39707.64583</v>
      </c>
      <c r="B1011" s="2">
        <f>IFERROR(__xludf.DUMMYFUNCTION("""COMPUTED_VALUE"""),187.38)</f>
        <v>187.38</v>
      </c>
      <c r="C1011" s="2">
        <f>IFERROR(__xludf.DUMMYFUNCTION("""COMPUTED_VALUE"""),187.75)</f>
        <v>187.75</v>
      </c>
      <c r="D1011" s="2">
        <f>IFERROR(__xludf.DUMMYFUNCTION("""COMPUTED_VALUE"""),181.25)</f>
        <v>181.25</v>
      </c>
      <c r="E1011" s="2">
        <f>IFERROR(__xludf.DUMMYFUNCTION("""COMPUTED_VALUE"""),187.21)</f>
        <v>187.21</v>
      </c>
      <c r="F1011" s="2">
        <f>IFERROR(__xludf.DUMMYFUNCTION("""COMPUTED_VALUE"""),1268091.0)</f>
        <v>1268091</v>
      </c>
    </row>
    <row r="1012">
      <c r="A1012" s="3">
        <f>IFERROR(__xludf.DUMMYFUNCTION("""COMPUTED_VALUE"""),39708.645833333336)</f>
        <v>39708.64583</v>
      </c>
      <c r="B1012" s="2">
        <f>IFERROR(__xludf.DUMMYFUNCTION("""COMPUTED_VALUE"""),187.0)</f>
        <v>187</v>
      </c>
      <c r="C1012" s="2">
        <f>IFERROR(__xludf.DUMMYFUNCTION("""COMPUTED_VALUE"""),191.16)</f>
        <v>191.16</v>
      </c>
      <c r="D1012" s="2">
        <f>IFERROR(__xludf.DUMMYFUNCTION("""COMPUTED_VALUE"""),182.0)</f>
        <v>182</v>
      </c>
      <c r="E1012" s="2">
        <f>IFERROR(__xludf.DUMMYFUNCTION("""COMPUTED_VALUE"""),182.53)</f>
        <v>182.53</v>
      </c>
      <c r="F1012" s="2">
        <f>IFERROR(__xludf.DUMMYFUNCTION("""COMPUTED_VALUE"""),1050217.0)</f>
        <v>1050217</v>
      </c>
    </row>
    <row r="1013">
      <c r="A1013" s="3">
        <f>IFERROR(__xludf.DUMMYFUNCTION("""COMPUTED_VALUE"""),39709.645833333336)</f>
        <v>39709.64583</v>
      </c>
      <c r="B1013" s="2">
        <f>IFERROR(__xludf.DUMMYFUNCTION("""COMPUTED_VALUE"""),182.0)</f>
        <v>182</v>
      </c>
      <c r="C1013" s="2">
        <f>IFERROR(__xludf.DUMMYFUNCTION("""COMPUTED_VALUE"""),187.25)</f>
        <v>187.25</v>
      </c>
      <c r="D1013" s="2">
        <f>IFERROR(__xludf.DUMMYFUNCTION("""COMPUTED_VALUE"""),167.75)</f>
        <v>167.75</v>
      </c>
      <c r="E1013" s="2">
        <f>IFERROR(__xludf.DUMMYFUNCTION("""COMPUTED_VALUE"""),180.29)</f>
        <v>180.29</v>
      </c>
      <c r="F1013" s="2">
        <f>IFERROR(__xludf.DUMMYFUNCTION("""COMPUTED_VALUE"""),1589276.0)</f>
        <v>1589276</v>
      </c>
    </row>
    <row r="1014">
      <c r="A1014" s="3">
        <f>IFERROR(__xludf.DUMMYFUNCTION("""COMPUTED_VALUE"""),39710.645833333336)</f>
        <v>39710.64583</v>
      </c>
      <c r="B1014" s="2">
        <f>IFERROR(__xludf.DUMMYFUNCTION("""COMPUTED_VALUE"""),194.93)</f>
        <v>194.93</v>
      </c>
      <c r="C1014" s="2">
        <f>IFERROR(__xludf.DUMMYFUNCTION("""COMPUTED_VALUE"""),194.93)</f>
        <v>194.93</v>
      </c>
      <c r="D1014" s="2">
        <f>IFERROR(__xludf.DUMMYFUNCTION("""COMPUTED_VALUE"""),182.53)</f>
        <v>182.53</v>
      </c>
      <c r="E1014" s="2">
        <f>IFERROR(__xludf.DUMMYFUNCTION("""COMPUTED_VALUE"""),191.71)</f>
        <v>191.71</v>
      </c>
      <c r="F1014" s="2">
        <f>IFERROR(__xludf.DUMMYFUNCTION("""COMPUTED_VALUE"""),2386092.0)</f>
        <v>2386092</v>
      </c>
    </row>
    <row r="1015">
      <c r="A1015" s="3">
        <f>IFERROR(__xludf.DUMMYFUNCTION("""COMPUTED_VALUE"""),39713.645833333336)</f>
        <v>39713.64583</v>
      </c>
      <c r="B1015" s="2">
        <f>IFERROR(__xludf.DUMMYFUNCTION("""COMPUTED_VALUE"""),217.0)</f>
        <v>217</v>
      </c>
      <c r="C1015" s="2">
        <f>IFERROR(__xludf.DUMMYFUNCTION("""COMPUTED_VALUE"""),217.0)</f>
        <v>217</v>
      </c>
      <c r="D1015" s="2">
        <f>IFERROR(__xludf.DUMMYFUNCTION("""COMPUTED_VALUE"""),188.25)</f>
        <v>188.25</v>
      </c>
      <c r="E1015" s="2">
        <f>IFERROR(__xludf.DUMMYFUNCTION("""COMPUTED_VALUE"""),191.7)</f>
        <v>191.7</v>
      </c>
      <c r="F1015" s="2">
        <f>IFERROR(__xludf.DUMMYFUNCTION("""COMPUTED_VALUE"""),1118236.0)</f>
        <v>1118236</v>
      </c>
    </row>
    <row r="1016">
      <c r="A1016" s="3">
        <f>IFERROR(__xludf.DUMMYFUNCTION("""COMPUTED_VALUE"""),39714.645833333336)</f>
        <v>39714.64583</v>
      </c>
      <c r="B1016" s="2">
        <f>IFERROR(__xludf.DUMMYFUNCTION("""COMPUTED_VALUE"""),178.84)</f>
        <v>178.84</v>
      </c>
      <c r="C1016" s="2">
        <f>IFERROR(__xludf.DUMMYFUNCTION("""COMPUTED_VALUE"""),191.93)</f>
        <v>191.93</v>
      </c>
      <c r="D1016" s="2">
        <f>IFERROR(__xludf.DUMMYFUNCTION("""COMPUTED_VALUE"""),178.84)</f>
        <v>178.84</v>
      </c>
      <c r="E1016" s="2">
        <f>IFERROR(__xludf.DUMMYFUNCTION("""COMPUTED_VALUE"""),180.25)</f>
        <v>180.25</v>
      </c>
      <c r="F1016" s="2">
        <f>IFERROR(__xludf.DUMMYFUNCTION("""COMPUTED_VALUE"""),741530.0)</f>
        <v>741530</v>
      </c>
    </row>
    <row r="1017">
      <c r="A1017" s="3">
        <f>IFERROR(__xludf.DUMMYFUNCTION("""COMPUTED_VALUE"""),39715.645833333336)</f>
        <v>39715.64583</v>
      </c>
      <c r="B1017" s="2">
        <f>IFERROR(__xludf.DUMMYFUNCTION("""COMPUTED_VALUE"""),181.14)</f>
        <v>181.14</v>
      </c>
      <c r="C1017" s="2">
        <f>IFERROR(__xludf.DUMMYFUNCTION("""COMPUTED_VALUE"""),187.0)</f>
        <v>187</v>
      </c>
      <c r="D1017" s="2">
        <f>IFERROR(__xludf.DUMMYFUNCTION("""COMPUTED_VALUE"""),172.58)</f>
        <v>172.58</v>
      </c>
      <c r="E1017" s="2">
        <f>IFERROR(__xludf.DUMMYFUNCTION("""COMPUTED_VALUE"""),178.26)</f>
        <v>178.26</v>
      </c>
      <c r="F1017" s="2">
        <f>IFERROR(__xludf.DUMMYFUNCTION("""COMPUTED_VALUE"""),1845181.0)</f>
        <v>1845181</v>
      </c>
    </row>
    <row r="1018">
      <c r="A1018" s="3">
        <f>IFERROR(__xludf.DUMMYFUNCTION("""COMPUTED_VALUE"""),39716.645833333336)</f>
        <v>39716.64583</v>
      </c>
      <c r="B1018" s="2">
        <f>IFERROR(__xludf.DUMMYFUNCTION("""COMPUTED_VALUE"""),178.28)</f>
        <v>178.28</v>
      </c>
      <c r="C1018" s="2">
        <f>IFERROR(__xludf.DUMMYFUNCTION("""COMPUTED_VALUE"""),179.96)</f>
        <v>179.96</v>
      </c>
      <c r="D1018" s="2">
        <f>IFERROR(__xludf.DUMMYFUNCTION("""COMPUTED_VALUE"""),167.76)</f>
        <v>167.76</v>
      </c>
      <c r="E1018" s="2">
        <f>IFERROR(__xludf.DUMMYFUNCTION("""COMPUTED_VALUE"""),172.1)</f>
        <v>172.1</v>
      </c>
      <c r="F1018" s="2">
        <f>IFERROR(__xludf.DUMMYFUNCTION("""COMPUTED_VALUE"""),3780658.0)</f>
        <v>3780658</v>
      </c>
    </row>
    <row r="1019">
      <c r="A1019" s="3">
        <f>IFERROR(__xludf.DUMMYFUNCTION("""COMPUTED_VALUE"""),39717.645833333336)</f>
        <v>39717.64583</v>
      </c>
      <c r="B1019" s="2">
        <f>IFERROR(__xludf.DUMMYFUNCTION("""COMPUTED_VALUE"""),175.0)</f>
        <v>175</v>
      </c>
      <c r="C1019" s="2">
        <f>IFERROR(__xludf.DUMMYFUNCTION("""COMPUTED_VALUE"""),175.0)</f>
        <v>175</v>
      </c>
      <c r="D1019" s="2">
        <f>IFERROR(__xludf.DUMMYFUNCTION("""COMPUTED_VALUE"""),166.55)</f>
        <v>166.55</v>
      </c>
      <c r="E1019" s="2">
        <f>IFERROR(__xludf.DUMMYFUNCTION("""COMPUTED_VALUE"""),169.05)</f>
        <v>169.05</v>
      </c>
      <c r="F1019" s="2">
        <f>IFERROR(__xludf.DUMMYFUNCTION("""COMPUTED_VALUE"""),1054311.0)</f>
        <v>1054311</v>
      </c>
    </row>
    <row r="1020">
      <c r="A1020" s="3">
        <f>IFERROR(__xludf.DUMMYFUNCTION("""COMPUTED_VALUE"""),39720.645833333336)</f>
        <v>39720.64583</v>
      </c>
      <c r="B1020" s="2">
        <f>IFERROR(__xludf.DUMMYFUNCTION("""COMPUTED_VALUE"""),169.7)</f>
        <v>169.7</v>
      </c>
      <c r="C1020" s="2">
        <f>IFERROR(__xludf.DUMMYFUNCTION("""COMPUTED_VALUE"""),169.7)</f>
        <v>169.7</v>
      </c>
      <c r="D1020" s="2">
        <f>IFERROR(__xludf.DUMMYFUNCTION("""COMPUTED_VALUE"""),153.0)</f>
        <v>153</v>
      </c>
      <c r="E1020" s="2">
        <f>IFERROR(__xludf.DUMMYFUNCTION("""COMPUTED_VALUE"""),155.0)</f>
        <v>155</v>
      </c>
      <c r="F1020" s="2">
        <f>IFERROR(__xludf.DUMMYFUNCTION("""COMPUTED_VALUE"""),1394659.0)</f>
        <v>1394659</v>
      </c>
    </row>
    <row r="1021">
      <c r="A1021" s="3">
        <f>IFERROR(__xludf.DUMMYFUNCTION("""COMPUTED_VALUE"""),39721.645833333336)</f>
        <v>39721.64583</v>
      </c>
      <c r="B1021" s="2">
        <f>IFERROR(__xludf.DUMMYFUNCTION("""COMPUTED_VALUE"""),148.0)</f>
        <v>148</v>
      </c>
      <c r="C1021" s="2">
        <f>IFERROR(__xludf.DUMMYFUNCTION("""COMPUTED_VALUE"""),169.18)</f>
        <v>169.18</v>
      </c>
      <c r="D1021" s="2">
        <f>IFERROR(__xludf.DUMMYFUNCTION("""COMPUTED_VALUE"""),147.5)</f>
        <v>147.5</v>
      </c>
      <c r="E1021" s="2">
        <f>IFERROR(__xludf.DUMMYFUNCTION("""COMPUTED_VALUE"""),166.4)</f>
        <v>166.4</v>
      </c>
      <c r="F1021" s="2">
        <f>IFERROR(__xludf.DUMMYFUNCTION("""COMPUTED_VALUE"""),2097843.0)</f>
        <v>2097843</v>
      </c>
    </row>
    <row r="1022">
      <c r="A1022" s="3">
        <f>IFERROR(__xludf.DUMMYFUNCTION("""COMPUTED_VALUE"""),39722.645833333336)</f>
        <v>39722.64583</v>
      </c>
      <c r="B1022" s="2">
        <f>IFERROR(__xludf.DUMMYFUNCTION("""COMPUTED_VALUE"""),167.4)</f>
        <v>167.4</v>
      </c>
      <c r="C1022" s="2">
        <f>IFERROR(__xludf.DUMMYFUNCTION("""COMPUTED_VALUE"""),171.23)</f>
        <v>171.23</v>
      </c>
      <c r="D1022" s="2">
        <f>IFERROR(__xludf.DUMMYFUNCTION("""COMPUTED_VALUE"""),161.34)</f>
        <v>161.34</v>
      </c>
      <c r="E1022" s="2">
        <f>IFERROR(__xludf.DUMMYFUNCTION("""COMPUTED_VALUE"""),167.94)</f>
        <v>167.94</v>
      </c>
      <c r="F1022" s="2">
        <f>IFERROR(__xludf.DUMMYFUNCTION("""COMPUTED_VALUE"""),1504479.0)</f>
        <v>1504479</v>
      </c>
    </row>
    <row r="1023">
      <c r="A1023" s="3">
        <f>IFERROR(__xludf.DUMMYFUNCTION("""COMPUTED_VALUE"""),39724.645833333336)</f>
        <v>39724.64583</v>
      </c>
      <c r="B1023" s="2">
        <f>IFERROR(__xludf.DUMMYFUNCTION("""COMPUTED_VALUE"""),166.24)</f>
        <v>166.24</v>
      </c>
      <c r="C1023" s="2">
        <f>IFERROR(__xludf.DUMMYFUNCTION("""COMPUTED_VALUE"""),166.24)</f>
        <v>166.24</v>
      </c>
      <c r="D1023" s="2">
        <f>IFERROR(__xludf.DUMMYFUNCTION("""COMPUTED_VALUE"""),160.59)</f>
        <v>160.59</v>
      </c>
      <c r="E1023" s="2">
        <f>IFERROR(__xludf.DUMMYFUNCTION("""COMPUTED_VALUE"""),164.38)</f>
        <v>164.38</v>
      </c>
      <c r="F1023" s="2">
        <f>IFERROR(__xludf.DUMMYFUNCTION("""COMPUTED_VALUE"""),1043101.0)</f>
        <v>1043101</v>
      </c>
    </row>
    <row r="1024">
      <c r="A1024" s="3">
        <f>IFERROR(__xludf.DUMMYFUNCTION("""COMPUTED_VALUE"""),39727.645833333336)</f>
        <v>39727.64583</v>
      </c>
      <c r="B1024" s="2">
        <f>IFERROR(__xludf.DUMMYFUNCTION("""COMPUTED_VALUE"""),162.81)</f>
        <v>162.81</v>
      </c>
      <c r="C1024" s="2">
        <f>IFERROR(__xludf.DUMMYFUNCTION("""COMPUTED_VALUE"""),162.81)</f>
        <v>162.81</v>
      </c>
      <c r="D1024" s="2">
        <f>IFERROR(__xludf.DUMMYFUNCTION("""COMPUTED_VALUE"""),150.0)</f>
        <v>150</v>
      </c>
      <c r="E1024" s="2">
        <f>IFERROR(__xludf.DUMMYFUNCTION("""COMPUTED_VALUE"""),154.75)</f>
        <v>154.75</v>
      </c>
      <c r="F1024" s="2">
        <f>IFERROR(__xludf.DUMMYFUNCTION("""COMPUTED_VALUE"""),1470746.0)</f>
        <v>1470746</v>
      </c>
    </row>
    <row r="1025">
      <c r="A1025" s="3">
        <f>IFERROR(__xludf.DUMMYFUNCTION("""COMPUTED_VALUE"""),39728.645833333336)</f>
        <v>39728.64583</v>
      </c>
      <c r="B1025" s="2">
        <f>IFERROR(__xludf.DUMMYFUNCTION("""COMPUTED_VALUE"""),157.79)</f>
        <v>157.79</v>
      </c>
      <c r="C1025" s="2">
        <f>IFERROR(__xludf.DUMMYFUNCTION("""COMPUTED_VALUE"""),166.25)</f>
        <v>166.25</v>
      </c>
      <c r="D1025" s="2">
        <f>IFERROR(__xludf.DUMMYFUNCTION("""COMPUTED_VALUE"""),141.5)</f>
        <v>141.5</v>
      </c>
      <c r="E1025" s="2">
        <f>IFERROR(__xludf.DUMMYFUNCTION("""COMPUTED_VALUE"""),143.98)</f>
        <v>143.98</v>
      </c>
      <c r="F1025" s="2">
        <f>IFERROR(__xludf.DUMMYFUNCTION("""COMPUTED_VALUE"""),2221151.0)</f>
        <v>2221151</v>
      </c>
    </row>
    <row r="1026">
      <c r="A1026" s="3">
        <f>IFERROR(__xludf.DUMMYFUNCTION("""COMPUTED_VALUE"""),39729.645833333336)</f>
        <v>39729.64583</v>
      </c>
      <c r="B1026" s="2">
        <f>IFERROR(__xludf.DUMMYFUNCTION("""COMPUTED_VALUE"""),138.75)</f>
        <v>138.75</v>
      </c>
      <c r="C1026" s="2">
        <f>IFERROR(__xludf.DUMMYFUNCTION("""COMPUTED_VALUE"""),140.74)</f>
        <v>140.74</v>
      </c>
      <c r="D1026" s="2">
        <f>IFERROR(__xludf.DUMMYFUNCTION("""COMPUTED_VALUE"""),127.0)</f>
        <v>127</v>
      </c>
      <c r="E1026" s="2">
        <f>IFERROR(__xludf.DUMMYFUNCTION("""COMPUTED_VALUE"""),136.65)</f>
        <v>136.65</v>
      </c>
      <c r="F1026" s="2">
        <f>IFERROR(__xludf.DUMMYFUNCTION("""COMPUTED_VALUE"""),2075345.0)</f>
        <v>2075345</v>
      </c>
    </row>
    <row r="1027">
      <c r="A1027" s="3">
        <f>IFERROR(__xludf.DUMMYFUNCTION("""COMPUTED_VALUE"""),39731.645833333336)</f>
        <v>39731.64583</v>
      </c>
      <c r="B1027" s="2">
        <f>IFERROR(__xludf.DUMMYFUNCTION("""COMPUTED_VALUE"""),135.0)</f>
        <v>135</v>
      </c>
      <c r="C1027" s="2">
        <f>IFERROR(__xludf.DUMMYFUNCTION("""COMPUTED_VALUE"""),137.5)</f>
        <v>137.5</v>
      </c>
      <c r="D1027" s="2">
        <f>IFERROR(__xludf.DUMMYFUNCTION("""COMPUTED_VALUE"""),120.1)</f>
        <v>120.1</v>
      </c>
      <c r="E1027" s="2">
        <f>IFERROR(__xludf.DUMMYFUNCTION("""COMPUTED_VALUE"""),131.2)</f>
        <v>131.2</v>
      </c>
      <c r="F1027" s="2">
        <f>IFERROR(__xludf.DUMMYFUNCTION("""COMPUTED_VALUE"""),3435519.0)</f>
        <v>3435519</v>
      </c>
    </row>
    <row r="1028">
      <c r="A1028" s="3">
        <f>IFERROR(__xludf.DUMMYFUNCTION("""COMPUTED_VALUE"""),39734.645833333336)</f>
        <v>39734.64583</v>
      </c>
      <c r="B1028" s="2">
        <f>IFERROR(__xludf.DUMMYFUNCTION("""COMPUTED_VALUE"""),131.99)</f>
        <v>131.99</v>
      </c>
      <c r="C1028" s="2">
        <f>IFERROR(__xludf.DUMMYFUNCTION("""COMPUTED_VALUE"""),150.73)</f>
        <v>150.73</v>
      </c>
      <c r="D1028" s="2">
        <f>IFERROR(__xludf.DUMMYFUNCTION("""COMPUTED_VALUE"""),131.2)</f>
        <v>131.2</v>
      </c>
      <c r="E1028" s="2">
        <f>IFERROR(__xludf.DUMMYFUNCTION("""COMPUTED_VALUE"""),143.21)</f>
        <v>143.21</v>
      </c>
      <c r="F1028" s="2">
        <f>IFERROR(__xludf.DUMMYFUNCTION("""COMPUTED_VALUE"""),3466506.0)</f>
        <v>3466506</v>
      </c>
    </row>
    <row r="1029">
      <c r="A1029" s="3">
        <f>IFERROR(__xludf.DUMMYFUNCTION("""COMPUTED_VALUE"""),39735.645833333336)</f>
        <v>39735.64583</v>
      </c>
      <c r="B1029" s="2">
        <f>IFERROR(__xludf.DUMMYFUNCTION("""COMPUTED_VALUE"""),149.75)</f>
        <v>149.75</v>
      </c>
      <c r="C1029" s="2">
        <f>IFERROR(__xludf.DUMMYFUNCTION("""COMPUTED_VALUE"""),154.85)</f>
        <v>154.85</v>
      </c>
      <c r="D1029" s="2">
        <f>IFERROR(__xludf.DUMMYFUNCTION("""COMPUTED_VALUE"""),145.34)</f>
        <v>145.34</v>
      </c>
      <c r="E1029" s="2">
        <f>IFERROR(__xludf.DUMMYFUNCTION("""COMPUTED_VALUE"""),148.18)</f>
        <v>148.18</v>
      </c>
      <c r="F1029" s="2">
        <f>IFERROR(__xludf.DUMMYFUNCTION("""COMPUTED_VALUE"""),1856156.0)</f>
        <v>1856156</v>
      </c>
    </row>
    <row r="1030">
      <c r="A1030" s="3">
        <f>IFERROR(__xludf.DUMMYFUNCTION("""COMPUTED_VALUE"""),39736.645833333336)</f>
        <v>39736.64583</v>
      </c>
      <c r="B1030" s="2">
        <f>IFERROR(__xludf.DUMMYFUNCTION("""COMPUTED_VALUE"""),146.25)</f>
        <v>146.25</v>
      </c>
      <c r="C1030" s="2">
        <f>IFERROR(__xludf.DUMMYFUNCTION("""COMPUTED_VALUE"""),147.16)</f>
        <v>147.16</v>
      </c>
      <c r="D1030" s="2">
        <f>IFERROR(__xludf.DUMMYFUNCTION("""COMPUTED_VALUE"""),133.82)</f>
        <v>133.82</v>
      </c>
      <c r="E1030" s="2">
        <f>IFERROR(__xludf.DUMMYFUNCTION("""COMPUTED_VALUE"""),135.78)</f>
        <v>135.78</v>
      </c>
      <c r="F1030" s="2">
        <f>IFERROR(__xludf.DUMMYFUNCTION("""COMPUTED_VALUE"""),1327188.0)</f>
        <v>1327188</v>
      </c>
    </row>
    <row r="1031">
      <c r="A1031" s="3">
        <f>IFERROR(__xludf.DUMMYFUNCTION("""COMPUTED_VALUE"""),39737.645833333336)</f>
        <v>39737.64583</v>
      </c>
      <c r="B1031" s="2">
        <f>IFERROR(__xludf.DUMMYFUNCTION("""COMPUTED_VALUE"""),131.25)</f>
        <v>131.25</v>
      </c>
      <c r="C1031" s="2">
        <f>IFERROR(__xludf.DUMMYFUNCTION("""COMPUTED_VALUE"""),132.18)</f>
        <v>132.18</v>
      </c>
      <c r="D1031" s="2">
        <f>IFERROR(__xludf.DUMMYFUNCTION("""COMPUTED_VALUE"""),116.98)</f>
        <v>116.98</v>
      </c>
      <c r="E1031" s="2">
        <f>IFERROR(__xludf.DUMMYFUNCTION("""COMPUTED_VALUE"""),123.75)</f>
        <v>123.75</v>
      </c>
      <c r="F1031" s="2">
        <f>IFERROR(__xludf.DUMMYFUNCTION("""COMPUTED_VALUE"""),2007950.0)</f>
        <v>2007950</v>
      </c>
    </row>
    <row r="1032">
      <c r="A1032" s="3">
        <f>IFERROR(__xludf.DUMMYFUNCTION("""COMPUTED_VALUE"""),39738.645833333336)</f>
        <v>39738.64583</v>
      </c>
      <c r="B1032" s="2">
        <f>IFERROR(__xludf.DUMMYFUNCTION("""COMPUTED_VALUE"""),125.0)</f>
        <v>125</v>
      </c>
      <c r="C1032" s="2">
        <f>IFERROR(__xludf.DUMMYFUNCTION("""COMPUTED_VALUE"""),132.25)</f>
        <v>132.25</v>
      </c>
      <c r="D1032" s="2">
        <f>IFERROR(__xludf.DUMMYFUNCTION("""COMPUTED_VALUE"""),111.25)</f>
        <v>111.25</v>
      </c>
      <c r="E1032" s="2">
        <f>IFERROR(__xludf.DUMMYFUNCTION("""COMPUTED_VALUE"""),113.46)</f>
        <v>113.46</v>
      </c>
      <c r="F1032" s="2">
        <f>IFERROR(__xludf.DUMMYFUNCTION("""COMPUTED_VALUE"""),2435885.0)</f>
        <v>2435885</v>
      </c>
    </row>
    <row r="1033">
      <c r="A1033" s="3">
        <f>IFERROR(__xludf.DUMMYFUNCTION("""COMPUTED_VALUE"""),39741.645833333336)</f>
        <v>39741.64583</v>
      </c>
      <c r="B1033" s="2">
        <f>IFERROR(__xludf.DUMMYFUNCTION("""COMPUTED_VALUE"""),124.16)</f>
        <v>124.16</v>
      </c>
      <c r="C1033" s="2">
        <f>IFERROR(__xludf.DUMMYFUNCTION("""COMPUTED_VALUE"""),126.25)</f>
        <v>126.25</v>
      </c>
      <c r="D1033" s="2">
        <f>IFERROR(__xludf.DUMMYFUNCTION("""COMPUTED_VALUE"""),113.81)</f>
        <v>113.81</v>
      </c>
      <c r="E1033" s="2">
        <f>IFERROR(__xludf.DUMMYFUNCTION("""COMPUTED_VALUE"""),122.84)</f>
        <v>122.84</v>
      </c>
      <c r="F1033" s="2">
        <f>IFERROR(__xludf.DUMMYFUNCTION("""COMPUTED_VALUE"""),3103265.0)</f>
        <v>3103265</v>
      </c>
    </row>
    <row r="1034">
      <c r="A1034" s="3">
        <f>IFERROR(__xludf.DUMMYFUNCTION("""COMPUTED_VALUE"""),39742.645833333336)</f>
        <v>39742.64583</v>
      </c>
      <c r="B1034" s="2">
        <f>IFERROR(__xludf.DUMMYFUNCTION("""COMPUTED_VALUE"""),134.6)</f>
        <v>134.6</v>
      </c>
      <c r="C1034" s="2">
        <f>IFERROR(__xludf.DUMMYFUNCTION("""COMPUTED_VALUE"""),141.98)</f>
        <v>141.98</v>
      </c>
      <c r="D1034" s="2">
        <f>IFERROR(__xludf.DUMMYFUNCTION("""COMPUTED_VALUE"""),123.34)</f>
        <v>123.34</v>
      </c>
      <c r="E1034" s="2">
        <f>IFERROR(__xludf.DUMMYFUNCTION("""COMPUTED_VALUE"""),139.78)</f>
        <v>139.78</v>
      </c>
      <c r="F1034" s="2">
        <f>IFERROR(__xludf.DUMMYFUNCTION("""COMPUTED_VALUE"""),2951225.0)</f>
        <v>2951225</v>
      </c>
    </row>
    <row r="1035">
      <c r="A1035" s="3">
        <f>IFERROR(__xludf.DUMMYFUNCTION("""COMPUTED_VALUE"""),39743.645833333336)</f>
        <v>39743.64583</v>
      </c>
      <c r="B1035" s="2">
        <f>IFERROR(__xludf.DUMMYFUNCTION("""COMPUTED_VALUE"""),138.75)</f>
        <v>138.75</v>
      </c>
      <c r="C1035" s="2">
        <f>IFERROR(__xludf.DUMMYFUNCTION("""COMPUTED_VALUE"""),138.75)</f>
        <v>138.75</v>
      </c>
      <c r="D1035" s="2">
        <f>IFERROR(__xludf.DUMMYFUNCTION("""COMPUTED_VALUE"""),127.78)</f>
        <v>127.78</v>
      </c>
      <c r="E1035" s="2">
        <f>IFERROR(__xludf.DUMMYFUNCTION("""COMPUTED_VALUE"""),136.66)</f>
        <v>136.66</v>
      </c>
      <c r="F1035" s="2">
        <f>IFERROR(__xludf.DUMMYFUNCTION("""COMPUTED_VALUE"""),1505167.0)</f>
        <v>1505167</v>
      </c>
    </row>
    <row r="1036">
      <c r="A1036" s="3">
        <f>IFERROR(__xludf.DUMMYFUNCTION("""COMPUTED_VALUE"""),39744.645833333336)</f>
        <v>39744.64583</v>
      </c>
      <c r="B1036" s="2">
        <f>IFERROR(__xludf.DUMMYFUNCTION("""COMPUTED_VALUE"""),131.16)</f>
        <v>131.16</v>
      </c>
      <c r="C1036" s="2">
        <f>IFERROR(__xludf.DUMMYFUNCTION("""COMPUTED_VALUE"""),147.0)</f>
        <v>147</v>
      </c>
      <c r="D1036" s="2">
        <f>IFERROR(__xludf.DUMMYFUNCTION("""COMPUTED_VALUE"""),125.31)</f>
        <v>125.31</v>
      </c>
      <c r="E1036" s="2">
        <f>IFERROR(__xludf.DUMMYFUNCTION("""COMPUTED_VALUE"""),136.82)</f>
        <v>136.82</v>
      </c>
      <c r="F1036" s="2">
        <f>IFERROR(__xludf.DUMMYFUNCTION("""COMPUTED_VALUE"""),2625254.0)</f>
        <v>2625254</v>
      </c>
    </row>
    <row r="1037">
      <c r="A1037" s="3">
        <f>IFERROR(__xludf.DUMMYFUNCTION("""COMPUTED_VALUE"""),39745.645833333336)</f>
        <v>39745.64583</v>
      </c>
      <c r="B1037" s="2">
        <f>IFERROR(__xludf.DUMMYFUNCTION("""COMPUTED_VALUE"""),125.93)</f>
        <v>125.93</v>
      </c>
      <c r="C1037" s="2">
        <f>IFERROR(__xludf.DUMMYFUNCTION("""COMPUTED_VALUE"""),134.1)</f>
        <v>134.1</v>
      </c>
      <c r="D1037" s="2">
        <f>IFERROR(__xludf.DUMMYFUNCTION("""COMPUTED_VALUE"""),110.0)</f>
        <v>110</v>
      </c>
      <c r="E1037" s="2">
        <f>IFERROR(__xludf.DUMMYFUNCTION("""COMPUTED_VALUE"""),124.71)</f>
        <v>124.71</v>
      </c>
      <c r="F1037" s="2">
        <f>IFERROR(__xludf.DUMMYFUNCTION("""COMPUTED_VALUE"""),2119984.0)</f>
        <v>2119984</v>
      </c>
    </row>
    <row r="1038">
      <c r="A1038" s="3">
        <f>IFERROR(__xludf.DUMMYFUNCTION("""COMPUTED_VALUE"""),39748.645833333336)</f>
        <v>39748.64583</v>
      </c>
      <c r="B1038" s="2">
        <f>IFERROR(__xludf.DUMMYFUNCTION("""COMPUTED_VALUE"""),120.25)</f>
        <v>120.25</v>
      </c>
      <c r="C1038" s="2">
        <f>IFERROR(__xludf.DUMMYFUNCTION("""COMPUTED_VALUE"""),129.5)</f>
        <v>129.5</v>
      </c>
      <c r="D1038" s="2">
        <f>IFERROR(__xludf.DUMMYFUNCTION("""COMPUTED_VALUE"""),103.84)</f>
        <v>103.84</v>
      </c>
      <c r="E1038" s="2">
        <f>IFERROR(__xludf.DUMMYFUNCTION("""COMPUTED_VALUE"""),124.19)</f>
        <v>124.19</v>
      </c>
      <c r="F1038" s="2">
        <f>IFERROR(__xludf.DUMMYFUNCTION("""COMPUTED_VALUE"""),2243144.0)</f>
        <v>2243144</v>
      </c>
    </row>
    <row r="1039">
      <c r="A1039" s="3">
        <f>IFERROR(__xludf.DUMMYFUNCTION("""COMPUTED_VALUE"""),39750.645833333336)</f>
        <v>39750.64583</v>
      </c>
      <c r="B1039" s="2">
        <f>IFERROR(__xludf.DUMMYFUNCTION("""COMPUTED_VALUE"""),140.5)</f>
        <v>140.5</v>
      </c>
      <c r="C1039" s="2">
        <f>IFERROR(__xludf.DUMMYFUNCTION("""COMPUTED_VALUE"""),143.75)</f>
        <v>143.75</v>
      </c>
      <c r="D1039" s="2">
        <f>IFERROR(__xludf.DUMMYFUNCTION("""COMPUTED_VALUE"""),132.56)</f>
        <v>132.56</v>
      </c>
      <c r="E1039" s="2">
        <f>IFERROR(__xludf.DUMMYFUNCTION("""COMPUTED_VALUE"""),135.2)</f>
        <v>135.2</v>
      </c>
      <c r="F1039" s="2">
        <f>IFERROR(__xludf.DUMMYFUNCTION("""COMPUTED_VALUE"""),2738893.0)</f>
        <v>2738893</v>
      </c>
    </row>
    <row r="1040">
      <c r="A1040" s="3">
        <f>IFERROR(__xludf.DUMMYFUNCTION("""COMPUTED_VALUE"""),39752.645833333336)</f>
        <v>39752.64583</v>
      </c>
      <c r="B1040" s="2">
        <f>IFERROR(__xludf.DUMMYFUNCTION("""COMPUTED_VALUE"""),142.25)</f>
        <v>142.25</v>
      </c>
      <c r="C1040" s="2">
        <f>IFERROR(__xludf.DUMMYFUNCTION("""COMPUTED_VALUE"""),148.75)</f>
        <v>148.75</v>
      </c>
      <c r="D1040" s="2">
        <f>IFERROR(__xludf.DUMMYFUNCTION("""COMPUTED_VALUE"""),132.44)</f>
        <v>132.44</v>
      </c>
      <c r="E1040" s="2">
        <f>IFERROR(__xludf.DUMMYFUNCTION("""COMPUTED_VALUE"""),134.38)</f>
        <v>134.38</v>
      </c>
      <c r="F1040" s="2">
        <f>IFERROR(__xludf.DUMMYFUNCTION("""COMPUTED_VALUE"""),2593995.0)</f>
        <v>2593995</v>
      </c>
    </row>
    <row r="1041">
      <c r="A1041" s="3">
        <f>IFERROR(__xludf.DUMMYFUNCTION("""COMPUTED_VALUE"""),39755.645833333336)</f>
        <v>39755.64583</v>
      </c>
      <c r="B1041" s="2">
        <f>IFERROR(__xludf.DUMMYFUNCTION("""COMPUTED_VALUE"""),139.99)</f>
        <v>139.99</v>
      </c>
      <c r="C1041" s="2">
        <f>IFERROR(__xludf.DUMMYFUNCTION("""COMPUTED_VALUE"""),145.75)</f>
        <v>145.75</v>
      </c>
      <c r="D1041" s="2">
        <f>IFERROR(__xludf.DUMMYFUNCTION("""COMPUTED_VALUE"""),131.76)</f>
        <v>131.76</v>
      </c>
      <c r="E1041" s="2">
        <f>IFERROR(__xludf.DUMMYFUNCTION("""COMPUTED_VALUE"""),136.85)</f>
        <v>136.85</v>
      </c>
      <c r="F1041" s="2">
        <f>IFERROR(__xludf.DUMMYFUNCTION("""COMPUTED_VALUE"""),1883005.0)</f>
        <v>1883005</v>
      </c>
    </row>
    <row r="1042">
      <c r="A1042" s="3">
        <f>IFERROR(__xludf.DUMMYFUNCTION("""COMPUTED_VALUE"""),39756.645833333336)</f>
        <v>39756.64583</v>
      </c>
      <c r="B1042" s="2">
        <f>IFERROR(__xludf.DUMMYFUNCTION("""COMPUTED_VALUE"""),149.15)</f>
        <v>149.15</v>
      </c>
      <c r="C1042" s="2">
        <f>IFERROR(__xludf.DUMMYFUNCTION("""COMPUTED_VALUE"""),149.15)</f>
        <v>149.15</v>
      </c>
      <c r="D1042" s="2">
        <f>IFERROR(__xludf.DUMMYFUNCTION("""COMPUTED_VALUE"""),122.5)</f>
        <v>122.5</v>
      </c>
      <c r="E1042" s="2">
        <f>IFERROR(__xludf.DUMMYFUNCTION("""COMPUTED_VALUE"""),127.13)</f>
        <v>127.13</v>
      </c>
      <c r="F1042" s="2">
        <f>IFERROR(__xludf.DUMMYFUNCTION("""COMPUTED_VALUE"""),2355635.0)</f>
        <v>2355635</v>
      </c>
    </row>
    <row r="1043">
      <c r="A1043" s="3">
        <f>IFERROR(__xludf.DUMMYFUNCTION("""COMPUTED_VALUE"""),39757.645833333336)</f>
        <v>39757.64583</v>
      </c>
      <c r="B1043" s="2">
        <f>IFERROR(__xludf.DUMMYFUNCTION("""COMPUTED_VALUE"""),128.75)</f>
        <v>128.75</v>
      </c>
      <c r="C1043" s="2">
        <f>IFERROR(__xludf.DUMMYFUNCTION("""COMPUTED_VALUE"""),137.23)</f>
        <v>137.23</v>
      </c>
      <c r="D1043" s="2">
        <f>IFERROR(__xludf.DUMMYFUNCTION("""COMPUTED_VALUE"""),125.0)</f>
        <v>125</v>
      </c>
      <c r="E1043" s="2">
        <f>IFERROR(__xludf.DUMMYFUNCTION("""COMPUTED_VALUE"""),126.6)</f>
        <v>126.6</v>
      </c>
      <c r="F1043" s="2">
        <f>IFERROR(__xludf.DUMMYFUNCTION("""COMPUTED_VALUE"""),2308291.0)</f>
        <v>2308291</v>
      </c>
    </row>
    <row r="1044">
      <c r="A1044" s="3">
        <f>IFERROR(__xludf.DUMMYFUNCTION("""COMPUTED_VALUE"""),39758.645833333336)</f>
        <v>39758.64583</v>
      </c>
      <c r="B1044" s="2">
        <f>IFERROR(__xludf.DUMMYFUNCTION("""COMPUTED_VALUE"""),132.13)</f>
        <v>132.13</v>
      </c>
      <c r="C1044" s="2">
        <f>IFERROR(__xludf.DUMMYFUNCTION("""COMPUTED_VALUE"""),132.13)</f>
        <v>132.13</v>
      </c>
      <c r="D1044" s="2">
        <f>IFERROR(__xludf.DUMMYFUNCTION("""COMPUTED_VALUE"""),120.53)</f>
        <v>120.53</v>
      </c>
      <c r="E1044" s="2">
        <f>IFERROR(__xludf.DUMMYFUNCTION("""COMPUTED_VALUE"""),125.05)</f>
        <v>125.05</v>
      </c>
      <c r="F1044" s="2">
        <f>IFERROR(__xludf.DUMMYFUNCTION("""COMPUTED_VALUE"""),1965479.0)</f>
        <v>1965479</v>
      </c>
    </row>
    <row r="1045">
      <c r="A1045" s="3">
        <f>IFERROR(__xludf.DUMMYFUNCTION("""COMPUTED_VALUE"""),39759.645833333336)</f>
        <v>39759.64583</v>
      </c>
      <c r="B1045" s="2">
        <f>IFERROR(__xludf.DUMMYFUNCTION("""COMPUTED_VALUE"""),125.0)</f>
        <v>125</v>
      </c>
      <c r="C1045" s="2">
        <f>IFERROR(__xludf.DUMMYFUNCTION("""COMPUTED_VALUE"""),133.75)</f>
        <v>133.75</v>
      </c>
      <c r="D1045" s="2">
        <f>IFERROR(__xludf.DUMMYFUNCTION("""COMPUTED_VALUE"""),121.44)</f>
        <v>121.44</v>
      </c>
      <c r="E1045" s="2">
        <f>IFERROR(__xludf.DUMMYFUNCTION("""COMPUTED_VALUE"""),131.29)</f>
        <v>131.29</v>
      </c>
      <c r="F1045" s="2">
        <f>IFERROR(__xludf.DUMMYFUNCTION("""COMPUTED_VALUE"""),1469430.0)</f>
        <v>1469430</v>
      </c>
    </row>
    <row r="1046">
      <c r="A1046" s="3">
        <f>IFERROR(__xludf.DUMMYFUNCTION("""COMPUTED_VALUE"""),39762.645833333336)</f>
        <v>39762.64583</v>
      </c>
      <c r="B1046" s="2">
        <f>IFERROR(__xludf.DUMMYFUNCTION("""COMPUTED_VALUE"""),137.48)</f>
        <v>137.48</v>
      </c>
      <c r="C1046" s="2">
        <f>IFERROR(__xludf.DUMMYFUNCTION("""COMPUTED_VALUE"""),138.13)</f>
        <v>138.13</v>
      </c>
      <c r="D1046" s="2">
        <f>IFERROR(__xludf.DUMMYFUNCTION("""COMPUTED_VALUE"""),128.76)</f>
        <v>128.76</v>
      </c>
      <c r="E1046" s="2">
        <f>IFERROR(__xludf.DUMMYFUNCTION("""COMPUTED_VALUE"""),136.61)</f>
        <v>136.61</v>
      </c>
      <c r="F1046" s="2">
        <f>IFERROR(__xludf.DUMMYFUNCTION("""COMPUTED_VALUE"""),1024754.0)</f>
        <v>1024754</v>
      </c>
    </row>
    <row r="1047">
      <c r="A1047" s="3">
        <f>IFERROR(__xludf.DUMMYFUNCTION("""COMPUTED_VALUE"""),39763.645833333336)</f>
        <v>39763.64583</v>
      </c>
      <c r="B1047" s="2">
        <f>IFERROR(__xludf.DUMMYFUNCTION("""COMPUTED_VALUE"""),135.5)</f>
        <v>135.5</v>
      </c>
      <c r="C1047" s="2">
        <f>IFERROR(__xludf.DUMMYFUNCTION("""COMPUTED_VALUE"""),136.94)</f>
        <v>136.94</v>
      </c>
      <c r="D1047" s="2">
        <f>IFERROR(__xludf.DUMMYFUNCTION("""COMPUTED_VALUE"""),130.0)</f>
        <v>130</v>
      </c>
      <c r="E1047" s="2">
        <f>IFERROR(__xludf.DUMMYFUNCTION("""COMPUTED_VALUE"""),132.21)</f>
        <v>132.21</v>
      </c>
      <c r="F1047" s="2">
        <f>IFERROR(__xludf.DUMMYFUNCTION("""COMPUTED_VALUE"""),1624694.0)</f>
        <v>1624694</v>
      </c>
    </row>
    <row r="1048">
      <c r="A1048" s="3">
        <f>IFERROR(__xludf.DUMMYFUNCTION("""COMPUTED_VALUE"""),39764.645833333336)</f>
        <v>39764.64583</v>
      </c>
      <c r="B1048" s="2">
        <f>IFERROR(__xludf.DUMMYFUNCTION("""COMPUTED_VALUE"""),132.21)</f>
        <v>132.21</v>
      </c>
      <c r="C1048" s="2">
        <f>IFERROR(__xludf.DUMMYFUNCTION("""COMPUTED_VALUE"""),138.61)</f>
        <v>138.61</v>
      </c>
      <c r="D1048" s="2">
        <f>IFERROR(__xludf.DUMMYFUNCTION("""COMPUTED_VALUE"""),128.76)</f>
        <v>128.76</v>
      </c>
      <c r="E1048" s="2">
        <f>IFERROR(__xludf.DUMMYFUNCTION("""COMPUTED_VALUE"""),133.73)</f>
        <v>133.73</v>
      </c>
      <c r="F1048" s="2">
        <f>IFERROR(__xludf.DUMMYFUNCTION("""COMPUTED_VALUE"""),1935511.0)</f>
        <v>1935511</v>
      </c>
    </row>
    <row r="1049">
      <c r="A1049" s="3">
        <f>IFERROR(__xludf.DUMMYFUNCTION("""COMPUTED_VALUE"""),39766.645833333336)</f>
        <v>39766.64583</v>
      </c>
      <c r="B1049" s="2">
        <f>IFERROR(__xludf.DUMMYFUNCTION("""COMPUTED_VALUE"""),136.25)</f>
        <v>136.25</v>
      </c>
      <c r="C1049" s="2">
        <f>IFERROR(__xludf.DUMMYFUNCTION("""COMPUTED_VALUE"""),137.13)</f>
        <v>137.13</v>
      </c>
      <c r="D1049" s="2">
        <f>IFERROR(__xludf.DUMMYFUNCTION("""COMPUTED_VALUE"""),130.88)</f>
        <v>130.88</v>
      </c>
      <c r="E1049" s="2">
        <f>IFERROR(__xludf.DUMMYFUNCTION("""COMPUTED_VALUE"""),132.71)</f>
        <v>132.71</v>
      </c>
      <c r="F1049" s="2">
        <f>IFERROR(__xludf.DUMMYFUNCTION("""COMPUTED_VALUE"""),1654366.0)</f>
        <v>1654366</v>
      </c>
    </row>
    <row r="1050">
      <c r="A1050" s="3">
        <f>IFERROR(__xludf.DUMMYFUNCTION("""COMPUTED_VALUE"""),39769.645833333336)</f>
        <v>39769.64583</v>
      </c>
      <c r="B1050" s="2">
        <f>IFERROR(__xludf.DUMMYFUNCTION("""COMPUTED_VALUE"""),132.25)</f>
        <v>132.25</v>
      </c>
      <c r="C1050" s="2">
        <f>IFERROR(__xludf.DUMMYFUNCTION("""COMPUTED_VALUE"""),134.25)</f>
        <v>134.25</v>
      </c>
      <c r="D1050" s="2">
        <f>IFERROR(__xludf.DUMMYFUNCTION("""COMPUTED_VALUE"""),126.38)</f>
        <v>126.38</v>
      </c>
      <c r="E1050" s="2">
        <f>IFERROR(__xludf.DUMMYFUNCTION("""COMPUTED_VALUE"""),129.75)</f>
        <v>129.75</v>
      </c>
      <c r="F1050" s="2">
        <f>IFERROR(__xludf.DUMMYFUNCTION("""COMPUTED_VALUE"""),2022743.0)</f>
        <v>2022743</v>
      </c>
    </row>
    <row r="1051">
      <c r="A1051" s="3">
        <f>IFERROR(__xludf.DUMMYFUNCTION("""COMPUTED_VALUE"""),39770.645833333336)</f>
        <v>39770.64583</v>
      </c>
      <c r="B1051" s="2">
        <f>IFERROR(__xludf.DUMMYFUNCTION("""COMPUTED_VALUE"""),130.0)</f>
        <v>130</v>
      </c>
      <c r="C1051" s="2">
        <f>IFERROR(__xludf.DUMMYFUNCTION("""COMPUTED_VALUE"""),130.0)</f>
        <v>130</v>
      </c>
      <c r="D1051" s="2">
        <f>IFERROR(__xludf.DUMMYFUNCTION("""COMPUTED_VALUE"""),120.0)</f>
        <v>120</v>
      </c>
      <c r="E1051" s="2">
        <f>IFERROR(__xludf.DUMMYFUNCTION("""COMPUTED_VALUE"""),120.79)</f>
        <v>120.79</v>
      </c>
      <c r="F1051" s="2">
        <f>IFERROR(__xludf.DUMMYFUNCTION("""COMPUTED_VALUE"""),2438788.0)</f>
        <v>2438788</v>
      </c>
    </row>
    <row r="1052">
      <c r="A1052" s="3">
        <f>IFERROR(__xludf.DUMMYFUNCTION("""COMPUTED_VALUE"""),39771.645833333336)</f>
        <v>39771.64583</v>
      </c>
      <c r="B1052" s="2">
        <f>IFERROR(__xludf.DUMMYFUNCTION("""COMPUTED_VALUE"""),122.5)</f>
        <v>122.5</v>
      </c>
      <c r="C1052" s="2">
        <f>IFERROR(__xludf.DUMMYFUNCTION("""COMPUTED_VALUE"""),124.0)</f>
        <v>124</v>
      </c>
      <c r="D1052" s="2">
        <f>IFERROR(__xludf.DUMMYFUNCTION("""COMPUTED_VALUE"""),117.93)</f>
        <v>117.93</v>
      </c>
      <c r="E1052" s="2">
        <f>IFERROR(__xludf.DUMMYFUNCTION("""COMPUTED_VALUE"""),120.66)</f>
        <v>120.66</v>
      </c>
      <c r="F1052" s="2">
        <f>IFERROR(__xludf.DUMMYFUNCTION("""COMPUTED_VALUE"""),2043772.0)</f>
        <v>2043772</v>
      </c>
    </row>
    <row r="1053">
      <c r="A1053" s="3">
        <f>IFERROR(__xludf.DUMMYFUNCTION("""COMPUTED_VALUE"""),39773.645833333336)</f>
        <v>39773.64583</v>
      </c>
      <c r="B1053" s="2">
        <f>IFERROR(__xludf.DUMMYFUNCTION("""COMPUTED_VALUE"""),117.43)</f>
        <v>117.43</v>
      </c>
      <c r="C1053" s="2">
        <f>IFERROR(__xludf.DUMMYFUNCTION("""COMPUTED_VALUE"""),129.25)</f>
        <v>129.25</v>
      </c>
      <c r="D1053" s="2">
        <f>IFERROR(__xludf.DUMMYFUNCTION("""COMPUTED_VALUE"""),115.0)</f>
        <v>115</v>
      </c>
      <c r="E1053" s="2">
        <f>IFERROR(__xludf.DUMMYFUNCTION("""COMPUTED_VALUE"""),126.61)</f>
        <v>126.61</v>
      </c>
      <c r="F1053" s="2">
        <f>IFERROR(__xludf.DUMMYFUNCTION("""COMPUTED_VALUE"""),1711423.0)</f>
        <v>1711423</v>
      </c>
    </row>
    <row r="1054">
      <c r="A1054" s="3">
        <f>IFERROR(__xludf.DUMMYFUNCTION("""COMPUTED_VALUE"""),39776.645833333336)</f>
        <v>39776.64583</v>
      </c>
      <c r="B1054" s="2">
        <f>IFERROR(__xludf.DUMMYFUNCTION("""COMPUTED_VALUE"""),126.0)</f>
        <v>126</v>
      </c>
      <c r="C1054" s="2">
        <f>IFERROR(__xludf.DUMMYFUNCTION("""COMPUTED_VALUE"""),132.91)</f>
        <v>132.91</v>
      </c>
      <c r="D1054" s="2">
        <f>IFERROR(__xludf.DUMMYFUNCTION("""COMPUTED_VALUE"""),122.56)</f>
        <v>122.56</v>
      </c>
      <c r="E1054" s="2">
        <f>IFERROR(__xludf.DUMMYFUNCTION("""COMPUTED_VALUE"""),129.98)</f>
        <v>129.98</v>
      </c>
      <c r="F1054" s="2">
        <f>IFERROR(__xludf.DUMMYFUNCTION("""COMPUTED_VALUE"""),2092639.0)</f>
        <v>2092639</v>
      </c>
    </row>
    <row r="1055">
      <c r="A1055" s="3">
        <f>IFERROR(__xludf.DUMMYFUNCTION("""COMPUTED_VALUE"""),39777.645833333336)</f>
        <v>39777.64583</v>
      </c>
      <c r="B1055" s="2">
        <f>IFERROR(__xludf.DUMMYFUNCTION("""COMPUTED_VALUE"""),129.78)</f>
        <v>129.78</v>
      </c>
      <c r="C1055" s="2">
        <f>IFERROR(__xludf.DUMMYFUNCTION("""COMPUTED_VALUE"""),134.99)</f>
        <v>134.99</v>
      </c>
      <c r="D1055" s="2">
        <f>IFERROR(__xludf.DUMMYFUNCTION("""COMPUTED_VALUE"""),125.01)</f>
        <v>125.01</v>
      </c>
      <c r="E1055" s="2">
        <f>IFERROR(__xludf.DUMMYFUNCTION("""COMPUTED_VALUE"""),126.0)</f>
        <v>126</v>
      </c>
      <c r="F1055" s="2">
        <f>IFERROR(__xludf.DUMMYFUNCTION("""COMPUTED_VALUE"""),1443505.0)</f>
        <v>1443505</v>
      </c>
    </row>
    <row r="1056">
      <c r="A1056" s="3">
        <f>IFERROR(__xludf.DUMMYFUNCTION("""COMPUTED_VALUE"""),39778.645833333336)</f>
        <v>39778.64583</v>
      </c>
      <c r="B1056" s="2">
        <f>IFERROR(__xludf.DUMMYFUNCTION("""COMPUTED_VALUE"""),125.81)</f>
        <v>125.81</v>
      </c>
      <c r="C1056" s="2">
        <f>IFERROR(__xludf.DUMMYFUNCTION("""COMPUTED_VALUE"""),132.5)</f>
        <v>132.5</v>
      </c>
      <c r="D1056" s="2">
        <f>IFERROR(__xludf.DUMMYFUNCTION("""COMPUTED_VALUE"""),124.29)</f>
        <v>124.29</v>
      </c>
      <c r="E1056" s="2">
        <f>IFERROR(__xludf.DUMMYFUNCTION("""COMPUTED_VALUE"""),131.86)</f>
        <v>131.86</v>
      </c>
      <c r="F1056" s="2">
        <f>IFERROR(__xludf.DUMMYFUNCTION("""COMPUTED_VALUE"""),1533889.0)</f>
        <v>1533889</v>
      </c>
    </row>
    <row r="1057">
      <c r="A1057" s="3">
        <f>IFERROR(__xludf.DUMMYFUNCTION("""COMPUTED_VALUE"""),39780.645833333336)</f>
        <v>39780.64583</v>
      </c>
      <c r="B1057" s="2">
        <f>IFERROR(__xludf.DUMMYFUNCTION("""COMPUTED_VALUE"""),129.5)</f>
        <v>129.5</v>
      </c>
      <c r="C1057" s="2">
        <f>IFERROR(__xludf.DUMMYFUNCTION("""COMPUTED_VALUE"""),142.0)</f>
        <v>142</v>
      </c>
      <c r="D1057" s="2">
        <f>IFERROR(__xludf.DUMMYFUNCTION("""COMPUTED_VALUE"""),129.5)</f>
        <v>129.5</v>
      </c>
      <c r="E1057" s="2">
        <f>IFERROR(__xludf.DUMMYFUNCTION("""COMPUTED_VALUE"""),139.85)</f>
        <v>139.85</v>
      </c>
      <c r="F1057" s="2">
        <f>IFERROR(__xludf.DUMMYFUNCTION("""COMPUTED_VALUE"""),3034516.0)</f>
        <v>3034516</v>
      </c>
    </row>
    <row r="1058">
      <c r="A1058" s="3">
        <f>IFERROR(__xludf.DUMMYFUNCTION("""COMPUTED_VALUE"""),39783.645833333336)</f>
        <v>39783.64583</v>
      </c>
      <c r="B1058" s="2">
        <f>IFERROR(__xludf.DUMMYFUNCTION("""COMPUTED_VALUE"""),139.85)</f>
        <v>139.85</v>
      </c>
      <c r="C1058" s="2">
        <f>IFERROR(__xludf.DUMMYFUNCTION("""COMPUTED_VALUE"""),148.44)</f>
        <v>148.44</v>
      </c>
      <c r="D1058" s="2">
        <f>IFERROR(__xludf.DUMMYFUNCTION("""COMPUTED_VALUE"""),139.09)</f>
        <v>139.09</v>
      </c>
      <c r="E1058" s="2">
        <f>IFERROR(__xludf.DUMMYFUNCTION("""COMPUTED_VALUE"""),141.04)</f>
        <v>141.04</v>
      </c>
      <c r="F1058" s="2">
        <f>IFERROR(__xludf.DUMMYFUNCTION("""COMPUTED_VALUE"""),2989676.0)</f>
        <v>2989676</v>
      </c>
    </row>
    <row r="1059">
      <c r="A1059" s="3">
        <f>IFERROR(__xludf.DUMMYFUNCTION("""COMPUTED_VALUE"""),39784.645833333336)</f>
        <v>39784.64583</v>
      </c>
      <c r="B1059" s="2">
        <f>IFERROR(__xludf.DUMMYFUNCTION("""COMPUTED_VALUE"""),142.5)</f>
        <v>142.5</v>
      </c>
      <c r="C1059" s="2">
        <f>IFERROR(__xludf.DUMMYFUNCTION("""COMPUTED_VALUE"""),142.5)</f>
        <v>142.5</v>
      </c>
      <c r="D1059" s="2">
        <f>IFERROR(__xludf.DUMMYFUNCTION("""COMPUTED_VALUE"""),130.76)</f>
        <v>130.76</v>
      </c>
      <c r="E1059" s="2">
        <f>IFERROR(__xludf.DUMMYFUNCTION("""COMPUTED_VALUE"""),133.21)</f>
        <v>133.21</v>
      </c>
      <c r="F1059" s="2">
        <f>IFERROR(__xludf.DUMMYFUNCTION("""COMPUTED_VALUE"""),1664702.0)</f>
        <v>1664702</v>
      </c>
    </row>
    <row r="1060">
      <c r="A1060" s="3">
        <f>IFERROR(__xludf.DUMMYFUNCTION("""COMPUTED_VALUE"""),39785.645833333336)</f>
        <v>39785.64583</v>
      </c>
      <c r="B1060" s="2">
        <f>IFERROR(__xludf.DUMMYFUNCTION("""COMPUTED_VALUE"""),134.09)</f>
        <v>134.09</v>
      </c>
      <c r="C1060" s="2">
        <f>IFERROR(__xludf.DUMMYFUNCTION("""COMPUTED_VALUE"""),137.93)</f>
        <v>137.93</v>
      </c>
      <c r="D1060" s="2">
        <f>IFERROR(__xludf.DUMMYFUNCTION("""COMPUTED_VALUE"""),130.4)</f>
        <v>130.4</v>
      </c>
      <c r="E1060" s="2">
        <f>IFERROR(__xludf.DUMMYFUNCTION("""COMPUTED_VALUE"""),133.7)</f>
        <v>133.7</v>
      </c>
      <c r="F1060" s="2">
        <f>IFERROR(__xludf.DUMMYFUNCTION("""COMPUTED_VALUE"""),2499498.0)</f>
        <v>2499498</v>
      </c>
    </row>
    <row r="1061">
      <c r="A1061" s="3">
        <f>IFERROR(__xludf.DUMMYFUNCTION("""COMPUTED_VALUE"""),39786.645833333336)</f>
        <v>39786.64583</v>
      </c>
      <c r="B1061" s="2">
        <f>IFERROR(__xludf.DUMMYFUNCTION("""COMPUTED_VALUE"""),133.75)</f>
        <v>133.75</v>
      </c>
      <c r="C1061" s="2">
        <f>IFERROR(__xludf.DUMMYFUNCTION("""COMPUTED_VALUE"""),138.43)</f>
        <v>138.43</v>
      </c>
      <c r="D1061" s="2">
        <f>IFERROR(__xludf.DUMMYFUNCTION("""COMPUTED_VALUE"""),125.84)</f>
        <v>125.84</v>
      </c>
      <c r="E1061" s="2">
        <f>IFERROR(__xludf.DUMMYFUNCTION("""COMPUTED_VALUE"""),137.35)</f>
        <v>137.35</v>
      </c>
      <c r="F1061" s="2">
        <f>IFERROR(__xludf.DUMMYFUNCTION("""COMPUTED_VALUE"""),2064127.0)</f>
        <v>2064127</v>
      </c>
    </row>
    <row r="1062">
      <c r="A1062" s="3">
        <f>IFERROR(__xludf.DUMMYFUNCTION("""COMPUTED_VALUE"""),39787.645833333336)</f>
        <v>39787.64583</v>
      </c>
      <c r="B1062" s="2">
        <f>IFERROR(__xludf.DUMMYFUNCTION("""COMPUTED_VALUE"""),134.6)</f>
        <v>134.6</v>
      </c>
      <c r="C1062" s="2">
        <f>IFERROR(__xludf.DUMMYFUNCTION("""COMPUTED_VALUE"""),136.32)</f>
        <v>136.32</v>
      </c>
      <c r="D1062" s="2">
        <f>IFERROR(__xludf.DUMMYFUNCTION("""COMPUTED_VALUE"""),129.56)</f>
        <v>129.56</v>
      </c>
      <c r="E1062" s="2">
        <f>IFERROR(__xludf.DUMMYFUNCTION("""COMPUTED_VALUE"""),130.45)</f>
        <v>130.45</v>
      </c>
      <c r="F1062" s="2">
        <f>IFERROR(__xludf.DUMMYFUNCTION("""COMPUTED_VALUE"""),1776362.0)</f>
        <v>1776362</v>
      </c>
    </row>
    <row r="1063">
      <c r="A1063" s="3">
        <f>IFERROR(__xludf.DUMMYFUNCTION("""COMPUTED_VALUE"""),39790.645833333336)</f>
        <v>39790.64583</v>
      </c>
      <c r="B1063" s="2">
        <f>IFERROR(__xludf.DUMMYFUNCTION("""COMPUTED_VALUE"""),133.75)</f>
        <v>133.75</v>
      </c>
      <c r="C1063" s="2">
        <f>IFERROR(__xludf.DUMMYFUNCTION("""COMPUTED_VALUE"""),136.56)</f>
        <v>136.56</v>
      </c>
      <c r="D1063" s="2">
        <f>IFERROR(__xludf.DUMMYFUNCTION("""COMPUTED_VALUE"""),128.1)</f>
        <v>128.1</v>
      </c>
      <c r="E1063" s="2">
        <f>IFERROR(__xludf.DUMMYFUNCTION("""COMPUTED_VALUE"""),130.56)</f>
        <v>130.56</v>
      </c>
      <c r="F1063" s="2">
        <f>IFERROR(__xludf.DUMMYFUNCTION("""COMPUTED_VALUE"""),1905351.0)</f>
        <v>1905351</v>
      </c>
    </row>
    <row r="1064">
      <c r="A1064" s="3">
        <f>IFERROR(__xludf.DUMMYFUNCTION("""COMPUTED_VALUE"""),39792.645833333336)</f>
        <v>39792.64583</v>
      </c>
      <c r="B1064" s="2">
        <f>IFERROR(__xludf.DUMMYFUNCTION("""COMPUTED_VALUE"""),137.45)</f>
        <v>137.45</v>
      </c>
      <c r="C1064" s="2">
        <f>IFERROR(__xludf.DUMMYFUNCTION("""COMPUTED_VALUE"""),139.2)</f>
        <v>139.2</v>
      </c>
      <c r="D1064" s="2">
        <f>IFERROR(__xludf.DUMMYFUNCTION("""COMPUTED_VALUE"""),132.38)</f>
        <v>132.38</v>
      </c>
      <c r="E1064" s="2">
        <f>IFERROR(__xludf.DUMMYFUNCTION("""COMPUTED_VALUE"""),135.26)</f>
        <v>135.26</v>
      </c>
      <c r="F1064" s="2">
        <f>IFERROR(__xludf.DUMMYFUNCTION("""COMPUTED_VALUE"""),2022095.0)</f>
        <v>2022095</v>
      </c>
    </row>
    <row r="1065">
      <c r="A1065" s="3">
        <f>IFERROR(__xludf.DUMMYFUNCTION("""COMPUTED_VALUE"""),39793.645833333336)</f>
        <v>39793.64583</v>
      </c>
      <c r="B1065" s="2">
        <f>IFERROR(__xludf.DUMMYFUNCTION("""COMPUTED_VALUE"""),137.43)</f>
        <v>137.43</v>
      </c>
      <c r="C1065" s="2">
        <f>IFERROR(__xludf.DUMMYFUNCTION("""COMPUTED_VALUE"""),137.43)</f>
        <v>137.43</v>
      </c>
      <c r="D1065" s="2">
        <f>IFERROR(__xludf.DUMMYFUNCTION("""COMPUTED_VALUE"""),125.5)</f>
        <v>125.5</v>
      </c>
      <c r="E1065" s="2">
        <f>IFERROR(__xludf.DUMMYFUNCTION("""COMPUTED_VALUE"""),126.91)</f>
        <v>126.91</v>
      </c>
      <c r="F1065" s="2">
        <f>IFERROR(__xludf.DUMMYFUNCTION("""COMPUTED_VALUE"""),1825063.0)</f>
        <v>1825063</v>
      </c>
    </row>
    <row r="1066">
      <c r="A1066" s="3">
        <f>IFERROR(__xludf.DUMMYFUNCTION("""COMPUTED_VALUE"""),39794.645833333336)</f>
        <v>39794.64583</v>
      </c>
      <c r="B1066" s="2">
        <f>IFERROR(__xludf.DUMMYFUNCTION("""COMPUTED_VALUE"""),127.49)</f>
        <v>127.49</v>
      </c>
      <c r="C1066" s="2">
        <f>IFERROR(__xludf.DUMMYFUNCTION("""COMPUTED_VALUE"""),127.49)</f>
        <v>127.49</v>
      </c>
      <c r="D1066" s="2">
        <f>IFERROR(__xludf.DUMMYFUNCTION("""COMPUTED_VALUE"""),118.81)</f>
        <v>118.81</v>
      </c>
      <c r="E1066" s="2">
        <f>IFERROR(__xludf.DUMMYFUNCTION("""COMPUTED_VALUE"""),120.33)</f>
        <v>120.33</v>
      </c>
      <c r="F1066" s="2">
        <f>IFERROR(__xludf.DUMMYFUNCTION("""COMPUTED_VALUE"""),1780259.0)</f>
        <v>1780259</v>
      </c>
    </row>
    <row r="1067">
      <c r="A1067" s="3">
        <f>IFERROR(__xludf.DUMMYFUNCTION("""COMPUTED_VALUE"""),39797.645833333336)</f>
        <v>39797.64583</v>
      </c>
      <c r="B1067" s="2">
        <f>IFERROR(__xludf.DUMMYFUNCTION("""COMPUTED_VALUE"""),125.5)</f>
        <v>125.5</v>
      </c>
      <c r="C1067" s="2">
        <f>IFERROR(__xludf.DUMMYFUNCTION("""COMPUTED_VALUE"""),125.5)</f>
        <v>125.5</v>
      </c>
      <c r="D1067" s="2">
        <f>IFERROR(__xludf.DUMMYFUNCTION("""COMPUTED_VALUE"""),116.81)</f>
        <v>116.81</v>
      </c>
      <c r="E1067" s="2">
        <f>IFERROR(__xludf.DUMMYFUNCTION("""COMPUTED_VALUE"""),117.41)</f>
        <v>117.41</v>
      </c>
      <c r="F1067" s="2">
        <f>IFERROR(__xludf.DUMMYFUNCTION("""COMPUTED_VALUE"""),1499429.0)</f>
        <v>1499429</v>
      </c>
    </row>
    <row r="1068">
      <c r="A1068" s="3">
        <f>IFERROR(__xludf.DUMMYFUNCTION("""COMPUTED_VALUE"""),39798.645833333336)</f>
        <v>39798.64583</v>
      </c>
      <c r="B1068" s="2">
        <f>IFERROR(__xludf.DUMMYFUNCTION("""COMPUTED_VALUE"""),117.5)</f>
        <v>117.5</v>
      </c>
      <c r="C1068" s="2">
        <f>IFERROR(__xludf.DUMMYFUNCTION("""COMPUTED_VALUE"""),121.23)</f>
        <v>121.23</v>
      </c>
      <c r="D1068" s="2">
        <f>IFERROR(__xludf.DUMMYFUNCTION("""COMPUTED_VALUE"""),116.25)</f>
        <v>116.25</v>
      </c>
      <c r="E1068" s="2">
        <f>IFERROR(__xludf.DUMMYFUNCTION("""COMPUTED_VALUE"""),119.84)</f>
        <v>119.84</v>
      </c>
      <c r="F1068" s="2">
        <f>IFERROR(__xludf.DUMMYFUNCTION("""COMPUTED_VALUE"""),1461967.0)</f>
        <v>1461967</v>
      </c>
    </row>
    <row r="1069">
      <c r="A1069" s="3">
        <f>IFERROR(__xludf.DUMMYFUNCTION("""COMPUTED_VALUE"""),39799.645833333336)</f>
        <v>39799.64583</v>
      </c>
      <c r="B1069" s="2">
        <f>IFERROR(__xludf.DUMMYFUNCTION("""COMPUTED_VALUE"""),121.34)</f>
        <v>121.34</v>
      </c>
      <c r="C1069" s="2">
        <f>IFERROR(__xludf.DUMMYFUNCTION("""COMPUTED_VALUE"""),123.0)</f>
        <v>123</v>
      </c>
      <c r="D1069" s="2">
        <f>IFERROR(__xludf.DUMMYFUNCTION("""COMPUTED_VALUE"""),118.0)</f>
        <v>118</v>
      </c>
      <c r="E1069" s="2">
        <f>IFERROR(__xludf.DUMMYFUNCTION("""COMPUTED_VALUE"""),119.33)</f>
        <v>119.33</v>
      </c>
      <c r="F1069" s="2">
        <f>IFERROR(__xludf.DUMMYFUNCTION("""COMPUTED_VALUE"""),1619017.0)</f>
        <v>1619017</v>
      </c>
    </row>
    <row r="1070">
      <c r="A1070" s="3">
        <f>IFERROR(__xludf.DUMMYFUNCTION("""COMPUTED_VALUE"""),39800.645833333336)</f>
        <v>39800.64583</v>
      </c>
      <c r="B1070" s="2">
        <f>IFERROR(__xludf.DUMMYFUNCTION("""COMPUTED_VALUE"""),118.73)</f>
        <v>118.73</v>
      </c>
      <c r="C1070" s="2">
        <f>IFERROR(__xludf.DUMMYFUNCTION("""COMPUTED_VALUE"""),128.53)</f>
        <v>128.53</v>
      </c>
      <c r="D1070" s="2">
        <f>IFERROR(__xludf.DUMMYFUNCTION("""COMPUTED_VALUE"""),118.0)</f>
        <v>118</v>
      </c>
      <c r="E1070" s="2">
        <f>IFERROR(__xludf.DUMMYFUNCTION("""COMPUTED_VALUE"""),127.63)</f>
        <v>127.63</v>
      </c>
      <c r="F1070" s="2">
        <f>IFERROR(__xludf.DUMMYFUNCTION("""COMPUTED_VALUE"""),1430984.0)</f>
        <v>1430984</v>
      </c>
    </row>
    <row r="1071">
      <c r="A1071" s="3">
        <f>IFERROR(__xludf.DUMMYFUNCTION("""COMPUTED_VALUE"""),39801.645833333336)</f>
        <v>39801.64583</v>
      </c>
      <c r="B1071" s="2">
        <f>IFERROR(__xludf.DUMMYFUNCTION("""COMPUTED_VALUE"""),125.75)</f>
        <v>125.75</v>
      </c>
      <c r="C1071" s="2">
        <f>IFERROR(__xludf.DUMMYFUNCTION("""COMPUTED_VALUE"""),133.5)</f>
        <v>133.5</v>
      </c>
      <c r="D1071" s="2">
        <f>IFERROR(__xludf.DUMMYFUNCTION("""COMPUTED_VALUE"""),123.53)</f>
        <v>123.53</v>
      </c>
      <c r="E1071" s="2">
        <f>IFERROR(__xludf.DUMMYFUNCTION("""COMPUTED_VALUE"""),128.39)</f>
        <v>128.39</v>
      </c>
      <c r="F1071" s="2">
        <f>IFERROR(__xludf.DUMMYFUNCTION("""COMPUTED_VALUE"""),1235997.0)</f>
        <v>1235997</v>
      </c>
    </row>
    <row r="1072">
      <c r="A1072" s="3">
        <f>IFERROR(__xludf.DUMMYFUNCTION("""COMPUTED_VALUE"""),39804.645833333336)</f>
        <v>39804.64583</v>
      </c>
      <c r="B1072" s="2">
        <f>IFERROR(__xludf.DUMMYFUNCTION("""COMPUTED_VALUE"""),129.88)</f>
        <v>129.88</v>
      </c>
      <c r="C1072" s="2">
        <f>IFERROR(__xludf.DUMMYFUNCTION("""COMPUTED_VALUE"""),129.88)</f>
        <v>129.88</v>
      </c>
      <c r="D1072" s="2">
        <f>IFERROR(__xludf.DUMMYFUNCTION("""COMPUTED_VALUE"""),125.85)</f>
        <v>125.85</v>
      </c>
      <c r="E1072" s="2">
        <f>IFERROR(__xludf.DUMMYFUNCTION("""COMPUTED_VALUE"""),127.64)</f>
        <v>127.64</v>
      </c>
      <c r="F1072" s="2">
        <f>IFERROR(__xludf.DUMMYFUNCTION("""COMPUTED_VALUE"""),1026713.0)</f>
        <v>1026713</v>
      </c>
    </row>
    <row r="1073">
      <c r="A1073" s="3">
        <f>IFERROR(__xludf.DUMMYFUNCTION("""COMPUTED_VALUE"""),39805.645833333336)</f>
        <v>39805.64583</v>
      </c>
      <c r="B1073" s="2">
        <f>IFERROR(__xludf.DUMMYFUNCTION("""COMPUTED_VALUE"""),123.8)</f>
        <v>123.8</v>
      </c>
      <c r="C1073" s="2">
        <f>IFERROR(__xludf.DUMMYFUNCTION("""COMPUTED_VALUE"""),127.9)</f>
        <v>127.9</v>
      </c>
      <c r="D1073" s="2">
        <f>IFERROR(__xludf.DUMMYFUNCTION("""COMPUTED_VALUE"""),123.06)</f>
        <v>123.06</v>
      </c>
      <c r="E1073" s="2">
        <f>IFERROR(__xludf.DUMMYFUNCTION("""COMPUTED_VALUE"""),125.15)</f>
        <v>125.15</v>
      </c>
      <c r="F1073" s="2">
        <f>IFERROR(__xludf.DUMMYFUNCTION("""COMPUTED_VALUE"""),891780.0)</f>
        <v>891780</v>
      </c>
    </row>
    <row r="1074">
      <c r="A1074" s="3">
        <f>IFERROR(__xludf.DUMMYFUNCTION("""COMPUTED_VALUE"""),39806.645833333336)</f>
        <v>39806.64583</v>
      </c>
      <c r="B1074" s="2">
        <f>IFERROR(__xludf.DUMMYFUNCTION("""COMPUTED_VALUE"""),124.18)</f>
        <v>124.18</v>
      </c>
      <c r="C1074" s="2">
        <f>IFERROR(__xludf.DUMMYFUNCTION("""COMPUTED_VALUE"""),126.19)</f>
        <v>126.19</v>
      </c>
      <c r="D1074" s="2">
        <f>IFERROR(__xludf.DUMMYFUNCTION("""COMPUTED_VALUE"""),118.06)</f>
        <v>118.06</v>
      </c>
      <c r="E1074" s="2">
        <f>IFERROR(__xludf.DUMMYFUNCTION("""COMPUTED_VALUE"""),119.54)</f>
        <v>119.54</v>
      </c>
      <c r="F1074" s="2">
        <f>IFERROR(__xludf.DUMMYFUNCTION("""COMPUTED_VALUE"""),2287109.0)</f>
        <v>2287109</v>
      </c>
    </row>
    <row r="1075">
      <c r="A1075" s="3">
        <f>IFERROR(__xludf.DUMMYFUNCTION("""COMPUTED_VALUE"""),39808.645833333336)</f>
        <v>39808.64583</v>
      </c>
      <c r="B1075" s="2">
        <f>IFERROR(__xludf.DUMMYFUNCTION("""COMPUTED_VALUE"""),116.3)</f>
        <v>116.3</v>
      </c>
      <c r="C1075" s="2">
        <f>IFERROR(__xludf.DUMMYFUNCTION("""COMPUTED_VALUE"""),123.75)</f>
        <v>123.75</v>
      </c>
      <c r="D1075" s="2">
        <f>IFERROR(__xludf.DUMMYFUNCTION("""COMPUTED_VALUE"""),116.3)</f>
        <v>116.3</v>
      </c>
      <c r="E1075" s="2">
        <f>IFERROR(__xludf.DUMMYFUNCTION("""COMPUTED_VALUE"""),117.91)</f>
        <v>117.91</v>
      </c>
      <c r="F1075" s="2">
        <f>IFERROR(__xludf.DUMMYFUNCTION("""COMPUTED_VALUE"""),788641.0)</f>
        <v>788641</v>
      </c>
    </row>
    <row r="1076">
      <c r="A1076" s="3">
        <f>IFERROR(__xludf.DUMMYFUNCTION("""COMPUTED_VALUE"""),39811.645833333336)</f>
        <v>39811.64583</v>
      </c>
      <c r="B1076" s="2">
        <f>IFERROR(__xludf.DUMMYFUNCTION("""COMPUTED_VALUE"""),119.0)</f>
        <v>119</v>
      </c>
      <c r="C1076" s="2">
        <f>IFERROR(__xludf.DUMMYFUNCTION("""COMPUTED_VALUE"""),119.88)</f>
        <v>119.88</v>
      </c>
      <c r="D1076" s="2">
        <f>IFERROR(__xludf.DUMMYFUNCTION("""COMPUTED_VALUE"""),115.0)</f>
        <v>115</v>
      </c>
      <c r="E1076" s="2">
        <f>IFERROR(__xludf.DUMMYFUNCTION("""COMPUTED_VALUE"""),119.2)</f>
        <v>119.2</v>
      </c>
      <c r="F1076" s="2">
        <f>IFERROR(__xludf.DUMMYFUNCTION("""COMPUTED_VALUE"""),1218902.0)</f>
        <v>1218902</v>
      </c>
    </row>
    <row r="1077">
      <c r="A1077" s="3">
        <f>IFERROR(__xludf.DUMMYFUNCTION("""COMPUTED_VALUE"""),39812.645833333336)</f>
        <v>39812.64583</v>
      </c>
      <c r="B1077" s="2">
        <f>IFERROR(__xludf.DUMMYFUNCTION("""COMPUTED_VALUE"""),121.25)</f>
        <v>121.25</v>
      </c>
      <c r="C1077" s="2">
        <f>IFERROR(__xludf.DUMMYFUNCTION("""COMPUTED_VALUE"""),123.38)</f>
        <v>123.38</v>
      </c>
      <c r="D1077" s="2">
        <f>IFERROR(__xludf.DUMMYFUNCTION("""COMPUTED_VALUE"""),117.5)</f>
        <v>117.5</v>
      </c>
      <c r="E1077" s="2">
        <f>IFERROR(__xludf.DUMMYFUNCTION("""COMPUTED_VALUE"""),120.64)</f>
        <v>120.64</v>
      </c>
      <c r="F1077" s="2">
        <f>IFERROR(__xludf.DUMMYFUNCTION("""COMPUTED_VALUE"""),880632.0)</f>
        <v>880632</v>
      </c>
    </row>
    <row r="1078">
      <c r="A1078" s="3">
        <f>IFERROR(__xludf.DUMMYFUNCTION("""COMPUTED_VALUE"""),39813.645833333336)</f>
        <v>39813.64583</v>
      </c>
      <c r="B1078" s="2">
        <f>IFERROR(__xludf.DUMMYFUNCTION("""COMPUTED_VALUE"""),123.08)</f>
        <v>123.08</v>
      </c>
      <c r="C1078" s="2">
        <f>IFERROR(__xludf.DUMMYFUNCTION("""COMPUTED_VALUE"""),123.08)</f>
        <v>123.08</v>
      </c>
      <c r="D1078" s="2">
        <f>IFERROR(__xludf.DUMMYFUNCTION("""COMPUTED_VALUE"""),118.06)</f>
        <v>118.06</v>
      </c>
      <c r="E1078" s="2">
        <f>IFERROR(__xludf.DUMMYFUNCTION("""COMPUTED_VALUE"""),119.48)</f>
        <v>119.48</v>
      </c>
      <c r="F1078" s="2">
        <f>IFERROR(__xludf.DUMMYFUNCTION("""COMPUTED_VALUE"""),635924.0)</f>
        <v>635924</v>
      </c>
    </row>
    <row r="1079">
      <c r="A1079" s="3">
        <f>IFERROR(__xludf.DUMMYFUNCTION("""COMPUTED_VALUE"""),39814.645833333336)</f>
        <v>39814.64583</v>
      </c>
      <c r="B1079" s="2">
        <f>IFERROR(__xludf.DUMMYFUNCTION("""COMPUTED_VALUE"""),120.0)</f>
        <v>120</v>
      </c>
      <c r="C1079" s="2">
        <f>IFERROR(__xludf.DUMMYFUNCTION("""COMPUTED_VALUE"""),124.71)</f>
        <v>124.71</v>
      </c>
      <c r="D1079" s="2">
        <f>IFERROR(__xludf.DUMMYFUNCTION("""COMPUTED_VALUE"""),119.29)</f>
        <v>119.29</v>
      </c>
      <c r="E1079" s="2">
        <f>IFERROR(__xludf.DUMMYFUNCTION("""COMPUTED_VALUE"""),124.21)</f>
        <v>124.21</v>
      </c>
      <c r="F1079" s="2">
        <f>IFERROR(__xludf.DUMMYFUNCTION("""COMPUTED_VALUE"""),609108.0)</f>
        <v>609108</v>
      </c>
    </row>
    <row r="1080">
      <c r="A1080" s="3">
        <f>IFERROR(__xludf.DUMMYFUNCTION("""COMPUTED_VALUE"""),39815.645833333336)</f>
        <v>39815.64583</v>
      </c>
      <c r="B1080" s="2">
        <f>IFERROR(__xludf.DUMMYFUNCTION("""COMPUTED_VALUE"""),124.26)</f>
        <v>124.26</v>
      </c>
      <c r="C1080" s="2">
        <f>IFERROR(__xludf.DUMMYFUNCTION("""COMPUTED_VALUE"""),127.18)</f>
        <v>127.18</v>
      </c>
      <c r="D1080" s="2">
        <f>IFERROR(__xludf.DUMMYFUNCTION("""COMPUTED_VALUE"""),123.54)</f>
        <v>123.54</v>
      </c>
      <c r="E1080" s="2">
        <f>IFERROR(__xludf.DUMMYFUNCTION("""COMPUTED_VALUE"""),124.58)</f>
        <v>124.58</v>
      </c>
      <c r="F1080" s="2">
        <f>IFERROR(__xludf.DUMMYFUNCTION("""COMPUTED_VALUE"""),1343935.0)</f>
        <v>1343935</v>
      </c>
    </row>
    <row r="1081">
      <c r="A1081" s="3">
        <f>IFERROR(__xludf.DUMMYFUNCTION("""COMPUTED_VALUE"""),39818.645833333336)</f>
        <v>39818.64583</v>
      </c>
      <c r="B1081" s="2">
        <f>IFERROR(__xludf.DUMMYFUNCTION("""COMPUTED_VALUE"""),125.5)</f>
        <v>125.5</v>
      </c>
      <c r="C1081" s="2">
        <f>IFERROR(__xludf.DUMMYFUNCTION("""COMPUTED_VALUE"""),130.75)</f>
        <v>130.75</v>
      </c>
      <c r="D1081" s="2">
        <f>IFERROR(__xludf.DUMMYFUNCTION("""COMPUTED_VALUE"""),124.5)</f>
        <v>124.5</v>
      </c>
      <c r="E1081" s="2">
        <f>IFERROR(__xludf.DUMMYFUNCTION("""COMPUTED_VALUE"""),128.81)</f>
        <v>128.81</v>
      </c>
      <c r="F1081" s="2">
        <f>IFERROR(__xludf.DUMMYFUNCTION("""COMPUTED_VALUE"""),1207444.0)</f>
        <v>1207444</v>
      </c>
    </row>
    <row r="1082">
      <c r="A1082" s="3">
        <f>IFERROR(__xludf.DUMMYFUNCTION("""COMPUTED_VALUE"""),39819.645833333336)</f>
        <v>39819.64583</v>
      </c>
      <c r="B1082" s="2">
        <f>IFERROR(__xludf.DUMMYFUNCTION("""COMPUTED_VALUE"""),128.75)</f>
        <v>128.75</v>
      </c>
      <c r="C1082" s="2">
        <f>IFERROR(__xludf.DUMMYFUNCTION("""COMPUTED_VALUE"""),130.5)</f>
        <v>130.5</v>
      </c>
      <c r="D1082" s="2">
        <f>IFERROR(__xludf.DUMMYFUNCTION("""COMPUTED_VALUE"""),124.56)</f>
        <v>124.56</v>
      </c>
      <c r="E1082" s="2">
        <f>IFERROR(__xludf.DUMMYFUNCTION("""COMPUTED_VALUE"""),126.6)</f>
        <v>126.6</v>
      </c>
      <c r="F1082" s="2">
        <f>IFERROR(__xludf.DUMMYFUNCTION("""COMPUTED_VALUE"""),1479748.0)</f>
        <v>1479748</v>
      </c>
    </row>
    <row r="1083">
      <c r="A1083" s="3">
        <f>IFERROR(__xludf.DUMMYFUNCTION("""COMPUTED_VALUE"""),39820.645833333336)</f>
        <v>39820.64583</v>
      </c>
      <c r="B1083" s="2">
        <f>IFERROR(__xludf.DUMMYFUNCTION("""COMPUTED_VALUE"""),129.75)</f>
        <v>129.75</v>
      </c>
      <c r="C1083" s="2">
        <f>IFERROR(__xludf.DUMMYFUNCTION("""COMPUTED_VALUE"""),129.95)</f>
        <v>129.95</v>
      </c>
      <c r="D1083" s="2">
        <f>IFERROR(__xludf.DUMMYFUNCTION("""COMPUTED_VALUE"""),116.15)</f>
        <v>116.15</v>
      </c>
      <c r="E1083" s="2">
        <f>IFERROR(__xludf.DUMMYFUNCTION("""COMPUTED_VALUE"""),126.2)</f>
        <v>126.2</v>
      </c>
      <c r="F1083" s="2">
        <f>IFERROR(__xludf.DUMMYFUNCTION("""COMPUTED_VALUE"""),2253457.0)</f>
        <v>2253457</v>
      </c>
    </row>
    <row r="1084">
      <c r="A1084" s="3">
        <f>IFERROR(__xludf.DUMMYFUNCTION("""COMPUTED_VALUE"""),39822.645833333336)</f>
        <v>39822.64583</v>
      </c>
      <c r="B1084" s="2">
        <f>IFERROR(__xludf.DUMMYFUNCTION("""COMPUTED_VALUE"""),124.98)</f>
        <v>124.98</v>
      </c>
      <c r="C1084" s="2">
        <f>IFERROR(__xludf.DUMMYFUNCTION("""COMPUTED_VALUE"""),137.45)</f>
        <v>137.45</v>
      </c>
      <c r="D1084" s="2">
        <f>IFERROR(__xludf.DUMMYFUNCTION("""COMPUTED_VALUE"""),121.25)</f>
        <v>121.25</v>
      </c>
      <c r="E1084" s="2">
        <f>IFERROR(__xludf.DUMMYFUNCTION("""COMPUTED_VALUE"""),134.24)</f>
        <v>134.24</v>
      </c>
      <c r="F1084" s="2">
        <f>IFERROR(__xludf.DUMMYFUNCTION("""COMPUTED_VALUE"""),3554995.0)</f>
        <v>3554995</v>
      </c>
    </row>
    <row r="1085">
      <c r="A1085" s="3">
        <f>IFERROR(__xludf.DUMMYFUNCTION("""COMPUTED_VALUE"""),39825.645833333336)</f>
        <v>39825.64583</v>
      </c>
      <c r="B1085" s="2">
        <f>IFERROR(__xludf.DUMMYFUNCTION("""COMPUTED_VALUE"""),127.91)</f>
        <v>127.91</v>
      </c>
      <c r="C1085" s="2">
        <f>IFERROR(__xludf.DUMMYFUNCTION("""COMPUTED_VALUE"""),132.5)</f>
        <v>132.5</v>
      </c>
      <c r="D1085" s="2">
        <f>IFERROR(__xludf.DUMMYFUNCTION("""COMPUTED_VALUE"""),126.28)</f>
        <v>126.28</v>
      </c>
      <c r="E1085" s="2">
        <f>IFERROR(__xludf.DUMMYFUNCTION("""COMPUTED_VALUE"""),128.14)</f>
        <v>128.14</v>
      </c>
      <c r="F1085" s="2">
        <f>IFERROR(__xludf.DUMMYFUNCTION("""COMPUTED_VALUE"""),1898854.0)</f>
        <v>1898854</v>
      </c>
    </row>
    <row r="1086">
      <c r="A1086" s="3">
        <f>IFERROR(__xludf.DUMMYFUNCTION("""COMPUTED_VALUE"""),39826.645833333336)</f>
        <v>39826.64583</v>
      </c>
      <c r="B1086" s="2">
        <f>IFERROR(__xludf.DUMMYFUNCTION("""COMPUTED_VALUE"""),124.9)</f>
        <v>124.9</v>
      </c>
      <c r="C1086" s="2">
        <f>IFERROR(__xludf.DUMMYFUNCTION("""COMPUTED_VALUE"""),134.25)</f>
        <v>134.25</v>
      </c>
      <c r="D1086" s="2">
        <f>IFERROR(__xludf.DUMMYFUNCTION("""COMPUTED_VALUE"""),122.05)</f>
        <v>122.05</v>
      </c>
      <c r="E1086" s="2">
        <f>IFERROR(__xludf.DUMMYFUNCTION("""COMPUTED_VALUE"""),131.41)</f>
        <v>131.41</v>
      </c>
      <c r="F1086" s="2">
        <f>IFERROR(__xludf.DUMMYFUNCTION("""COMPUTED_VALUE"""),3339952.0)</f>
        <v>3339952</v>
      </c>
    </row>
    <row r="1087">
      <c r="A1087" s="3">
        <f>IFERROR(__xludf.DUMMYFUNCTION("""COMPUTED_VALUE"""),39827.645833333336)</f>
        <v>39827.64583</v>
      </c>
      <c r="B1087" s="2">
        <f>IFERROR(__xludf.DUMMYFUNCTION("""COMPUTED_VALUE"""),132.0)</f>
        <v>132</v>
      </c>
      <c r="C1087" s="2">
        <f>IFERROR(__xludf.DUMMYFUNCTION("""COMPUTED_VALUE"""),139.4)</f>
        <v>139.4</v>
      </c>
      <c r="D1087" s="2">
        <f>IFERROR(__xludf.DUMMYFUNCTION("""COMPUTED_VALUE"""),132.0)</f>
        <v>132</v>
      </c>
      <c r="E1087" s="2">
        <f>IFERROR(__xludf.DUMMYFUNCTION("""COMPUTED_VALUE"""),134.74)</f>
        <v>134.74</v>
      </c>
      <c r="F1087" s="2">
        <f>IFERROR(__xludf.DUMMYFUNCTION("""COMPUTED_VALUE"""),1489726.0)</f>
        <v>1489726</v>
      </c>
    </row>
    <row r="1088">
      <c r="A1088" s="3">
        <f>IFERROR(__xludf.DUMMYFUNCTION("""COMPUTED_VALUE"""),39828.645833333336)</f>
        <v>39828.64583</v>
      </c>
      <c r="B1088" s="2">
        <f>IFERROR(__xludf.DUMMYFUNCTION("""COMPUTED_VALUE"""),130.0)</f>
        <v>130</v>
      </c>
      <c r="C1088" s="2">
        <f>IFERROR(__xludf.DUMMYFUNCTION("""COMPUTED_VALUE"""),130.75)</f>
        <v>130.75</v>
      </c>
      <c r="D1088" s="2">
        <f>IFERROR(__xludf.DUMMYFUNCTION("""COMPUTED_VALUE"""),124.59)</f>
        <v>124.59</v>
      </c>
      <c r="E1088" s="2">
        <f>IFERROR(__xludf.DUMMYFUNCTION("""COMPUTED_VALUE"""),127.61)</f>
        <v>127.61</v>
      </c>
      <c r="F1088" s="2">
        <f>IFERROR(__xludf.DUMMYFUNCTION("""COMPUTED_VALUE"""),1792881.0)</f>
        <v>1792881</v>
      </c>
    </row>
    <row r="1089">
      <c r="A1089" s="3">
        <f>IFERROR(__xludf.DUMMYFUNCTION("""COMPUTED_VALUE"""),39829.645833333336)</f>
        <v>39829.64583</v>
      </c>
      <c r="B1089" s="2">
        <f>IFERROR(__xludf.DUMMYFUNCTION("""COMPUTED_VALUE"""),127.18)</f>
        <v>127.18</v>
      </c>
      <c r="C1089" s="2">
        <f>IFERROR(__xludf.DUMMYFUNCTION("""COMPUTED_VALUE"""),129.75)</f>
        <v>129.75</v>
      </c>
      <c r="D1089" s="2">
        <f>IFERROR(__xludf.DUMMYFUNCTION("""COMPUTED_VALUE"""),121.63)</f>
        <v>121.63</v>
      </c>
      <c r="E1089" s="2">
        <f>IFERROR(__xludf.DUMMYFUNCTION("""COMPUTED_VALUE"""),125.75)</f>
        <v>125.75</v>
      </c>
      <c r="F1089" s="2">
        <f>IFERROR(__xludf.DUMMYFUNCTION("""COMPUTED_VALUE"""),2447519.0)</f>
        <v>2447519</v>
      </c>
    </row>
    <row r="1090">
      <c r="A1090" s="3">
        <f>IFERROR(__xludf.DUMMYFUNCTION("""COMPUTED_VALUE"""),39832.645833333336)</f>
        <v>39832.64583</v>
      </c>
      <c r="B1090" s="2">
        <f>IFERROR(__xludf.DUMMYFUNCTION("""COMPUTED_VALUE"""),129.48)</f>
        <v>129.48</v>
      </c>
      <c r="C1090" s="2">
        <f>IFERROR(__xludf.DUMMYFUNCTION("""COMPUTED_VALUE"""),129.48)</f>
        <v>129.48</v>
      </c>
      <c r="D1090" s="2">
        <f>IFERROR(__xludf.DUMMYFUNCTION("""COMPUTED_VALUE"""),121.83)</f>
        <v>121.83</v>
      </c>
      <c r="E1090" s="2">
        <f>IFERROR(__xludf.DUMMYFUNCTION("""COMPUTED_VALUE"""),125.19)</f>
        <v>125.19</v>
      </c>
      <c r="F1090" s="2">
        <f>IFERROR(__xludf.DUMMYFUNCTION("""COMPUTED_VALUE"""),1717094.0)</f>
        <v>1717094</v>
      </c>
    </row>
    <row r="1091">
      <c r="A1091" s="3">
        <f>IFERROR(__xludf.DUMMYFUNCTION("""COMPUTED_VALUE"""),39833.645833333336)</f>
        <v>39833.64583</v>
      </c>
      <c r="B1091" s="2">
        <f>IFERROR(__xludf.DUMMYFUNCTION("""COMPUTED_VALUE"""),123.68)</f>
        <v>123.68</v>
      </c>
      <c r="C1091" s="2">
        <f>IFERROR(__xludf.DUMMYFUNCTION("""COMPUTED_VALUE"""),126.98)</f>
        <v>126.98</v>
      </c>
      <c r="D1091" s="2">
        <f>IFERROR(__xludf.DUMMYFUNCTION("""COMPUTED_VALUE"""),122.5)</f>
        <v>122.5</v>
      </c>
      <c r="E1091" s="2">
        <f>IFERROR(__xludf.DUMMYFUNCTION("""COMPUTED_VALUE"""),124.11)</f>
        <v>124.11</v>
      </c>
      <c r="F1091" s="2">
        <f>IFERROR(__xludf.DUMMYFUNCTION("""COMPUTED_VALUE"""),1158799.0)</f>
        <v>1158799</v>
      </c>
    </row>
    <row r="1092">
      <c r="A1092" s="3">
        <f>IFERROR(__xludf.DUMMYFUNCTION("""COMPUTED_VALUE"""),39834.645833333336)</f>
        <v>39834.64583</v>
      </c>
      <c r="B1092" s="2">
        <f>IFERROR(__xludf.DUMMYFUNCTION("""COMPUTED_VALUE"""),122.75)</f>
        <v>122.75</v>
      </c>
      <c r="C1092" s="2">
        <f>IFERROR(__xludf.DUMMYFUNCTION("""COMPUTED_VALUE"""),125.25)</f>
        <v>125.25</v>
      </c>
      <c r="D1092" s="2">
        <f>IFERROR(__xludf.DUMMYFUNCTION("""COMPUTED_VALUE"""),121.25)</f>
        <v>121.25</v>
      </c>
      <c r="E1092" s="2">
        <f>IFERROR(__xludf.DUMMYFUNCTION("""COMPUTED_VALUE"""),123.08)</f>
        <v>123.08</v>
      </c>
      <c r="F1092" s="2">
        <f>IFERROR(__xludf.DUMMYFUNCTION("""COMPUTED_VALUE"""),917465.0)</f>
        <v>917465</v>
      </c>
    </row>
    <row r="1093">
      <c r="A1093" s="3">
        <f>IFERROR(__xludf.DUMMYFUNCTION("""COMPUTED_VALUE"""),39835.645833333336)</f>
        <v>39835.64583</v>
      </c>
      <c r="B1093" s="2">
        <f>IFERROR(__xludf.DUMMYFUNCTION("""COMPUTED_VALUE"""),123.75)</f>
        <v>123.75</v>
      </c>
      <c r="C1093" s="2">
        <f>IFERROR(__xludf.DUMMYFUNCTION("""COMPUTED_VALUE"""),126.01)</f>
        <v>126.01</v>
      </c>
      <c r="D1093" s="2">
        <f>IFERROR(__xludf.DUMMYFUNCTION("""COMPUTED_VALUE"""),120.79)</f>
        <v>120.79</v>
      </c>
      <c r="E1093" s="2">
        <f>IFERROR(__xludf.DUMMYFUNCTION("""COMPUTED_VALUE"""),124.15)</f>
        <v>124.15</v>
      </c>
      <c r="F1093" s="2">
        <f>IFERROR(__xludf.DUMMYFUNCTION("""COMPUTED_VALUE"""),1212034.0)</f>
        <v>1212034</v>
      </c>
    </row>
    <row r="1094">
      <c r="A1094" s="3">
        <f>IFERROR(__xludf.DUMMYFUNCTION("""COMPUTED_VALUE"""),39836.645833333336)</f>
        <v>39836.64583</v>
      </c>
      <c r="B1094" s="2">
        <f>IFERROR(__xludf.DUMMYFUNCTION("""COMPUTED_VALUE"""),122.53)</f>
        <v>122.53</v>
      </c>
      <c r="C1094" s="2">
        <f>IFERROR(__xludf.DUMMYFUNCTION("""COMPUTED_VALUE"""),124.73)</f>
        <v>124.73</v>
      </c>
      <c r="D1094" s="2">
        <f>IFERROR(__xludf.DUMMYFUNCTION("""COMPUTED_VALUE"""),120.83)</f>
        <v>120.83</v>
      </c>
      <c r="E1094" s="2">
        <f>IFERROR(__xludf.DUMMYFUNCTION("""COMPUTED_VALUE"""),121.54)</f>
        <v>121.54</v>
      </c>
      <c r="F1094" s="2">
        <f>IFERROR(__xludf.DUMMYFUNCTION("""COMPUTED_VALUE"""),757805.0)</f>
        <v>757805</v>
      </c>
    </row>
    <row r="1095">
      <c r="A1095" s="3">
        <f>IFERROR(__xludf.DUMMYFUNCTION("""COMPUTED_VALUE"""),39840.645833333336)</f>
        <v>39840.64583</v>
      </c>
      <c r="B1095" s="2">
        <f>IFERROR(__xludf.DUMMYFUNCTION("""COMPUTED_VALUE"""),122.75)</f>
        <v>122.75</v>
      </c>
      <c r="C1095" s="2">
        <f>IFERROR(__xludf.DUMMYFUNCTION("""COMPUTED_VALUE"""),128.75)</f>
        <v>128.75</v>
      </c>
      <c r="D1095" s="2">
        <f>IFERROR(__xludf.DUMMYFUNCTION("""COMPUTED_VALUE"""),122.75)</f>
        <v>122.75</v>
      </c>
      <c r="E1095" s="2">
        <f>IFERROR(__xludf.DUMMYFUNCTION("""COMPUTED_VALUE"""),124.78)</f>
        <v>124.78</v>
      </c>
      <c r="F1095" s="2">
        <f>IFERROR(__xludf.DUMMYFUNCTION("""COMPUTED_VALUE"""),1310989.0)</f>
        <v>1310989</v>
      </c>
    </row>
    <row r="1096">
      <c r="A1096" s="3">
        <f>IFERROR(__xludf.DUMMYFUNCTION("""COMPUTED_VALUE"""),39841.645833333336)</f>
        <v>39841.64583</v>
      </c>
      <c r="B1096" s="2">
        <f>IFERROR(__xludf.DUMMYFUNCTION("""COMPUTED_VALUE"""),118.8)</f>
        <v>118.8</v>
      </c>
      <c r="C1096" s="2">
        <f>IFERROR(__xludf.DUMMYFUNCTION("""COMPUTED_VALUE"""),127.5)</f>
        <v>127.5</v>
      </c>
      <c r="D1096" s="2">
        <f>IFERROR(__xludf.DUMMYFUNCTION("""COMPUTED_VALUE"""),118.8)</f>
        <v>118.8</v>
      </c>
      <c r="E1096" s="2">
        <f>IFERROR(__xludf.DUMMYFUNCTION("""COMPUTED_VALUE"""),126.86)</f>
        <v>126.86</v>
      </c>
      <c r="F1096" s="2">
        <f>IFERROR(__xludf.DUMMYFUNCTION("""COMPUTED_VALUE"""),1197349.0)</f>
        <v>1197349</v>
      </c>
    </row>
    <row r="1097">
      <c r="A1097" s="3">
        <f>IFERROR(__xludf.DUMMYFUNCTION("""COMPUTED_VALUE"""),39843.645833333336)</f>
        <v>39843.64583</v>
      </c>
      <c r="B1097" s="2">
        <f>IFERROR(__xludf.DUMMYFUNCTION("""COMPUTED_VALUE"""),126.25)</f>
        <v>126.25</v>
      </c>
      <c r="C1097" s="2">
        <f>IFERROR(__xludf.DUMMYFUNCTION("""COMPUTED_VALUE"""),128.75)</f>
        <v>128.75</v>
      </c>
      <c r="D1097" s="2">
        <f>IFERROR(__xludf.DUMMYFUNCTION("""COMPUTED_VALUE"""),124.58)</f>
        <v>124.58</v>
      </c>
      <c r="E1097" s="2">
        <f>IFERROR(__xludf.DUMMYFUNCTION("""COMPUTED_VALUE"""),127.9)</f>
        <v>127.9</v>
      </c>
      <c r="F1097" s="2">
        <f>IFERROR(__xludf.DUMMYFUNCTION("""COMPUTED_VALUE"""),2176881.0)</f>
        <v>2176881</v>
      </c>
    </row>
    <row r="1098">
      <c r="A1098" s="3">
        <f>IFERROR(__xludf.DUMMYFUNCTION("""COMPUTED_VALUE"""),39846.645833333336)</f>
        <v>39846.64583</v>
      </c>
      <c r="B1098" s="2">
        <f>IFERROR(__xludf.DUMMYFUNCTION("""COMPUTED_VALUE"""),127.2)</f>
        <v>127.2</v>
      </c>
      <c r="C1098" s="2">
        <f>IFERROR(__xludf.DUMMYFUNCTION("""COMPUTED_VALUE"""),127.2)</f>
        <v>127.2</v>
      </c>
      <c r="D1098" s="2">
        <f>IFERROR(__xludf.DUMMYFUNCTION("""COMPUTED_VALUE"""),121.79)</f>
        <v>121.79</v>
      </c>
      <c r="E1098" s="2">
        <f>IFERROR(__xludf.DUMMYFUNCTION("""COMPUTED_VALUE"""),122.83)</f>
        <v>122.83</v>
      </c>
      <c r="F1098" s="2">
        <f>IFERROR(__xludf.DUMMYFUNCTION("""COMPUTED_VALUE"""),808673.0)</f>
        <v>808673</v>
      </c>
    </row>
    <row r="1099">
      <c r="A1099" s="3">
        <f>IFERROR(__xludf.DUMMYFUNCTION("""COMPUTED_VALUE"""),39847.645833333336)</f>
        <v>39847.64583</v>
      </c>
      <c r="B1099" s="2">
        <f>IFERROR(__xludf.DUMMYFUNCTION("""COMPUTED_VALUE"""),123.25)</f>
        <v>123.25</v>
      </c>
      <c r="C1099" s="2">
        <f>IFERROR(__xludf.DUMMYFUNCTION("""COMPUTED_VALUE"""),127.45)</f>
        <v>127.45</v>
      </c>
      <c r="D1099" s="2">
        <f>IFERROR(__xludf.DUMMYFUNCTION("""COMPUTED_VALUE"""),123.25)</f>
        <v>123.25</v>
      </c>
      <c r="E1099" s="2">
        <f>IFERROR(__xludf.DUMMYFUNCTION("""COMPUTED_VALUE"""),124.96)</f>
        <v>124.96</v>
      </c>
      <c r="F1099" s="2">
        <f>IFERROR(__xludf.DUMMYFUNCTION("""COMPUTED_VALUE"""),952140.0)</f>
        <v>952140</v>
      </c>
    </row>
    <row r="1100">
      <c r="A1100" s="3">
        <f>IFERROR(__xludf.DUMMYFUNCTION("""COMPUTED_VALUE"""),39848.645833333336)</f>
        <v>39848.64583</v>
      </c>
      <c r="B1100" s="2">
        <f>IFERROR(__xludf.DUMMYFUNCTION("""COMPUTED_VALUE"""),125.75)</f>
        <v>125.75</v>
      </c>
      <c r="C1100" s="2">
        <f>IFERROR(__xludf.DUMMYFUNCTION("""COMPUTED_VALUE"""),128.23)</f>
        <v>128.23</v>
      </c>
      <c r="D1100" s="2">
        <f>IFERROR(__xludf.DUMMYFUNCTION("""COMPUTED_VALUE"""),123.25)</f>
        <v>123.25</v>
      </c>
      <c r="E1100" s="2">
        <f>IFERROR(__xludf.DUMMYFUNCTION("""COMPUTED_VALUE"""),124.66)</f>
        <v>124.66</v>
      </c>
      <c r="F1100" s="2">
        <f>IFERROR(__xludf.DUMMYFUNCTION("""COMPUTED_VALUE"""),621189.0)</f>
        <v>621189</v>
      </c>
    </row>
    <row r="1101">
      <c r="A1101" s="3">
        <f>IFERROR(__xludf.DUMMYFUNCTION("""COMPUTED_VALUE"""),39849.645833333336)</f>
        <v>39849.64583</v>
      </c>
      <c r="B1101" s="2">
        <f>IFERROR(__xludf.DUMMYFUNCTION("""COMPUTED_VALUE"""),125.0)</f>
        <v>125</v>
      </c>
      <c r="C1101" s="2">
        <f>IFERROR(__xludf.DUMMYFUNCTION("""COMPUTED_VALUE"""),125.65)</f>
        <v>125.65</v>
      </c>
      <c r="D1101" s="2">
        <f>IFERROR(__xludf.DUMMYFUNCTION("""COMPUTED_VALUE"""),119.56)</f>
        <v>119.56</v>
      </c>
      <c r="E1101" s="2">
        <f>IFERROR(__xludf.DUMMYFUNCTION("""COMPUTED_VALUE"""),120.73)</f>
        <v>120.73</v>
      </c>
      <c r="F1101" s="2">
        <f>IFERROR(__xludf.DUMMYFUNCTION("""COMPUTED_VALUE"""),1085387.0)</f>
        <v>1085387</v>
      </c>
    </row>
    <row r="1102">
      <c r="A1102" s="3">
        <f>IFERROR(__xludf.DUMMYFUNCTION("""COMPUTED_VALUE"""),39850.645833333336)</f>
        <v>39850.64583</v>
      </c>
      <c r="B1102" s="2">
        <f>IFERROR(__xludf.DUMMYFUNCTION("""COMPUTED_VALUE"""),122.5)</f>
        <v>122.5</v>
      </c>
      <c r="C1102" s="2">
        <f>IFERROR(__xludf.DUMMYFUNCTION("""COMPUTED_VALUE"""),126.98)</f>
        <v>126.98</v>
      </c>
      <c r="D1102" s="2">
        <f>IFERROR(__xludf.DUMMYFUNCTION("""COMPUTED_VALUE"""),121.75)</f>
        <v>121.75</v>
      </c>
      <c r="E1102" s="2">
        <f>IFERROR(__xludf.DUMMYFUNCTION("""COMPUTED_VALUE"""),125.7)</f>
        <v>125.7</v>
      </c>
      <c r="F1102" s="2">
        <f>IFERROR(__xludf.DUMMYFUNCTION("""COMPUTED_VALUE"""),1710097.0)</f>
        <v>1710097</v>
      </c>
    </row>
    <row r="1103">
      <c r="A1103" s="3">
        <f>IFERROR(__xludf.DUMMYFUNCTION("""COMPUTED_VALUE"""),39853.645833333336)</f>
        <v>39853.64583</v>
      </c>
      <c r="B1103" s="2">
        <f>IFERROR(__xludf.DUMMYFUNCTION("""COMPUTED_VALUE"""),125.0)</f>
        <v>125</v>
      </c>
      <c r="C1103" s="2">
        <f>IFERROR(__xludf.DUMMYFUNCTION("""COMPUTED_VALUE"""),130.91)</f>
        <v>130.91</v>
      </c>
      <c r="D1103" s="2">
        <f>IFERROR(__xludf.DUMMYFUNCTION("""COMPUTED_VALUE"""),124.16)</f>
        <v>124.16</v>
      </c>
      <c r="E1103" s="2">
        <f>IFERROR(__xludf.DUMMYFUNCTION("""COMPUTED_VALUE"""),128.75)</f>
        <v>128.75</v>
      </c>
      <c r="F1103" s="2">
        <f>IFERROR(__xludf.DUMMYFUNCTION("""COMPUTED_VALUE"""),1148806.0)</f>
        <v>1148806</v>
      </c>
    </row>
    <row r="1104">
      <c r="A1104" s="3">
        <f>IFERROR(__xludf.DUMMYFUNCTION("""COMPUTED_VALUE"""),39854.645833333336)</f>
        <v>39854.64583</v>
      </c>
      <c r="B1104" s="2">
        <f>IFERROR(__xludf.DUMMYFUNCTION("""COMPUTED_VALUE"""),129.25)</f>
        <v>129.25</v>
      </c>
      <c r="C1104" s="2">
        <f>IFERROR(__xludf.DUMMYFUNCTION("""COMPUTED_VALUE"""),132.0)</f>
        <v>132</v>
      </c>
      <c r="D1104" s="2">
        <f>IFERROR(__xludf.DUMMYFUNCTION("""COMPUTED_VALUE"""),127.75)</f>
        <v>127.75</v>
      </c>
      <c r="E1104" s="2">
        <f>IFERROR(__xludf.DUMMYFUNCTION("""COMPUTED_VALUE"""),131.15)</f>
        <v>131.15</v>
      </c>
      <c r="F1104" s="2">
        <f>IFERROR(__xludf.DUMMYFUNCTION("""COMPUTED_VALUE"""),1697693.0)</f>
        <v>1697693</v>
      </c>
    </row>
    <row r="1105">
      <c r="A1105" s="3">
        <f>IFERROR(__xludf.DUMMYFUNCTION("""COMPUTED_VALUE"""),39855.645833333336)</f>
        <v>39855.64583</v>
      </c>
      <c r="B1105" s="2">
        <f>IFERROR(__xludf.DUMMYFUNCTION("""COMPUTED_VALUE"""),129.5)</f>
        <v>129.5</v>
      </c>
      <c r="C1105" s="2">
        <f>IFERROR(__xludf.DUMMYFUNCTION("""COMPUTED_VALUE"""),130.75)</f>
        <v>130.75</v>
      </c>
      <c r="D1105" s="2">
        <f>IFERROR(__xludf.DUMMYFUNCTION("""COMPUTED_VALUE"""),128.0)</f>
        <v>128</v>
      </c>
      <c r="E1105" s="2">
        <f>IFERROR(__xludf.DUMMYFUNCTION("""COMPUTED_VALUE"""),128.69)</f>
        <v>128.69</v>
      </c>
      <c r="F1105" s="2">
        <f>IFERROR(__xludf.DUMMYFUNCTION("""COMPUTED_VALUE"""),1125683.0)</f>
        <v>1125683</v>
      </c>
    </row>
    <row r="1106">
      <c r="A1106" s="3">
        <f>IFERROR(__xludf.DUMMYFUNCTION("""COMPUTED_VALUE"""),39856.645833333336)</f>
        <v>39856.64583</v>
      </c>
      <c r="B1106" s="2">
        <f>IFERROR(__xludf.DUMMYFUNCTION("""COMPUTED_VALUE"""),128.0)</f>
        <v>128</v>
      </c>
      <c r="C1106" s="2">
        <f>IFERROR(__xludf.DUMMYFUNCTION("""COMPUTED_VALUE"""),128.93)</f>
        <v>128.93</v>
      </c>
      <c r="D1106" s="2">
        <f>IFERROR(__xludf.DUMMYFUNCTION("""COMPUTED_VALUE"""),126.03)</f>
        <v>126.03</v>
      </c>
      <c r="E1106" s="2">
        <f>IFERROR(__xludf.DUMMYFUNCTION("""COMPUTED_VALUE"""),127.48)</f>
        <v>127.48</v>
      </c>
      <c r="F1106" s="2">
        <f>IFERROR(__xludf.DUMMYFUNCTION("""COMPUTED_VALUE"""),711093.0)</f>
        <v>711093</v>
      </c>
    </row>
    <row r="1107">
      <c r="A1107" s="3">
        <f>IFERROR(__xludf.DUMMYFUNCTION("""COMPUTED_VALUE"""),39857.645833333336)</f>
        <v>39857.64583</v>
      </c>
      <c r="B1107" s="2">
        <f>IFERROR(__xludf.DUMMYFUNCTION("""COMPUTED_VALUE"""),127.5)</f>
        <v>127.5</v>
      </c>
      <c r="C1107" s="2">
        <f>IFERROR(__xludf.DUMMYFUNCTION("""COMPUTED_VALUE"""),130.0)</f>
        <v>130</v>
      </c>
      <c r="D1107" s="2">
        <f>IFERROR(__xludf.DUMMYFUNCTION("""COMPUTED_VALUE"""),126.75)</f>
        <v>126.75</v>
      </c>
      <c r="E1107" s="2">
        <f>IFERROR(__xludf.DUMMYFUNCTION("""COMPUTED_VALUE"""),127.8)</f>
        <v>127.8</v>
      </c>
      <c r="F1107" s="2">
        <f>IFERROR(__xludf.DUMMYFUNCTION("""COMPUTED_VALUE"""),814302.0)</f>
        <v>814302</v>
      </c>
    </row>
    <row r="1108">
      <c r="A1108" s="3">
        <f>IFERROR(__xludf.DUMMYFUNCTION("""COMPUTED_VALUE"""),39860.645833333336)</f>
        <v>39860.64583</v>
      </c>
      <c r="B1108" s="2">
        <f>IFERROR(__xludf.DUMMYFUNCTION("""COMPUTED_VALUE"""),126.9)</f>
        <v>126.9</v>
      </c>
      <c r="C1108" s="2">
        <f>IFERROR(__xludf.DUMMYFUNCTION("""COMPUTED_VALUE"""),128.74)</f>
        <v>128.74</v>
      </c>
      <c r="D1108" s="2">
        <f>IFERROR(__xludf.DUMMYFUNCTION("""COMPUTED_VALUE"""),124.5)</f>
        <v>124.5</v>
      </c>
      <c r="E1108" s="2">
        <f>IFERROR(__xludf.DUMMYFUNCTION("""COMPUTED_VALUE"""),125.19)</f>
        <v>125.19</v>
      </c>
      <c r="F1108" s="2">
        <f>IFERROR(__xludf.DUMMYFUNCTION("""COMPUTED_VALUE"""),625499.0)</f>
        <v>625499</v>
      </c>
    </row>
    <row r="1109">
      <c r="A1109" s="3">
        <f>IFERROR(__xludf.DUMMYFUNCTION("""COMPUTED_VALUE"""),39861.645833333336)</f>
        <v>39861.64583</v>
      </c>
      <c r="B1109" s="2">
        <f>IFERROR(__xludf.DUMMYFUNCTION("""COMPUTED_VALUE"""),124.0)</f>
        <v>124</v>
      </c>
      <c r="C1109" s="2">
        <f>IFERROR(__xludf.DUMMYFUNCTION("""COMPUTED_VALUE"""),124.95)</f>
        <v>124.95</v>
      </c>
      <c r="D1109" s="2">
        <f>IFERROR(__xludf.DUMMYFUNCTION("""COMPUTED_VALUE"""),120.0)</f>
        <v>120</v>
      </c>
      <c r="E1109" s="2">
        <f>IFERROR(__xludf.DUMMYFUNCTION("""COMPUTED_VALUE"""),121.31)</f>
        <v>121.31</v>
      </c>
      <c r="F1109" s="2">
        <f>IFERROR(__xludf.DUMMYFUNCTION("""COMPUTED_VALUE"""),737597.0)</f>
        <v>737597</v>
      </c>
    </row>
    <row r="1110">
      <c r="A1110" s="3">
        <f>IFERROR(__xludf.DUMMYFUNCTION("""COMPUTED_VALUE"""),39862.645833333336)</f>
        <v>39862.64583</v>
      </c>
      <c r="B1110" s="2">
        <f>IFERROR(__xludf.DUMMYFUNCTION("""COMPUTED_VALUE"""),120.34)</f>
        <v>120.34</v>
      </c>
      <c r="C1110" s="2">
        <f>IFERROR(__xludf.DUMMYFUNCTION("""COMPUTED_VALUE"""),122.73)</f>
        <v>122.73</v>
      </c>
      <c r="D1110" s="2">
        <f>IFERROR(__xludf.DUMMYFUNCTION("""COMPUTED_VALUE"""),119.25)</f>
        <v>119.25</v>
      </c>
      <c r="E1110" s="2">
        <f>IFERROR(__xludf.DUMMYFUNCTION("""COMPUTED_VALUE"""),120.19)</f>
        <v>120.19</v>
      </c>
      <c r="F1110" s="2">
        <f>IFERROR(__xludf.DUMMYFUNCTION("""COMPUTED_VALUE"""),657353.0)</f>
        <v>657353</v>
      </c>
    </row>
    <row r="1111">
      <c r="A1111" s="3">
        <f>IFERROR(__xludf.DUMMYFUNCTION("""COMPUTED_VALUE"""),39863.645833333336)</f>
        <v>39863.64583</v>
      </c>
      <c r="B1111" s="2">
        <f>IFERROR(__xludf.DUMMYFUNCTION("""COMPUTED_VALUE"""),120.5)</f>
        <v>120.5</v>
      </c>
      <c r="C1111" s="2">
        <f>IFERROR(__xludf.DUMMYFUNCTION("""COMPUTED_VALUE"""),123.2)</f>
        <v>123.2</v>
      </c>
      <c r="D1111" s="2">
        <f>IFERROR(__xludf.DUMMYFUNCTION("""COMPUTED_VALUE"""),119.75)</f>
        <v>119.75</v>
      </c>
      <c r="E1111" s="2">
        <f>IFERROR(__xludf.DUMMYFUNCTION("""COMPUTED_VALUE"""),122.38)</f>
        <v>122.38</v>
      </c>
      <c r="F1111" s="2">
        <f>IFERROR(__xludf.DUMMYFUNCTION("""COMPUTED_VALUE"""),869268.0)</f>
        <v>869268</v>
      </c>
    </row>
    <row r="1112">
      <c r="A1112" s="3">
        <f>IFERROR(__xludf.DUMMYFUNCTION("""COMPUTED_VALUE"""),39864.645833333336)</f>
        <v>39864.64583</v>
      </c>
      <c r="B1112" s="2">
        <f>IFERROR(__xludf.DUMMYFUNCTION("""COMPUTED_VALUE"""),121.63)</f>
        <v>121.63</v>
      </c>
      <c r="C1112" s="2">
        <f>IFERROR(__xludf.DUMMYFUNCTION("""COMPUTED_VALUE"""),121.88)</f>
        <v>121.88</v>
      </c>
      <c r="D1112" s="2">
        <f>IFERROR(__xludf.DUMMYFUNCTION("""COMPUTED_VALUE"""),116.08)</f>
        <v>116.08</v>
      </c>
      <c r="E1112" s="2">
        <f>IFERROR(__xludf.DUMMYFUNCTION("""COMPUTED_VALUE"""),118.51)</f>
        <v>118.51</v>
      </c>
      <c r="F1112" s="2">
        <f>IFERROR(__xludf.DUMMYFUNCTION("""COMPUTED_VALUE"""),1192847.0)</f>
        <v>1192847</v>
      </c>
    </row>
    <row r="1113">
      <c r="A1113" s="3">
        <f>IFERROR(__xludf.DUMMYFUNCTION("""COMPUTED_VALUE"""),39868.645833333336)</f>
        <v>39868.64583</v>
      </c>
      <c r="B1113" s="2">
        <f>IFERROR(__xludf.DUMMYFUNCTION("""COMPUTED_VALUE"""),117.5)</f>
        <v>117.5</v>
      </c>
      <c r="C1113" s="2">
        <f>IFERROR(__xludf.DUMMYFUNCTION("""COMPUTED_VALUE"""),118.93)</f>
        <v>118.93</v>
      </c>
      <c r="D1113" s="2">
        <f>IFERROR(__xludf.DUMMYFUNCTION("""COMPUTED_VALUE"""),115.13)</f>
        <v>115.13</v>
      </c>
      <c r="E1113" s="2">
        <f>IFERROR(__xludf.DUMMYFUNCTION("""COMPUTED_VALUE"""),117.23)</f>
        <v>117.23</v>
      </c>
      <c r="F1113" s="2">
        <f>IFERROR(__xludf.DUMMYFUNCTION("""COMPUTED_VALUE"""),1123883.0)</f>
        <v>1123883</v>
      </c>
    </row>
    <row r="1114">
      <c r="A1114" s="3">
        <f>IFERROR(__xludf.DUMMYFUNCTION("""COMPUTED_VALUE"""),39869.645833333336)</f>
        <v>39869.64583</v>
      </c>
      <c r="B1114" s="2">
        <f>IFERROR(__xludf.DUMMYFUNCTION("""COMPUTED_VALUE"""),117.5)</f>
        <v>117.5</v>
      </c>
      <c r="C1114" s="2">
        <f>IFERROR(__xludf.DUMMYFUNCTION("""COMPUTED_VALUE"""),121.2)</f>
        <v>121.2</v>
      </c>
      <c r="D1114" s="2">
        <f>IFERROR(__xludf.DUMMYFUNCTION("""COMPUTED_VALUE"""),117.5)</f>
        <v>117.5</v>
      </c>
      <c r="E1114" s="2">
        <f>IFERROR(__xludf.DUMMYFUNCTION("""COMPUTED_VALUE"""),120.19)</f>
        <v>120.19</v>
      </c>
      <c r="F1114" s="2">
        <f>IFERROR(__xludf.DUMMYFUNCTION("""COMPUTED_VALUE"""),1379482.0)</f>
        <v>1379482</v>
      </c>
    </row>
    <row r="1115">
      <c r="A1115" s="3">
        <f>IFERROR(__xludf.DUMMYFUNCTION("""COMPUTED_VALUE"""),39870.645833333336)</f>
        <v>39870.64583</v>
      </c>
      <c r="B1115" s="2">
        <f>IFERROR(__xludf.DUMMYFUNCTION("""COMPUTED_VALUE"""),120.25)</f>
        <v>120.25</v>
      </c>
      <c r="C1115" s="2">
        <f>IFERROR(__xludf.DUMMYFUNCTION("""COMPUTED_VALUE"""),122.65)</f>
        <v>122.65</v>
      </c>
      <c r="D1115" s="2">
        <f>IFERROR(__xludf.DUMMYFUNCTION("""COMPUTED_VALUE"""),119.25)</f>
        <v>119.25</v>
      </c>
      <c r="E1115" s="2">
        <f>IFERROR(__xludf.DUMMYFUNCTION("""COMPUTED_VALUE"""),120.55)</f>
        <v>120.55</v>
      </c>
      <c r="F1115" s="2">
        <f>IFERROR(__xludf.DUMMYFUNCTION("""COMPUTED_VALUE"""),2202072.0)</f>
        <v>2202072</v>
      </c>
    </row>
    <row r="1116">
      <c r="A1116" s="3">
        <f>IFERROR(__xludf.DUMMYFUNCTION("""COMPUTED_VALUE"""),39871.645833333336)</f>
        <v>39871.64583</v>
      </c>
      <c r="B1116" s="2">
        <f>IFERROR(__xludf.DUMMYFUNCTION("""COMPUTED_VALUE"""),120.5)</f>
        <v>120.5</v>
      </c>
      <c r="C1116" s="2">
        <f>IFERROR(__xludf.DUMMYFUNCTION("""COMPUTED_VALUE"""),122.25)</f>
        <v>122.25</v>
      </c>
      <c r="D1116" s="2">
        <f>IFERROR(__xludf.DUMMYFUNCTION("""COMPUTED_VALUE"""),113.81)</f>
        <v>113.81</v>
      </c>
      <c r="E1116" s="2">
        <f>IFERROR(__xludf.DUMMYFUNCTION("""COMPUTED_VALUE"""),120.78)</f>
        <v>120.78</v>
      </c>
      <c r="F1116" s="2">
        <f>IFERROR(__xludf.DUMMYFUNCTION("""COMPUTED_VALUE"""),1687537.0)</f>
        <v>1687537</v>
      </c>
    </row>
    <row r="1117">
      <c r="A1117" s="3">
        <f>IFERROR(__xludf.DUMMYFUNCTION("""COMPUTED_VALUE"""),39874.645833333336)</f>
        <v>39874.64583</v>
      </c>
      <c r="B1117" s="2">
        <f>IFERROR(__xludf.DUMMYFUNCTION("""COMPUTED_VALUE"""),118.53)</f>
        <v>118.53</v>
      </c>
      <c r="C1117" s="2">
        <f>IFERROR(__xludf.DUMMYFUNCTION("""COMPUTED_VALUE"""),120.5)</f>
        <v>120.5</v>
      </c>
      <c r="D1117" s="2">
        <f>IFERROR(__xludf.DUMMYFUNCTION("""COMPUTED_VALUE"""),113.7)</f>
        <v>113.7</v>
      </c>
      <c r="E1117" s="2">
        <f>IFERROR(__xludf.DUMMYFUNCTION("""COMPUTED_VALUE"""),114.96)</f>
        <v>114.96</v>
      </c>
      <c r="F1117" s="2">
        <f>IFERROR(__xludf.DUMMYFUNCTION("""COMPUTED_VALUE"""),997236.0)</f>
        <v>997236</v>
      </c>
    </row>
    <row r="1118">
      <c r="A1118" s="3">
        <f>IFERROR(__xludf.DUMMYFUNCTION("""COMPUTED_VALUE"""),39875.645833333336)</f>
        <v>39875.64583</v>
      </c>
      <c r="B1118" s="2">
        <f>IFERROR(__xludf.DUMMYFUNCTION("""COMPUTED_VALUE"""),113.0)</f>
        <v>113</v>
      </c>
      <c r="C1118" s="2">
        <f>IFERROR(__xludf.DUMMYFUNCTION("""COMPUTED_VALUE"""),116.5)</f>
        <v>116.5</v>
      </c>
      <c r="D1118" s="2">
        <f>IFERROR(__xludf.DUMMYFUNCTION("""COMPUTED_VALUE"""),109.84)</f>
        <v>109.84</v>
      </c>
      <c r="E1118" s="2">
        <f>IFERROR(__xludf.DUMMYFUNCTION("""COMPUTED_VALUE"""),111.55)</f>
        <v>111.55</v>
      </c>
      <c r="F1118" s="2">
        <f>IFERROR(__xludf.DUMMYFUNCTION("""COMPUTED_VALUE"""),890224.0)</f>
        <v>890224</v>
      </c>
    </row>
    <row r="1119">
      <c r="A1119" s="3">
        <f>IFERROR(__xludf.DUMMYFUNCTION("""COMPUTED_VALUE"""),39876.645833333336)</f>
        <v>39876.64583</v>
      </c>
      <c r="B1119" s="2">
        <f>IFERROR(__xludf.DUMMYFUNCTION("""COMPUTED_VALUE"""),112.0)</f>
        <v>112</v>
      </c>
      <c r="C1119" s="2">
        <f>IFERROR(__xludf.DUMMYFUNCTION("""COMPUTED_VALUE"""),116.11)</f>
        <v>116.11</v>
      </c>
      <c r="D1119" s="2">
        <f>IFERROR(__xludf.DUMMYFUNCTION("""COMPUTED_VALUE"""),111.55)</f>
        <v>111.55</v>
      </c>
      <c r="E1119" s="2">
        <f>IFERROR(__xludf.DUMMYFUNCTION("""COMPUTED_VALUE"""),115.14)</f>
        <v>115.14</v>
      </c>
      <c r="F1119" s="2">
        <f>IFERROR(__xludf.DUMMYFUNCTION("""COMPUTED_VALUE"""),814575.0)</f>
        <v>814575</v>
      </c>
    </row>
    <row r="1120">
      <c r="A1120" s="3">
        <f>IFERROR(__xludf.DUMMYFUNCTION("""COMPUTED_VALUE"""),39877.645833333336)</f>
        <v>39877.64583</v>
      </c>
      <c r="B1120" s="2">
        <f>IFERROR(__xludf.DUMMYFUNCTION("""COMPUTED_VALUE"""),116.24)</f>
        <v>116.24</v>
      </c>
      <c r="C1120" s="2">
        <f>IFERROR(__xludf.DUMMYFUNCTION("""COMPUTED_VALUE"""),117.73)</f>
        <v>117.73</v>
      </c>
      <c r="D1120" s="2">
        <f>IFERROR(__xludf.DUMMYFUNCTION("""COMPUTED_VALUE"""),114.5)</f>
        <v>114.5</v>
      </c>
      <c r="E1120" s="2">
        <f>IFERROR(__xludf.DUMMYFUNCTION("""COMPUTED_VALUE"""),115.8)</f>
        <v>115.8</v>
      </c>
      <c r="F1120" s="2">
        <f>IFERROR(__xludf.DUMMYFUNCTION("""COMPUTED_VALUE"""),1071124.0)</f>
        <v>1071124</v>
      </c>
    </row>
    <row r="1121">
      <c r="A1121" s="3">
        <f>IFERROR(__xludf.DUMMYFUNCTION("""COMPUTED_VALUE"""),39878.645833333336)</f>
        <v>39878.64583</v>
      </c>
      <c r="B1121" s="2">
        <f>IFERROR(__xludf.DUMMYFUNCTION("""COMPUTED_VALUE"""),115.0)</f>
        <v>115</v>
      </c>
      <c r="C1121" s="2">
        <f>IFERROR(__xludf.DUMMYFUNCTION("""COMPUTED_VALUE"""),121.21)</f>
        <v>121.21</v>
      </c>
      <c r="D1121" s="2">
        <f>IFERROR(__xludf.DUMMYFUNCTION("""COMPUTED_VALUE"""),114.41)</f>
        <v>114.41</v>
      </c>
      <c r="E1121" s="2">
        <f>IFERROR(__xludf.DUMMYFUNCTION("""COMPUTED_VALUE"""),120.43)</f>
        <v>120.43</v>
      </c>
      <c r="F1121" s="2">
        <f>IFERROR(__xludf.DUMMYFUNCTION("""COMPUTED_VALUE"""),1451401.0)</f>
        <v>1451401</v>
      </c>
    </row>
    <row r="1122">
      <c r="A1122" s="3">
        <f>IFERROR(__xludf.DUMMYFUNCTION("""COMPUTED_VALUE"""),39881.645833333336)</f>
        <v>39881.64583</v>
      </c>
      <c r="B1122" s="2">
        <f>IFERROR(__xludf.DUMMYFUNCTION("""COMPUTED_VALUE"""),117.78)</f>
        <v>117.78</v>
      </c>
      <c r="C1122" s="2">
        <f>IFERROR(__xludf.DUMMYFUNCTION("""COMPUTED_VALUE"""),120.0)</f>
        <v>120</v>
      </c>
      <c r="D1122" s="2">
        <f>IFERROR(__xludf.DUMMYFUNCTION("""COMPUTED_VALUE"""),114.75)</f>
        <v>114.75</v>
      </c>
      <c r="E1122" s="2">
        <f>IFERROR(__xludf.DUMMYFUNCTION("""COMPUTED_VALUE"""),115.75)</f>
        <v>115.75</v>
      </c>
      <c r="F1122" s="2">
        <f>IFERROR(__xludf.DUMMYFUNCTION("""COMPUTED_VALUE"""),1133796.0)</f>
        <v>1133796</v>
      </c>
    </row>
    <row r="1123">
      <c r="A1123" s="3">
        <f>IFERROR(__xludf.DUMMYFUNCTION("""COMPUTED_VALUE"""),39884.645833333336)</f>
        <v>39884.64583</v>
      </c>
      <c r="B1123" s="2">
        <f>IFERROR(__xludf.DUMMYFUNCTION("""COMPUTED_VALUE"""),115.41)</f>
        <v>115.41</v>
      </c>
      <c r="C1123" s="2">
        <f>IFERROR(__xludf.DUMMYFUNCTION("""COMPUTED_VALUE"""),121.25)</f>
        <v>121.25</v>
      </c>
      <c r="D1123" s="2">
        <f>IFERROR(__xludf.DUMMYFUNCTION("""COMPUTED_VALUE"""),115.41)</f>
        <v>115.41</v>
      </c>
      <c r="E1123" s="2">
        <f>IFERROR(__xludf.DUMMYFUNCTION("""COMPUTED_VALUE"""),119.35)</f>
        <v>119.35</v>
      </c>
      <c r="F1123" s="2">
        <f>IFERROR(__xludf.DUMMYFUNCTION("""COMPUTED_VALUE"""),2154364.0)</f>
        <v>2154364</v>
      </c>
    </row>
    <row r="1124">
      <c r="A1124" s="3">
        <f>IFERROR(__xludf.DUMMYFUNCTION("""COMPUTED_VALUE"""),39885.645833333336)</f>
        <v>39885.64583</v>
      </c>
      <c r="B1124" s="2">
        <f>IFERROR(__xludf.DUMMYFUNCTION("""COMPUTED_VALUE"""),118.34)</f>
        <v>118.34</v>
      </c>
      <c r="C1124" s="2">
        <f>IFERROR(__xludf.DUMMYFUNCTION("""COMPUTED_VALUE"""),127.5)</f>
        <v>127.5</v>
      </c>
      <c r="D1124" s="2">
        <f>IFERROR(__xludf.DUMMYFUNCTION("""COMPUTED_VALUE"""),118.34)</f>
        <v>118.34</v>
      </c>
      <c r="E1124" s="2">
        <f>IFERROR(__xludf.DUMMYFUNCTION("""COMPUTED_VALUE"""),126.71)</f>
        <v>126.71</v>
      </c>
      <c r="F1124" s="2">
        <f>IFERROR(__xludf.DUMMYFUNCTION("""COMPUTED_VALUE"""),2549925.0)</f>
        <v>2549925</v>
      </c>
    </row>
    <row r="1125">
      <c r="A1125" s="3">
        <f>IFERROR(__xludf.DUMMYFUNCTION("""COMPUTED_VALUE"""),39888.645833333336)</f>
        <v>39888.64583</v>
      </c>
      <c r="B1125" s="2">
        <f>IFERROR(__xludf.DUMMYFUNCTION("""COMPUTED_VALUE"""),127.5)</f>
        <v>127.5</v>
      </c>
      <c r="C1125" s="2">
        <f>IFERROR(__xludf.DUMMYFUNCTION("""COMPUTED_VALUE"""),130.7)</f>
        <v>130.7</v>
      </c>
      <c r="D1125" s="2">
        <f>IFERROR(__xludf.DUMMYFUNCTION("""COMPUTED_VALUE"""),125.6)</f>
        <v>125.6</v>
      </c>
      <c r="E1125" s="2">
        <f>IFERROR(__xludf.DUMMYFUNCTION("""COMPUTED_VALUE"""),129.95)</f>
        <v>129.95</v>
      </c>
      <c r="F1125" s="2">
        <f>IFERROR(__xludf.DUMMYFUNCTION("""COMPUTED_VALUE"""),1168224.0)</f>
        <v>1168224</v>
      </c>
    </row>
    <row r="1126">
      <c r="A1126" s="3">
        <f>IFERROR(__xludf.DUMMYFUNCTION("""COMPUTED_VALUE"""),39889.645833333336)</f>
        <v>39889.64583</v>
      </c>
      <c r="B1126" s="2">
        <f>IFERROR(__xludf.DUMMYFUNCTION("""COMPUTED_VALUE"""),128.75)</f>
        <v>128.75</v>
      </c>
      <c r="C1126" s="2">
        <f>IFERROR(__xludf.DUMMYFUNCTION("""COMPUTED_VALUE"""),129.5)</f>
        <v>129.5</v>
      </c>
      <c r="D1126" s="2">
        <f>IFERROR(__xludf.DUMMYFUNCTION("""COMPUTED_VALUE"""),123.26)</f>
        <v>123.26</v>
      </c>
      <c r="E1126" s="2">
        <f>IFERROR(__xludf.DUMMYFUNCTION("""COMPUTED_VALUE"""),124.39)</f>
        <v>124.39</v>
      </c>
      <c r="F1126" s="2">
        <f>IFERROR(__xludf.DUMMYFUNCTION("""COMPUTED_VALUE"""),1736543.0)</f>
        <v>1736543</v>
      </c>
    </row>
    <row r="1127">
      <c r="A1127" s="3">
        <f>IFERROR(__xludf.DUMMYFUNCTION("""COMPUTED_VALUE"""),39890.645833333336)</f>
        <v>39890.64583</v>
      </c>
      <c r="B1127" s="2">
        <f>IFERROR(__xludf.DUMMYFUNCTION("""COMPUTED_VALUE"""),125.0)</f>
        <v>125</v>
      </c>
      <c r="C1127" s="2">
        <f>IFERROR(__xludf.DUMMYFUNCTION("""COMPUTED_VALUE"""),128.63)</f>
        <v>128.63</v>
      </c>
      <c r="D1127" s="2">
        <f>IFERROR(__xludf.DUMMYFUNCTION("""COMPUTED_VALUE"""),125.0)</f>
        <v>125</v>
      </c>
      <c r="E1127" s="2">
        <f>IFERROR(__xludf.DUMMYFUNCTION("""COMPUTED_VALUE"""),126.29)</f>
        <v>126.29</v>
      </c>
      <c r="F1127" s="2">
        <f>IFERROR(__xludf.DUMMYFUNCTION("""COMPUTED_VALUE"""),1603450.0)</f>
        <v>1603450</v>
      </c>
    </row>
    <row r="1128">
      <c r="A1128" s="3">
        <f>IFERROR(__xludf.DUMMYFUNCTION("""COMPUTED_VALUE"""),39891.645833333336)</f>
        <v>39891.64583</v>
      </c>
      <c r="B1128" s="2">
        <f>IFERROR(__xludf.DUMMYFUNCTION("""COMPUTED_VALUE"""),126.38)</f>
        <v>126.38</v>
      </c>
      <c r="C1128" s="2">
        <f>IFERROR(__xludf.DUMMYFUNCTION("""COMPUTED_VALUE"""),129.5)</f>
        <v>129.5</v>
      </c>
      <c r="D1128" s="2">
        <f>IFERROR(__xludf.DUMMYFUNCTION("""COMPUTED_VALUE"""),125.4)</f>
        <v>125.4</v>
      </c>
      <c r="E1128" s="2">
        <f>IFERROR(__xludf.DUMMYFUNCTION("""COMPUTED_VALUE"""),128.74)</f>
        <v>128.74</v>
      </c>
      <c r="F1128" s="2">
        <f>IFERROR(__xludf.DUMMYFUNCTION("""COMPUTED_VALUE"""),1845646.0)</f>
        <v>1845646</v>
      </c>
    </row>
    <row r="1129">
      <c r="A1129" s="3">
        <f>IFERROR(__xludf.DUMMYFUNCTION("""COMPUTED_VALUE"""),39892.645833333336)</f>
        <v>39892.64583</v>
      </c>
      <c r="B1129" s="2">
        <f>IFERROR(__xludf.DUMMYFUNCTION("""COMPUTED_VALUE"""),132.23)</f>
        <v>132.23</v>
      </c>
      <c r="C1129" s="2">
        <f>IFERROR(__xludf.DUMMYFUNCTION("""COMPUTED_VALUE"""),132.23)</f>
        <v>132.23</v>
      </c>
      <c r="D1129" s="2">
        <f>IFERROR(__xludf.DUMMYFUNCTION("""COMPUTED_VALUE"""),126.38)</f>
        <v>126.38</v>
      </c>
      <c r="E1129" s="2">
        <f>IFERROR(__xludf.DUMMYFUNCTION("""COMPUTED_VALUE"""),127.45)</f>
        <v>127.45</v>
      </c>
      <c r="F1129" s="2">
        <f>IFERROR(__xludf.DUMMYFUNCTION("""COMPUTED_VALUE"""),1034845.0)</f>
        <v>1034845</v>
      </c>
    </row>
    <row r="1130">
      <c r="A1130" s="3">
        <f>IFERROR(__xludf.DUMMYFUNCTION("""COMPUTED_VALUE"""),39895.645833333336)</f>
        <v>39895.64583</v>
      </c>
      <c r="B1130" s="2">
        <f>IFERROR(__xludf.DUMMYFUNCTION("""COMPUTED_VALUE"""),131.13)</f>
        <v>131.13</v>
      </c>
      <c r="C1130" s="2">
        <f>IFERROR(__xludf.DUMMYFUNCTION("""COMPUTED_VALUE"""),132.4)</f>
        <v>132.4</v>
      </c>
      <c r="D1130" s="2">
        <f>IFERROR(__xludf.DUMMYFUNCTION("""COMPUTED_VALUE"""),127.75)</f>
        <v>127.75</v>
      </c>
      <c r="E1130" s="2">
        <f>IFERROR(__xludf.DUMMYFUNCTION("""COMPUTED_VALUE"""),129.91)</f>
        <v>129.91</v>
      </c>
      <c r="F1130" s="2">
        <f>IFERROR(__xludf.DUMMYFUNCTION("""COMPUTED_VALUE"""),1146828.0)</f>
        <v>1146828</v>
      </c>
    </row>
    <row r="1131">
      <c r="A1131" s="3">
        <f>IFERROR(__xludf.DUMMYFUNCTION("""COMPUTED_VALUE"""),39896.645833333336)</f>
        <v>39896.64583</v>
      </c>
      <c r="B1131" s="2">
        <f>IFERROR(__xludf.DUMMYFUNCTION("""COMPUTED_VALUE"""),130.55)</f>
        <v>130.55</v>
      </c>
      <c r="C1131" s="2">
        <f>IFERROR(__xludf.DUMMYFUNCTION("""COMPUTED_VALUE"""),133.13)</f>
        <v>133.13</v>
      </c>
      <c r="D1131" s="2">
        <f>IFERROR(__xludf.DUMMYFUNCTION("""COMPUTED_VALUE"""),128.05)</f>
        <v>128.05</v>
      </c>
      <c r="E1131" s="2">
        <f>IFERROR(__xludf.DUMMYFUNCTION("""COMPUTED_VALUE"""),130.41)</f>
        <v>130.41</v>
      </c>
      <c r="F1131" s="2">
        <f>IFERROR(__xludf.DUMMYFUNCTION("""COMPUTED_VALUE"""),1670386.0)</f>
        <v>1670386</v>
      </c>
    </row>
    <row r="1132">
      <c r="A1132" s="3">
        <f>IFERROR(__xludf.DUMMYFUNCTION("""COMPUTED_VALUE"""),39897.645833333336)</f>
        <v>39897.64583</v>
      </c>
      <c r="B1132" s="2">
        <f>IFERROR(__xludf.DUMMYFUNCTION("""COMPUTED_VALUE"""),125.91)</f>
        <v>125.91</v>
      </c>
      <c r="C1132" s="2">
        <f>IFERROR(__xludf.DUMMYFUNCTION("""COMPUTED_VALUE"""),132.48)</f>
        <v>132.48</v>
      </c>
      <c r="D1132" s="2">
        <f>IFERROR(__xludf.DUMMYFUNCTION("""COMPUTED_VALUE"""),125.91)</f>
        <v>125.91</v>
      </c>
      <c r="E1132" s="2">
        <f>IFERROR(__xludf.DUMMYFUNCTION("""COMPUTED_VALUE"""),131.5)</f>
        <v>131.5</v>
      </c>
      <c r="F1132" s="2">
        <f>IFERROR(__xludf.DUMMYFUNCTION("""COMPUTED_VALUE"""),957904.0)</f>
        <v>957904</v>
      </c>
    </row>
    <row r="1133">
      <c r="A1133" s="3">
        <f>IFERROR(__xludf.DUMMYFUNCTION("""COMPUTED_VALUE"""),39898.645833333336)</f>
        <v>39898.64583</v>
      </c>
      <c r="B1133" s="2">
        <f>IFERROR(__xludf.DUMMYFUNCTION("""COMPUTED_VALUE"""),128.16)</f>
        <v>128.16</v>
      </c>
      <c r="C1133" s="2">
        <f>IFERROR(__xludf.DUMMYFUNCTION("""COMPUTED_VALUE"""),144.49)</f>
        <v>144.49</v>
      </c>
      <c r="D1133" s="2">
        <f>IFERROR(__xludf.DUMMYFUNCTION("""COMPUTED_VALUE"""),128.16)</f>
        <v>128.16</v>
      </c>
      <c r="E1133" s="2">
        <f>IFERROR(__xludf.DUMMYFUNCTION("""COMPUTED_VALUE"""),139.61)</f>
        <v>139.61</v>
      </c>
      <c r="F1133" s="2">
        <f>IFERROR(__xludf.DUMMYFUNCTION("""COMPUTED_VALUE"""),3807582.0)</f>
        <v>3807582</v>
      </c>
    </row>
    <row r="1134">
      <c r="A1134" s="3">
        <f>IFERROR(__xludf.DUMMYFUNCTION("""COMPUTED_VALUE"""),39899.645833333336)</f>
        <v>39899.64583</v>
      </c>
      <c r="B1134" s="2">
        <f>IFERROR(__xludf.DUMMYFUNCTION("""COMPUTED_VALUE"""),134.16)</f>
        <v>134.16</v>
      </c>
      <c r="C1134" s="2">
        <f>IFERROR(__xludf.DUMMYFUNCTION("""COMPUTED_VALUE"""),146.25)</f>
        <v>146.25</v>
      </c>
      <c r="D1134" s="2">
        <f>IFERROR(__xludf.DUMMYFUNCTION("""COMPUTED_VALUE"""),134.16)</f>
        <v>134.16</v>
      </c>
      <c r="E1134" s="2">
        <f>IFERROR(__xludf.DUMMYFUNCTION("""COMPUTED_VALUE"""),143.71)</f>
        <v>143.71</v>
      </c>
      <c r="F1134" s="2">
        <f>IFERROR(__xludf.DUMMYFUNCTION("""COMPUTED_VALUE"""),1769856.0)</f>
        <v>1769856</v>
      </c>
    </row>
    <row r="1135">
      <c r="A1135" s="3">
        <f>IFERROR(__xludf.DUMMYFUNCTION("""COMPUTED_VALUE"""),39902.645833333336)</f>
        <v>39902.64583</v>
      </c>
      <c r="B1135" s="2">
        <f>IFERROR(__xludf.DUMMYFUNCTION("""COMPUTED_VALUE"""),133.44)</f>
        <v>133.44</v>
      </c>
      <c r="C1135" s="2">
        <f>IFERROR(__xludf.DUMMYFUNCTION("""COMPUTED_VALUE"""),142.5)</f>
        <v>142.5</v>
      </c>
      <c r="D1135" s="2">
        <f>IFERROR(__xludf.DUMMYFUNCTION("""COMPUTED_VALUE"""),129.5)</f>
        <v>129.5</v>
      </c>
      <c r="E1135" s="2">
        <f>IFERROR(__xludf.DUMMYFUNCTION("""COMPUTED_VALUE"""),130.81)</f>
        <v>130.81</v>
      </c>
      <c r="F1135" s="2">
        <f>IFERROR(__xludf.DUMMYFUNCTION("""COMPUTED_VALUE"""),1287047.0)</f>
        <v>1287047</v>
      </c>
    </row>
    <row r="1136">
      <c r="A1136" s="3">
        <f>IFERROR(__xludf.DUMMYFUNCTION("""COMPUTED_VALUE"""),39903.645833333336)</f>
        <v>39903.64583</v>
      </c>
      <c r="B1136" s="2">
        <f>IFERROR(__xludf.DUMMYFUNCTION("""COMPUTED_VALUE"""),131.25)</f>
        <v>131.25</v>
      </c>
      <c r="C1136" s="2">
        <f>IFERROR(__xludf.DUMMYFUNCTION("""COMPUTED_VALUE"""),135.98)</f>
        <v>135.98</v>
      </c>
      <c r="D1136" s="2">
        <f>IFERROR(__xludf.DUMMYFUNCTION("""COMPUTED_VALUE"""),131.25)</f>
        <v>131.25</v>
      </c>
      <c r="E1136" s="2">
        <f>IFERROR(__xludf.DUMMYFUNCTION("""COMPUTED_VALUE"""),134.64)</f>
        <v>134.64</v>
      </c>
      <c r="F1136" s="2">
        <f>IFERROR(__xludf.DUMMYFUNCTION("""COMPUTED_VALUE"""),1194418.0)</f>
        <v>1194418</v>
      </c>
    </row>
    <row r="1137">
      <c r="A1137" s="3">
        <f>IFERROR(__xludf.DUMMYFUNCTION("""COMPUTED_VALUE"""),39904.645833333336)</f>
        <v>39904.64583</v>
      </c>
      <c r="B1137" s="2">
        <f>IFERROR(__xludf.DUMMYFUNCTION("""COMPUTED_VALUE"""),134.0)</f>
        <v>134</v>
      </c>
      <c r="C1137" s="2">
        <f>IFERROR(__xludf.DUMMYFUNCTION("""COMPUTED_VALUE"""),138.45)</f>
        <v>138.45</v>
      </c>
      <c r="D1137" s="2">
        <f>IFERROR(__xludf.DUMMYFUNCTION("""COMPUTED_VALUE"""),130.13)</f>
        <v>130.13</v>
      </c>
      <c r="E1137" s="2">
        <f>IFERROR(__xludf.DUMMYFUNCTION("""COMPUTED_VALUE"""),136.13)</f>
        <v>136.13</v>
      </c>
      <c r="F1137" s="2">
        <f>IFERROR(__xludf.DUMMYFUNCTION("""COMPUTED_VALUE"""),1681142.0)</f>
        <v>1681142</v>
      </c>
    </row>
    <row r="1138">
      <c r="A1138" s="3">
        <f>IFERROR(__xludf.DUMMYFUNCTION("""COMPUTED_VALUE"""),39905.645833333336)</f>
        <v>39905.64583</v>
      </c>
      <c r="B1138" s="2">
        <f>IFERROR(__xludf.DUMMYFUNCTION("""COMPUTED_VALUE"""),136.41)</f>
        <v>136.41</v>
      </c>
      <c r="C1138" s="2">
        <f>IFERROR(__xludf.DUMMYFUNCTION("""COMPUTED_VALUE"""),146.75)</f>
        <v>146.75</v>
      </c>
      <c r="D1138" s="2">
        <f>IFERROR(__xludf.DUMMYFUNCTION("""COMPUTED_VALUE"""),136.41)</f>
        <v>136.41</v>
      </c>
      <c r="E1138" s="2">
        <f>IFERROR(__xludf.DUMMYFUNCTION("""COMPUTED_VALUE"""),144.69)</f>
        <v>144.69</v>
      </c>
      <c r="F1138" s="2">
        <f>IFERROR(__xludf.DUMMYFUNCTION("""COMPUTED_VALUE"""),2125941.0)</f>
        <v>2125941</v>
      </c>
    </row>
    <row r="1139">
      <c r="A1139" s="3">
        <f>IFERROR(__xludf.DUMMYFUNCTION("""COMPUTED_VALUE"""),39909.645833333336)</f>
        <v>39909.64583</v>
      </c>
      <c r="B1139" s="2">
        <f>IFERROR(__xludf.DUMMYFUNCTION("""COMPUTED_VALUE"""),146.2)</f>
        <v>146.2</v>
      </c>
      <c r="C1139" s="2">
        <f>IFERROR(__xludf.DUMMYFUNCTION("""COMPUTED_VALUE"""),148.5)</f>
        <v>148.5</v>
      </c>
      <c r="D1139" s="2">
        <f>IFERROR(__xludf.DUMMYFUNCTION("""COMPUTED_VALUE"""),143.93)</f>
        <v>143.93</v>
      </c>
      <c r="E1139" s="2">
        <f>IFERROR(__xludf.DUMMYFUNCTION("""COMPUTED_VALUE"""),144.89)</f>
        <v>144.89</v>
      </c>
      <c r="F1139" s="2">
        <f>IFERROR(__xludf.DUMMYFUNCTION("""COMPUTED_VALUE"""),1353645.0)</f>
        <v>1353645</v>
      </c>
    </row>
    <row r="1140">
      <c r="A1140" s="3">
        <f>IFERROR(__xludf.DUMMYFUNCTION("""COMPUTED_VALUE"""),39911.645833333336)</f>
        <v>39911.64583</v>
      </c>
      <c r="B1140" s="2">
        <f>IFERROR(__xludf.DUMMYFUNCTION("""COMPUTED_VALUE"""),146.28)</f>
        <v>146.28</v>
      </c>
      <c r="C1140" s="2">
        <f>IFERROR(__xludf.DUMMYFUNCTION("""COMPUTED_VALUE"""),153.43)</f>
        <v>153.43</v>
      </c>
      <c r="D1140" s="2">
        <f>IFERROR(__xludf.DUMMYFUNCTION("""COMPUTED_VALUE"""),140.25)</f>
        <v>140.25</v>
      </c>
      <c r="E1140" s="2">
        <f>IFERROR(__xludf.DUMMYFUNCTION("""COMPUTED_VALUE"""),151.04)</f>
        <v>151.04</v>
      </c>
      <c r="F1140" s="2">
        <f>IFERROR(__xludf.DUMMYFUNCTION("""COMPUTED_VALUE"""),2548378.0)</f>
        <v>2548378</v>
      </c>
    </row>
    <row r="1141">
      <c r="A1141" s="3">
        <f>IFERROR(__xludf.DUMMYFUNCTION("""COMPUTED_VALUE"""),39912.645833333336)</f>
        <v>39912.64583</v>
      </c>
      <c r="B1141" s="2">
        <f>IFERROR(__xludf.DUMMYFUNCTION("""COMPUTED_VALUE"""),153.0)</f>
        <v>153</v>
      </c>
      <c r="C1141" s="2">
        <f>IFERROR(__xludf.DUMMYFUNCTION("""COMPUTED_VALUE"""),154.98)</f>
        <v>154.98</v>
      </c>
      <c r="D1141" s="2">
        <f>IFERROR(__xludf.DUMMYFUNCTION("""COMPUTED_VALUE"""),148.56)</f>
        <v>148.56</v>
      </c>
      <c r="E1141" s="2">
        <f>IFERROR(__xludf.DUMMYFUNCTION("""COMPUTED_VALUE"""),150.64)</f>
        <v>150.64</v>
      </c>
      <c r="F1141" s="2">
        <f>IFERROR(__xludf.DUMMYFUNCTION("""COMPUTED_VALUE"""),1646681.0)</f>
        <v>1646681</v>
      </c>
    </row>
    <row r="1142">
      <c r="A1142" s="3">
        <f>IFERROR(__xludf.DUMMYFUNCTION("""COMPUTED_VALUE"""),39916.645833333336)</f>
        <v>39916.64583</v>
      </c>
      <c r="B1142" s="2">
        <f>IFERROR(__xludf.DUMMYFUNCTION("""COMPUTED_VALUE"""),151.13)</f>
        <v>151.13</v>
      </c>
      <c r="C1142" s="2">
        <f>IFERROR(__xludf.DUMMYFUNCTION("""COMPUTED_VALUE"""),152.25)</f>
        <v>152.25</v>
      </c>
      <c r="D1142" s="2">
        <f>IFERROR(__xludf.DUMMYFUNCTION("""COMPUTED_VALUE"""),143.8)</f>
        <v>143.8</v>
      </c>
      <c r="E1142" s="2">
        <f>IFERROR(__xludf.DUMMYFUNCTION("""COMPUTED_VALUE"""),148.06)</f>
        <v>148.06</v>
      </c>
      <c r="F1142" s="2">
        <f>IFERROR(__xludf.DUMMYFUNCTION("""COMPUTED_VALUE"""),1030252.0)</f>
        <v>1030252</v>
      </c>
    </row>
    <row r="1143">
      <c r="A1143" s="3">
        <f>IFERROR(__xludf.DUMMYFUNCTION("""COMPUTED_VALUE"""),39918.645833333336)</f>
        <v>39918.64583</v>
      </c>
      <c r="B1143" s="2">
        <f>IFERROR(__xludf.DUMMYFUNCTION("""COMPUTED_VALUE"""),137.89)</f>
        <v>137.89</v>
      </c>
      <c r="C1143" s="2">
        <f>IFERROR(__xludf.DUMMYFUNCTION("""COMPUTED_VALUE"""),145.45)</f>
        <v>145.45</v>
      </c>
      <c r="D1143" s="2">
        <f>IFERROR(__xludf.DUMMYFUNCTION("""COMPUTED_VALUE"""),137.51)</f>
        <v>137.51</v>
      </c>
      <c r="E1143" s="2">
        <f>IFERROR(__xludf.DUMMYFUNCTION("""COMPUTED_VALUE"""),144.43)</f>
        <v>144.43</v>
      </c>
      <c r="F1143" s="2">
        <f>IFERROR(__xludf.DUMMYFUNCTION("""COMPUTED_VALUE"""),2441809.0)</f>
        <v>2441809</v>
      </c>
    </row>
    <row r="1144">
      <c r="A1144" s="3">
        <f>IFERROR(__xludf.DUMMYFUNCTION("""COMPUTED_VALUE"""),39919.645833333336)</f>
        <v>39919.64583</v>
      </c>
      <c r="B1144" s="2">
        <f>IFERROR(__xludf.DUMMYFUNCTION("""COMPUTED_VALUE"""),145.0)</f>
        <v>145</v>
      </c>
      <c r="C1144" s="2">
        <f>IFERROR(__xludf.DUMMYFUNCTION("""COMPUTED_VALUE"""),147.25)</f>
        <v>147.25</v>
      </c>
      <c r="D1144" s="2">
        <f>IFERROR(__xludf.DUMMYFUNCTION("""COMPUTED_VALUE"""),141.8)</f>
        <v>141.8</v>
      </c>
      <c r="E1144" s="2">
        <f>IFERROR(__xludf.DUMMYFUNCTION("""COMPUTED_VALUE"""),143.01)</f>
        <v>143.01</v>
      </c>
      <c r="F1144" s="2">
        <f>IFERROR(__xludf.DUMMYFUNCTION("""COMPUTED_VALUE"""),2217241.0)</f>
        <v>2217241</v>
      </c>
    </row>
    <row r="1145">
      <c r="A1145" s="3">
        <f>IFERROR(__xludf.DUMMYFUNCTION("""COMPUTED_VALUE"""),39920.645833333336)</f>
        <v>39920.64583</v>
      </c>
      <c r="B1145" s="2">
        <f>IFERROR(__xludf.DUMMYFUNCTION("""COMPUTED_VALUE"""),144.2)</f>
        <v>144.2</v>
      </c>
      <c r="C1145" s="2">
        <f>IFERROR(__xludf.DUMMYFUNCTION("""COMPUTED_VALUE"""),149.88)</f>
        <v>149.88</v>
      </c>
      <c r="D1145" s="2">
        <f>IFERROR(__xludf.DUMMYFUNCTION("""COMPUTED_VALUE"""),141.28)</f>
        <v>141.28</v>
      </c>
      <c r="E1145" s="2">
        <f>IFERROR(__xludf.DUMMYFUNCTION("""COMPUTED_VALUE"""),143.28)</f>
        <v>143.28</v>
      </c>
      <c r="F1145" s="2">
        <f>IFERROR(__xludf.DUMMYFUNCTION("""COMPUTED_VALUE"""),1666006.0)</f>
        <v>1666006</v>
      </c>
    </row>
    <row r="1146">
      <c r="A1146" s="3">
        <f>IFERROR(__xludf.DUMMYFUNCTION("""COMPUTED_VALUE"""),39923.645833333336)</f>
        <v>39923.64583</v>
      </c>
      <c r="B1146" s="2">
        <f>IFERROR(__xludf.DUMMYFUNCTION("""COMPUTED_VALUE"""),138.19)</f>
        <v>138.19</v>
      </c>
      <c r="C1146" s="2">
        <f>IFERROR(__xludf.DUMMYFUNCTION("""COMPUTED_VALUE"""),145.45)</f>
        <v>145.45</v>
      </c>
      <c r="D1146" s="2">
        <f>IFERROR(__xludf.DUMMYFUNCTION("""COMPUTED_VALUE"""),138.19)</f>
        <v>138.19</v>
      </c>
      <c r="E1146" s="2">
        <f>IFERROR(__xludf.DUMMYFUNCTION("""COMPUTED_VALUE"""),140.35)</f>
        <v>140.35</v>
      </c>
      <c r="F1146" s="2">
        <f>IFERROR(__xludf.DUMMYFUNCTION("""COMPUTED_VALUE"""),1332550.0)</f>
        <v>1332550</v>
      </c>
    </row>
    <row r="1147">
      <c r="A1147" s="3">
        <f>IFERROR(__xludf.DUMMYFUNCTION("""COMPUTED_VALUE"""),39924.645833333336)</f>
        <v>39924.64583</v>
      </c>
      <c r="B1147" s="2">
        <f>IFERROR(__xludf.DUMMYFUNCTION("""COMPUTED_VALUE"""),144.9)</f>
        <v>144.9</v>
      </c>
      <c r="C1147" s="2">
        <f>IFERROR(__xludf.DUMMYFUNCTION("""COMPUTED_VALUE"""),147.13)</f>
        <v>147.13</v>
      </c>
      <c r="D1147" s="2">
        <f>IFERROR(__xludf.DUMMYFUNCTION("""COMPUTED_VALUE"""),136.25)</f>
        <v>136.25</v>
      </c>
      <c r="E1147" s="2">
        <f>IFERROR(__xludf.DUMMYFUNCTION("""COMPUTED_VALUE"""),137.69)</f>
        <v>137.69</v>
      </c>
      <c r="F1147" s="2">
        <f>IFERROR(__xludf.DUMMYFUNCTION("""COMPUTED_VALUE"""),2872245.0)</f>
        <v>2872245</v>
      </c>
    </row>
    <row r="1148">
      <c r="A1148" s="3">
        <f>IFERROR(__xludf.DUMMYFUNCTION("""COMPUTED_VALUE"""),39925.645833333336)</f>
        <v>39925.64583</v>
      </c>
      <c r="B1148" s="2">
        <f>IFERROR(__xludf.DUMMYFUNCTION("""COMPUTED_VALUE"""),140.0)</f>
        <v>140</v>
      </c>
      <c r="C1148" s="2">
        <f>IFERROR(__xludf.DUMMYFUNCTION("""COMPUTED_VALUE"""),141.15)</f>
        <v>141.15</v>
      </c>
      <c r="D1148" s="2">
        <f>IFERROR(__xludf.DUMMYFUNCTION("""COMPUTED_VALUE"""),134.29)</f>
        <v>134.29</v>
      </c>
      <c r="E1148" s="2">
        <f>IFERROR(__xludf.DUMMYFUNCTION("""COMPUTED_VALUE"""),135.74)</f>
        <v>135.74</v>
      </c>
      <c r="F1148" s="2">
        <f>IFERROR(__xludf.DUMMYFUNCTION("""COMPUTED_VALUE"""),1646231.0)</f>
        <v>1646231</v>
      </c>
    </row>
    <row r="1149">
      <c r="A1149" s="3">
        <f>IFERROR(__xludf.DUMMYFUNCTION("""COMPUTED_VALUE"""),39926.645833333336)</f>
        <v>39926.64583</v>
      </c>
      <c r="B1149" s="2">
        <f>IFERROR(__xludf.DUMMYFUNCTION("""COMPUTED_VALUE"""),137.38)</f>
        <v>137.38</v>
      </c>
      <c r="C1149" s="2">
        <f>IFERROR(__xludf.DUMMYFUNCTION("""COMPUTED_VALUE"""),143.21)</f>
        <v>143.21</v>
      </c>
      <c r="D1149" s="2">
        <f>IFERROR(__xludf.DUMMYFUNCTION("""COMPUTED_VALUE"""),136.3)</f>
        <v>136.3</v>
      </c>
      <c r="E1149" s="2">
        <f>IFERROR(__xludf.DUMMYFUNCTION("""COMPUTED_VALUE"""),142.03)</f>
        <v>142.03</v>
      </c>
      <c r="F1149" s="2">
        <f>IFERROR(__xludf.DUMMYFUNCTION("""COMPUTED_VALUE"""),1843428.0)</f>
        <v>1843428</v>
      </c>
    </row>
    <row r="1150">
      <c r="A1150" s="3">
        <f>IFERROR(__xludf.DUMMYFUNCTION("""COMPUTED_VALUE"""),39927.645833333336)</f>
        <v>39927.64583</v>
      </c>
      <c r="B1150" s="2">
        <f>IFERROR(__xludf.DUMMYFUNCTION("""COMPUTED_VALUE"""),139.99)</f>
        <v>139.99</v>
      </c>
      <c r="C1150" s="2">
        <f>IFERROR(__xludf.DUMMYFUNCTION("""COMPUTED_VALUE"""),146.75)</f>
        <v>146.75</v>
      </c>
      <c r="D1150" s="2">
        <f>IFERROR(__xludf.DUMMYFUNCTION("""COMPUTED_VALUE"""),139.99)</f>
        <v>139.99</v>
      </c>
      <c r="E1150" s="2">
        <f>IFERROR(__xludf.DUMMYFUNCTION("""COMPUTED_VALUE"""),145.98)</f>
        <v>145.98</v>
      </c>
      <c r="F1150" s="2">
        <f>IFERROR(__xludf.DUMMYFUNCTION("""COMPUTED_VALUE"""),1344381.0)</f>
        <v>1344381</v>
      </c>
    </row>
    <row r="1151">
      <c r="A1151" s="3">
        <f>IFERROR(__xludf.DUMMYFUNCTION("""COMPUTED_VALUE"""),39930.645833333336)</f>
        <v>39930.64583</v>
      </c>
      <c r="B1151" s="2">
        <f>IFERROR(__xludf.DUMMYFUNCTION("""COMPUTED_VALUE"""),145.96)</f>
        <v>145.96</v>
      </c>
      <c r="C1151" s="2">
        <f>IFERROR(__xludf.DUMMYFUNCTION("""COMPUTED_VALUE"""),152.2)</f>
        <v>152.2</v>
      </c>
      <c r="D1151" s="2">
        <f>IFERROR(__xludf.DUMMYFUNCTION("""COMPUTED_VALUE"""),143.13)</f>
        <v>143.13</v>
      </c>
      <c r="E1151" s="2">
        <f>IFERROR(__xludf.DUMMYFUNCTION("""COMPUTED_VALUE"""),150.48)</f>
        <v>150.48</v>
      </c>
      <c r="F1151" s="2">
        <f>IFERROR(__xludf.DUMMYFUNCTION("""COMPUTED_VALUE"""),2035281.0)</f>
        <v>2035281</v>
      </c>
    </row>
    <row r="1152">
      <c r="A1152" s="3">
        <f>IFERROR(__xludf.DUMMYFUNCTION("""COMPUTED_VALUE"""),39931.645833333336)</f>
        <v>39931.64583</v>
      </c>
      <c r="B1152" s="2">
        <f>IFERROR(__xludf.DUMMYFUNCTION("""COMPUTED_VALUE"""),149.78)</f>
        <v>149.78</v>
      </c>
      <c r="C1152" s="2">
        <f>IFERROR(__xludf.DUMMYFUNCTION("""COMPUTED_VALUE"""),151.96)</f>
        <v>151.96</v>
      </c>
      <c r="D1152" s="2">
        <f>IFERROR(__xludf.DUMMYFUNCTION("""COMPUTED_VALUE"""),144.09)</f>
        <v>144.09</v>
      </c>
      <c r="E1152" s="2">
        <f>IFERROR(__xludf.DUMMYFUNCTION("""COMPUTED_VALUE"""),149.63)</f>
        <v>149.63</v>
      </c>
      <c r="F1152" s="2">
        <f>IFERROR(__xludf.DUMMYFUNCTION("""COMPUTED_VALUE"""),2097173.0)</f>
        <v>2097173</v>
      </c>
    </row>
    <row r="1153">
      <c r="A1153" s="3">
        <f>IFERROR(__xludf.DUMMYFUNCTION("""COMPUTED_VALUE"""),39932.645833333336)</f>
        <v>39932.64583</v>
      </c>
      <c r="B1153" s="2">
        <f>IFERROR(__xludf.DUMMYFUNCTION("""COMPUTED_VALUE"""),150.5)</f>
        <v>150.5</v>
      </c>
      <c r="C1153" s="2">
        <f>IFERROR(__xludf.DUMMYFUNCTION("""COMPUTED_VALUE"""),157.25)</f>
        <v>157.25</v>
      </c>
      <c r="D1153" s="2">
        <f>IFERROR(__xludf.DUMMYFUNCTION("""COMPUTED_VALUE"""),150.5)</f>
        <v>150.5</v>
      </c>
      <c r="E1153" s="2">
        <f>IFERROR(__xludf.DUMMYFUNCTION("""COMPUTED_VALUE"""),155.9)</f>
        <v>155.9</v>
      </c>
      <c r="F1153" s="2">
        <f>IFERROR(__xludf.DUMMYFUNCTION("""COMPUTED_VALUE"""),2632823.0)</f>
        <v>2632823</v>
      </c>
    </row>
    <row r="1154">
      <c r="A1154" s="3">
        <f>IFERROR(__xludf.DUMMYFUNCTION("""COMPUTED_VALUE"""),39937.645833333336)</f>
        <v>39937.64583</v>
      </c>
      <c r="B1154" s="2">
        <f>IFERROR(__xludf.DUMMYFUNCTION("""COMPUTED_VALUE"""),157.75)</f>
        <v>157.75</v>
      </c>
      <c r="C1154" s="2">
        <f>IFERROR(__xludf.DUMMYFUNCTION("""COMPUTED_VALUE"""),174.9)</f>
        <v>174.9</v>
      </c>
      <c r="D1154" s="2">
        <f>IFERROR(__xludf.DUMMYFUNCTION("""COMPUTED_VALUE"""),157.54)</f>
        <v>157.54</v>
      </c>
      <c r="E1154" s="2">
        <f>IFERROR(__xludf.DUMMYFUNCTION("""COMPUTED_VALUE"""),166.6)</f>
        <v>166.6</v>
      </c>
      <c r="F1154" s="2">
        <f>IFERROR(__xludf.DUMMYFUNCTION("""COMPUTED_VALUE"""),2785734.0)</f>
        <v>2785734</v>
      </c>
    </row>
    <row r="1155">
      <c r="A1155" s="3">
        <f>IFERROR(__xludf.DUMMYFUNCTION("""COMPUTED_VALUE"""),39938.645833333336)</f>
        <v>39938.64583</v>
      </c>
      <c r="B1155" s="2">
        <f>IFERROR(__xludf.DUMMYFUNCTION("""COMPUTED_VALUE"""),167.25)</f>
        <v>167.25</v>
      </c>
      <c r="C1155" s="2">
        <f>IFERROR(__xludf.DUMMYFUNCTION("""COMPUTED_VALUE"""),168.74)</f>
        <v>168.74</v>
      </c>
      <c r="D1155" s="2">
        <f>IFERROR(__xludf.DUMMYFUNCTION("""COMPUTED_VALUE"""),159.03)</f>
        <v>159.03</v>
      </c>
      <c r="E1155" s="2">
        <f>IFERROR(__xludf.DUMMYFUNCTION("""COMPUTED_VALUE"""),162.75)</f>
        <v>162.75</v>
      </c>
      <c r="F1155" s="2">
        <f>IFERROR(__xludf.DUMMYFUNCTION("""COMPUTED_VALUE"""),2205579.0)</f>
        <v>2205579</v>
      </c>
    </row>
    <row r="1156">
      <c r="A1156" s="3">
        <f>IFERROR(__xludf.DUMMYFUNCTION("""COMPUTED_VALUE"""),39939.645833333336)</f>
        <v>39939.64583</v>
      </c>
      <c r="B1156" s="2">
        <f>IFERROR(__xludf.DUMMYFUNCTION("""COMPUTED_VALUE"""),159.56)</f>
        <v>159.56</v>
      </c>
      <c r="C1156" s="2">
        <f>IFERROR(__xludf.DUMMYFUNCTION("""COMPUTED_VALUE"""),162.43)</f>
        <v>162.43</v>
      </c>
      <c r="D1156" s="2">
        <f>IFERROR(__xludf.DUMMYFUNCTION("""COMPUTED_VALUE"""),153.75)</f>
        <v>153.75</v>
      </c>
      <c r="E1156" s="2">
        <f>IFERROR(__xludf.DUMMYFUNCTION("""COMPUTED_VALUE"""),158.84)</f>
        <v>158.84</v>
      </c>
      <c r="F1156" s="2">
        <f>IFERROR(__xludf.DUMMYFUNCTION("""COMPUTED_VALUE"""),1.3130524E7)</f>
        <v>13130524</v>
      </c>
    </row>
    <row r="1157">
      <c r="A1157" s="3">
        <f>IFERROR(__xludf.DUMMYFUNCTION("""COMPUTED_VALUE"""),39940.645833333336)</f>
        <v>39940.64583</v>
      </c>
      <c r="B1157" s="2">
        <f>IFERROR(__xludf.DUMMYFUNCTION("""COMPUTED_VALUE"""),159.0)</f>
        <v>159</v>
      </c>
      <c r="C1157" s="2">
        <f>IFERROR(__xludf.DUMMYFUNCTION("""COMPUTED_VALUE"""),161.25)</f>
        <v>161.25</v>
      </c>
      <c r="D1157" s="2">
        <f>IFERROR(__xludf.DUMMYFUNCTION("""COMPUTED_VALUE"""),154.82)</f>
        <v>154.82</v>
      </c>
      <c r="E1157" s="2">
        <f>IFERROR(__xludf.DUMMYFUNCTION("""COMPUTED_VALUE"""),157.93)</f>
        <v>157.93</v>
      </c>
      <c r="F1157" s="2">
        <f>IFERROR(__xludf.DUMMYFUNCTION("""COMPUTED_VALUE"""),1934716.0)</f>
        <v>1934716</v>
      </c>
    </row>
    <row r="1158">
      <c r="A1158" s="3">
        <f>IFERROR(__xludf.DUMMYFUNCTION("""COMPUTED_VALUE"""),39941.645833333336)</f>
        <v>39941.64583</v>
      </c>
      <c r="B1158" s="2">
        <f>IFERROR(__xludf.DUMMYFUNCTION("""COMPUTED_VALUE"""),157.0)</f>
        <v>157</v>
      </c>
      <c r="C1158" s="2">
        <f>IFERROR(__xludf.DUMMYFUNCTION("""COMPUTED_VALUE"""),160.5)</f>
        <v>160.5</v>
      </c>
      <c r="D1158" s="2">
        <f>IFERROR(__xludf.DUMMYFUNCTION("""COMPUTED_VALUE"""),154.63)</f>
        <v>154.63</v>
      </c>
      <c r="E1158" s="2">
        <f>IFERROR(__xludf.DUMMYFUNCTION("""COMPUTED_VALUE"""),157.74)</f>
        <v>157.74</v>
      </c>
      <c r="F1158" s="2">
        <f>IFERROR(__xludf.DUMMYFUNCTION("""COMPUTED_VALUE"""),2250438.0)</f>
        <v>2250438</v>
      </c>
    </row>
    <row r="1159">
      <c r="A1159" s="3">
        <f>IFERROR(__xludf.DUMMYFUNCTION("""COMPUTED_VALUE"""),39944.645833333336)</f>
        <v>39944.64583</v>
      </c>
      <c r="B1159" s="2">
        <f>IFERROR(__xludf.DUMMYFUNCTION("""COMPUTED_VALUE"""),159.63)</f>
        <v>159.63</v>
      </c>
      <c r="C1159" s="2">
        <f>IFERROR(__xludf.DUMMYFUNCTION("""COMPUTED_VALUE"""),159.91)</f>
        <v>159.91</v>
      </c>
      <c r="D1159" s="2">
        <f>IFERROR(__xludf.DUMMYFUNCTION("""COMPUTED_VALUE"""),152.25)</f>
        <v>152.25</v>
      </c>
      <c r="E1159" s="2">
        <f>IFERROR(__xludf.DUMMYFUNCTION("""COMPUTED_VALUE"""),153.81)</f>
        <v>153.81</v>
      </c>
      <c r="F1159" s="2">
        <f>IFERROR(__xludf.DUMMYFUNCTION("""COMPUTED_VALUE"""),1324653.0)</f>
        <v>1324653</v>
      </c>
    </row>
    <row r="1160">
      <c r="A1160" s="3">
        <f>IFERROR(__xludf.DUMMYFUNCTION("""COMPUTED_VALUE"""),39945.645833333336)</f>
        <v>39945.64583</v>
      </c>
      <c r="B1160" s="2">
        <f>IFERROR(__xludf.DUMMYFUNCTION("""COMPUTED_VALUE"""),152.5)</f>
        <v>152.5</v>
      </c>
      <c r="C1160" s="2">
        <f>IFERROR(__xludf.DUMMYFUNCTION("""COMPUTED_VALUE"""),161.45)</f>
        <v>161.45</v>
      </c>
      <c r="D1160" s="2">
        <f>IFERROR(__xludf.DUMMYFUNCTION("""COMPUTED_VALUE"""),152.5)</f>
        <v>152.5</v>
      </c>
      <c r="E1160" s="2">
        <f>IFERROR(__xludf.DUMMYFUNCTION("""COMPUTED_VALUE"""),160.28)</f>
        <v>160.28</v>
      </c>
      <c r="F1160" s="2">
        <f>IFERROR(__xludf.DUMMYFUNCTION("""COMPUTED_VALUE"""),2371863.0)</f>
        <v>2371863</v>
      </c>
    </row>
    <row r="1161">
      <c r="A1161" s="3">
        <f>IFERROR(__xludf.DUMMYFUNCTION("""COMPUTED_VALUE"""),39946.645833333336)</f>
        <v>39946.64583</v>
      </c>
      <c r="B1161" s="2">
        <f>IFERROR(__xludf.DUMMYFUNCTION("""COMPUTED_VALUE"""),160.5)</f>
        <v>160.5</v>
      </c>
      <c r="C1161" s="2">
        <f>IFERROR(__xludf.DUMMYFUNCTION("""COMPUTED_VALUE"""),161.23)</f>
        <v>161.23</v>
      </c>
      <c r="D1161" s="2">
        <f>IFERROR(__xludf.DUMMYFUNCTION("""COMPUTED_VALUE"""),153.75)</f>
        <v>153.75</v>
      </c>
      <c r="E1161" s="2">
        <f>IFERROR(__xludf.DUMMYFUNCTION("""COMPUTED_VALUE"""),155.43)</f>
        <v>155.43</v>
      </c>
      <c r="F1161" s="2">
        <f>IFERROR(__xludf.DUMMYFUNCTION("""COMPUTED_VALUE"""),1831200.0)</f>
        <v>1831200</v>
      </c>
    </row>
    <row r="1162">
      <c r="A1162" s="3">
        <f>IFERROR(__xludf.DUMMYFUNCTION("""COMPUTED_VALUE"""),39947.645833333336)</f>
        <v>39947.64583</v>
      </c>
      <c r="B1162" s="2">
        <f>IFERROR(__xludf.DUMMYFUNCTION("""COMPUTED_VALUE"""),154.5)</f>
        <v>154.5</v>
      </c>
      <c r="C1162" s="2">
        <f>IFERROR(__xludf.DUMMYFUNCTION("""COMPUTED_VALUE"""),156.75)</f>
        <v>156.75</v>
      </c>
      <c r="D1162" s="2">
        <f>IFERROR(__xludf.DUMMYFUNCTION("""COMPUTED_VALUE"""),151.32)</f>
        <v>151.32</v>
      </c>
      <c r="E1162" s="2">
        <f>IFERROR(__xludf.DUMMYFUNCTION("""COMPUTED_VALUE"""),154.95)</f>
        <v>154.95</v>
      </c>
      <c r="F1162" s="2">
        <f>IFERROR(__xludf.DUMMYFUNCTION("""COMPUTED_VALUE"""),2360794.0)</f>
        <v>2360794</v>
      </c>
    </row>
    <row r="1163">
      <c r="A1163" s="3">
        <f>IFERROR(__xludf.DUMMYFUNCTION("""COMPUTED_VALUE"""),39948.645833333336)</f>
        <v>39948.64583</v>
      </c>
      <c r="B1163" s="2">
        <f>IFERROR(__xludf.DUMMYFUNCTION("""COMPUTED_VALUE"""),156.0)</f>
        <v>156</v>
      </c>
      <c r="C1163" s="2">
        <f>IFERROR(__xludf.DUMMYFUNCTION("""COMPUTED_VALUE"""),163.71)</f>
        <v>163.71</v>
      </c>
      <c r="D1163" s="2">
        <f>IFERROR(__xludf.DUMMYFUNCTION("""COMPUTED_VALUE"""),156.0)</f>
        <v>156</v>
      </c>
      <c r="E1163" s="2">
        <f>IFERROR(__xludf.DUMMYFUNCTION("""COMPUTED_VALUE"""),161.01)</f>
        <v>161.01</v>
      </c>
      <c r="F1163" s="2">
        <f>IFERROR(__xludf.DUMMYFUNCTION("""COMPUTED_VALUE"""),2735618.0)</f>
        <v>2735618</v>
      </c>
    </row>
    <row r="1164">
      <c r="A1164" s="3">
        <f>IFERROR(__xludf.DUMMYFUNCTION("""COMPUTED_VALUE"""),39951.645833333336)</f>
        <v>39951.64583</v>
      </c>
      <c r="B1164" s="2">
        <f>IFERROR(__xludf.DUMMYFUNCTION("""COMPUTED_VALUE"""),191.65)</f>
        <v>191.65</v>
      </c>
      <c r="C1164" s="2">
        <f>IFERROR(__xludf.DUMMYFUNCTION("""COMPUTED_VALUE"""),197.9)</f>
        <v>197.9</v>
      </c>
      <c r="D1164" s="2">
        <f>IFERROR(__xludf.DUMMYFUNCTION("""COMPUTED_VALUE"""),173.75)</f>
        <v>173.75</v>
      </c>
      <c r="E1164" s="2">
        <f>IFERROR(__xludf.DUMMYFUNCTION("""COMPUTED_VALUE"""),185.96)</f>
        <v>185.96</v>
      </c>
      <c r="F1164" s="2">
        <f>IFERROR(__xludf.DUMMYFUNCTION("""COMPUTED_VALUE"""),18345.0)</f>
        <v>18345</v>
      </c>
    </row>
    <row r="1165">
      <c r="A1165" s="3">
        <f>IFERROR(__xludf.DUMMYFUNCTION("""COMPUTED_VALUE"""),39952.645833333336)</f>
        <v>39952.64583</v>
      </c>
      <c r="B1165" s="2">
        <f>IFERROR(__xludf.DUMMYFUNCTION("""COMPUTED_VALUE"""),187.5)</f>
        <v>187.5</v>
      </c>
      <c r="C1165" s="2">
        <f>IFERROR(__xludf.DUMMYFUNCTION("""COMPUTED_VALUE"""),187.5)</f>
        <v>187.5</v>
      </c>
      <c r="D1165" s="2">
        <f>IFERROR(__xludf.DUMMYFUNCTION("""COMPUTED_VALUE"""),163.9)</f>
        <v>163.9</v>
      </c>
      <c r="E1165" s="2">
        <f>IFERROR(__xludf.DUMMYFUNCTION("""COMPUTED_VALUE"""),167.44)</f>
        <v>167.44</v>
      </c>
      <c r="F1165" s="2">
        <f>IFERROR(__xludf.DUMMYFUNCTION("""COMPUTED_VALUE"""),3253894.0)</f>
        <v>3253894</v>
      </c>
    </row>
    <row r="1166">
      <c r="A1166" s="3">
        <f>IFERROR(__xludf.DUMMYFUNCTION("""COMPUTED_VALUE"""),39953.645833333336)</f>
        <v>39953.64583</v>
      </c>
      <c r="B1166" s="2">
        <f>IFERROR(__xludf.DUMMYFUNCTION("""COMPUTED_VALUE"""),167.5)</f>
        <v>167.5</v>
      </c>
      <c r="C1166" s="2">
        <f>IFERROR(__xludf.DUMMYFUNCTION("""COMPUTED_VALUE"""),175.49)</f>
        <v>175.49</v>
      </c>
      <c r="D1166" s="2">
        <f>IFERROR(__xludf.DUMMYFUNCTION("""COMPUTED_VALUE"""),165.75)</f>
        <v>165.75</v>
      </c>
      <c r="E1166" s="2">
        <f>IFERROR(__xludf.DUMMYFUNCTION("""COMPUTED_VALUE"""),169.16)</f>
        <v>169.16</v>
      </c>
      <c r="F1166" s="2">
        <f>IFERROR(__xludf.DUMMYFUNCTION("""COMPUTED_VALUE"""),2126916.0)</f>
        <v>2126916</v>
      </c>
    </row>
    <row r="1167">
      <c r="A1167" s="3">
        <f>IFERROR(__xludf.DUMMYFUNCTION("""COMPUTED_VALUE"""),39954.645833333336)</f>
        <v>39954.64583</v>
      </c>
      <c r="B1167" s="2">
        <f>IFERROR(__xludf.DUMMYFUNCTION("""COMPUTED_VALUE"""),167.5)</f>
        <v>167.5</v>
      </c>
      <c r="C1167" s="2">
        <f>IFERROR(__xludf.DUMMYFUNCTION("""COMPUTED_VALUE"""),171.25)</f>
        <v>171.25</v>
      </c>
      <c r="D1167" s="2">
        <f>IFERROR(__xludf.DUMMYFUNCTION("""COMPUTED_VALUE"""),161.0)</f>
        <v>161</v>
      </c>
      <c r="E1167" s="2">
        <f>IFERROR(__xludf.DUMMYFUNCTION("""COMPUTED_VALUE"""),161.86)</f>
        <v>161.86</v>
      </c>
      <c r="F1167" s="2">
        <f>IFERROR(__xludf.DUMMYFUNCTION("""COMPUTED_VALUE"""),1114831.0)</f>
        <v>1114831</v>
      </c>
    </row>
    <row r="1168">
      <c r="A1168" s="3">
        <f>IFERROR(__xludf.DUMMYFUNCTION("""COMPUTED_VALUE"""),39955.645833333336)</f>
        <v>39955.64583</v>
      </c>
      <c r="B1168" s="2">
        <f>IFERROR(__xludf.DUMMYFUNCTION("""COMPUTED_VALUE"""),157.5)</f>
        <v>157.5</v>
      </c>
      <c r="C1168" s="2">
        <f>IFERROR(__xludf.DUMMYFUNCTION("""COMPUTED_VALUE"""),161.25)</f>
        <v>161.25</v>
      </c>
      <c r="D1168" s="2">
        <f>IFERROR(__xludf.DUMMYFUNCTION("""COMPUTED_VALUE"""),157.5)</f>
        <v>157.5</v>
      </c>
      <c r="E1168" s="2">
        <f>IFERROR(__xludf.DUMMYFUNCTION("""COMPUTED_VALUE"""),158.51)</f>
        <v>158.51</v>
      </c>
      <c r="F1168" s="2">
        <f>IFERROR(__xludf.DUMMYFUNCTION("""COMPUTED_VALUE"""),1465364.0)</f>
        <v>1465364</v>
      </c>
    </row>
    <row r="1169">
      <c r="A1169" s="3">
        <f>IFERROR(__xludf.DUMMYFUNCTION("""COMPUTED_VALUE"""),39958.645833333336)</f>
        <v>39958.64583</v>
      </c>
      <c r="B1169" s="2">
        <f>IFERROR(__xludf.DUMMYFUNCTION("""COMPUTED_VALUE"""),159.0)</f>
        <v>159</v>
      </c>
      <c r="C1169" s="2">
        <f>IFERROR(__xludf.DUMMYFUNCTION("""COMPUTED_VALUE"""),161.0)</f>
        <v>161</v>
      </c>
      <c r="D1169" s="2">
        <f>IFERROR(__xludf.DUMMYFUNCTION("""COMPUTED_VALUE"""),155.66)</f>
        <v>155.66</v>
      </c>
      <c r="E1169" s="2">
        <f>IFERROR(__xludf.DUMMYFUNCTION("""COMPUTED_VALUE"""),157.84)</f>
        <v>157.84</v>
      </c>
      <c r="F1169" s="2">
        <f>IFERROR(__xludf.DUMMYFUNCTION("""COMPUTED_VALUE"""),1418411.0)</f>
        <v>1418411</v>
      </c>
    </row>
    <row r="1170">
      <c r="A1170" s="3">
        <f>IFERROR(__xludf.DUMMYFUNCTION("""COMPUTED_VALUE"""),39959.645833333336)</f>
        <v>39959.64583</v>
      </c>
      <c r="B1170" s="2">
        <f>IFERROR(__xludf.DUMMYFUNCTION("""COMPUTED_VALUE"""),158.74)</f>
        <v>158.74</v>
      </c>
      <c r="C1170" s="2">
        <f>IFERROR(__xludf.DUMMYFUNCTION("""COMPUTED_VALUE"""),159.91)</f>
        <v>159.91</v>
      </c>
      <c r="D1170" s="2">
        <f>IFERROR(__xludf.DUMMYFUNCTION("""COMPUTED_VALUE"""),155.13)</f>
        <v>155.13</v>
      </c>
      <c r="E1170" s="2">
        <f>IFERROR(__xludf.DUMMYFUNCTION("""COMPUTED_VALUE"""),156.11)</f>
        <v>156.11</v>
      </c>
      <c r="F1170" s="2">
        <f>IFERROR(__xludf.DUMMYFUNCTION("""COMPUTED_VALUE"""),1514725.0)</f>
        <v>1514725</v>
      </c>
    </row>
    <row r="1171">
      <c r="A1171" s="3">
        <f>IFERROR(__xludf.DUMMYFUNCTION("""COMPUTED_VALUE"""),39960.645833333336)</f>
        <v>39960.64583</v>
      </c>
      <c r="B1171" s="2">
        <f>IFERROR(__xludf.DUMMYFUNCTION("""COMPUTED_VALUE"""),157.7)</f>
        <v>157.7</v>
      </c>
      <c r="C1171" s="2">
        <f>IFERROR(__xludf.DUMMYFUNCTION("""COMPUTED_VALUE"""),163.0)</f>
        <v>163</v>
      </c>
      <c r="D1171" s="2">
        <f>IFERROR(__xludf.DUMMYFUNCTION("""COMPUTED_VALUE"""),157.7)</f>
        <v>157.7</v>
      </c>
      <c r="E1171" s="2">
        <f>IFERROR(__xludf.DUMMYFUNCTION("""COMPUTED_VALUE"""),162.14)</f>
        <v>162.14</v>
      </c>
      <c r="F1171" s="2">
        <f>IFERROR(__xludf.DUMMYFUNCTION("""COMPUTED_VALUE"""),2305717.0)</f>
        <v>2305717</v>
      </c>
    </row>
    <row r="1172">
      <c r="A1172" s="3">
        <f>IFERROR(__xludf.DUMMYFUNCTION("""COMPUTED_VALUE"""),39961.645833333336)</f>
        <v>39961.64583</v>
      </c>
      <c r="B1172" s="2">
        <f>IFERROR(__xludf.DUMMYFUNCTION("""COMPUTED_VALUE"""),155.85)</f>
        <v>155.85</v>
      </c>
      <c r="C1172" s="2">
        <f>IFERROR(__xludf.DUMMYFUNCTION("""COMPUTED_VALUE"""),168.48)</f>
        <v>168.48</v>
      </c>
      <c r="D1172" s="2">
        <f>IFERROR(__xludf.DUMMYFUNCTION("""COMPUTED_VALUE"""),155.85)</f>
        <v>155.85</v>
      </c>
      <c r="E1172" s="2">
        <f>IFERROR(__xludf.DUMMYFUNCTION("""COMPUTED_VALUE"""),165.8)</f>
        <v>165.8</v>
      </c>
      <c r="F1172" s="2">
        <f>IFERROR(__xludf.DUMMYFUNCTION("""COMPUTED_VALUE"""),4215919.0)</f>
        <v>4215919</v>
      </c>
    </row>
    <row r="1173">
      <c r="A1173" s="3">
        <f>IFERROR(__xludf.DUMMYFUNCTION("""COMPUTED_VALUE"""),39962.645833333336)</f>
        <v>39962.64583</v>
      </c>
      <c r="B1173" s="2">
        <f>IFERROR(__xludf.DUMMYFUNCTION("""COMPUTED_VALUE"""),167.19)</f>
        <v>167.19</v>
      </c>
      <c r="C1173" s="2">
        <f>IFERROR(__xludf.DUMMYFUNCTION("""COMPUTED_VALUE"""),177.5)</f>
        <v>177.5</v>
      </c>
      <c r="D1173" s="2">
        <f>IFERROR(__xludf.DUMMYFUNCTION("""COMPUTED_VALUE"""),163.16)</f>
        <v>163.16</v>
      </c>
      <c r="E1173" s="2">
        <f>IFERROR(__xludf.DUMMYFUNCTION("""COMPUTED_VALUE"""),176.15)</f>
        <v>176.15</v>
      </c>
      <c r="F1173" s="2">
        <f>IFERROR(__xludf.DUMMYFUNCTION("""COMPUTED_VALUE"""),3467806.0)</f>
        <v>3467806</v>
      </c>
    </row>
    <row r="1174">
      <c r="A1174" s="3">
        <f>IFERROR(__xludf.DUMMYFUNCTION("""COMPUTED_VALUE"""),39965.645833333336)</f>
        <v>39965.64583</v>
      </c>
      <c r="B1174" s="2">
        <f>IFERROR(__xludf.DUMMYFUNCTION("""COMPUTED_VALUE"""),168.34)</f>
        <v>168.34</v>
      </c>
      <c r="C1174" s="2">
        <f>IFERROR(__xludf.DUMMYFUNCTION("""COMPUTED_VALUE"""),177.46)</f>
        <v>177.46</v>
      </c>
      <c r="D1174" s="2">
        <f>IFERROR(__xludf.DUMMYFUNCTION("""COMPUTED_VALUE"""),168.34)</f>
        <v>168.34</v>
      </c>
      <c r="E1174" s="2">
        <f>IFERROR(__xludf.DUMMYFUNCTION("""COMPUTED_VALUE"""),174.41)</f>
        <v>174.41</v>
      </c>
      <c r="F1174" s="2">
        <f>IFERROR(__xludf.DUMMYFUNCTION("""COMPUTED_VALUE"""),1976451.0)</f>
        <v>1976451</v>
      </c>
    </row>
    <row r="1175">
      <c r="A1175" s="3">
        <f>IFERROR(__xludf.DUMMYFUNCTION("""COMPUTED_VALUE"""),39966.645833333336)</f>
        <v>39966.64583</v>
      </c>
      <c r="B1175" s="2">
        <f>IFERROR(__xludf.DUMMYFUNCTION("""COMPUTED_VALUE"""),175.0)</f>
        <v>175</v>
      </c>
      <c r="C1175" s="2">
        <f>IFERROR(__xludf.DUMMYFUNCTION("""COMPUTED_VALUE"""),177.5)</f>
        <v>177.5</v>
      </c>
      <c r="D1175" s="2">
        <f>IFERROR(__xludf.DUMMYFUNCTION("""COMPUTED_VALUE"""),172.5)</f>
        <v>172.5</v>
      </c>
      <c r="E1175" s="2">
        <f>IFERROR(__xludf.DUMMYFUNCTION("""COMPUTED_VALUE"""),173.69)</f>
        <v>173.69</v>
      </c>
      <c r="F1175" s="2">
        <f>IFERROR(__xludf.DUMMYFUNCTION("""COMPUTED_VALUE"""),1029543.0)</f>
        <v>1029543</v>
      </c>
    </row>
    <row r="1176">
      <c r="A1176" s="3">
        <f>IFERROR(__xludf.DUMMYFUNCTION("""COMPUTED_VALUE"""),39967.645833333336)</f>
        <v>39967.64583</v>
      </c>
      <c r="B1176" s="2">
        <f>IFERROR(__xludf.DUMMYFUNCTION("""COMPUTED_VALUE"""),172.5)</f>
        <v>172.5</v>
      </c>
      <c r="C1176" s="2">
        <f>IFERROR(__xludf.DUMMYFUNCTION("""COMPUTED_VALUE"""),176.19)</f>
        <v>176.19</v>
      </c>
      <c r="D1176" s="2">
        <f>IFERROR(__xludf.DUMMYFUNCTION("""COMPUTED_VALUE"""),170.78)</f>
        <v>170.78</v>
      </c>
      <c r="E1176" s="2">
        <f>IFERROR(__xludf.DUMMYFUNCTION("""COMPUTED_VALUE"""),174.21)</f>
        <v>174.21</v>
      </c>
      <c r="F1176" s="2">
        <f>IFERROR(__xludf.DUMMYFUNCTION("""COMPUTED_VALUE"""),978736.0)</f>
        <v>978736</v>
      </c>
    </row>
    <row r="1177">
      <c r="A1177" s="3">
        <f>IFERROR(__xludf.DUMMYFUNCTION("""COMPUTED_VALUE"""),39968.645833333336)</f>
        <v>39968.64583</v>
      </c>
      <c r="B1177" s="2">
        <f>IFERROR(__xludf.DUMMYFUNCTION("""COMPUTED_VALUE"""),171.75)</f>
        <v>171.75</v>
      </c>
      <c r="C1177" s="2">
        <f>IFERROR(__xludf.DUMMYFUNCTION("""COMPUTED_VALUE"""),177.25)</f>
        <v>177.25</v>
      </c>
      <c r="D1177" s="2">
        <f>IFERROR(__xludf.DUMMYFUNCTION("""COMPUTED_VALUE"""),171.59)</f>
        <v>171.59</v>
      </c>
      <c r="E1177" s="2">
        <f>IFERROR(__xludf.DUMMYFUNCTION("""COMPUTED_VALUE"""),176.8)</f>
        <v>176.8</v>
      </c>
      <c r="F1177" s="2">
        <f>IFERROR(__xludf.DUMMYFUNCTION("""COMPUTED_VALUE"""),1755176.0)</f>
        <v>1755176</v>
      </c>
    </row>
    <row r="1178">
      <c r="A1178" s="3">
        <f>IFERROR(__xludf.DUMMYFUNCTION("""COMPUTED_VALUE"""),39969.645833333336)</f>
        <v>39969.64583</v>
      </c>
      <c r="B1178" s="2">
        <f>IFERROR(__xludf.DUMMYFUNCTION("""COMPUTED_VALUE"""),177.25)</f>
        <v>177.25</v>
      </c>
      <c r="C1178" s="2">
        <f>IFERROR(__xludf.DUMMYFUNCTION("""COMPUTED_VALUE"""),182.18)</f>
        <v>182.18</v>
      </c>
      <c r="D1178" s="2">
        <f>IFERROR(__xludf.DUMMYFUNCTION("""COMPUTED_VALUE"""),174.09)</f>
        <v>174.09</v>
      </c>
      <c r="E1178" s="2">
        <f>IFERROR(__xludf.DUMMYFUNCTION("""COMPUTED_VALUE"""),180.34)</f>
        <v>180.34</v>
      </c>
      <c r="F1178" s="2">
        <f>IFERROR(__xludf.DUMMYFUNCTION("""COMPUTED_VALUE"""),3305033.0)</f>
        <v>3305033</v>
      </c>
    </row>
    <row r="1179">
      <c r="A1179" s="3">
        <f>IFERROR(__xludf.DUMMYFUNCTION("""COMPUTED_VALUE"""),39972.645833333336)</f>
        <v>39972.64583</v>
      </c>
      <c r="B1179" s="2">
        <f>IFERROR(__xludf.DUMMYFUNCTION("""COMPUTED_VALUE"""),181.18)</f>
        <v>181.18</v>
      </c>
      <c r="C1179" s="2">
        <f>IFERROR(__xludf.DUMMYFUNCTION("""COMPUTED_VALUE"""),187.44)</f>
        <v>187.44</v>
      </c>
      <c r="D1179" s="2">
        <f>IFERROR(__xludf.DUMMYFUNCTION("""COMPUTED_VALUE"""),180.0)</f>
        <v>180</v>
      </c>
      <c r="E1179" s="2">
        <f>IFERROR(__xludf.DUMMYFUNCTION("""COMPUTED_VALUE"""),185.53)</f>
        <v>185.53</v>
      </c>
      <c r="F1179" s="2">
        <f>IFERROR(__xludf.DUMMYFUNCTION("""COMPUTED_VALUE"""),2316956.0)</f>
        <v>2316956</v>
      </c>
    </row>
    <row r="1180">
      <c r="A1180" s="3">
        <f>IFERROR(__xludf.DUMMYFUNCTION("""COMPUTED_VALUE"""),39973.645833333336)</f>
        <v>39973.64583</v>
      </c>
      <c r="B1180" s="2">
        <f>IFERROR(__xludf.DUMMYFUNCTION("""COMPUTED_VALUE"""),182.78)</f>
        <v>182.78</v>
      </c>
      <c r="C1180" s="2">
        <f>IFERROR(__xludf.DUMMYFUNCTION("""COMPUTED_VALUE"""),198.75)</f>
        <v>198.75</v>
      </c>
      <c r="D1180" s="2">
        <f>IFERROR(__xludf.DUMMYFUNCTION("""COMPUTED_VALUE"""),182.78)</f>
        <v>182.78</v>
      </c>
      <c r="E1180" s="2">
        <f>IFERROR(__xludf.DUMMYFUNCTION("""COMPUTED_VALUE"""),195.54)</f>
        <v>195.54</v>
      </c>
      <c r="F1180" s="2">
        <f>IFERROR(__xludf.DUMMYFUNCTION("""COMPUTED_VALUE"""),2422677.0)</f>
        <v>2422677</v>
      </c>
    </row>
    <row r="1181">
      <c r="A1181" s="3">
        <f>IFERROR(__xludf.DUMMYFUNCTION("""COMPUTED_VALUE"""),39974.645833333336)</f>
        <v>39974.64583</v>
      </c>
      <c r="B1181" s="2">
        <f>IFERROR(__xludf.DUMMYFUNCTION("""COMPUTED_VALUE"""),196.25)</f>
        <v>196.25</v>
      </c>
      <c r="C1181" s="2">
        <f>IFERROR(__xludf.DUMMYFUNCTION("""COMPUTED_VALUE"""),201.25)</f>
        <v>201.25</v>
      </c>
      <c r="D1181" s="2">
        <f>IFERROR(__xludf.DUMMYFUNCTION("""COMPUTED_VALUE"""),191.81)</f>
        <v>191.81</v>
      </c>
      <c r="E1181" s="2">
        <f>IFERROR(__xludf.DUMMYFUNCTION("""COMPUTED_VALUE"""),195.45)</f>
        <v>195.45</v>
      </c>
      <c r="F1181" s="2">
        <f>IFERROR(__xludf.DUMMYFUNCTION("""COMPUTED_VALUE"""),2345949.0)</f>
        <v>2345949</v>
      </c>
    </row>
    <row r="1182">
      <c r="A1182" s="3">
        <f>IFERROR(__xludf.DUMMYFUNCTION("""COMPUTED_VALUE"""),39975.645833333336)</f>
        <v>39975.64583</v>
      </c>
      <c r="B1182" s="2">
        <f>IFERROR(__xludf.DUMMYFUNCTION("""COMPUTED_VALUE"""),197.0)</f>
        <v>197</v>
      </c>
      <c r="C1182" s="2">
        <f>IFERROR(__xludf.DUMMYFUNCTION("""COMPUTED_VALUE"""),198.11)</f>
        <v>198.11</v>
      </c>
      <c r="D1182" s="2">
        <f>IFERROR(__xludf.DUMMYFUNCTION("""COMPUTED_VALUE"""),192.5)</f>
        <v>192.5</v>
      </c>
      <c r="E1182" s="2">
        <f>IFERROR(__xludf.DUMMYFUNCTION("""COMPUTED_VALUE"""),193.78)</f>
        <v>193.78</v>
      </c>
      <c r="F1182" s="2">
        <f>IFERROR(__xludf.DUMMYFUNCTION("""COMPUTED_VALUE"""),970800.0)</f>
        <v>970800</v>
      </c>
    </row>
    <row r="1183">
      <c r="A1183" s="3">
        <f>IFERROR(__xludf.DUMMYFUNCTION("""COMPUTED_VALUE"""),39976.645833333336)</f>
        <v>39976.64583</v>
      </c>
      <c r="B1183" s="2">
        <f>IFERROR(__xludf.DUMMYFUNCTION("""COMPUTED_VALUE"""),196.25)</f>
        <v>196.25</v>
      </c>
      <c r="C1183" s="2">
        <f>IFERROR(__xludf.DUMMYFUNCTION("""COMPUTED_VALUE"""),198.7)</f>
        <v>198.7</v>
      </c>
      <c r="D1183" s="2">
        <f>IFERROR(__xludf.DUMMYFUNCTION("""COMPUTED_VALUE"""),190.3)</f>
        <v>190.3</v>
      </c>
      <c r="E1183" s="2">
        <f>IFERROR(__xludf.DUMMYFUNCTION("""COMPUTED_VALUE"""),191.14)</f>
        <v>191.14</v>
      </c>
      <c r="F1183" s="2">
        <f>IFERROR(__xludf.DUMMYFUNCTION("""COMPUTED_VALUE"""),1589665.0)</f>
        <v>1589665</v>
      </c>
    </row>
    <row r="1184">
      <c r="A1184" s="3">
        <f>IFERROR(__xludf.DUMMYFUNCTION("""COMPUTED_VALUE"""),39979.645833333336)</f>
        <v>39979.64583</v>
      </c>
      <c r="B1184" s="2">
        <f>IFERROR(__xludf.DUMMYFUNCTION("""COMPUTED_VALUE"""),191.18)</f>
        <v>191.18</v>
      </c>
      <c r="C1184" s="2">
        <f>IFERROR(__xludf.DUMMYFUNCTION("""COMPUTED_VALUE"""),196.25)</f>
        <v>196.25</v>
      </c>
      <c r="D1184" s="2">
        <f>IFERROR(__xludf.DUMMYFUNCTION("""COMPUTED_VALUE"""),188.75)</f>
        <v>188.75</v>
      </c>
      <c r="E1184" s="2">
        <f>IFERROR(__xludf.DUMMYFUNCTION("""COMPUTED_VALUE"""),194.5)</f>
        <v>194.5</v>
      </c>
      <c r="F1184" s="2">
        <f>IFERROR(__xludf.DUMMYFUNCTION("""COMPUTED_VALUE"""),1648967.0)</f>
        <v>1648967</v>
      </c>
    </row>
    <row r="1185">
      <c r="A1185" s="3">
        <f>IFERROR(__xludf.DUMMYFUNCTION("""COMPUTED_VALUE"""),39980.645833333336)</f>
        <v>39980.64583</v>
      </c>
      <c r="B1185" s="2">
        <f>IFERROR(__xludf.DUMMYFUNCTION("""COMPUTED_VALUE"""),191.65)</f>
        <v>191.65</v>
      </c>
      <c r="C1185" s="2">
        <f>IFERROR(__xludf.DUMMYFUNCTION("""COMPUTED_VALUE"""),196.75)</f>
        <v>196.75</v>
      </c>
      <c r="D1185" s="2">
        <f>IFERROR(__xludf.DUMMYFUNCTION("""COMPUTED_VALUE"""),185.6)</f>
        <v>185.6</v>
      </c>
      <c r="E1185" s="2">
        <f>IFERROR(__xludf.DUMMYFUNCTION("""COMPUTED_VALUE"""),194.58)</f>
        <v>194.58</v>
      </c>
      <c r="F1185" s="2">
        <f>IFERROR(__xludf.DUMMYFUNCTION("""COMPUTED_VALUE"""),2172003.0)</f>
        <v>2172003</v>
      </c>
    </row>
    <row r="1186">
      <c r="A1186" s="3">
        <f>IFERROR(__xludf.DUMMYFUNCTION("""COMPUTED_VALUE"""),39981.645833333336)</f>
        <v>39981.64583</v>
      </c>
      <c r="B1186" s="2">
        <f>IFERROR(__xludf.DUMMYFUNCTION("""COMPUTED_VALUE"""),196.0)</f>
        <v>196</v>
      </c>
      <c r="C1186" s="2">
        <f>IFERROR(__xludf.DUMMYFUNCTION("""COMPUTED_VALUE"""),197.5)</f>
        <v>197.5</v>
      </c>
      <c r="D1186" s="2">
        <f>IFERROR(__xludf.DUMMYFUNCTION("""COMPUTED_VALUE"""),187.5)</f>
        <v>187.5</v>
      </c>
      <c r="E1186" s="2">
        <f>IFERROR(__xludf.DUMMYFUNCTION("""COMPUTED_VALUE"""),189.38)</f>
        <v>189.38</v>
      </c>
      <c r="F1186" s="2">
        <f>IFERROR(__xludf.DUMMYFUNCTION("""COMPUTED_VALUE"""),1870784.0)</f>
        <v>1870784</v>
      </c>
    </row>
    <row r="1187">
      <c r="A1187" s="3">
        <f>IFERROR(__xludf.DUMMYFUNCTION("""COMPUTED_VALUE"""),39982.645833333336)</f>
        <v>39982.64583</v>
      </c>
      <c r="B1187" s="2">
        <f>IFERROR(__xludf.DUMMYFUNCTION("""COMPUTED_VALUE"""),189.0)</f>
        <v>189</v>
      </c>
      <c r="C1187" s="2">
        <f>IFERROR(__xludf.DUMMYFUNCTION("""COMPUTED_VALUE"""),196.5)</f>
        <v>196.5</v>
      </c>
      <c r="D1187" s="2">
        <f>IFERROR(__xludf.DUMMYFUNCTION("""COMPUTED_VALUE"""),186.03)</f>
        <v>186.03</v>
      </c>
      <c r="E1187" s="2">
        <f>IFERROR(__xludf.DUMMYFUNCTION("""COMPUTED_VALUE"""),188.2)</f>
        <v>188.2</v>
      </c>
      <c r="F1187" s="2">
        <f>IFERROR(__xludf.DUMMYFUNCTION("""COMPUTED_VALUE"""),2376554.0)</f>
        <v>2376554</v>
      </c>
    </row>
    <row r="1188">
      <c r="A1188" s="3">
        <f>IFERROR(__xludf.DUMMYFUNCTION("""COMPUTED_VALUE"""),39983.645833333336)</f>
        <v>39983.64583</v>
      </c>
      <c r="B1188" s="2">
        <f>IFERROR(__xludf.DUMMYFUNCTION("""COMPUTED_VALUE"""),188.5)</f>
        <v>188.5</v>
      </c>
      <c r="C1188" s="2">
        <f>IFERROR(__xludf.DUMMYFUNCTION("""COMPUTED_VALUE"""),196.0)</f>
        <v>196</v>
      </c>
      <c r="D1188" s="2">
        <f>IFERROR(__xludf.DUMMYFUNCTION("""COMPUTED_VALUE"""),187.5)</f>
        <v>187.5</v>
      </c>
      <c r="E1188" s="2">
        <f>IFERROR(__xludf.DUMMYFUNCTION("""COMPUTED_VALUE"""),189.9)</f>
        <v>189.9</v>
      </c>
      <c r="F1188" s="2">
        <f>IFERROR(__xludf.DUMMYFUNCTION("""COMPUTED_VALUE"""),3863866.0)</f>
        <v>3863866</v>
      </c>
    </row>
    <row r="1189">
      <c r="A1189" s="3">
        <f>IFERROR(__xludf.DUMMYFUNCTION("""COMPUTED_VALUE"""),39986.645833333336)</f>
        <v>39986.64583</v>
      </c>
      <c r="B1189" s="2">
        <f>IFERROR(__xludf.DUMMYFUNCTION("""COMPUTED_VALUE"""),192.2)</f>
        <v>192.2</v>
      </c>
      <c r="C1189" s="2">
        <f>IFERROR(__xludf.DUMMYFUNCTION("""COMPUTED_VALUE"""),193.9)</f>
        <v>193.9</v>
      </c>
      <c r="D1189" s="2">
        <f>IFERROR(__xludf.DUMMYFUNCTION("""COMPUTED_VALUE"""),184.0)</f>
        <v>184</v>
      </c>
      <c r="E1189" s="2">
        <f>IFERROR(__xludf.DUMMYFUNCTION("""COMPUTED_VALUE"""),184.83)</f>
        <v>184.83</v>
      </c>
      <c r="F1189" s="2">
        <f>IFERROR(__xludf.DUMMYFUNCTION("""COMPUTED_VALUE"""),2053104.0)</f>
        <v>2053104</v>
      </c>
    </row>
    <row r="1190">
      <c r="A1190" s="3">
        <f>IFERROR(__xludf.DUMMYFUNCTION("""COMPUTED_VALUE"""),39987.645833333336)</f>
        <v>39987.64583</v>
      </c>
      <c r="B1190" s="2">
        <f>IFERROR(__xludf.DUMMYFUNCTION("""COMPUTED_VALUE"""),180.0)</f>
        <v>180</v>
      </c>
      <c r="C1190" s="2">
        <f>IFERROR(__xludf.DUMMYFUNCTION("""COMPUTED_VALUE"""),188.88)</f>
        <v>188.88</v>
      </c>
      <c r="D1190" s="2">
        <f>IFERROR(__xludf.DUMMYFUNCTION("""COMPUTED_VALUE"""),179.0)</f>
        <v>179</v>
      </c>
      <c r="E1190" s="2">
        <f>IFERROR(__xludf.DUMMYFUNCTION("""COMPUTED_VALUE"""),183.33)</f>
        <v>183.33</v>
      </c>
      <c r="F1190" s="2">
        <f>IFERROR(__xludf.DUMMYFUNCTION("""COMPUTED_VALUE"""),2567847.0)</f>
        <v>2567847</v>
      </c>
    </row>
    <row r="1191">
      <c r="A1191" s="3">
        <f>IFERROR(__xludf.DUMMYFUNCTION("""COMPUTED_VALUE"""),39988.645833333336)</f>
        <v>39988.64583</v>
      </c>
      <c r="B1191" s="2">
        <f>IFERROR(__xludf.DUMMYFUNCTION("""COMPUTED_VALUE"""),186.48)</f>
        <v>186.48</v>
      </c>
      <c r="C1191" s="2">
        <f>IFERROR(__xludf.DUMMYFUNCTION("""COMPUTED_VALUE"""),194.25)</f>
        <v>194.25</v>
      </c>
      <c r="D1191" s="2">
        <f>IFERROR(__xludf.DUMMYFUNCTION("""COMPUTED_VALUE"""),180.1)</f>
        <v>180.1</v>
      </c>
      <c r="E1191" s="2">
        <f>IFERROR(__xludf.DUMMYFUNCTION("""COMPUTED_VALUE"""),190.88)</f>
        <v>190.88</v>
      </c>
      <c r="F1191" s="2">
        <f>IFERROR(__xludf.DUMMYFUNCTION("""COMPUTED_VALUE"""),3651977.0)</f>
        <v>3651977</v>
      </c>
    </row>
    <row r="1192">
      <c r="A1192" s="3">
        <f>IFERROR(__xludf.DUMMYFUNCTION("""COMPUTED_VALUE"""),39989.645833333336)</f>
        <v>39989.64583</v>
      </c>
      <c r="B1192" s="2">
        <f>IFERROR(__xludf.DUMMYFUNCTION("""COMPUTED_VALUE"""),191.0)</f>
        <v>191</v>
      </c>
      <c r="C1192" s="2">
        <f>IFERROR(__xludf.DUMMYFUNCTION("""COMPUTED_VALUE"""),196.0)</f>
        <v>196</v>
      </c>
      <c r="D1192" s="2">
        <f>IFERROR(__xludf.DUMMYFUNCTION("""COMPUTED_VALUE"""),185.15)</f>
        <v>185.15</v>
      </c>
      <c r="E1192" s="2">
        <f>IFERROR(__xludf.DUMMYFUNCTION("""COMPUTED_VALUE"""),190.25)</f>
        <v>190.25</v>
      </c>
      <c r="F1192" s="2">
        <f>IFERROR(__xludf.DUMMYFUNCTION("""COMPUTED_VALUE"""),4847331.0)</f>
        <v>4847331</v>
      </c>
    </row>
    <row r="1193">
      <c r="A1193" s="3">
        <f>IFERROR(__xludf.DUMMYFUNCTION("""COMPUTED_VALUE"""),39990.645833333336)</f>
        <v>39990.64583</v>
      </c>
      <c r="B1193" s="2">
        <f>IFERROR(__xludf.DUMMYFUNCTION("""COMPUTED_VALUE"""),191.25)</f>
        <v>191.25</v>
      </c>
      <c r="C1193" s="2">
        <f>IFERROR(__xludf.DUMMYFUNCTION("""COMPUTED_VALUE"""),202.2)</f>
        <v>202.2</v>
      </c>
      <c r="D1193" s="2">
        <f>IFERROR(__xludf.DUMMYFUNCTION("""COMPUTED_VALUE"""),188.28)</f>
        <v>188.28</v>
      </c>
      <c r="E1193" s="2">
        <f>IFERROR(__xludf.DUMMYFUNCTION("""COMPUTED_VALUE"""),198.7)</f>
        <v>198.7</v>
      </c>
      <c r="F1193" s="2">
        <f>IFERROR(__xludf.DUMMYFUNCTION("""COMPUTED_VALUE"""),3049850.0)</f>
        <v>3049850</v>
      </c>
    </row>
    <row r="1194">
      <c r="A1194" s="3">
        <f>IFERROR(__xludf.DUMMYFUNCTION("""COMPUTED_VALUE"""),39993.645833333336)</f>
        <v>39993.64583</v>
      </c>
      <c r="B1194" s="2">
        <f>IFERROR(__xludf.DUMMYFUNCTION("""COMPUTED_VALUE"""),199.93)</f>
        <v>199.93</v>
      </c>
      <c r="C1194" s="2">
        <f>IFERROR(__xludf.DUMMYFUNCTION("""COMPUTED_VALUE"""),201.0)</f>
        <v>201</v>
      </c>
      <c r="D1194" s="2">
        <f>IFERROR(__xludf.DUMMYFUNCTION("""COMPUTED_VALUE"""),191.68)</f>
        <v>191.68</v>
      </c>
      <c r="E1194" s="2">
        <f>IFERROR(__xludf.DUMMYFUNCTION("""COMPUTED_VALUE"""),193.1)</f>
        <v>193.1</v>
      </c>
      <c r="F1194" s="2">
        <f>IFERROR(__xludf.DUMMYFUNCTION("""COMPUTED_VALUE"""),2372603.0)</f>
        <v>2372603</v>
      </c>
    </row>
    <row r="1195">
      <c r="A1195" s="3">
        <f>IFERROR(__xludf.DUMMYFUNCTION("""COMPUTED_VALUE"""),39994.645833333336)</f>
        <v>39994.64583</v>
      </c>
      <c r="B1195" s="2">
        <f>IFERROR(__xludf.DUMMYFUNCTION("""COMPUTED_VALUE"""),193.75)</f>
        <v>193.75</v>
      </c>
      <c r="C1195" s="2">
        <f>IFERROR(__xludf.DUMMYFUNCTION("""COMPUTED_VALUE"""),199.0)</f>
        <v>199</v>
      </c>
      <c r="D1195" s="2">
        <f>IFERROR(__xludf.DUMMYFUNCTION("""COMPUTED_VALUE"""),191.58)</f>
        <v>191.58</v>
      </c>
      <c r="E1195" s="2">
        <f>IFERROR(__xludf.DUMMYFUNCTION("""COMPUTED_VALUE"""),194.93)</f>
        <v>194.93</v>
      </c>
      <c r="F1195" s="2">
        <f>IFERROR(__xludf.DUMMYFUNCTION("""COMPUTED_VALUE"""),2961974.0)</f>
        <v>2961974</v>
      </c>
    </row>
    <row r="1196">
      <c r="A1196" s="3">
        <f>IFERROR(__xludf.DUMMYFUNCTION("""COMPUTED_VALUE"""),39995.645833333336)</f>
        <v>39995.64583</v>
      </c>
      <c r="B1196" s="2">
        <f>IFERROR(__xludf.DUMMYFUNCTION("""COMPUTED_VALUE"""),193.55)</f>
        <v>193.55</v>
      </c>
      <c r="C1196" s="2">
        <f>IFERROR(__xludf.DUMMYFUNCTION("""COMPUTED_VALUE"""),197.5)</f>
        <v>197.5</v>
      </c>
      <c r="D1196" s="2">
        <f>IFERROR(__xludf.DUMMYFUNCTION("""COMPUTED_VALUE"""),191.23)</f>
        <v>191.23</v>
      </c>
      <c r="E1196" s="2">
        <f>IFERROR(__xludf.DUMMYFUNCTION("""COMPUTED_VALUE"""),196.48)</f>
        <v>196.48</v>
      </c>
      <c r="F1196" s="2">
        <f>IFERROR(__xludf.DUMMYFUNCTION("""COMPUTED_VALUE"""),1842369.0)</f>
        <v>1842369</v>
      </c>
    </row>
    <row r="1197">
      <c r="A1197" s="3">
        <f>IFERROR(__xludf.DUMMYFUNCTION("""COMPUTED_VALUE"""),39996.645833333336)</f>
        <v>39996.64583</v>
      </c>
      <c r="B1197" s="2">
        <f>IFERROR(__xludf.DUMMYFUNCTION("""COMPUTED_VALUE"""),195.0)</f>
        <v>195</v>
      </c>
      <c r="C1197" s="2">
        <f>IFERROR(__xludf.DUMMYFUNCTION("""COMPUTED_VALUE"""),197.65)</f>
        <v>197.65</v>
      </c>
      <c r="D1197" s="2">
        <f>IFERROR(__xludf.DUMMYFUNCTION("""COMPUTED_VALUE"""),190.6)</f>
        <v>190.6</v>
      </c>
      <c r="E1197" s="2">
        <f>IFERROR(__xludf.DUMMYFUNCTION("""COMPUTED_VALUE"""),195.0)</f>
        <v>195</v>
      </c>
      <c r="F1197" s="2">
        <f>IFERROR(__xludf.DUMMYFUNCTION("""COMPUTED_VALUE"""),1857714.0)</f>
        <v>1857714</v>
      </c>
    </row>
    <row r="1198">
      <c r="A1198" s="3">
        <f>IFERROR(__xludf.DUMMYFUNCTION("""COMPUTED_VALUE"""),39997.645833333336)</f>
        <v>39997.64583</v>
      </c>
      <c r="B1198" s="2">
        <f>IFERROR(__xludf.DUMMYFUNCTION("""COMPUTED_VALUE"""),192.5)</f>
        <v>192.5</v>
      </c>
      <c r="C1198" s="2">
        <f>IFERROR(__xludf.DUMMYFUNCTION("""COMPUTED_VALUE"""),196.2)</f>
        <v>196.2</v>
      </c>
      <c r="D1198" s="2">
        <f>IFERROR(__xludf.DUMMYFUNCTION("""COMPUTED_VALUE"""),192.5)</f>
        <v>192.5</v>
      </c>
      <c r="E1198" s="2">
        <f>IFERROR(__xludf.DUMMYFUNCTION("""COMPUTED_VALUE"""),195.48)</f>
        <v>195.48</v>
      </c>
      <c r="F1198" s="2">
        <f>IFERROR(__xludf.DUMMYFUNCTION("""COMPUTED_VALUE"""),1459922.0)</f>
        <v>1459922</v>
      </c>
    </row>
    <row r="1199">
      <c r="A1199" s="3">
        <f>IFERROR(__xludf.DUMMYFUNCTION("""COMPUTED_VALUE"""),40000.645833333336)</f>
        <v>40000.64583</v>
      </c>
      <c r="B1199" s="2">
        <f>IFERROR(__xludf.DUMMYFUNCTION("""COMPUTED_VALUE"""),198.5)</f>
        <v>198.5</v>
      </c>
      <c r="C1199" s="2">
        <f>IFERROR(__xludf.DUMMYFUNCTION("""COMPUTED_VALUE"""),199.23)</f>
        <v>199.23</v>
      </c>
      <c r="D1199" s="2">
        <f>IFERROR(__xludf.DUMMYFUNCTION("""COMPUTED_VALUE"""),189.18)</f>
        <v>189.18</v>
      </c>
      <c r="E1199" s="2">
        <f>IFERROR(__xludf.DUMMYFUNCTION("""COMPUTED_VALUE"""),190.35)</f>
        <v>190.35</v>
      </c>
      <c r="F1199" s="2">
        <f>IFERROR(__xludf.DUMMYFUNCTION("""COMPUTED_VALUE"""),2244458.0)</f>
        <v>2244458</v>
      </c>
    </row>
    <row r="1200">
      <c r="A1200" s="3">
        <f>IFERROR(__xludf.DUMMYFUNCTION("""COMPUTED_VALUE"""),40001.645833333336)</f>
        <v>40001.64583</v>
      </c>
      <c r="B1200" s="2">
        <f>IFERROR(__xludf.DUMMYFUNCTION("""COMPUTED_VALUE"""),192.0)</f>
        <v>192</v>
      </c>
      <c r="C1200" s="2">
        <f>IFERROR(__xludf.DUMMYFUNCTION("""COMPUTED_VALUE"""),196.63)</f>
        <v>196.63</v>
      </c>
      <c r="D1200" s="2">
        <f>IFERROR(__xludf.DUMMYFUNCTION("""COMPUTED_VALUE"""),190.0)</f>
        <v>190</v>
      </c>
      <c r="E1200" s="2">
        <f>IFERROR(__xludf.DUMMYFUNCTION("""COMPUTED_VALUE"""),194.58)</f>
        <v>194.58</v>
      </c>
      <c r="F1200" s="2">
        <f>IFERROR(__xludf.DUMMYFUNCTION("""COMPUTED_VALUE"""),1902284.0)</f>
        <v>1902284</v>
      </c>
    </row>
    <row r="1201">
      <c r="A1201" s="3">
        <f>IFERROR(__xludf.DUMMYFUNCTION("""COMPUTED_VALUE"""),40002.645833333336)</f>
        <v>40002.64583</v>
      </c>
      <c r="B1201" s="2">
        <f>IFERROR(__xludf.DUMMYFUNCTION("""COMPUTED_VALUE"""),194.35)</f>
        <v>194.35</v>
      </c>
      <c r="C1201" s="2">
        <f>IFERROR(__xludf.DUMMYFUNCTION("""COMPUTED_VALUE"""),194.45)</f>
        <v>194.45</v>
      </c>
      <c r="D1201" s="2">
        <f>IFERROR(__xludf.DUMMYFUNCTION("""COMPUTED_VALUE"""),184.13)</f>
        <v>184.13</v>
      </c>
      <c r="E1201" s="2">
        <f>IFERROR(__xludf.DUMMYFUNCTION("""COMPUTED_VALUE"""),190.58)</f>
        <v>190.58</v>
      </c>
      <c r="F1201" s="2">
        <f>IFERROR(__xludf.DUMMYFUNCTION("""COMPUTED_VALUE"""),3347383.0)</f>
        <v>3347383</v>
      </c>
    </row>
    <row r="1202">
      <c r="A1202" s="3">
        <f>IFERROR(__xludf.DUMMYFUNCTION("""COMPUTED_VALUE"""),40003.645833333336)</f>
        <v>40003.64583</v>
      </c>
      <c r="B1202" s="2">
        <f>IFERROR(__xludf.DUMMYFUNCTION("""COMPUTED_VALUE"""),191.05)</f>
        <v>191.05</v>
      </c>
      <c r="C1202" s="2">
        <f>IFERROR(__xludf.DUMMYFUNCTION("""COMPUTED_VALUE"""),195.55)</f>
        <v>195.55</v>
      </c>
      <c r="D1202" s="2">
        <f>IFERROR(__xludf.DUMMYFUNCTION("""COMPUTED_VALUE"""),185.5)</f>
        <v>185.5</v>
      </c>
      <c r="E1202" s="2">
        <f>IFERROR(__xludf.DUMMYFUNCTION("""COMPUTED_VALUE"""),194.08)</f>
        <v>194.08</v>
      </c>
      <c r="F1202" s="2">
        <f>IFERROR(__xludf.DUMMYFUNCTION("""COMPUTED_VALUE"""),1982404.0)</f>
        <v>1982404</v>
      </c>
    </row>
    <row r="1203">
      <c r="A1203" s="3">
        <f>IFERROR(__xludf.DUMMYFUNCTION("""COMPUTED_VALUE"""),40004.645833333336)</f>
        <v>40004.64583</v>
      </c>
      <c r="B1203" s="2">
        <f>IFERROR(__xludf.DUMMYFUNCTION("""COMPUTED_VALUE"""),195.5)</f>
        <v>195.5</v>
      </c>
      <c r="C1203" s="2">
        <f>IFERROR(__xludf.DUMMYFUNCTION("""COMPUTED_VALUE"""),200.73)</f>
        <v>200.73</v>
      </c>
      <c r="D1203" s="2">
        <f>IFERROR(__xludf.DUMMYFUNCTION("""COMPUTED_VALUE"""),195.0)</f>
        <v>195</v>
      </c>
      <c r="E1203" s="2">
        <f>IFERROR(__xludf.DUMMYFUNCTION("""COMPUTED_VALUE"""),197.58)</f>
        <v>197.58</v>
      </c>
      <c r="F1203" s="2">
        <f>IFERROR(__xludf.DUMMYFUNCTION("""COMPUTED_VALUE"""),3734374.0)</f>
        <v>3734374</v>
      </c>
    </row>
    <row r="1204">
      <c r="A1204" s="3">
        <f>IFERROR(__xludf.DUMMYFUNCTION("""COMPUTED_VALUE"""),40007.645833333336)</f>
        <v>40007.64583</v>
      </c>
      <c r="B1204" s="2">
        <f>IFERROR(__xludf.DUMMYFUNCTION("""COMPUTED_VALUE"""),195.0)</f>
        <v>195</v>
      </c>
      <c r="C1204" s="2">
        <f>IFERROR(__xludf.DUMMYFUNCTION("""COMPUTED_VALUE"""),200.5)</f>
        <v>200.5</v>
      </c>
      <c r="D1204" s="2">
        <f>IFERROR(__xludf.DUMMYFUNCTION("""COMPUTED_VALUE"""),194.13)</f>
        <v>194.13</v>
      </c>
      <c r="E1204" s="2">
        <f>IFERROR(__xludf.DUMMYFUNCTION("""COMPUTED_VALUE"""),198.75)</f>
        <v>198.75</v>
      </c>
      <c r="F1204" s="2">
        <f>IFERROR(__xludf.DUMMYFUNCTION("""COMPUTED_VALUE"""),2559916.0)</f>
        <v>2559916</v>
      </c>
    </row>
    <row r="1205">
      <c r="A1205" s="3">
        <f>IFERROR(__xludf.DUMMYFUNCTION("""COMPUTED_VALUE"""),40008.645833333336)</f>
        <v>40008.64583</v>
      </c>
      <c r="B1205" s="2">
        <f>IFERROR(__xludf.DUMMYFUNCTION("""COMPUTED_VALUE"""),202.5)</f>
        <v>202.5</v>
      </c>
      <c r="C1205" s="2">
        <f>IFERROR(__xludf.DUMMYFUNCTION("""COMPUTED_VALUE"""),205.55)</f>
        <v>205.55</v>
      </c>
      <c r="D1205" s="2">
        <f>IFERROR(__xludf.DUMMYFUNCTION("""COMPUTED_VALUE"""),200.2)</f>
        <v>200.2</v>
      </c>
      <c r="E1205" s="2">
        <f>IFERROR(__xludf.DUMMYFUNCTION("""COMPUTED_VALUE"""),203.48)</f>
        <v>203.48</v>
      </c>
      <c r="F1205" s="2">
        <f>IFERROR(__xludf.DUMMYFUNCTION("""COMPUTED_VALUE"""),2232068.0)</f>
        <v>2232068</v>
      </c>
    </row>
    <row r="1206">
      <c r="A1206" s="3">
        <f>IFERROR(__xludf.DUMMYFUNCTION("""COMPUTED_VALUE"""),40009.645833333336)</f>
        <v>40009.64583</v>
      </c>
      <c r="B1206" s="2">
        <f>IFERROR(__xludf.DUMMYFUNCTION("""COMPUTED_VALUE"""),205.45)</f>
        <v>205.45</v>
      </c>
      <c r="C1206" s="2">
        <f>IFERROR(__xludf.DUMMYFUNCTION("""COMPUTED_VALUE"""),213.65)</f>
        <v>213.65</v>
      </c>
      <c r="D1206" s="2">
        <f>IFERROR(__xludf.DUMMYFUNCTION("""COMPUTED_VALUE"""),205.0)</f>
        <v>205</v>
      </c>
      <c r="E1206" s="2">
        <f>IFERROR(__xludf.DUMMYFUNCTION("""COMPUTED_VALUE"""),211.58)</f>
        <v>211.58</v>
      </c>
      <c r="F1206" s="2">
        <f>IFERROR(__xludf.DUMMYFUNCTION("""COMPUTED_VALUE"""),2235047.0)</f>
        <v>2235047</v>
      </c>
    </row>
    <row r="1207">
      <c r="A1207" s="3">
        <f>IFERROR(__xludf.DUMMYFUNCTION("""COMPUTED_VALUE"""),40010.645833333336)</f>
        <v>40010.64583</v>
      </c>
      <c r="B1207" s="2">
        <f>IFERROR(__xludf.DUMMYFUNCTION("""COMPUTED_VALUE"""),214.0)</f>
        <v>214</v>
      </c>
      <c r="C1207" s="2">
        <f>IFERROR(__xludf.DUMMYFUNCTION("""COMPUTED_VALUE"""),217.4)</f>
        <v>217.4</v>
      </c>
      <c r="D1207" s="2">
        <f>IFERROR(__xludf.DUMMYFUNCTION("""COMPUTED_VALUE"""),206.6)</f>
        <v>206.6</v>
      </c>
      <c r="E1207" s="2">
        <f>IFERROR(__xludf.DUMMYFUNCTION("""COMPUTED_VALUE"""),209.9)</f>
        <v>209.9</v>
      </c>
      <c r="F1207" s="2">
        <f>IFERROR(__xludf.DUMMYFUNCTION("""COMPUTED_VALUE"""),3798438.0)</f>
        <v>3798438</v>
      </c>
    </row>
    <row r="1208">
      <c r="A1208" s="3">
        <f>IFERROR(__xludf.DUMMYFUNCTION("""COMPUTED_VALUE"""),40011.645833333336)</f>
        <v>40011.64583</v>
      </c>
      <c r="B1208" s="2">
        <f>IFERROR(__xludf.DUMMYFUNCTION("""COMPUTED_VALUE"""),210.7)</f>
        <v>210.7</v>
      </c>
      <c r="C1208" s="2">
        <f>IFERROR(__xludf.DUMMYFUNCTION("""COMPUTED_VALUE"""),222.88)</f>
        <v>222.88</v>
      </c>
      <c r="D1208" s="2">
        <f>IFERROR(__xludf.DUMMYFUNCTION("""COMPUTED_VALUE"""),210.5)</f>
        <v>210.5</v>
      </c>
      <c r="E1208" s="2">
        <f>IFERROR(__xludf.DUMMYFUNCTION("""COMPUTED_VALUE"""),217.05)</f>
        <v>217.05</v>
      </c>
      <c r="F1208" s="2">
        <f>IFERROR(__xludf.DUMMYFUNCTION("""COMPUTED_VALUE"""),4547478.0)</f>
        <v>4547478</v>
      </c>
    </row>
    <row r="1209">
      <c r="A1209" s="3">
        <f>IFERROR(__xludf.DUMMYFUNCTION("""COMPUTED_VALUE"""),40014.645833333336)</f>
        <v>40014.64583</v>
      </c>
      <c r="B1209" s="2">
        <f>IFERROR(__xludf.DUMMYFUNCTION("""COMPUTED_VALUE"""),222.5)</f>
        <v>222.5</v>
      </c>
      <c r="C1209" s="2">
        <f>IFERROR(__xludf.DUMMYFUNCTION("""COMPUTED_VALUE"""),257.45)</f>
        <v>257.45</v>
      </c>
      <c r="D1209" s="2">
        <f>IFERROR(__xludf.DUMMYFUNCTION("""COMPUTED_VALUE"""),222.5)</f>
        <v>222.5</v>
      </c>
      <c r="E1209" s="2">
        <f>IFERROR(__xludf.DUMMYFUNCTION("""COMPUTED_VALUE"""),250.28)</f>
        <v>250.28</v>
      </c>
      <c r="F1209" s="2">
        <f>IFERROR(__xludf.DUMMYFUNCTION("""COMPUTED_VALUE"""),1.7269768E7)</f>
        <v>17269768</v>
      </c>
    </row>
    <row r="1210">
      <c r="A1210" s="3">
        <f>IFERROR(__xludf.DUMMYFUNCTION("""COMPUTED_VALUE"""),40015.645833333336)</f>
        <v>40015.64583</v>
      </c>
      <c r="B1210" s="2">
        <f>IFERROR(__xludf.DUMMYFUNCTION("""COMPUTED_VALUE"""),251.5)</f>
        <v>251.5</v>
      </c>
      <c r="C1210" s="2">
        <f>IFERROR(__xludf.DUMMYFUNCTION("""COMPUTED_VALUE"""),256.58)</f>
        <v>256.58</v>
      </c>
      <c r="D1210" s="2">
        <f>IFERROR(__xludf.DUMMYFUNCTION("""COMPUTED_VALUE"""),237.03)</f>
        <v>237.03</v>
      </c>
      <c r="E1210" s="2">
        <f>IFERROR(__xludf.DUMMYFUNCTION("""COMPUTED_VALUE"""),238.8)</f>
        <v>238.8</v>
      </c>
      <c r="F1210" s="2">
        <f>IFERROR(__xludf.DUMMYFUNCTION("""COMPUTED_VALUE"""),6502910.0)</f>
        <v>6502910</v>
      </c>
    </row>
    <row r="1211">
      <c r="A1211" s="3">
        <f>IFERROR(__xludf.DUMMYFUNCTION("""COMPUTED_VALUE"""),40016.645833333336)</f>
        <v>40016.64583</v>
      </c>
      <c r="B1211" s="2">
        <f>IFERROR(__xludf.DUMMYFUNCTION("""COMPUTED_VALUE"""),241.85)</f>
        <v>241.85</v>
      </c>
      <c r="C1211" s="2">
        <f>IFERROR(__xludf.DUMMYFUNCTION("""COMPUTED_VALUE"""),242.5)</f>
        <v>242.5</v>
      </c>
      <c r="D1211" s="2">
        <f>IFERROR(__xludf.DUMMYFUNCTION("""COMPUTED_VALUE"""),226.15)</f>
        <v>226.15</v>
      </c>
      <c r="E1211" s="2">
        <f>IFERROR(__xludf.DUMMYFUNCTION("""COMPUTED_VALUE"""),233.15)</f>
        <v>233.15</v>
      </c>
      <c r="F1211" s="2">
        <f>IFERROR(__xludf.DUMMYFUNCTION("""COMPUTED_VALUE"""),5337345.0)</f>
        <v>5337345</v>
      </c>
    </row>
    <row r="1212">
      <c r="A1212" s="3">
        <f>IFERROR(__xludf.DUMMYFUNCTION("""COMPUTED_VALUE"""),40017.645833333336)</f>
        <v>40017.64583</v>
      </c>
      <c r="B1212" s="2">
        <f>IFERROR(__xludf.DUMMYFUNCTION("""COMPUTED_VALUE"""),235.5)</f>
        <v>235.5</v>
      </c>
      <c r="C1212" s="2">
        <f>IFERROR(__xludf.DUMMYFUNCTION("""COMPUTED_VALUE"""),241.45)</f>
        <v>241.45</v>
      </c>
      <c r="D1212" s="2">
        <f>IFERROR(__xludf.DUMMYFUNCTION("""COMPUTED_VALUE"""),235.0)</f>
        <v>235</v>
      </c>
      <c r="E1212" s="2">
        <f>IFERROR(__xludf.DUMMYFUNCTION("""COMPUTED_VALUE"""),237.83)</f>
        <v>237.83</v>
      </c>
      <c r="F1212" s="2">
        <f>IFERROR(__xludf.DUMMYFUNCTION("""COMPUTED_VALUE"""),3831339.0)</f>
        <v>3831339</v>
      </c>
    </row>
    <row r="1213">
      <c r="A1213" s="3">
        <f>IFERROR(__xludf.DUMMYFUNCTION("""COMPUTED_VALUE"""),40018.645833333336)</f>
        <v>40018.64583</v>
      </c>
      <c r="B1213" s="2">
        <f>IFERROR(__xludf.DUMMYFUNCTION("""COMPUTED_VALUE"""),245.0)</f>
        <v>245</v>
      </c>
      <c r="C1213" s="2">
        <f>IFERROR(__xludf.DUMMYFUNCTION("""COMPUTED_VALUE"""),245.0)</f>
        <v>245</v>
      </c>
      <c r="D1213" s="2">
        <f>IFERROR(__xludf.DUMMYFUNCTION("""COMPUTED_VALUE"""),238.0)</f>
        <v>238</v>
      </c>
      <c r="E1213" s="2">
        <f>IFERROR(__xludf.DUMMYFUNCTION("""COMPUTED_VALUE"""),241.0)</f>
        <v>241</v>
      </c>
      <c r="F1213" s="2">
        <f>IFERROR(__xludf.DUMMYFUNCTION("""COMPUTED_VALUE"""),0.0)</f>
        <v>0</v>
      </c>
    </row>
    <row r="1214">
      <c r="A1214" s="3">
        <f>IFERROR(__xludf.DUMMYFUNCTION("""COMPUTED_VALUE"""),40021.645833333336)</f>
        <v>40021.64583</v>
      </c>
      <c r="B1214" s="2">
        <f>IFERROR(__xludf.DUMMYFUNCTION("""COMPUTED_VALUE"""),241.0)</f>
        <v>241</v>
      </c>
      <c r="C1214" s="2">
        <f>IFERROR(__xludf.DUMMYFUNCTION("""COMPUTED_VALUE"""),244.48)</f>
        <v>244.48</v>
      </c>
      <c r="D1214" s="2">
        <f>IFERROR(__xludf.DUMMYFUNCTION("""COMPUTED_VALUE"""),238.55)</f>
        <v>238.55</v>
      </c>
      <c r="E1214" s="2">
        <f>IFERROR(__xludf.DUMMYFUNCTION("""COMPUTED_VALUE"""),240.15)</f>
        <v>240.15</v>
      </c>
      <c r="F1214" s="2">
        <f>IFERROR(__xludf.DUMMYFUNCTION("""COMPUTED_VALUE"""),2326169.0)</f>
        <v>2326169</v>
      </c>
    </row>
    <row r="1215">
      <c r="A1215" s="3">
        <f>IFERROR(__xludf.DUMMYFUNCTION("""COMPUTED_VALUE"""),40022.645833333336)</f>
        <v>40022.64583</v>
      </c>
      <c r="B1215" s="2">
        <f>IFERROR(__xludf.DUMMYFUNCTION("""COMPUTED_VALUE"""),242.18)</f>
        <v>242.18</v>
      </c>
      <c r="C1215" s="2">
        <f>IFERROR(__xludf.DUMMYFUNCTION("""COMPUTED_VALUE"""),242.48)</f>
        <v>242.48</v>
      </c>
      <c r="D1215" s="2">
        <f>IFERROR(__xludf.DUMMYFUNCTION("""COMPUTED_VALUE"""),235.65)</f>
        <v>235.65</v>
      </c>
      <c r="E1215" s="2">
        <f>IFERROR(__xludf.DUMMYFUNCTION("""COMPUTED_VALUE"""),240.33)</f>
        <v>240.33</v>
      </c>
      <c r="F1215" s="2">
        <f>IFERROR(__xludf.DUMMYFUNCTION("""COMPUTED_VALUE"""),3167492.0)</f>
        <v>3167492</v>
      </c>
    </row>
    <row r="1216">
      <c r="A1216" s="3">
        <f>IFERROR(__xludf.DUMMYFUNCTION("""COMPUTED_VALUE"""),40023.645833333336)</f>
        <v>40023.64583</v>
      </c>
      <c r="B1216" s="2">
        <f>IFERROR(__xludf.DUMMYFUNCTION("""COMPUTED_VALUE"""),240.0)</f>
        <v>240</v>
      </c>
      <c r="C1216" s="2">
        <f>IFERROR(__xludf.DUMMYFUNCTION("""COMPUTED_VALUE"""),252.35)</f>
        <v>252.35</v>
      </c>
      <c r="D1216" s="2">
        <f>IFERROR(__xludf.DUMMYFUNCTION("""COMPUTED_VALUE"""),237.5)</f>
        <v>237.5</v>
      </c>
      <c r="E1216" s="2">
        <f>IFERROR(__xludf.DUMMYFUNCTION("""COMPUTED_VALUE"""),249.9)</f>
        <v>249.9</v>
      </c>
      <c r="F1216" s="2">
        <f>IFERROR(__xludf.DUMMYFUNCTION("""COMPUTED_VALUE"""),5536075.0)</f>
        <v>5536075</v>
      </c>
    </row>
    <row r="1217">
      <c r="A1217" s="3">
        <f>IFERROR(__xludf.DUMMYFUNCTION("""COMPUTED_VALUE"""),40024.645833333336)</f>
        <v>40024.64583</v>
      </c>
      <c r="B1217" s="2">
        <f>IFERROR(__xludf.DUMMYFUNCTION("""COMPUTED_VALUE"""),252.63)</f>
        <v>252.63</v>
      </c>
      <c r="C1217" s="2">
        <f>IFERROR(__xludf.DUMMYFUNCTION("""COMPUTED_VALUE"""),272.5)</f>
        <v>272.5</v>
      </c>
      <c r="D1217" s="2">
        <f>IFERROR(__xludf.DUMMYFUNCTION("""COMPUTED_VALUE"""),245.13)</f>
        <v>245.13</v>
      </c>
      <c r="E1217" s="2">
        <f>IFERROR(__xludf.DUMMYFUNCTION("""COMPUTED_VALUE"""),266.55)</f>
        <v>266.55</v>
      </c>
      <c r="F1217" s="2">
        <f>IFERROR(__xludf.DUMMYFUNCTION("""COMPUTED_VALUE"""),7836241.0)</f>
        <v>7836241</v>
      </c>
    </row>
    <row r="1218">
      <c r="A1218" s="3">
        <f>IFERROR(__xludf.DUMMYFUNCTION("""COMPUTED_VALUE"""),40025.645833333336)</f>
        <v>40025.64583</v>
      </c>
      <c r="B1218" s="2">
        <f>IFERROR(__xludf.DUMMYFUNCTION("""COMPUTED_VALUE"""),269.5)</f>
        <v>269.5</v>
      </c>
      <c r="C1218" s="2">
        <f>IFERROR(__xludf.DUMMYFUNCTION("""COMPUTED_VALUE"""),270.0)</f>
        <v>270</v>
      </c>
      <c r="D1218" s="2">
        <f>IFERROR(__xludf.DUMMYFUNCTION("""COMPUTED_VALUE"""),260.7)</f>
        <v>260.7</v>
      </c>
      <c r="E1218" s="2">
        <f>IFERROR(__xludf.DUMMYFUNCTION("""COMPUTED_VALUE"""),262.98)</f>
        <v>262.98</v>
      </c>
      <c r="F1218" s="2">
        <f>IFERROR(__xludf.DUMMYFUNCTION("""COMPUTED_VALUE"""),2817483.0)</f>
        <v>2817483</v>
      </c>
    </row>
    <row r="1219">
      <c r="A1219" s="3">
        <f>IFERROR(__xludf.DUMMYFUNCTION("""COMPUTED_VALUE"""),40028.645833333336)</f>
        <v>40028.64583</v>
      </c>
      <c r="B1219" s="2">
        <f>IFERROR(__xludf.DUMMYFUNCTION("""COMPUTED_VALUE"""),265.0)</f>
        <v>265</v>
      </c>
      <c r="C1219" s="2">
        <f>IFERROR(__xludf.DUMMYFUNCTION("""COMPUTED_VALUE"""),267.42)</f>
        <v>267.42</v>
      </c>
      <c r="D1219" s="2">
        <f>IFERROR(__xludf.DUMMYFUNCTION("""COMPUTED_VALUE"""),260.55)</f>
        <v>260.55</v>
      </c>
      <c r="E1219" s="2">
        <f>IFERROR(__xludf.DUMMYFUNCTION("""COMPUTED_VALUE"""),265.83)</f>
        <v>265.83</v>
      </c>
      <c r="F1219" s="2">
        <f>IFERROR(__xludf.DUMMYFUNCTION("""COMPUTED_VALUE"""),1760274.0)</f>
        <v>1760274</v>
      </c>
    </row>
    <row r="1220">
      <c r="A1220" s="3">
        <f>IFERROR(__xludf.DUMMYFUNCTION("""COMPUTED_VALUE"""),40029.645833333336)</f>
        <v>40029.64583</v>
      </c>
      <c r="B1220" s="2">
        <f>IFERROR(__xludf.DUMMYFUNCTION("""COMPUTED_VALUE"""),260.25)</f>
        <v>260.25</v>
      </c>
      <c r="C1220" s="2">
        <f>IFERROR(__xludf.DUMMYFUNCTION("""COMPUTED_VALUE"""),270.6)</f>
        <v>270.6</v>
      </c>
      <c r="D1220" s="2">
        <f>IFERROR(__xludf.DUMMYFUNCTION("""COMPUTED_VALUE"""),260.25)</f>
        <v>260.25</v>
      </c>
      <c r="E1220" s="2">
        <f>IFERROR(__xludf.DUMMYFUNCTION("""COMPUTED_VALUE"""),265.08)</f>
        <v>265.08</v>
      </c>
      <c r="F1220" s="2">
        <f>IFERROR(__xludf.DUMMYFUNCTION("""COMPUTED_VALUE"""),2740646.0)</f>
        <v>2740646</v>
      </c>
    </row>
    <row r="1221">
      <c r="A1221" s="3">
        <f>IFERROR(__xludf.DUMMYFUNCTION("""COMPUTED_VALUE"""),40030.645833333336)</f>
        <v>40030.64583</v>
      </c>
      <c r="B1221" s="2">
        <f>IFERROR(__xludf.DUMMYFUNCTION("""COMPUTED_VALUE"""),264.75)</f>
        <v>264.75</v>
      </c>
      <c r="C1221" s="2">
        <f>IFERROR(__xludf.DUMMYFUNCTION("""COMPUTED_VALUE"""),268.48)</f>
        <v>268.48</v>
      </c>
      <c r="D1221" s="2">
        <f>IFERROR(__xludf.DUMMYFUNCTION("""COMPUTED_VALUE"""),253.78)</f>
        <v>253.78</v>
      </c>
      <c r="E1221" s="2">
        <f>IFERROR(__xludf.DUMMYFUNCTION("""COMPUTED_VALUE"""),264.5)</f>
        <v>264.5</v>
      </c>
      <c r="F1221" s="2">
        <f>IFERROR(__xludf.DUMMYFUNCTION("""COMPUTED_VALUE"""),3212005.0)</f>
        <v>3212005</v>
      </c>
    </row>
    <row r="1222">
      <c r="A1222" s="3">
        <f>IFERROR(__xludf.DUMMYFUNCTION("""COMPUTED_VALUE"""),40031.645833333336)</f>
        <v>40031.64583</v>
      </c>
      <c r="B1222" s="2">
        <f>IFERROR(__xludf.DUMMYFUNCTION("""COMPUTED_VALUE"""),264.5)</f>
        <v>264.5</v>
      </c>
      <c r="C1222" s="2">
        <f>IFERROR(__xludf.DUMMYFUNCTION("""COMPUTED_VALUE"""),267.2)</f>
        <v>267.2</v>
      </c>
      <c r="D1222" s="2">
        <f>IFERROR(__xludf.DUMMYFUNCTION("""COMPUTED_VALUE"""),257.1)</f>
        <v>257.1</v>
      </c>
      <c r="E1222" s="2">
        <f>IFERROR(__xludf.DUMMYFUNCTION("""COMPUTED_VALUE"""),258.7)</f>
        <v>258.7</v>
      </c>
      <c r="F1222" s="2">
        <f>IFERROR(__xludf.DUMMYFUNCTION("""COMPUTED_VALUE"""),2089374.0)</f>
        <v>2089374</v>
      </c>
    </row>
    <row r="1223">
      <c r="A1223" s="3">
        <f>IFERROR(__xludf.DUMMYFUNCTION("""COMPUTED_VALUE"""),40032.645833333336)</f>
        <v>40032.64583</v>
      </c>
      <c r="B1223" s="2">
        <f>IFERROR(__xludf.DUMMYFUNCTION("""COMPUTED_VALUE"""),258.3)</f>
        <v>258.3</v>
      </c>
      <c r="C1223" s="2">
        <f>IFERROR(__xludf.DUMMYFUNCTION("""COMPUTED_VALUE"""),260.98)</f>
        <v>260.98</v>
      </c>
      <c r="D1223" s="2">
        <f>IFERROR(__xludf.DUMMYFUNCTION("""COMPUTED_VALUE"""),253.05)</f>
        <v>253.05</v>
      </c>
      <c r="E1223" s="2">
        <f>IFERROR(__xludf.DUMMYFUNCTION("""COMPUTED_VALUE"""),254.55)</f>
        <v>254.55</v>
      </c>
      <c r="F1223" s="2">
        <f>IFERROR(__xludf.DUMMYFUNCTION("""COMPUTED_VALUE"""),2276333.0)</f>
        <v>2276333</v>
      </c>
    </row>
    <row r="1224">
      <c r="A1224" s="3">
        <f>IFERROR(__xludf.DUMMYFUNCTION("""COMPUTED_VALUE"""),40035.645833333336)</f>
        <v>40035.64583</v>
      </c>
      <c r="B1224" s="2">
        <f>IFERROR(__xludf.DUMMYFUNCTION("""COMPUTED_VALUE"""),257.58)</f>
        <v>257.58</v>
      </c>
      <c r="C1224" s="2">
        <f>IFERROR(__xludf.DUMMYFUNCTION("""COMPUTED_VALUE"""),275.88)</f>
        <v>275.88</v>
      </c>
      <c r="D1224" s="2">
        <f>IFERROR(__xludf.DUMMYFUNCTION("""COMPUTED_VALUE"""),257.0)</f>
        <v>257</v>
      </c>
      <c r="E1224" s="2">
        <f>IFERROR(__xludf.DUMMYFUNCTION("""COMPUTED_VALUE"""),269.52)</f>
        <v>269.52</v>
      </c>
      <c r="F1224" s="2">
        <f>IFERROR(__xludf.DUMMYFUNCTION("""COMPUTED_VALUE"""),5311988.0)</f>
        <v>5311988</v>
      </c>
    </row>
    <row r="1225">
      <c r="A1225" s="3">
        <f>IFERROR(__xludf.DUMMYFUNCTION("""COMPUTED_VALUE"""),40036.645833333336)</f>
        <v>40036.64583</v>
      </c>
      <c r="B1225" s="2">
        <f>IFERROR(__xludf.DUMMYFUNCTION("""COMPUTED_VALUE"""),268.75)</f>
        <v>268.75</v>
      </c>
      <c r="C1225" s="2">
        <f>IFERROR(__xludf.DUMMYFUNCTION("""COMPUTED_VALUE"""),279.0)</f>
        <v>279</v>
      </c>
      <c r="D1225" s="2">
        <f>IFERROR(__xludf.DUMMYFUNCTION("""COMPUTED_VALUE"""),267.05)</f>
        <v>267.05</v>
      </c>
      <c r="E1225" s="2">
        <f>IFERROR(__xludf.DUMMYFUNCTION("""COMPUTED_VALUE"""),270.95)</f>
        <v>270.95</v>
      </c>
      <c r="F1225" s="2">
        <f>IFERROR(__xludf.DUMMYFUNCTION("""COMPUTED_VALUE"""),4421740.0)</f>
        <v>4421740</v>
      </c>
    </row>
    <row r="1226">
      <c r="A1226" s="3">
        <f>IFERROR(__xludf.DUMMYFUNCTION("""COMPUTED_VALUE"""),40037.645833333336)</f>
        <v>40037.64583</v>
      </c>
      <c r="B1226" s="2">
        <f>IFERROR(__xludf.DUMMYFUNCTION("""COMPUTED_VALUE"""),267.5)</f>
        <v>267.5</v>
      </c>
      <c r="C1226" s="2">
        <f>IFERROR(__xludf.DUMMYFUNCTION("""COMPUTED_VALUE"""),268.0)</f>
        <v>268</v>
      </c>
      <c r="D1226" s="2">
        <f>IFERROR(__xludf.DUMMYFUNCTION("""COMPUTED_VALUE"""),255.5)</f>
        <v>255.5</v>
      </c>
      <c r="E1226" s="2">
        <f>IFERROR(__xludf.DUMMYFUNCTION("""COMPUTED_VALUE"""),259.83)</f>
        <v>259.83</v>
      </c>
      <c r="F1226" s="2">
        <f>IFERROR(__xludf.DUMMYFUNCTION("""COMPUTED_VALUE"""),5663268.0)</f>
        <v>5663268</v>
      </c>
    </row>
    <row r="1227">
      <c r="A1227" s="3">
        <f>IFERROR(__xludf.DUMMYFUNCTION("""COMPUTED_VALUE"""),40038.645833333336)</f>
        <v>40038.64583</v>
      </c>
      <c r="B1227" s="2">
        <f>IFERROR(__xludf.DUMMYFUNCTION("""COMPUTED_VALUE"""),267.2)</f>
        <v>267.2</v>
      </c>
      <c r="C1227" s="2">
        <f>IFERROR(__xludf.DUMMYFUNCTION("""COMPUTED_VALUE"""),267.2)</f>
        <v>267.2</v>
      </c>
      <c r="D1227" s="2">
        <f>IFERROR(__xludf.DUMMYFUNCTION("""COMPUTED_VALUE"""),259.8)</f>
        <v>259.8</v>
      </c>
      <c r="E1227" s="2">
        <f>IFERROR(__xludf.DUMMYFUNCTION("""COMPUTED_VALUE"""),263.38)</f>
        <v>263.38</v>
      </c>
      <c r="F1227" s="2">
        <f>IFERROR(__xludf.DUMMYFUNCTION("""COMPUTED_VALUE"""),5016964.0)</f>
        <v>5016964</v>
      </c>
    </row>
    <row r="1228">
      <c r="A1228" s="3">
        <f>IFERROR(__xludf.DUMMYFUNCTION("""COMPUTED_VALUE"""),40039.645833333336)</f>
        <v>40039.64583</v>
      </c>
      <c r="B1228" s="2">
        <f>IFERROR(__xludf.DUMMYFUNCTION("""COMPUTED_VALUE"""),265.0)</f>
        <v>265</v>
      </c>
      <c r="C1228" s="2">
        <f>IFERROR(__xludf.DUMMYFUNCTION("""COMPUTED_VALUE"""),265.0)</f>
        <v>265</v>
      </c>
      <c r="D1228" s="2">
        <f>IFERROR(__xludf.DUMMYFUNCTION("""COMPUTED_VALUE"""),259.0)</f>
        <v>259</v>
      </c>
      <c r="E1228" s="2">
        <f>IFERROR(__xludf.DUMMYFUNCTION("""COMPUTED_VALUE"""),260.75)</f>
        <v>260.75</v>
      </c>
      <c r="F1228" s="2">
        <f>IFERROR(__xludf.DUMMYFUNCTION("""COMPUTED_VALUE"""),2575907.0)</f>
        <v>2575907</v>
      </c>
    </row>
    <row r="1229">
      <c r="A1229" s="3">
        <f>IFERROR(__xludf.DUMMYFUNCTION("""COMPUTED_VALUE"""),40042.645833333336)</f>
        <v>40042.64583</v>
      </c>
      <c r="B1229" s="2">
        <f>IFERROR(__xludf.DUMMYFUNCTION("""COMPUTED_VALUE"""),258.4)</f>
        <v>258.4</v>
      </c>
      <c r="C1229" s="2">
        <f>IFERROR(__xludf.DUMMYFUNCTION("""COMPUTED_VALUE"""),258.75)</f>
        <v>258.75</v>
      </c>
      <c r="D1229" s="2">
        <f>IFERROR(__xludf.DUMMYFUNCTION("""COMPUTED_VALUE"""),252.63)</f>
        <v>252.63</v>
      </c>
      <c r="E1229" s="2">
        <f>IFERROR(__xludf.DUMMYFUNCTION("""COMPUTED_VALUE"""),255.08)</f>
        <v>255.08</v>
      </c>
      <c r="F1229" s="2">
        <f>IFERROR(__xludf.DUMMYFUNCTION("""COMPUTED_VALUE"""),2981410.0)</f>
        <v>2981410</v>
      </c>
    </row>
    <row r="1230">
      <c r="A1230" s="3">
        <f>IFERROR(__xludf.DUMMYFUNCTION("""COMPUTED_VALUE"""),40043.645833333336)</f>
        <v>40043.64583</v>
      </c>
      <c r="B1230" s="2">
        <f>IFERROR(__xludf.DUMMYFUNCTION("""COMPUTED_VALUE"""),252.5)</f>
        <v>252.5</v>
      </c>
      <c r="C1230" s="2">
        <f>IFERROR(__xludf.DUMMYFUNCTION("""COMPUTED_VALUE"""),257.42)</f>
        <v>257.42</v>
      </c>
      <c r="D1230" s="2">
        <f>IFERROR(__xludf.DUMMYFUNCTION("""COMPUTED_VALUE"""),249.75)</f>
        <v>249.75</v>
      </c>
      <c r="E1230" s="2">
        <f>IFERROR(__xludf.DUMMYFUNCTION("""COMPUTED_VALUE"""),254.43)</f>
        <v>254.43</v>
      </c>
      <c r="F1230" s="2">
        <f>IFERROR(__xludf.DUMMYFUNCTION("""COMPUTED_VALUE"""),4074922.0)</f>
        <v>4074922</v>
      </c>
    </row>
    <row r="1231">
      <c r="A1231" s="3">
        <f>IFERROR(__xludf.DUMMYFUNCTION("""COMPUTED_VALUE"""),40044.645833333336)</f>
        <v>40044.64583</v>
      </c>
      <c r="B1231" s="2">
        <f>IFERROR(__xludf.DUMMYFUNCTION("""COMPUTED_VALUE"""),256.4)</f>
        <v>256.4</v>
      </c>
      <c r="C1231" s="2">
        <f>IFERROR(__xludf.DUMMYFUNCTION("""COMPUTED_VALUE"""),257.35)</f>
        <v>257.35</v>
      </c>
      <c r="D1231" s="2">
        <f>IFERROR(__xludf.DUMMYFUNCTION("""COMPUTED_VALUE"""),247.0)</f>
        <v>247</v>
      </c>
      <c r="E1231" s="2">
        <f>IFERROR(__xludf.DUMMYFUNCTION("""COMPUTED_VALUE"""),249.03)</f>
        <v>249.03</v>
      </c>
      <c r="F1231" s="2">
        <f>IFERROR(__xludf.DUMMYFUNCTION("""COMPUTED_VALUE"""),2801685.0)</f>
        <v>2801685</v>
      </c>
    </row>
    <row r="1232">
      <c r="A1232" s="3">
        <f>IFERROR(__xludf.DUMMYFUNCTION("""COMPUTED_VALUE"""),40045.645833333336)</f>
        <v>40045.64583</v>
      </c>
      <c r="B1232" s="2">
        <f>IFERROR(__xludf.DUMMYFUNCTION("""COMPUTED_VALUE"""),252.45)</f>
        <v>252.45</v>
      </c>
      <c r="C1232" s="2">
        <f>IFERROR(__xludf.DUMMYFUNCTION("""COMPUTED_VALUE"""),254.2)</f>
        <v>254.2</v>
      </c>
      <c r="D1232" s="2">
        <f>IFERROR(__xludf.DUMMYFUNCTION("""COMPUTED_VALUE"""),249.05)</f>
        <v>249.05</v>
      </c>
      <c r="E1232" s="2">
        <f>IFERROR(__xludf.DUMMYFUNCTION("""COMPUTED_VALUE"""),250.5)</f>
        <v>250.5</v>
      </c>
      <c r="F1232" s="2">
        <f>IFERROR(__xludf.DUMMYFUNCTION("""COMPUTED_VALUE"""),1830480.0)</f>
        <v>1830480</v>
      </c>
    </row>
    <row r="1233">
      <c r="A1233" s="3">
        <f>IFERROR(__xludf.DUMMYFUNCTION("""COMPUTED_VALUE"""),40046.645833333336)</f>
        <v>40046.64583</v>
      </c>
      <c r="B1233" s="2">
        <f>IFERROR(__xludf.DUMMYFUNCTION("""COMPUTED_VALUE"""),251.0)</f>
        <v>251</v>
      </c>
      <c r="C1233" s="2">
        <f>IFERROR(__xludf.DUMMYFUNCTION("""COMPUTED_VALUE"""),256.25)</f>
        <v>256.25</v>
      </c>
      <c r="D1233" s="2">
        <f>IFERROR(__xludf.DUMMYFUNCTION("""COMPUTED_VALUE"""),247.5)</f>
        <v>247.5</v>
      </c>
      <c r="E1233" s="2">
        <f>IFERROR(__xludf.DUMMYFUNCTION("""COMPUTED_VALUE"""),254.63)</f>
        <v>254.63</v>
      </c>
      <c r="F1233" s="2">
        <f>IFERROR(__xludf.DUMMYFUNCTION("""COMPUTED_VALUE"""),3464511.0)</f>
        <v>3464511</v>
      </c>
    </row>
    <row r="1234">
      <c r="A1234" s="3">
        <f>IFERROR(__xludf.DUMMYFUNCTION("""COMPUTED_VALUE"""),40049.645833333336)</f>
        <v>40049.64583</v>
      </c>
      <c r="B1234" s="2">
        <f>IFERROR(__xludf.DUMMYFUNCTION("""COMPUTED_VALUE"""),257.98)</f>
        <v>257.98</v>
      </c>
      <c r="C1234" s="2">
        <f>IFERROR(__xludf.DUMMYFUNCTION("""COMPUTED_VALUE"""),262.92)</f>
        <v>262.92</v>
      </c>
      <c r="D1234" s="2">
        <f>IFERROR(__xludf.DUMMYFUNCTION("""COMPUTED_VALUE"""),256.77)</f>
        <v>256.77</v>
      </c>
      <c r="E1234" s="2">
        <f>IFERROR(__xludf.DUMMYFUNCTION("""COMPUTED_VALUE"""),260.77)</f>
        <v>260.77</v>
      </c>
      <c r="F1234" s="2">
        <f>IFERROR(__xludf.DUMMYFUNCTION("""COMPUTED_VALUE"""),2103602.0)</f>
        <v>2103602</v>
      </c>
    </row>
    <row r="1235">
      <c r="A1235" s="3">
        <f>IFERROR(__xludf.DUMMYFUNCTION("""COMPUTED_VALUE"""),40050.645833333336)</f>
        <v>40050.64583</v>
      </c>
      <c r="B1235" s="2">
        <f>IFERROR(__xludf.DUMMYFUNCTION("""COMPUTED_VALUE"""),259.0)</f>
        <v>259</v>
      </c>
      <c r="C1235" s="2">
        <f>IFERROR(__xludf.DUMMYFUNCTION("""COMPUTED_VALUE"""),265.5)</f>
        <v>265.5</v>
      </c>
      <c r="D1235" s="2">
        <f>IFERROR(__xludf.DUMMYFUNCTION("""COMPUTED_VALUE"""),257.05)</f>
        <v>257.05</v>
      </c>
      <c r="E1235" s="2">
        <f>IFERROR(__xludf.DUMMYFUNCTION("""COMPUTED_VALUE"""),264.15)</f>
        <v>264.15</v>
      </c>
      <c r="F1235" s="2">
        <f>IFERROR(__xludf.DUMMYFUNCTION("""COMPUTED_VALUE"""),2764649.0)</f>
        <v>2764649</v>
      </c>
    </row>
    <row r="1236">
      <c r="A1236" s="3">
        <f>IFERROR(__xludf.DUMMYFUNCTION("""COMPUTED_VALUE"""),40051.645833333336)</f>
        <v>40051.64583</v>
      </c>
      <c r="B1236" s="2">
        <f>IFERROR(__xludf.DUMMYFUNCTION("""COMPUTED_VALUE"""),263.35)</f>
        <v>263.35</v>
      </c>
      <c r="C1236" s="2">
        <f>IFERROR(__xludf.DUMMYFUNCTION("""COMPUTED_VALUE"""),277.5)</f>
        <v>277.5</v>
      </c>
      <c r="D1236" s="2">
        <f>IFERROR(__xludf.DUMMYFUNCTION("""COMPUTED_VALUE"""),263.27)</f>
        <v>263.27</v>
      </c>
      <c r="E1236" s="2">
        <f>IFERROR(__xludf.DUMMYFUNCTION("""COMPUTED_VALUE"""),274.25)</f>
        <v>274.25</v>
      </c>
      <c r="F1236" s="2">
        <f>IFERROR(__xludf.DUMMYFUNCTION("""COMPUTED_VALUE"""),4426312.0)</f>
        <v>4426312</v>
      </c>
    </row>
    <row r="1237">
      <c r="A1237" s="3">
        <f>IFERROR(__xludf.DUMMYFUNCTION("""COMPUTED_VALUE"""),40052.645833333336)</f>
        <v>40052.64583</v>
      </c>
      <c r="B1237" s="2">
        <f>IFERROR(__xludf.DUMMYFUNCTION("""COMPUTED_VALUE"""),275.0)</f>
        <v>275</v>
      </c>
      <c r="C1237" s="2">
        <f>IFERROR(__xludf.DUMMYFUNCTION("""COMPUTED_VALUE"""),283.0)</f>
        <v>283</v>
      </c>
      <c r="D1237" s="2">
        <f>IFERROR(__xludf.DUMMYFUNCTION("""COMPUTED_VALUE"""),270.5)</f>
        <v>270.5</v>
      </c>
      <c r="E1237" s="2">
        <f>IFERROR(__xludf.DUMMYFUNCTION("""COMPUTED_VALUE"""),273.88)</f>
        <v>273.88</v>
      </c>
      <c r="F1237" s="2">
        <f>IFERROR(__xludf.DUMMYFUNCTION("""COMPUTED_VALUE"""),5115464.0)</f>
        <v>5115464</v>
      </c>
    </row>
    <row r="1238">
      <c r="A1238" s="3">
        <f>IFERROR(__xludf.DUMMYFUNCTION("""COMPUTED_VALUE"""),40053.645833333336)</f>
        <v>40053.64583</v>
      </c>
      <c r="B1238" s="2">
        <f>IFERROR(__xludf.DUMMYFUNCTION("""COMPUTED_VALUE"""),272.88)</f>
        <v>272.88</v>
      </c>
      <c r="C1238" s="2">
        <f>IFERROR(__xludf.DUMMYFUNCTION("""COMPUTED_VALUE"""),275.0)</f>
        <v>275</v>
      </c>
      <c r="D1238" s="2">
        <f>IFERROR(__xludf.DUMMYFUNCTION("""COMPUTED_VALUE"""),265.55)</f>
        <v>265.55</v>
      </c>
      <c r="E1238" s="2">
        <f>IFERROR(__xludf.DUMMYFUNCTION("""COMPUTED_VALUE"""),270.4)</f>
        <v>270.4</v>
      </c>
      <c r="F1238" s="2">
        <f>IFERROR(__xludf.DUMMYFUNCTION("""COMPUTED_VALUE"""),2281568.0)</f>
        <v>2281568</v>
      </c>
    </row>
    <row r="1239">
      <c r="A1239" s="3">
        <f>IFERROR(__xludf.DUMMYFUNCTION("""COMPUTED_VALUE"""),40056.645833333336)</f>
        <v>40056.64583</v>
      </c>
      <c r="B1239" s="2">
        <f>IFERROR(__xludf.DUMMYFUNCTION("""COMPUTED_VALUE"""),265.5)</f>
        <v>265.5</v>
      </c>
      <c r="C1239" s="2">
        <f>IFERROR(__xludf.DUMMYFUNCTION("""COMPUTED_VALUE"""),266.9)</f>
        <v>266.9</v>
      </c>
      <c r="D1239" s="2">
        <f>IFERROR(__xludf.DUMMYFUNCTION("""COMPUTED_VALUE"""),260.65)</f>
        <v>260.65</v>
      </c>
      <c r="E1239" s="2">
        <f>IFERROR(__xludf.DUMMYFUNCTION("""COMPUTED_VALUE"""),263.52)</f>
        <v>263.52</v>
      </c>
      <c r="F1239" s="2">
        <f>IFERROR(__xludf.DUMMYFUNCTION("""COMPUTED_VALUE"""),3585176.0)</f>
        <v>3585176</v>
      </c>
    </row>
    <row r="1240">
      <c r="A1240" s="3">
        <f>IFERROR(__xludf.DUMMYFUNCTION("""COMPUTED_VALUE"""),40057.645833333336)</f>
        <v>40057.64583</v>
      </c>
      <c r="B1240" s="2">
        <f>IFERROR(__xludf.DUMMYFUNCTION("""COMPUTED_VALUE"""),267.5)</f>
        <v>267.5</v>
      </c>
      <c r="C1240" s="2">
        <f>IFERROR(__xludf.DUMMYFUNCTION("""COMPUTED_VALUE"""),268.17)</f>
        <v>268.17</v>
      </c>
      <c r="D1240" s="2">
        <f>IFERROR(__xludf.DUMMYFUNCTION("""COMPUTED_VALUE"""),259.55)</f>
        <v>259.55</v>
      </c>
      <c r="E1240" s="2">
        <f>IFERROR(__xludf.DUMMYFUNCTION("""COMPUTED_VALUE"""),263.45)</f>
        <v>263.45</v>
      </c>
      <c r="F1240" s="2">
        <f>IFERROR(__xludf.DUMMYFUNCTION("""COMPUTED_VALUE"""),4931097.0)</f>
        <v>4931097</v>
      </c>
    </row>
    <row r="1241">
      <c r="A1241" s="3">
        <f>IFERROR(__xludf.DUMMYFUNCTION("""COMPUTED_VALUE"""),40058.645833333336)</f>
        <v>40058.64583</v>
      </c>
      <c r="B1241" s="2">
        <f>IFERROR(__xludf.DUMMYFUNCTION("""COMPUTED_VALUE"""),260.5)</f>
        <v>260.5</v>
      </c>
      <c r="C1241" s="2">
        <f>IFERROR(__xludf.DUMMYFUNCTION("""COMPUTED_VALUE"""),271.45)</f>
        <v>271.45</v>
      </c>
      <c r="D1241" s="2">
        <f>IFERROR(__xludf.DUMMYFUNCTION("""COMPUTED_VALUE"""),260.5)</f>
        <v>260.5</v>
      </c>
      <c r="E1241" s="2">
        <f>IFERROR(__xludf.DUMMYFUNCTION("""COMPUTED_VALUE"""),267.3)</f>
        <v>267.3</v>
      </c>
      <c r="F1241" s="2">
        <f>IFERROR(__xludf.DUMMYFUNCTION("""COMPUTED_VALUE"""),4080709.0)</f>
        <v>4080709</v>
      </c>
    </row>
    <row r="1242">
      <c r="A1242" s="3">
        <f>IFERROR(__xludf.DUMMYFUNCTION("""COMPUTED_VALUE"""),40059.645833333336)</f>
        <v>40059.64583</v>
      </c>
      <c r="B1242" s="2">
        <f>IFERROR(__xludf.DUMMYFUNCTION("""COMPUTED_VALUE"""),269.95)</f>
        <v>269.95</v>
      </c>
      <c r="C1242" s="2">
        <f>IFERROR(__xludf.DUMMYFUNCTION("""COMPUTED_VALUE"""),272.2)</f>
        <v>272.2</v>
      </c>
      <c r="D1242" s="2">
        <f>IFERROR(__xludf.DUMMYFUNCTION("""COMPUTED_VALUE"""),265.23)</f>
        <v>265.23</v>
      </c>
      <c r="E1242" s="2">
        <f>IFERROR(__xludf.DUMMYFUNCTION("""COMPUTED_VALUE"""),266.83)</f>
        <v>266.83</v>
      </c>
      <c r="F1242" s="2">
        <f>IFERROR(__xludf.DUMMYFUNCTION("""COMPUTED_VALUE"""),3898372.0)</f>
        <v>3898372</v>
      </c>
    </row>
    <row r="1243">
      <c r="A1243" s="3">
        <f>IFERROR(__xludf.DUMMYFUNCTION("""COMPUTED_VALUE"""),40060.645833333336)</f>
        <v>40060.64583</v>
      </c>
      <c r="B1243" s="2">
        <f>IFERROR(__xludf.DUMMYFUNCTION("""COMPUTED_VALUE"""),270.0)</f>
        <v>270</v>
      </c>
      <c r="C1243" s="2">
        <f>IFERROR(__xludf.DUMMYFUNCTION("""COMPUTED_VALUE"""),272.0)</f>
        <v>272</v>
      </c>
      <c r="D1243" s="2">
        <f>IFERROR(__xludf.DUMMYFUNCTION("""COMPUTED_VALUE"""),263.6)</f>
        <v>263.6</v>
      </c>
      <c r="E1243" s="2">
        <f>IFERROR(__xludf.DUMMYFUNCTION("""COMPUTED_VALUE"""),265.95)</f>
        <v>265.95</v>
      </c>
      <c r="F1243" s="2">
        <f>IFERROR(__xludf.DUMMYFUNCTION("""COMPUTED_VALUE"""),3131723.0)</f>
        <v>3131723</v>
      </c>
    </row>
    <row r="1244">
      <c r="A1244" s="3">
        <f>IFERROR(__xludf.DUMMYFUNCTION("""COMPUTED_VALUE"""),40063.645833333336)</f>
        <v>40063.64583</v>
      </c>
      <c r="B1244" s="2">
        <f>IFERROR(__xludf.DUMMYFUNCTION("""COMPUTED_VALUE"""),267.9)</f>
        <v>267.9</v>
      </c>
      <c r="C1244" s="2">
        <f>IFERROR(__xludf.DUMMYFUNCTION("""COMPUTED_VALUE"""),276.77)</f>
        <v>276.77</v>
      </c>
      <c r="D1244" s="2">
        <f>IFERROR(__xludf.DUMMYFUNCTION("""COMPUTED_VALUE"""),266.8)</f>
        <v>266.8</v>
      </c>
      <c r="E1244" s="2">
        <f>IFERROR(__xludf.DUMMYFUNCTION("""COMPUTED_VALUE"""),275.48)</f>
        <v>275.48</v>
      </c>
      <c r="F1244" s="2">
        <f>IFERROR(__xludf.DUMMYFUNCTION("""COMPUTED_VALUE"""),2962860.0)</f>
        <v>2962860</v>
      </c>
    </row>
    <row r="1245">
      <c r="A1245" s="3">
        <f>IFERROR(__xludf.DUMMYFUNCTION("""COMPUTED_VALUE"""),40064.645833333336)</f>
        <v>40064.64583</v>
      </c>
      <c r="B1245" s="2">
        <f>IFERROR(__xludf.DUMMYFUNCTION("""COMPUTED_VALUE"""),275.95)</f>
        <v>275.95</v>
      </c>
      <c r="C1245" s="2">
        <f>IFERROR(__xludf.DUMMYFUNCTION("""COMPUTED_VALUE"""),285.25)</f>
        <v>285.25</v>
      </c>
      <c r="D1245" s="2">
        <f>IFERROR(__xludf.DUMMYFUNCTION("""COMPUTED_VALUE"""),274.83)</f>
        <v>274.83</v>
      </c>
      <c r="E1245" s="2">
        <f>IFERROR(__xludf.DUMMYFUNCTION("""COMPUTED_VALUE"""),277.33)</f>
        <v>277.33</v>
      </c>
      <c r="F1245" s="2">
        <f>IFERROR(__xludf.DUMMYFUNCTION("""COMPUTED_VALUE"""),4946021.0)</f>
        <v>4946021</v>
      </c>
    </row>
    <row r="1246">
      <c r="A1246" s="3">
        <f>IFERROR(__xludf.DUMMYFUNCTION("""COMPUTED_VALUE"""),40065.645833333336)</f>
        <v>40065.64583</v>
      </c>
      <c r="B1246" s="2">
        <f>IFERROR(__xludf.DUMMYFUNCTION("""COMPUTED_VALUE"""),278.0)</f>
        <v>278</v>
      </c>
      <c r="C1246" s="2">
        <f>IFERROR(__xludf.DUMMYFUNCTION("""COMPUTED_VALUE"""),282.4)</f>
        <v>282.4</v>
      </c>
      <c r="D1246" s="2">
        <f>IFERROR(__xludf.DUMMYFUNCTION("""COMPUTED_VALUE"""),271.58)</f>
        <v>271.58</v>
      </c>
      <c r="E1246" s="2">
        <f>IFERROR(__xludf.DUMMYFUNCTION("""COMPUTED_VALUE"""),280.23)</f>
        <v>280.23</v>
      </c>
      <c r="F1246" s="2">
        <f>IFERROR(__xludf.DUMMYFUNCTION("""COMPUTED_VALUE"""),3766093.0)</f>
        <v>3766093</v>
      </c>
    </row>
    <row r="1247">
      <c r="A1247" s="3">
        <f>IFERROR(__xludf.DUMMYFUNCTION("""COMPUTED_VALUE"""),40066.645833333336)</f>
        <v>40066.64583</v>
      </c>
      <c r="B1247" s="2">
        <f>IFERROR(__xludf.DUMMYFUNCTION("""COMPUTED_VALUE"""),282.0)</f>
        <v>282</v>
      </c>
      <c r="C1247" s="2">
        <f>IFERROR(__xludf.DUMMYFUNCTION("""COMPUTED_VALUE"""),284.5)</f>
        <v>284.5</v>
      </c>
      <c r="D1247" s="2">
        <f>IFERROR(__xludf.DUMMYFUNCTION("""COMPUTED_VALUE"""),276.02)</f>
        <v>276.02</v>
      </c>
      <c r="E1247" s="2">
        <f>IFERROR(__xludf.DUMMYFUNCTION("""COMPUTED_VALUE"""),278.27)</f>
        <v>278.27</v>
      </c>
      <c r="F1247" s="2">
        <f>IFERROR(__xludf.DUMMYFUNCTION("""COMPUTED_VALUE"""),2449457.0)</f>
        <v>2449457</v>
      </c>
    </row>
    <row r="1248">
      <c r="A1248" s="3">
        <f>IFERROR(__xludf.DUMMYFUNCTION("""COMPUTED_VALUE"""),40067.645833333336)</f>
        <v>40067.64583</v>
      </c>
      <c r="B1248" s="2">
        <f>IFERROR(__xludf.DUMMYFUNCTION("""COMPUTED_VALUE"""),280.5)</f>
        <v>280.5</v>
      </c>
      <c r="C1248" s="2">
        <f>IFERROR(__xludf.DUMMYFUNCTION("""COMPUTED_VALUE"""),284.5)</f>
        <v>284.5</v>
      </c>
      <c r="D1248" s="2">
        <f>IFERROR(__xludf.DUMMYFUNCTION("""COMPUTED_VALUE"""),277.75)</f>
        <v>277.75</v>
      </c>
      <c r="E1248" s="2">
        <f>IFERROR(__xludf.DUMMYFUNCTION("""COMPUTED_VALUE"""),280.17)</f>
        <v>280.17</v>
      </c>
      <c r="F1248" s="2">
        <f>IFERROR(__xludf.DUMMYFUNCTION("""COMPUTED_VALUE"""),4565148.0)</f>
        <v>4565148</v>
      </c>
    </row>
    <row r="1249">
      <c r="A1249" s="3">
        <f>IFERROR(__xludf.DUMMYFUNCTION("""COMPUTED_VALUE"""),40070.645833333336)</f>
        <v>40070.64583</v>
      </c>
      <c r="B1249" s="2">
        <f>IFERROR(__xludf.DUMMYFUNCTION("""COMPUTED_VALUE"""),266.83)</f>
        <v>266.83</v>
      </c>
      <c r="C1249" s="2">
        <f>IFERROR(__xludf.DUMMYFUNCTION("""COMPUTED_VALUE"""),281.95)</f>
        <v>281.95</v>
      </c>
      <c r="D1249" s="2">
        <f>IFERROR(__xludf.DUMMYFUNCTION("""COMPUTED_VALUE"""),266.83)</f>
        <v>266.83</v>
      </c>
      <c r="E1249" s="2">
        <f>IFERROR(__xludf.DUMMYFUNCTION("""COMPUTED_VALUE"""),279.55)</f>
        <v>279.55</v>
      </c>
      <c r="F1249" s="2">
        <f>IFERROR(__xludf.DUMMYFUNCTION("""COMPUTED_VALUE"""),1600486.0)</f>
        <v>1600486</v>
      </c>
    </row>
    <row r="1250">
      <c r="A1250" s="3">
        <f>IFERROR(__xludf.DUMMYFUNCTION("""COMPUTED_VALUE"""),40071.645833333336)</f>
        <v>40071.64583</v>
      </c>
      <c r="B1250" s="2">
        <f>IFERROR(__xludf.DUMMYFUNCTION("""COMPUTED_VALUE"""),282.0)</f>
        <v>282</v>
      </c>
      <c r="C1250" s="2">
        <f>IFERROR(__xludf.DUMMYFUNCTION("""COMPUTED_VALUE"""),287.85)</f>
        <v>287.85</v>
      </c>
      <c r="D1250" s="2">
        <f>IFERROR(__xludf.DUMMYFUNCTION("""COMPUTED_VALUE"""),281.0)</f>
        <v>281</v>
      </c>
      <c r="E1250" s="2">
        <f>IFERROR(__xludf.DUMMYFUNCTION("""COMPUTED_VALUE"""),285.95)</f>
        <v>285.95</v>
      </c>
      <c r="F1250" s="2">
        <f>IFERROR(__xludf.DUMMYFUNCTION("""COMPUTED_VALUE"""),2154093.0)</f>
        <v>2154093</v>
      </c>
    </row>
    <row r="1251">
      <c r="A1251" s="3">
        <f>IFERROR(__xludf.DUMMYFUNCTION("""COMPUTED_VALUE"""),40072.645833333336)</f>
        <v>40072.64583</v>
      </c>
      <c r="B1251" s="2">
        <f>IFERROR(__xludf.DUMMYFUNCTION("""COMPUTED_VALUE"""),289.5)</f>
        <v>289.5</v>
      </c>
      <c r="C1251" s="2">
        <f>IFERROR(__xludf.DUMMYFUNCTION("""COMPUTED_VALUE"""),289.98)</f>
        <v>289.98</v>
      </c>
      <c r="D1251" s="2">
        <f>IFERROR(__xludf.DUMMYFUNCTION("""COMPUTED_VALUE"""),282.6)</f>
        <v>282.6</v>
      </c>
      <c r="E1251" s="2">
        <f>IFERROR(__xludf.DUMMYFUNCTION("""COMPUTED_VALUE"""),285.25)</f>
        <v>285.25</v>
      </c>
      <c r="F1251" s="2">
        <f>IFERROR(__xludf.DUMMYFUNCTION("""COMPUTED_VALUE"""),2908261.0)</f>
        <v>2908261</v>
      </c>
    </row>
    <row r="1252">
      <c r="A1252" s="3">
        <f>IFERROR(__xludf.DUMMYFUNCTION("""COMPUTED_VALUE"""),40073.645833333336)</f>
        <v>40073.64583</v>
      </c>
      <c r="B1252" s="2">
        <f>IFERROR(__xludf.DUMMYFUNCTION("""COMPUTED_VALUE"""),287.5)</f>
        <v>287.5</v>
      </c>
      <c r="C1252" s="2">
        <f>IFERROR(__xludf.DUMMYFUNCTION("""COMPUTED_VALUE"""),294.0)</f>
        <v>294</v>
      </c>
      <c r="D1252" s="2">
        <f>IFERROR(__xludf.DUMMYFUNCTION("""COMPUTED_VALUE"""),286.5)</f>
        <v>286.5</v>
      </c>
      <c r="E1252" s="2">
        <f>IFERROR(__xludf.DUMMYFUNCTION("""COMPUTED_VALUE"""),291.48)</f>
        <v>291.48</v>
      </c>
      <c r="F1252" s="2">
        <f>IFERROR(__xludf.DUMMYFUNCTION("""COMPUTED_VALUE"""),2641610.0)</f>
        <v>2641610</v>
      </c>
    </row>
    <row r="1253">
      <c r="A1253" s="3">
        <f>IFERROR(__xludf.DUMMYFUNCTION("""COMPUTED_VALUE"""),40074.645833333336)</f>
        <v>40074.64583</v>
      </c>
      <c r="B1253" s="2">
        <f>IFERROR(__xludf.DUMMYFUNCTION("""COMPUTED_VALUE"""),292.5)</f>
        <v>292.5</v>
      </c>
      <c r="C1253" s="2">
        <f>IFERROR(__xludf.DUMMYFUNCTION("""COMPUTED_VALUE"""),295.0)</f>
        <v>295</v>
      </c>
      <c r="D1253" s="2">
        <f>IFERROR(__xludf.DUMMYFUNCTION("""COMPUTED_VALUE"""),289.5)</f>
        <v>289.5</v>
      </c>
      <c r="E1253" s="2">
        <f>IFERROR(__xludf.DUMMYFUNCTION("""COMPUTED_VALUE"""),292.0)</f>
        <v>292</v>
      </c>
      <c r="F1253" s="2">
        <f>IFERROR(__xludf.DUMMYFUNCTION("""COMPUTED_VALUE"""),1962674.0)</f>
        <v>1962674</v>
      </c>
    </row>
    <row r="1254">
      <c r="A1254" s="3">
        <f>IFERROR(__xludf.DUMMYFUNCTION("""COMPUTED_VALUE"""),40078.645833333336)</f>
        <v>40078.64583</v>
      </c>
      <c r="B1254" s="2">
        <f>IFERROR(__xludf.DUMMYFUNCTION("""COMPUTED_VALUE"""),294.98)</f>
        <v>294.98</v>
      </c>
      <c r="C1254" s="2">
        <f>IFERROR(__xludf.DUMMYFUNCTION("""COMPUTED_VALUE"""),303.0)</f>
        <v>303</v>
      </c>
      <c r="D1254" s="2">
        <f>IFERROR(__xludf.DUMMYFUNCTION("""COMPUTED_VALUE"""),291.13)</f>
        <v>291.13</v>
      </c>
      <c r="E1254" s="2">
        <f>IFERROR(__xludf.DUMMYFUNCTION("""COMPUTED_VALUE"""),301.33)</f>
        <v>301.33</v>
      </c>
      <c r="F1254" s="2">
        <f>IFERROR(__xludf.DUMMYFUNCTION("""COMPUTED_VALUE"""),1881640.0)</f>
        <v>1881640</v>
      </c>
    </row>
    <row r="1255">
      <c r="A1255" s="3">
        <f>IFERROR(__xludf.DUMMYFUNCTION("""COMPUTED_VALUE"""),40079.645833333336)</f>
        <v>40079.64583</v>
      </c>
      <c r="B1255" s="2">
        <f>IFERROR(__xludf.DUMMYFUNCTION("""COMPUTED_VALUE"""),304.0)</f>
        <v>304</v>
      </c>
      <c r="C1255" s="2">
        <f>IFERROR(__xludf.DUMMYFUNCTION("""COMPUTED_VALUE"""),305.83)</f>
        <v>305.83</v>
      </c>
      <c r="D1255" s="2">
        <f>IFERROR(__xludf.DUMMYFUNCTION("""COMPUTED_VALUE"""),293.63)</f>
        <v>293.63</v>
      </c>
      <c r="E1255" s="2">
        <f>IFERROR(__xludf.DUMMYFUNCTION("""COMPUTED_VALUE"""),295.45)</f>
        <v>295.45</v>
      </c>
      <c r="F1255" s="2">
        <f>IFERROR(__xludf.DUMMYFUNCTION("""COMPUTED_VALUE"""),2261205.0)</f>
        <v>2261205</v>
      </c>
    </row>
    <row r="1256">
      <c r="A1256" s="3">
        <f>IFERROR(__xludf.DUMMYFUNCTION("""COMPUTED_VALUE"""),40080.645833333336)</f>
        <v>40080.64583</v>
      </c>
      <c r="B1256" s="2">
        <f>IFERROR(__xludf.DUMMYFUNCTION("""COMPUTED_VALUE"""),294.0)</f>
        <v>294</v>
      </c>
      <c r="C1256" s="2">
        <f>IFERROR(__xludf.DUMMYFUNCTION("""COMPUTED_VALUE"""),304.65)</f>
        <v>304.65</v>
      </c>
      <c r="D1256" s="2">
        <f>IFERROR(__xludf.DUMMYFUNCTION("""COMPUTED_VALUE"""),291.0)</f>
        <v>291</v>
      </c>
      <c r="E1256" s="2">
        <f>IFERROR(__xludf.DUMMYFUNCTION("""COMPUTED_VALUE"""),301.27)</f>
        <v>301.27</v>
      </c>
      <c r="F1256" s="2">
        <f>IFERROR(__xludf.DUMMYFUNCTION("""COMPUTED_VALUE"""),3401674.0)</f>
        <v>3401674</v>
      </c>
    </row>
    <row r="1257">
      <c r="A1257" s="3">
        <f>IFERROR(__xludf.DUMMYFUNCTION("""COMPUTED_VALUE"""),40081.645833333336)</f>
        <v>40081.64583</v>
      </c>
      <c r="B1257" s="2">
        <f>IFERROR(__xludf.DUMMYFUNCTION("""COMPUTED_VALUE"""),277.5)</f>
        <v>277.5</v>
      </c>
      <c r="C1257" s="2">
        <f>IFERROR(__xludf.DUMMYFUNCTION("""COMPUTED_VALUE"""),299.0)</f>
        <v>299</v>
      </c>
      <c r="D1257" s="2">
        <f>IFERROR(__xludf.DUMMYFUNCTION("""COMPUTED_VALUE"""),277.5)</f>
        <v>277.5</v>
      </c>
      <c r="E1257" s="2">
        <f>IFERROR(__xludf.DUMMYFUNCTION("""COMPUTED_VALUE"""),293.7)</f>
        <v>293.7</v>
      </c>
      <c r="F1257" s="2">
        <f>IFERROR(__xludf.DUMMYFUNCTION("""COMPUTED_VALUE"""),1534103.0)</f>
        <v>1534103</v>
      </c>
    </row>
    <row r="1258">
      <c r="A1258" s="3">
        <f>IFERROR(__xludf.DUMMYFUNCTION("""COMPUTED_VALUE"""),40085.645833333336)</f>
        <v>40085.64583</v>
      </c>
      <c r="B1258" s="2">
        <f>IFERROR(__xludf.DUMMYFUNCTION("""COMPUTED_VALUE"""),297.48)</f>
        <v>297.48</v>
      </c>
      <c r="C1258" s="2">
        <f>IFERROR(__xludf.DUMMYFUNCTION("""COMPUTED_VALUE"""),307.23)</f>
        <v>307.23</v>
      </c>
      <c r="D1258" s="2">
        <f>IFERROR(__xludf.DUMMYFUNCTION("""COMPUTED_VALUE"""),295.5)</f>
        <v>295.5</v>
      </c>
      <c r="E1258" s="2">
        <f>IFERROR(__xludf.DUMMYFUNCTION("""COMPUTED_VALUE"""),305.2)</f>
        <v>305.2</v>
      </c>
      <c r="F1258" s="2">
        <f>IFERROR(__xludf.DUMMYFUNCTION("""COMPUTED_VALUE"""),3573062.0)</f>
        <v>3573062</v>
      </c>
    </row>
    <row r="1259">
      <c r="A1259" s="3">
        <f>IFERROR(__xludf.DUMMYFUNCTION("""COMPUTED_VALUE"""),40086.645833333336)</f>
        <v>40086.64583</v>
      </c>
      <c r="B1259" s="2">
        <f>IFERROR(__xludf.DUMMYFUNCTION("""COMPUTED_VALUE"""),307.48)</f>
        <v>307.48</v>
      </c>
      <c r="C1259" s="2">
        <f>IFERROR(__xludf.DUMMYFUNCTION("""COMPUTED_VALUE"""),311.4)</f>
        <v>311.4</v>
      </c>
      <c r="D1259" s="2">
        <f>IFERROR(__xludf.DUMMYFUNCTION("""COMPUTED_VALUE"""),306.1)</f>
        <v>306.1</v>
      </c>
      <c r="E1259" s="2">
        <f>IFERROR(__xludf.DUMMYFUNCTION("""COMPUTED_VALUE"""),310.5)</f>
        <v>310.5</v>
      </c>
      <c r="F1259" s="2">
        <f>IFERROR(__xludf.DUMMYFUNCTION("""COMPUTED_VALUE"""),2186712.0)</f>
        <v>2186712</v>
      </c>
    </row>
    <row r="1260">
      <c r="A1260" s="3">
        <f>IFERROR(__xludf.DUMMYFUNCTION("""COMPUTED_VALUE"""),40087.645833333336)</f>
        <v>40087.64583</v>
      </c>
      <c r="B1260" s="2">
        <f>IFERROR(__xludf.DUMMYFUNCTION("""COMPUTED_VALUE"""),309.0)</f>
        <v>309</v>
      </c>
      <c r="C1260" s="2">
        <f>IFERROR(__xludf.DUMMYFUNCTION("""COMPUTED_VALUE"""),324.95)</f>
        <v>324.95</v>
      </c>
      <c r="D1260" s="2">
        <f>IFERROR(__xludf.DUMMYFUNCTION("""COMPUTED_VALUE"""),307.52)</f>
        <v>307.52</v>
      </c>
      <c r="E1260" s="2">
        <f>IFERROR(__xludf.DUMMYFUNCTION("""COMPUTED_VALUE"""),314.92)</f>
        <v>314.92</v>
      </c>
      <c r="F1260" s="2">
        <f>IFERROR(__xludf.DUMMYFUNCTION("""COMPUTED_VALUE"""),2843472.0)</f>
        <v>2843472</v>
      </c>
    </row>
    <row r="1261">
      <c r="A1261" s="3">
        <f>IFERROR(__xludf.DUMMYFUNCTION("""COMPUTED_VALUE"""),40091.645833333336)</f>
        <v>40091.64583</v>
      </c>
      <c r="B1261" s="2">
        <f>IFERROR(__xludf.DUMMYFUNCTION("""COMPUTED_VALUE"""),309.35)</f>
        <v>309.35</v>
      </c>
      <c r="C1261" s="2">
        <f>IFERROR(__xludf.DUMMYFUNCTION("""COMPUTED_VALUE"""),319.5)</f>
        <v>319.5</v>
      </c>
      <c r="D1261" s="2">
        <f>IFERROR(__xludf.DUMMYFUNCTION("""COMPUTED_VALUE"""),305.5)</f>
        <v>305.5</v>
      </c>
      <c r="E1261" s="2">
        <f>IFERROR(__xludf.DUMMYFUNCTION("""COMPUTED_VALUE"""),307.65)</f>
        <v>307.65</v>
      </c>
      <c r="F1261" s="2">
        <f>IFERROR(__xludf.DUMMYFUNCTION("""COMPUTED_VALUE"""),3129798.0)</f>
        <v>3129798</v>
      </c>
    </row>
    <row r="1262">
      <c r="A1262" s="3">
        <f>IFERROR(__xludf.DUMMYFUNCTION("""COMPUTED_VALUE"""),40092.645833333336)</f>
        <v>40092.64583</v>
      </c>
      <c r="B1262" s="2">
        <f>IFERROR(__xludf.DUMMYFUNCTION("""COMPUTED_VALUE"""),312.48)</f>
        <v>312.48</v>
      </c>
      <c r="C1262" s="2">
        <f>IFERROR(__xludf.DUMMYFUNCTION("""COMPUTED_VALUE"""),314.2)</f>
        <v>314.2</v>
      </c>
      <c r="D1262" s="2">
        <f>IFERROR(__xludf.DUMMYFUNCTION("""COMPUTED_VALUE"""),302.5)</f>
        <v>302.5</v>
      </c>
      <c r="E1262" s="2">
        <f>IFERROR(__xludf.DUMMYFUNCTION("""COMPUTED_VALUE"""),307.1)</f>
        <v>307.1</v>
      </c>
      <c r="F1262" s="2">
        <f>IFERROR(__xludf.DUMMYFUNCTION("""COMPUTED_VALUE"""),3724027.0)</f>
        <v>3724027</v>
      </c>
    </row>
    <row r="1263">
      <c r="A1263" s="3">
        <f>IFERROR(__xludf.DUMMYFUNCTION("""COMPUTED_VALUE"""),40093.645833333336)</f>
        <v>40093.64583</v>
      </c>
      <c r="B1263" s="2">
        <f>IFERROR(__xludf.DUMMYFUNCTION("""COMPUTED_VALUE"""),309.45)</f>
        <v>309.45</v>
      </c>
      <c r="C1263" s="2">
        <f>IFERROR(__xludf.DUMMYFUNCTION("""COMPUTED_VALUE"""),309.45)</f>
        <v>309.45</v>
      </c>
      <c r="D1263" s="2">
        <f>IFERROR(__xludf.DUMMYFUNCTION("""COMPUTED_VALUE"""),294.33)</f>
        <v>294.33</v>
      </c>
      <c r="E1263" s="2">
        <f>IFERROR(__xludf.DUMMYFUNCTION("""COMPUTED_VALUE"""),295.85)</f>
        <v>295.85</v>
      </c>
      <c r="F1263" s="2">
        <f>IFERROR(__xludf.DUMMYFUNCTION("""COMPUTED_VALUE"""),5037986.0)</f>
        <v>5037986</v>
      </c>
    </row>
    <row r="1264">
      <c r="A1264" s="3">
        <f>IFERROR(__xludf.DUMMYFUNCTION("""COMPUTED_VALUE"""),40094.645833333336)</f>
        <v>40094.64583</v>
      </c>
      <c r="B1264" s="2">
        <f>IFERROR(__xludf.DUMMYFUNCTION("""COMPUTED_VALUE"""),297.5)</f>
        <v>297.5</v>
      </c>
      <c r="C1264" s="2">
        <f>IFERROR(__xludf.DUMMYFUNCTION("""COMPUTED_VALUE"""),299.38)</f>
        <v>299.38</v>
      </c>
      <c r="D1264" s="2">
        <f>IFERROR(__xludf.DUMMYFUNCTION("""COMPUTED_VALUE"""),284.25)</f>
        <v>284.25</v>
      </c>
      <c r="E1264" s="2">
        <f>IFERROR(__xludf.DUMMYFUNCTION("""COMPUTED_VALUE"""),285.7)</f>
        <v>285.7</v>
      </c>
      <c r="F1264" s="2">
        <f>IFERROR(__xludf.DUMMYFUNCTION("""COMPUTED_VALUE"""),5081086.0)</f>
        <v>5081086</v>
      </c>
    </row>
    <row r="1265">
      <c r="A1265" s="3">
        <f>IFERROR(__xludf.DUMMYFUNCTION("""COMPUTED_VALUE"""),40095.645833333336)</f>
        <v>40095.64583</v>
      </c>
      <c r="B1265" s="2">
        <f>IFERROR(__xludf.DUMMYFUNCTION("""COMPUTED_VALUE"""),287.52)</f>
        <v>287.52</v>
      </c>
      <c r="C1265" s="2">
        <f>IFERROR(__xludf.DUMMYFUNCTION("""COMPUTED_VALUE"""),295.2)</f>
        <v>295.2</v>
      </c>
      <c r="D1265" s="2">
        <f>IFERROR(__xludf.DUMMYFUNCTION("""COMPUTED_VALUE"""),278.33)</f>
        <v>278.33</v>
      </c>
      <c r="E1265" s="2">
        <f>IFERROR(__xludf.DUMMYFUNCTION("""COMPUTED_VALUE"""),280.88)</f>
        <v>280.88</v>
      </c>
      <c r="F1265" s="2">
        <f>IFERROR(__xludf.DUMMYFUNCTION("""COMPUTED_VALUE"""),5016239.0)</f>
        <v>5016239</v>
      </c>
    </row>
    <row r="1266">
      <c r="A1266" s="3">
        <f>IFERROR(__xludf.DUMMYFUNCTION("""COMPUTED_VALUE"""),40098.645833333336)</f>
        <v>40098.64583</v>
      </c>
      <c r="B1266" s="2">
        <f>IFERROR(__xludf.DUMMYFUNCTION("""COMPUTED_VALUE"""),283.5)</f>
        <v>283.5</v>
      </c>
      <c r="C1266" s="2">
        <f>IFERROR(__xludf.DUMMYFUNCTION("""COMPUTED_VALUE"""),292.13)</f>
        <v>292.13</v>
      </c>
      <c r="D1266" s="2">
        <f>IFERROR(__xludf.DUMMYFUNCTION("""COMPUTED_VALUE"""),281.77)</f>
        <v>281.77</v>
      </c>
      <c r="E1266" s="2">
        <f>IFERROR(__xludf.DUMMYFUNCTION("""COMPUTED_VALUE"""),289.92)</f>
        <v>289.92</v>
      </c>
      <c r="F1266" s="2">
        <f>IFERROR(__xludf.DUMMYFUNCTION("""COMPUTED_VALUE"""),2587110.0)</f>
        <v>2587110</v>
      </c>
    </row>
    <row r="1267">
      <c r="A1267" s="3">
        <f>IFERROR(__xludf.DUMMYFUNCTION("""COMPUTED_VALUE"""),40100.645833333336)</f>
        <v>40100.64583</v>
      </c>
      <c r="B1267" s="2">
        <f>IFERROR(__xludf.DUMMYFUNCTION("""COMPUTED_VALUE"""),292.48)</f>
        <v>292.48</v>
      </c>
      <c r="C1267" s="2">
        <f>IFERROR(__xludf.DUMMYFUNCTION("""COMPUTED_VALUE"""),299.0)</f>
        <v>299</v>
      </c>
      <c r="D1267" s="2">
        <f>IFERROR(__xludf.DUMMYFUNCTION("""COMPUTED_VALUE"""),290.35)</f>
        <v>290.35</v>
      </c>
      <c r="E1267" s="2">
        <f>IFERROR(__xludf.DUMMYFUNCTION("""COMPUTED_VALUE"""),296.48)</f>
        <v>296.48</v>
      </c>
      <c r="F1267" s="2">
        <f>IFERROR(__xludf.DUMMYFUNCTION("""COMPUTED_VALUE"""),1989790.0)</f>
        <v>1989790</v>
      </c>
    </row>
    <row r="1268">
      <c r="A1268" s="3">
        <f>IFERROR(__xludf.DUMMYFUNCTION("""COMPUTED_VALUE"""),40101.645833333336)</f>
        <v>40101.64583</v>
      </c>
      <c r="B1268" s="2">
        <f>IFERROR(__xludf.DUMMYFUNCTION("""COMPUTED_VALUE"""),297.0)</f>
        <v>297</v>
      </c>
      <c r="C1268" s="2">
        <f>IFERROR(__xludf.DUMMYFUNCTION("""COMPUTED_VALUE"""),298.95)</f>
        <v>298.95</v>
      </c>
      <c r="D1268" s="2">
        <f>IFERROR(__xludf.DUMMYFUNCTION("""COMPUTED_VALUE"""),287.5)</f>
        <v>287.5</v>
      </c>
      <c r="E1268" s="2">
        <f>IFERROR(__xludf.DUMMYFUNCTION("""COMPUTED_VALUE"""),290.9)</f>
        <v>290.9</v>
      </c>
      <c r="F1268" s="2">
        <f>IFERROR(__xludf.DUMMYFUNCTION("""COMPUTED_VALUE"""),2116190.0)</f>
        <v>2116190</v>
      </c>
    </row>
    <row r="1269">
      <c r="A1269" s="3">
        <f>IFERROR(__xludf.DUMMYFUNCTION("""COMPUTED_VALUE"""),40102.645833333336)</f>
        <v>40102.64583</v>
      </c>
      <c r="B1269" s="2">
        <f>IFERROR(__xludf.DUMMYFUNCTION("""COMPUTED_VALUE"""),283.0)</f>
        <v>283</v>
      </c>
      <c r="C1269" s="2">
        <f>IFERROR(__xludf.DUMMYFUNCTION("""COMPUTED_VALUE"""),302.2)</f>
        <v>302.2</v>
      </c>
      <c r="D1269" s="2">
        <f>IFERROR(__xludf.DUMMYFUNCTION("""COMPUTED_VALUE"""),283.0)</f>
        <v>283</v>
      </c>
      <c r="E1269" s="2">
        <f>IFERROR(__xludf.DUMMYFUNCTION("""COMPUTED_VALUE"""),299.15)</f>
        <v>299.15</v>
      </c>
      <c r="F1269" s="2">
        <f>IFERROR(__xludf.DUMMYFUNCTION("""COMPUTED_VALUE"""),3594971.0)</f>
        <v>3594971</v>
      </c>
    </row>
    <row r="1270">
      <c r="A1270" s="3">
        <f>IFERROR(__xludf.DUMMYFUNCTION("""COMPUTED_VALUE"""),40106.645833333336)</f>
        <v>40106.64583</v>
      </c>
      <c r="B1270" s="2">
        <f>IFERROR(__xludf.DUMMYFUNCTION("""COMPUTED_VALUE"""),307.0)</f>
        <v>307</v>
      </c>
      <c r="C1270" s="2">
        <f>IFERROR(__xludf.DUMMYFUNCTION("""COMPUTED_VALUE"""),312.9)</f>
        <v>312.9</v>
      </c>
      <c r="D1270" s="2">
        <f>IFERROR(__xludf.DUMMYFUNCTION("""COMPUTED_VALUE"""),306.02)</f>
        <v>306.02</v>
      </c>
      <c r="E1270" s="2">
        <f>IFERROR(__xludf.DUMMYFUNCTION("""COMPUTED_VALUE"""),310.52)</f>
        <v>310.52</v>
      </c>
      <c r="F1270" s="2">
        <f>IFERROR(__xludf.DUMMYFUNCTION("""COMPUTED_VALUE"""),3920292.0)</f>
        <v>3920292</v>
      </c>
    </row>
    <row r="1271">
      <c r="A1271" s="3">
        <f>IFERROR(__xludf.DUMMYFUNCTION("""COMPUTED_VALUE"""),40107.645833333336)</f>
        <v>40107.64583</v>
      </c>
      <c r="B1271" s="2">
        <f>IFERROR(__xludf.DUMMYFUNCTION("""COMPUTED_VALUE"""),310.0)</f>
        <v>310</v>
      </c>
      <c r="C1271" s="2">
        <f>IFERROR(__xludf.DUMMYFUNCTION("""COMPUTED_VALUE"""),319.7)</f>
        <v>319.7</v>
      </c>
      <c r="D1271" s="2">
        <f>IFERROR(__xludf.DUMMYFUNCTION("""COMPUTED_VALUE"""),309.0)</f>
        <v>309</v>
      </c>
      <c r="E1271" s="2">
        <f>IFERROR(__xludf.DUMMYFUNCTION("""COMPUTED_VALUE"""),316.4)</f>
        <v>316.4</v>
      </c>
      <c r="F1271" s="2">
        <f>IFERROR(__xludf.DUMMYFUNCTION("""COMPUTED_VALUE"""),2865819.0)</f>
        <v>2865819</v>
      </c>
    </row>
    <row r="1272">
      <c r="A1272" s="3">
        <f>IFERROR(__xludf.DUMMYFUNCTION("""COMPUTED_VALUE"""),40108.645833333336)</f>
        <v>40108.64583</v>
      </c>
      <c r="B1272" s="2">
        <f>IFERROR(__xludf.DUMMYFUNCTION("""COMPUTED_VALUE"""),316.0)</f>
        <v>316</v>
      </c>
      <c r="C1272" s="2">
        <f>IFERROR(__xludf.DUMMYFUNCTION("""COMPUTED_VALUE"""),321.98)</f>
        <v>321.98</v>
      </c>
      <c r="D1272" s="2">
        <f>IFERROR(__xludf.DUMMYFUNCTION("""COMPUTED_VALUE"""),307.67)</f>
        <v>307.67</v>
      </c>
      <c r="E1272" s="2">
        <f>IFERROR(__xludf.DUMMYFUNCTION("""COMPUTED_VALUE"""),312.92)</f>
        <v>312.92</v>
      </c>
      <c r="F1272" s="2">
        <f>IFERROR(__xludf.DUMMYFUNCTION("""COMPUTED_VALUE"""),2146462.0)</f>
        <v>2146462</v>
      </c>
    </row>
    <row r="1273">
      <c r="A1273" s="3">
        <f>IFERROR(__xludf.DUMMYFUNCTION("""COMPUTED_VALUE"""),40109.645833333336)</f>
        <v>40109.64583</v>
      </c>
      <c r="B1273" s="2">
        <f>IFERROR(__xludf.DUMMYFUNCTION("""COMPUTED_VALUE"""),315.05)</f>
        <v>315.05</v>
      </c>
      <c r="C1273" s="2">
        <f>IFERROR(__xludf.DUMMYFUNCTION("""COMPUTED_VALUE"""),322.95)</f>
        <v>322.95</v>
      </c>
      <c r="D1273" s="2">
        <f>IFERROR(__xludf.DUMMYFUNCTION("""COMPUTED_VALUE"""),314.8)</f>
        <v>314.8</v>
      </c>
      <c r="E1273" s="2">
        <f>IFERROR(__xludf.DUMMYFUNCTION("""COMPUTED_VALUE"""),319.9)</f>
        <v>319.9</v>
      </c>
      <c r="F1273" s="2">
        <f>IFERROR(__xludf.DUMMYFUNCTION("""COMPUTED_VALUE"""),3747230.0)</f>
        <v>3747230</v>
      </c>
    </row>
    <row r="1274">
      <c r="A1274" s="3">
        <f>IFERROR(__xludf.DUMMYFUNCTION("""COMPUTED_VALUE"""),40112.645833333336)</f>
        <v>40112.64583</v>
      </c>
      <c r="B1274" s="2">
        <f>IFERROR(__xludf.DUMMYFUNCTION("""COMPUTED_VALUE"""),321.5)</f>
        <v>321.5</v>
      </c>
      <c r="C1274" s="2">
        <f>IFERROR(__xludf.DUMMYFUNCTION("""COMPUTED_VALUE"""),328.83)</f>
        <v>328.83</v>
      </c>
      <c r="D1274" s="2">
        <f>IFERROR(__xludf.DUMMYFUNCTION("""COMPUTED_VALUE"""),317.5)</f>
        <v>317.5</v>
      </c>
      <c r="E1274" s="2">
        <f>IFERROR(__xludf.DUMMYFUNCTION("""COMPUTED_VALUE"""),322.27)</f>
        <v>322.27</v>
      </c>
      <c r="F1274" s="2">
        <f>IFERROR(__xludf.DUMMYFUNCTION("""COMPUTED_VALUE"""),2035873.0)</f>
        <v>2035873</v>
      </c>
    </row>
    <row r="1275">
      <c r="A1275" s="3">
        <f>IFERROR(__xludf.DUMMYFUNCTION("""COMPUTED_VALUE"""),40113.645833333336)</f>
        <v>40113.64583</v>
      </c>
      <c r="B1275" s="2">
        <f>IFERROR(__xludf.DUMMYFUNCTION("""COMPUTED_VALUE"""),328.95)</f>
        <v>328.95</v>
      </c>
      <c r="C1275" s="2">
        <f>IFERROR(__xludf.DUMMYFUNCTION("""COMPUTED_VALUE"""),328.95)</f>
        <v>328.95</v>
      </c>
      <c r="D1275" s="2">
        <f>IFERROR(__xludf.DUMMYFUNCTION("""COMPUTED_VALUE"""),317.27)</f>
        <v>317.27</v>
      </c>
      <c r="E1275" s="2">
        <f>IFERROR(__xludf.DUMMYFUNCTION("""COMPUTED_VALUE"""),321.38)</f>
        <v>321.38</v>
      </c>
      <c r="F1275" s="2">
        <f>IFERROR(__xludf.DUMMYFUNCTION("""COMPUTED_VALUE"""),1970440.0)</f>
        <v>1970440</v>
      </c>
    </row>
    <row r="1276">
      <c r="A1276" s="3">
        <f>IFERROR(__xludf.DUMMYFUNCTION("""COMPUTED_VALUE"""),40114.645833333336)</f>
        <v>40114.64583</v>
      </c>
      <c r="B1276" s="2">
        <f>IFERROR(__xludf.DUMMYFUNCTION("""COMPUTED_VALUE"""),321.2)</f>
        <v>321.2</v>
      </c>
      <c r="C1276" s="2">
        <f>IFERROR(__xludf.DUMMYFUNCTION("""COMPUTED_VALUE"""),324.45)</f>
        <v>324.45</v>
      </c>
      <c r="D1276" s="2">
        <f>IFERROR(__xludf.DUMMYFUNCTION("""COMPUTED_VALUE"""),317.5)</f>
        <v>317.5</v>
      </c>
      <c r="E1276" s="2">
        <f>IFERROR(__xludf.DUMMYFUNCTION("""COMPUTED_VALUE"""),321.42)</f>
        <v>321.42</v>
      </c>
      <c r="F1276" s="2">
        <f>IFERROR(__xludf.DUMMYFUNCTION("""COMPUTED_VALUE"""),1791157.0)</f>
        <v>1791157</v>
      </c>
    </row>
    <row r="1277">
      <c r="A1277" s="3">
        <f>IFERROR(__xludf.DUMMYFUNCTION("""COMPUTED_VALUE"""),40115.645833333336)</f>
        <v>40115.64583</v>
      </c>
      <c r="B1277" s="2">
        <f>IFERROR(__xludf.DUMMYFUNCTION("""COMPUTED_VALUE"""),318.0)</f>
        <v>318</v>
      </c>
      <c r="C1277" s="2">
        <f>IFERROR(__xludf.DUMMYFUNCTION("""COMPUTED_VALUE"""),322.75)</f>
        <v>322.75</v>
      </c>
      <c r="D1277" s="2">
        <f>IFERROR(__xludf.DUMMYFUNCTION("""COMPUTED_VALUE"""),315.6)</f>
        <v>315.6</v>
      </c>
      <c r="E1277" s="2">
        <f>IFERROR(__xludf.DUMMYFUNCTION("""COMPUTED_VALUE"""),317.02)</f>
        <v>317.02</v>
      </c>
      <c r="F1277" s="2">
        <f>IFERROR(__xludf.DUMMYFUNCTION("""COMPUTED_VALUE"""),2441356.0)</f>
        <v>2441356</v>
      </c>
    </row>
    <row r="1278">
      <c r="A1278" s="3">
        <f>IFERROR(__xludf.DUMMYFUNCTION("""COMPUTED_VALUE"""),40116.645833333336)</f>
        <v>40116.64583</v>
      </c>
      <c r="B1278" s="2">
        <f>IFERROR(__xludf.DUMMYFUNCTION("""COMPUTED_VALUE"""),321.0)</f>
        <v>321</v>
      </c>
      <c r="C1278" s="2">
        <f>IFERROR(__xludf.DUMMYFUNCTION("""COMPUTED_VALUE"""),324.38)</f>
        <v>324.38</v>
      </c>
      <c r="D1278" s="2">
        <f>IFERROR(__xludf.DUMMYFUNCTION("""COMPUTED_VALUE"""),310.0)</f>
        <v>310</v>
      </c>
      <c r="E1278" s="2">
        <f>IFERROR(__xludf.DUMMYFUNCTION("""COMPUTED_VALUE"""),314.15)</f>
        <v>314.15</v>
      </c>
      <c r="F1278" s="2">
        <f>IFERROR(__xludf.DUMMYFUNCTION("""COMPUTED_VALUE"""),1438062.0)</f>
        <v>1438062</v>
      </c>
    </row>
    <row r="1279">
      <c r="A1279" s="3">
        <f>IFERROR(__xludf.DUMMYFUNCTION("""COMPUTED_VALUE"""),40120.645833333336)</f>
        <v>40120.64583</v>
      </c>
      <c r="B1279" s="2">
        <f>IFERROR(__xludf.DUMMYFUNCTION("""COMPUTED_VALUE"""),318.0)</f>
        <v>318</v>
      </c>
      <c r="C1279" s="2">
        <f>IFERROR(__xludf.DUMMYFUNCTION("""COMPUTED_VALUE"""),318.0)</f>
        <v>318</v>
      </c>
      <c r="D1279" s="2">
        <f>IFERROR(__xludf.DUMMYFUNCTION("""COMPUTED_VALUE"""),300.5)</f>
        <v>300.5</v>
      </c>
      <c r="E1279" s="2">
        <f>IFERROR(__xludf.DUMMYFUNCTION("""COMPUTED_VALUE"""),303.02)</f>
        <v>303.02</v>
      </c>
      <c r="F1279" s="2">
        <f>IFERROR(__xludf.DUMMYFUNCTION("""COMPUTED_VALUE"""),1384144.0)</f>
        <v>1384144</v>
      </c>
    </row>
    <row r="1280">
      <c r="A1280" s="3">
        <f>IFERROR(__xludf.DUMMYFUNCTION("""COMPUTED_VALUE"""),40121.645833333336)</f>
        <v>40121.64583</v>
      </c>
      <c r="B1280" s="2">
        <f>IFERROR(__xludf.DUMMYFUNCTION("""COMPUTED_VALUE"""),305.55)</f>
        <v>305.55</v>
      </c>
      <c r="C1280" s="2">
        <f>IFERROR(__xludf.DUMMYFUNCTION("""COMPUTED_VALUE"""),314.0)</f>
        <v>314</v>
      </c>
      <c r="D1280" s="2">
        <f>IFERROR(__xludf.DUMMYFUNCTION("""COMPUTED_VALUE"""),305.0)</f>
        <v>305</v>
      </c>
      <c r="E1280" s="2">
        <f>IFERROR(__xludf.DUMMYFUNCTION("""COMPUTED_VALUE"""),312.85)</f>
        <v>312.85</v>
      </c>
      <c r="F1280" s="2">
        <f>IFERROR(__xludf.DUMMYFUNCTION("""COMPUTED_VALUE"""),2277899.0)</f>
        <v>2277899</v>
      </c>
    </row>
    <row r="1281">
      <c r="A1281" s="3">
        <f>IFERROR(__xludf.DUMMYFUNCTION("""COMPUTED_VALUE"""),40122.645833333336)</f>
        <v>40122.64583</v>
      </c>
      <c r="B1281" s="2">
        <f>IFERROR(__xludf.DUMMYFUNCTION("""COMPUTED_VALUE"""),315.0)</f>
        <v>315</v>
      </c>
      <c r="C1281" s="2">
        <f>IFERROR(__xludf.DUMMYFUNCTION("""COMPUTED_VALUE"""),315.0)</f>
        <v>315</v>
      </c>
      <c r="D1281" s="2">
        <f>IFERROR(__xludf.DUMMYFUNCTION("""COMPUTED_VALUE"""),302.8)</f>
        <v>302.8</v>
      </c>
      <c r="E1281" s="2">
        <f>IFERROR(__xludf.DUMMYFUNCTION("""COMPUTED_VALUE"""),312.25)</f>
        <v>312.25</v>
      </c>
      <c r="F1281" s="2">
        <f>IFERROR(__xludf.DUMMYFUNCTION("""COMPUTED_VALUE"""),1365651.0)</f>
        <v>1365651</v>
      </c>
    </row>
    <row r="1282">
      <c r="A1282" s="3">
        <f>IFERROR(__xludf.DUMMYFUNCTION("""COMPUTED_VALUE"""),40123.645833333336)</f>
        <v>40123.64583</v>
      </c>
      <c r="B1282" s="2">
        <f>IFERROR(__xludf.DUMMYFUNCTION("""COMPUTED_VALUE"""),310.0)</f>
        <v>310</v>
      </c>
      <c r="C1282" s="2">
        <f>IFERROR(__xludf.DUMMYFUNCTION("""COMPUTED_VALUE"""),317.48)</f>
        <v>317.48</v>
      </c>
      <c r="D1282" s="2">
        <f>IFERROR(__xludf.DUMMYFUNCTION("""COMPUTED_VALUE"""),306.83)</f>
        <v>306.83</v>
      </c>
      <c r="E1282" s="2">
        <f>IFERROR(__xludf.DUMMYFUNCTION("""COMPUTED_VALUE"""),311.08)</f>
        <v>311.08</v>
      </c>
      <c r="F1282" s="2">
        <f>IFERROR(__xludf.DUMMYFUNCTION("""COMPUTED_VALUE"""),2089742.0)</f>
        <v>2089742</v>
      </c>
    </row>
    <row r="1283">
      <c r="A1283" s="3">
        <f>IFERROR(__xludf.DUMMYFUNCTION("""COMPUTED_VALUE"""),40126.645833333336)</f>
        <v>40126.64583</v>
      </c>
      <c r="B1283" s="2">
        <f>IFERROR(__xludf.DUMMYFUNCTION("""COMPUTED_VALUE"""),312.5)</f>
        <v>312.5</v>
      </c>
      <c r="C1283" s="2">
        <f>IFERROR(__xludf.DUMMYFUNCTION("""COMPUTED_VALUE"""),314.0)</f>
        <v>314</v>
      </c>
      <c r="D1283" s="2">
        <f>IFERROR(__xludf.DUMMYFUNCTION("""COMPUTED_VALUE"""),307.5)</f>
        <v>307.5</v>
      </c>
      <c r="E1283" s="2">
        <f>IFERROR(__xludf.DUMMYFUNCTION("""COMPUTED_VALUE"""),311.38)</f>
        <v>311.38</v>
      </c>
      <c r="F1283" s="2">
        <f>IFERROR(__xludf.DUMMYFUNCTION("""COMPUTED_VALUE"""),1716043.0)</f>
        <v>1716043</v>
      </c>
    </row>
    <row r="1284">
      <c r="A1284" s="3">
        <f>IFERROR(__xludf.DUMMYFUNCTION("""COMPUTED_VALUE"""),40127.645833333336)</f>
        <v>40127.64583</v>
      </c>
      <c r="B1284" s="2">
        <f>IFERROR(__xludf.DUMMYFUNCTION("""COMPUTED_VALUE"""),313.0)</f>
        <v>313</v>
      </c>
      <c r="C1284" s="2">
        <f>IFERROR(__xludf.DUMMYFUNCTION("""COMPUTED_VALUE"""),314.5)</f>
        <v>314.5</v>
      </c>
      <c r="D1284" s="2">
        <f>IFERROR(__xludf.DUMMYFUNCTION("""COMPUTED_VALUE"""),310.0)</f>
        <v>310</v>
      </c>
      <c r="E1284" s="2">
        <f>IFERROR(__xludf.DUMMYFUNCTION("""COMPUTED_VALUE"""),313.33)</f>
        <v>313.33</v>
      </c>
      <c r="F1284" s="2">
        <f>IFERROR(__xludf.DUMMYFUNCTION("""COMPUTED_VALUE"""),2305203.0)</f>
        <v>2305203</v>
      </c>
    </row>
    <row r="1285">
      <c r="A1285" s="3">
        <f>IFERROR(__xludf.DUMMYFUNCTION("""COMPUTED_VALUE"""),40128.645833333336)</f>
        <v>40128.64583</v>
      </c>
      <c r="B1285" s="2">
        <f>IFERROR(__xludf.DUMMYFUNCTION("""COMPUTED_VALUE"""),313.52)</f>
        <v>313.52</v>
      </c>
      <c r="C1285" s="2">
        <f>IFERROR(__xludf.DUMMYFUNCTION("""COMPUTED_VALUE"""),323.5)</f>
        <v>323.5</v>
      </c>
      <c r="D1285" s="2">
        <f>IFERROR(__xludf.DUMMYFUNCTION("""COMPUTED_VALUE"""),309.25)</f>
        <v>309.25</v>
      </c>
      <c r="E1285" s="2">
        <f>IFERROR(__xludf.DUMMYFUNCTION("""COMPUTED_VALUE"""),322.63)</f>
        <v>322.63</v>
      </c>
      <c r="F1285" s="2">
        <f>IFERROR(__xludf.DUMMYFUNCTION("""COMPUTED_VALUE"""),2024706.0)</f>
        <v>2024706</v>
      </c>
    </row>
    <row r="1286">
      <c r="A1286" s="3">
        <f>IFERROR(__xludf.DUMMYFUNCTION("""COMPUTED_VALUE"""),40129.645833333336)</f>
        <v>40129.64583</v>
      </c>
      <c r="B1286" s="2">
        <f>IFERROR(__xludf.DUMMYFUNCTION("""COMPUTED_VALUE"""),322.5)</f>
        <v>322.5</v>
      </c>
      <c r="C1286" s="2">
        <f>IFERROR(__xludf.DUMMYFUNCTION("""COMPUTED_VALUE"""),330.75)</f>
        <v>330.75</v>
      </c>
      <c r="D1286" s="2">
        <f>IFERROR(__xludf.DUMMYFUNCTION("""COMPUTED_VALUE"""),321.77)</f>
        <v>321.77</v>
      </c>
      <c r="E1286" s="2">
        <f>IFERROR(__xludf.DUMMYFUNCTION("""COMPUTED_VALUE"""),327.67)</f>
        <v>327.67</v>
      </c>
      <c r="F1286" s="2">
        <f>IFERROR(__xludf.DUMMYFUNCTION("""COMPUTED_VALUE"""),2363883.0)</f>
        <v>2363883</v>
      </c>
    </row>
    <row r="1287">
      <c r="A1287" s="3">
        <f>IFERROR(__xludf.DUMMYFUNCTION("""COMPUTED_VALUE"""),40130.645833333336)</f>
        <v>40130.64583</v>
      </c>
      <c r="B1287" s="2">
        <f>IFERROR(__xludf.DUMMYFUNCTION("""COMPUTED_VALUE"""),327.48)</f>
        <v>327.48</v>
      </c>
      <c r="C1287" s="2">
        <f>IFERROR(__xludf.DUMMYFUNCTION("""COMPUTED_VALUE"""),337.45)</f>
        <v>337.45</v>
      </c>
      <c r="D1287" s="2">
        <f>IFERROR(__xludf.DUMMYFUNCTION("""COMPUTED_VALUE"""),323.77)</f>
        <v>323.77</v>
      </c>
      <c r="E1287" s="2">
        <f>IFERROR(__xludf.DUMMYFUNCTION("""COMPUTED_VALUE"""),335.08)</f>
        <v>335.08</v>
      </c>
      <c r="F1287" s="2">
        <f>IFERROR(__xludf.DUMMYFUNCTION("""COMPUTED_VALUE"""),2298948.0)</f>
        <v>2298948</v>
      </c>
    </row>
    <row r="1288">
      <c r="A1288" s="3">
        <f>IFERROR(__xludf.DUMMYFUNCTION("""COMPUTED_VALUE"""),40133.645833333336)</f>
        <v>40133.64583</v>
      </c>
      <c r="B1288" s="2">
        <f>IFERROR(__xludf.DUMMYFUNCTION("""COMPUTED_VALUE"""),335.0)</f>
        <v>335</v>
      </c>
      <c r="C1288" s="2">
        <f>IFERROR(__xludf.DUMMYFUNCTION("""COMPUTED_VALUE"""),338.5)</f>
        <v>338.5</v>
      </c>
      <c r="D1288" s="2">
        <f>IFERROR(__xludf.DUMMYFUNCTION("""COMPUTED_VALUE"""),330.0)</f>
        <v>330</v>
      </c>
      <c r="E1288" s="2">
        <f>IFERROR(__xludf.DUMMYFUNCTION("""COMPUTED_VALUE"""),332.88)</f>
        <v>332.88</v>
      </c>
      <c r="F1288" s="2">
        <f>IFERROR(__xludf.DUMMYFUNCTION("""COMPUTED_VALUE"""),1761904.0)</f>
        <v>1761904</v>
      </c>
    </row>
    <row r="1289">
      <c r="A1289" s="3">
        <f>IFERROR(__xludf.DUMMYFUNCTION("""COMPUTED_VALUE"""),40134.645833333336)</f>
        <v>40134.64583</v>
      </c>
      <c r="B1289" s="2">
        <f>IFERROR(__xludf.DUMMYFUNCTION("""COMPUTED_VALUE"""),334.0)</f>
        <v>334</v>
      </c>
      <c r="C1289" s="2">
        <f>IFERROR(__xludf.DUMMYFUNCTION("""COMPUTED_VALUE"""),346.45)</f>
        <v>346.45</v>
      </c>
      <c r="D1289" s="2">
        <f>IFERROR(__xludf.DUMMYFUNCTION("""COMPUTED_VALUE"""),329.65)</f>
        <v>329.65</v>
      </c>
      <c r="E1289" s="2">
        <f>IFERROR(__xludf.DUMMYFUNCTION("""COMPUTED_VALUE"""),345.23)</f>
        <v>345.23</v>
      </c>
      <c r="F1289" s="2">
        <f>IFERROR(__xludf.DUMMYFUNCTION("""COMPUTED_VALUE"""),2672165.0)</f>
        <v>2672165</v>
      </c>
    </row>
    <row r="1290">
      <c r="A1290" s="3">
        <f>IFERROR(__xludf.DUMMYFUNCTION("""COMPUTED_VALUE"""),40135.645833333336)</f>
        <v>40135.64583</v>
      </c>
      <c r="B1290" s="2">
        <f>IFERROR(__xludf.DUMMYFUNCTION("""COMPUTED_VALUE"""),345.5)</f>
        <v>345.5</v>
      </c>
      <c r="C1290" s="2">
        <f>IFERROR(__xludf.DUMMYFUNCTION("""COMPUTED_VALUE"""),352.85)</f>
        <v>352.85</v>
      </c>
      <c r="D1290" s="2">
        <f>IFERROR(__xludf.DUMMYFUNCTION("""COMPUTED_VALUE"""),341.75)</f>
        <v>341.75</v>
      </c>
      <c r="E1290" s="2">
        <f>IFERROR(__xludf.DUMMYFUNCTION("""COMPUTED_VALUE"""),343.45)</f>
        <v>343.45</v>
      </c>
      <c r="F1290" s="2">
        <f>IFERROR(__xludf.DUMMYFUNCTION("""COMPUTED_VALUE"""),2791457.0)</f>
        <v>2791457</v>
      </c>
    </row>
    <row r="1291">
      <c r="A1291" s="3">
        <f>IFERROR(__xludf.DUMMYFUNCTION("""COMPUTED_VALUE"""),40136.645833333336)</f>
        <v>40136.64583</v>
      </c>
      <c r="B1291" s="2">
        <f>IFERROR(__xludf.DUMMYFUNCTION("""COMPUTED_VALUE"""),344.95)</f>
        <v>344.95</v>
      </c>
      <c r="C1291" s="2">
        <f>IFERROR(__xludf.DUMMYFUNCTION("""COMPUTED_VALUE"""),346.2)</f>
        <v>346.2</v>
      </c>
      <c r="D1291" s="2">
        <f>IFERROR(__xludf.DUMMYFUNCTION("""COMPUTED_VALUE"""),334.75)</f>
        <v>334.75</v>
      </c>
      <c r="E1291" s="2">
        <f>IFERROR(__xludf.DUMMYFUNCTION("""COMPUTED_VALUE"""),339.95)</f>
        <v>339.95</v>
      </c>
      <c r="F1291" s="2">
        <f>IFERROR(__xludf.DUMMYFUNCTION("""COMPUTED_VALUE"""),1732332.0)</f>
        <v>1732332</v>
      </c>
    </row>
    <row r="1292">
      <c r="A1292" s="3">
        <f>IFERROR(__xludf.DUMMYFUNCTION("""COMPUTED_VALUE"""),40137.645833333336)</f>
        <v>40137.64583</v>
      </c>
      <c r="B1292" s="2">
        <f>IFERROR(__xludf.DUMMYFUNCTION("""COMPUTED_VALUE"""),339.0)</f>
        <v>339</v>
      </c>
      <c r="C1292" s="2">
        <f>IFERROR(__xludf.DUMMYFUNCTION("""COMPUTED_VALUE"""),348.0)</f>
        <v>348</v>
      </c>
      <c r="D1292" s="2">
        <f>IFERROR(__xludf.DUMMYFUNCTION("""COMPUTED_VALUE"""),335.05)</f>
        <v>335.05</v>
      </c>
      <c r="E1292" s="2">
        <f>IFERROR(__xludf.DUMMYFUNCTION("""COMPUTED_VALUE"""),346.58)</f>
        <v>346.58</v>
      </c>
      <c r="F1292" s="2">
        <f>IFERROR(__xludf.DUMMYFUNCTION("""COMPUTED_VALUE"""),1400387.0)</f>
        <v>1400387</v>
      </c>
    </row>
    <row r="1293">
      <c r="A1293" s="3">
        <f>IFERROR(__xludf.DUMMYFUNCTION("""COMPUTED_VALUE"""),40140.645833333336)</f>
        <v>40140.64583</v>
      </c>
      <c r="B1293" s="2">
        <f>IFERROR(__xludf.DUMMYFUNCTION("""COMPUTED_VALUE"""),347.5)</f>
        <v>347.5</v>
      </c>
      <c r="C1293" s="2">
        <f>IFERROR(__xludf.DUMMYFUNCTION("""COMPUTED_VALUE"""),350.0)</f>
        <v>350</v>
      </c>
      <c r="D1293" s="2">
        <f>IFERROR(__xludf.DUMMYFUNCTION("""COMPUTED_VALUE"""),343.0)</f>
        <v>343</v>
      </c>
      <c r="E1293" s="2">
        <f>IFERROR(__xludf.DUMMYFUNCTION("""COMPUTED_VALUE"""),347.05)</f>
        <v>347.05</v>
      </c>
      <c r="F1293" s="2">
        <f>IFERROR(__xludf.DUMMYFUNCTION("""COMPUTED_VALUE"""),1271737.0)</f>
        <v>1271737</v>
      </c>
    </row>
    <row r="1294">
      <c r="A1294" s="3">
        <f>IFERROR(__xludf.DUMMYFUNCTION("""COMPUTED_VALUE"""),40141.645833333336)</f>
        <v>40141.64583</v>
      </c>
      <c r="B1294" s="2">
        <f>IFERROR(__xludf.DUMMYFUNCTION("""COMPUTED_VALUE"""),352.0)</f>
        <v>352</v>
      </c>
      <c r="C1294" s="2">
        <f>IFERROR(__xludf.DUMMYFUNCTION("""COMPUTED_VALUE"""),352.0)</f>
        <v>352</v>
      </c>
      <c r="D1294" s="2">
        <f>IFERROR(__xludf.DUMMYFUNCTION("""COMPUTED_VALUE"""),341.0)</f>
        <v>341</v>
      </c>
      <c r="E1294" s="2">
        <f>IFERROR(__xludf.DUMMYFUNCTION("""COMPUTED_VALUE"""),349.53)</f>
        <v>349.53</v>
      </c>
      <c r="F1294" s="2">
        <f>IFERROR(__xludf.DUMMYFUNCTION("""COMPUTED_VALUE"""),1360936.0)</f>
        <v>1360936</v>
      </c>
    </row>
    <row r="1295">
      <c r="A1295" s="3">
        <f>IFERROR(__xludf.DUMMYFUNCTION("""COMPUTED_VALUE"""),40142.645833333336)</f>
        <v>40142.64583</v>
      </c>
      <c r="B1295" s="2">
        <f>IFERROR(__xludf.DUMMYFUNCTION("""COMPUTED_VALUE"""),349.53)</f>
        <v>349.53</v>
      </c>
      <c r="C1295" s="2">
        <f>IFERROR(__xludf.DUMMYFUNCTION("""COMPUTED_VALUE"""),355.83)</f>
        <v>355.83</v>
      </c>
      <c r="D1295" s="2">
        <f>IFERROR(__xludf.DUMMYFUNCTION("""COMPUTED_VALUE"""),346.0)</f>
        <v>346</v>
      </c>
      <c r="E1295" s="2">
        <f>IFERROR(__xludf.DUMMYFUNCTION("""COMPUTED_VALUE"""),351.4)</f>
        <v>351.4</v>
      </c>
      <c r="F1295" s="2">
        <f>IFERROR(__xludf.DUMMYFUNCTION("""COMPUTED_VALUE"""),1946627.0)</f>
        <v>1946627</v>
      </c>
    </row>
    <row r="1296">
      <c r="A1296" s="3">
        <f>IFERROR(__xludf.DUMMYFUNCTION("""COMPUTED_VALUE"""),40143.645833333336)</f>
        <v>40143.64583</v>
      </c>
      <c r="B1296" s="2">
        <f>IFERROR(__xludf.DUMMYFUNCTION("""COMPUTED_VALUE"""),352.48)</f>
        <v>352.48</v>
      </c>
      <c r="C1296" s="2">
        <f>IFERROR(__xludf.DUMMYFUNCTION("""COMPUTED_VALUE"""),353.67)</f>
        <v>353.67</v>
      </c>
      <c r="D1296" s="2">
        <f>IFERROR(__xludf.DUMMYFUNCTION("""COMPUTED_VALUE"""),342.5)</f>
        <v>342.5</v>
      </c>
      <c r="E1296" s="2">
        <f>IFERROR(__xludf.DUMMYFUNCTION("""COMPUTED_VALUE"""),343.95)</f>
        <v>343.95</v>
      </c>
      <c r="F1296" s="2">
        <f>IFERROR(__xludf.DUMMYFUNCTION("""COMPUTED_VALUE"""),2204559.0)</f>
        <v>2204559</v>
      </c>
    </row>
    <row r="1297">
      <c r="A1297" s="3">
        <f>IFERROR(__xludf.DUMMYFUNCTION("""COMPUTED_VALUE"""),40144.645833333336)</f>
        <v>40144.64583</v>
      </c>
      <c r="B1297" s="2">
        <f>IFERROR(__xludf.DUMMYFUNCTION("""COMPUTED_VALUE"""),338.28)</f>
        <v>338.28</v>
      </c>
      <c r="C1297" s="2">
        <f>IFERROR(__xludf.DUMMYFUNCTION("""COMPUTED_VALUE"""),343.2)</f>
        <v>343.2</v>
      </c>
      <c r="D1297" s="2">
        <f>IFERROR(__xludf.DUMMYFUNCTION("""COMPUTED_VALUE"""),327.5)</f>
        <v>327.5</v>
      </c>
      <c r="E1297" s="2">
        <f>IFERROR(__xludf.DUMMYFUNCTION("""COMPUTED_VALUE"""),335.23)</f>
        <v>335.23</v>
      </c>
      <c r="F1297" s="2">
        <f>IFERROR(__xludf.DUMMYFUNCTION("""COMPUTED_VALUE"""),1884529.0)</f>
        <v>1884529</v>
      </c>
    </row>
    <row r="1298">
      <c r="A1298" s="3">
        <f>IFERROR(__xludf.DUMMYFUNCTION("""COMPUTED_VALUE"""),40147.645833333336)</f>
        <v>40147.64583</v>
      </c>
      <c r="B1298" s="2">
        <f>IFERROR(__xludf.DUMMYFUNCTION("""COMPUTED_VALUE"""),337.0)</f>
        <v>337</v>
      </c>
      <c r="C1298" s="2">
        <f>IFERROR(__xludf.DUMMYFUNCTION("""COMPUTED_VALUE"""),346.48)</f>
        <v>346.48</v>
      </c>
      <c r="D1298" s="2">
        <f>IFERROR(__xludf.DUMMYFUNCTION("""COMPUTED_VALUE"""),337.0)</f>
        <v>337</v>
      </c>
      <c r="E1298" s="2">
        <f>IFERROR(__xludf.DUMMYFUNCTION("""COMPUTED_VALUE"""),344.2)</f>
        <v>344.2</v>
      </c>
      <c r="F1298" s="2">
        <f>IFERROR(__xludf.DUMMYFUNCTION("""COMPUTED_VALUE"""),1941444.0)</f>
        <v>1941444</v>
      </c>
    </row>
    <row r="1299">
      <c r="A1299" s="3">
        <f>IFERROR(__xludf.DUMMYFUNCTION("""COMPUTED_VALUE"""),40148.645833333336)</f>
        <v>40148.64583</v>
      </c>
      <c r="B1299" s="2">
        <f>IFERROR(__xludf.DUMMYFUNCTION("""COMPUTED_VALUE"""),351.7)</f>
        <v>351.7</v>
      </c>
      <c r="C1299" s="2">
        <f>IFERROR(__xludf.DUMMYFUNCTION("""COMPUTED_VALUE"""),351.7)</f>
        <v>351.7</v>
      </c>
      <c r="D1299" s="2">
        <f>IFERROR(__xludf.DUMMYFUNCTION("""COMPUTED_VALUE"""),340.13)</f>
        <v>340.13</v>
      </c>
      <c r="E1299" s="2">
        <f>IFERROR(__xludf.DUMMYFUNCTION("""COMPUTED_VALUE"""),342.88)</f>
        <v>342.88</v>
      </c>
      <c r="F1299" s="2">
        <f>IFERROR(__xludf.DUMMYFUNCTION("""COMPUTED_VALUE"""),1614982.0)</f>
        <v>1614982</v>
      </c>
    </row>
    <row r="1300">
      <c r="A1300" s="3">
        <f>IFERROR(__xludf.DUMMYFUNCTION("""COMPUTED_VALUE"""),40149.645833333336)</f>
        <v>40149.64583</v>
      </c>
      <c r="B1300" s="2">
        <f>IFERROR(__xludf.DUMMYFUNCTION("""COMPUTED_VALUE"""),347.48)</f>
        <v>347.48</v>
      </c>
      <c r="C1300" s="2">
        <f>IFERROR(__xludf.DUMMYFUNCTION("""COMPUTED_VALUE"""),347.48)</f>
        <v>347.48</v>
      </c>
      <c r="D1300" s="2">
        <f>IFERROR(__xludf.DUMMYFUNCTION("""COMPUTED_VALUE"""),338.53)</f>
        <v>338.53</v>
      </c>
      <c r="E1300" s="2">
        <f>IFERROR(__xludf.DUMMYFUNCTION("""COMPUTED_VALUE"""),342.15)</f>
        <v>342.15</v>
      </c>
      <c r="F1300" s="2">
        <f>IFERROR(__xludf.DUMMYFUNCTION("""COMPUTED_VALUE"""),1080977.0)</f>
        <v>1080977</v>
      </c>
    </row>
    <row r="1301">
      <c r="A1301" s="3">
        <f>IFERROR(__xludf.DUMMYFUNCTION("""COMPUTED_VALUE"""),40150.645833333336)</f>
        <v>40150.64583</v>
      </c>
      <c r="B1301" s="2">
        <f>IFERROR(__xludf.DUMMYFUNCTION("""COMPUTED_VALUE"""),343.88)</f>
        <v>343.88</v>
      </c>
      <c r="C1301" s="2">
        <f>IFERROR(__xludf.DUMMYFUNCTION("""COMPUTED_VALUE"""),347.95)</f>
        <v>347.95</v>
      </c>
      <c r="D1301" s="2">
        <f>IFERROR(__xludf.DUMMYFUNCTION("""COMPUTED_VALUE"""),339.63)</f>
        <v>339.63</v>
      </c>
      <c r="E1301" s="2">
        <f>IFERROR(__xludf.DUMMYFUNCTION("""COMPUTED_VALUE"""),345.03)</f>
        <v>345.03</v>
      </c>
      <c r="F1301" s="2">
        <f>IFERROR(__xludf.DUMMYFUNCTION("""COMPUTED_VALUE"""),1489353.0)</f>
        <v>1489353</v>
      </c>
    </row>
    <row r="1302">
      <c r="A1302" s="3">
        <f>IFERROR(__xludf.DUMMYFUNCTION("""COMPUTED_VALUE"""),40151.645833333336)</f>
        <v>40151.64583</v>
      </c>
      <c r="B1302" s="2">
        <f>IFERROR(__xludf.DUMMYFUNCTION("""COMPUTED_VALUE"""),340.5)</f>
        <v>340.5</v>
      </c>
      <c r="C1302" s="2">
        <f>IFERROR(__xludf.DUMMYFUNCTION("""COMPUTED_VALUE"""),350.5)</f>
        <v>350.5</v>
      </c>
      <c r="D1302" s="2">
        <f>IFERROR(__xludf.DUMMYFUNCTION("""COMPUTED_VALUE"""),340.5)</f>
        <v>340.5</v>
      </c>
      <c r="E1302" s="2">
        <f>IFERROR(__xludf.DUMMYFUNCTION("""COMPUTED_VALUE"""),347.6)</f>
        <v>347.6</v>
      </c>
      <c r="F1302" s="2">
        <f>IFERROR(__xludf.DUMMYFUNCTION("""COMPUTED_VALUE"""),1966704.0)</f>
        <v>1966704</v>
      </c>
    </row>
    <row r="1303">
      <c r="A1303" s="3">
        <f>IFERROR(__xludf.DUMMYFUNCTION("""COMPUTED_VALUE"""),40154.645833333336)</f>
        <v>40154.64583</v>
      </c>
      <c r="B1303" s="2">
        <f>IFERROR(__xludf.DUMMYFUNCTION("""COMPUTED_VALUE"""),349.0)</f>
        <v>349</v>
      </c>
      <c r="C1303" s="2">
        <f>IFERROR(__xludf.DUMMYFUNCTION("""COMPUTED_VALUE"""),352.95)</f>
        <v>352.95</v>
      </c>
      <c r="D1303" s="2">
        <f>IFERROR(__xludf.DUMMYFUNCTION("""COMPUTED_VALUE"""),347.5)</f>
        <v>347.5</v>
      </c>
      <c r="E1303" s="2">
        <f>IFERROR(__xludf.DUMMYFUNCTION("""COMPUTED_VALUE"""),349.7)</f>
        <v>349.7</v>
      </c>
      <c r="F1303" s="2">
        <f>IFERROR(__xludf.DUMMYFUNCTION("""COMPUTED_VALUE"""),1103826.0)</f>
        <v>1103826</v>
      </c>
    </row>
    <row r="1304">
      <c r="A1304" s="3">
        <f>IFERROR(__xludf.DUMMYFUNCTION("""COMPUTED_VALUE"""),40155.645833333336)</f>
        <v>40155.64583</v>
      </c>
      <c r="B1304" s="2">
        <f>IFERROR(__xludf.DUMMYFUNCTION("""COMPUTED_VALUE"""),349.92)</f>
        <v>349.92</v>
      </c>
      <c r="C1304" s="2">
        <f>IFERROR(__xludf.DUMMYFUNCTION("""COMPUTED_VALUE"""),350.42)</f>
        <v>350.42</v>
      </c>
      <c r="D1304" s="2">
        <f>IFERROR(__xludf.DUMMYFUNCTION("""COMPUTED_VALUE"""),345.13)</f>
        <v>345.13</v>
      </c>
      <c r="E1304" s="2">
        <f>IFERROR(__xludf.DUMMYFUNCTION("""COMPUTED_VALUE"""),349.15)</f>
        <v>349.15</v>
      </c>
      <c r="F1304" s="2">
        <f>IFERROR(__xludf.DUMMYFUNCTION("""COMPUTED_VALUE"""),2113086.0)</f>
        <v>2113086</v>
      </c>
    </row>
    <row r="1305">
      <c r="A1305" s="3">
        <f>IFERROR(__xludf.DUMMYFUNCTION("""COMPUTED_VALUE"""),40156.645833333336)</f>
        <v>40156.64583</v>
      </c>
      <c r="B1305" s="2">
        <f>IFERROR(__xludf.DUMMYFUNCTION("""COMPUTED_VALUE"""),349.0)</f>
        <v>349</v>
      </c>
      <c r="C1305" s="2">
        <f>IFERROR(__xludf.DUMMYFUNCTION("""COMPUTED_VALUE"""),355.45)</f>
        <v>355.45</v>
      </c>
      <c r="D1305" s="2">
        <f>IFERROR(__xludf.DUMMYFUNCTION("""COMPUTED_VALUE"""),346.6)</f>
        <v>346.6</v>
      </c>
      <c r="E1305" s="2">
        <f>IFERROR(__xludf.DUMMYFUNCTION("""COMPUTED_VALUE"""),353.35)</f>
        <v>353.35</v>
      </c>
      <c r="F1305" s="2">
        <f>IFERROR(__xludf.DUMMYFUNCTION("""COMPUTED_VALUE"""),2354424.0)</f>
        <v>2354424</v>
      </c>
    </row>
    <row r="1306">
      <c r="A1306" s="3">
        <f>IFERROR(__xludf.DUMMYFUNCTION("""COMPUTED_VALUE"""),40157.645833333336)</f>
        <v>40157.64583</v>
      </c>
      <c r="B1306" s="2">
        <f>IFERROR(__xludf.DUMMYFUNCTION("""COMPUTED_VALUE"""),352.5)</f>
        <v>352.5</v>
      </c>
      <c r="C1306" s="2">
        <f>IFERROR(__xludf.DUMMYFUNCTION("""COMPUTED_VALUE"""),355.0)</f>
        <v>355</v>
      </c>
      <c r="D1306" s="2">
        <f>IFERROR(__xludf.DUMMYFUNCTION("""COMPUTED_VALUE"""),350.98)</f>
        <v>350.98</v>
      </c>
      <c r="E1306" s="2">
        <f>IFERROR(__xludf.DUMMYFUNCTION("""COMPUTED_VALUE"""),352.83)</f>
        <v>352.83</v>
      </c>
      <c r="F1306" s="2">
        <f>IFERROR(__xludf.DUMMYFUNCTION("""COMPUTED_VALUE"""),829742.0)</f>
        <v>829742</v>
      </c>
    </row>
    <row r="1307">
      <c r="A1307" s="3">
        <f>IFERROR(__xludf.DUMMYFUNCTION("""COMPUTED_VALUE"""),40158.645833333336)</f>
        <v>40158.64583</v>
      </c>
      <c r="B1307" s="2">
        <f>IFERROR(__xludf.DUMMYFUNCTION("""COMPUTED_VALUE"""),353.58)</f>
        <v>353.58</v>
      </c>
      <c r="C1307" s="2">
        <f>IFERROR(__xludf.DUMMYFUNCTION("""COMPUTED_VALUE"""),357.2)</f>
        <v>357.2</v>
      </c>
      <c r="D1307" s="2">
        <f>IFERROR(__xludf.DUMMYFUNCTION("""COMPUTED_VALUE"""),350.0)</f>
        <v>350</v>
      </c>
      <c r="E1307" s="2">
        <f>IFERROR(__xludf.DUMMYFUNCTION("""COMPUTED_VALUE"""),353.05)</f>
        <v>353.05</v>
      </c>
      <c r="F1307" s="2">
        <f>IFERROR(__xludf.DUMMYFUNCTION("""COMPUTED_VALUE"""),1344156.0)</f>
        <v>1344156</v>
      </c>
    </row>
    <row r="1308">
      <c r="A1308" s="3">
        <f>IFERROR(__xludf.DUMMYFUNCTION("""COMPUTED_VALUE"""),40161.645833333336)</f>
        <v>40161.64583</v>
      </c>
      <c r="B1308" s="2">
        <f>IFERROR(__xludf.DUMMYFUNCTION("""COMPUTED_VALUE"""),350.5)</f>
        <v>350.5</v>
      </c>
      <c r="C1308" s="2">
        <f>IFERROR(__xludf.DUMMYFUNCTION("""COMPUTED_VALUE"""),355.98)</f>
        <v>355.98</v>
      </c>
      <c r="D1308" s="2">
        <f>IFERROR(__xludf.DUMMYFUNCTION("""COMPUTED_VALUE"""),350.42)</f>
        <v>350.42</v>
      </c>
      <c r="E1308" s="2">
        <f>IFERROR(__xludf.DUMMYFUNCTION("""COMPUTED_VALUE"""),352.55)</f>
        <v>352.55</v>
      </c>
      <c r="F1308" s="2">
        <f>IFERROR(__xludf.DUMMYFUNCTION("""COMPUTED_VALUE"""),1504421.0)</f>
        <v>1504421</v>
      </c>
    </row>
    <row r="1309">
      <c r="A1309" s="3">
        <f>IFERROR(__xludf.DUMMYFUNCTION("""COMPUTED_VALUE"""),40162.645833333336)</f>
        <v>40162.64583</v>
      </c>
      <c r="B1309" s="2">
        <f>IFERROR(__xludf.DUMMYFUNCTION("""COMPUTED_VALUE"""),354.0)</f>
        <v>354</v>
      </c>
      <c r="C1309" s="2">
        <f>IFERROR(__xludf.DUMMYFUNCTION("""COMPUTED_VALUE"""),356.0)</f>
        <v>356</v>
      </c>
      <c r="D1309" s="2">
        <f>IFERROR(__xludf.DUMMYFUNCTION("""COMPUTED_VALUE"""),348.6)</f>
        <v>348.6</v>
      </c>
      <c r="E1309" s="2">
        <f>IFERROR(__xludf.DUMMYFUNCTION("""COMPUTED_VALUE"""),350.48)</f>
        <v>350.48</v>
      </c>
      <c r="F1309" s="2">
        <f>IFERROR(__xludf.DUMMYFUNCTION("""COMPUTED_VALUE"""),1043576.0)</f>
        <v>1043576</v>
      </c>
    </row>
    <row r="1310">
      <c r="A1310" s="3">
        <f>IFERROR(__xludf.DUMMYFUNCTION("""COMPUTED_VALUE"""),40163.645833333336)</f>
        <v>40163.64583</v>
      </c>
      <c r="B1310" s="2">
        <f>IFERROR(__xludf.DUMMYFUNCTION("""COMPUTED_VALUE"""),350.85)</f>
        <v>350.85</v>
      </c>
      <c r="C1310" s="2">
        <f>IFERROR(__xludf.DUMMYFUNCTION("""COMPUTED_VALUE"""),358.88)</f>
        <v>358.88</v>
      </c>
      <c r="D1310" s="2">
        <f>IFERROR(__xludf.DUMMYFUNCTION("""COMPUTED_VALUE"""),347.5)</f>
        <v>347.5</v>
      </c>
      <c r="E1310" s="2">
        <f>IFERROR(__xludf.DUMMYFUNCTION("""COMPUTED_VALUE"""),356.58)</f>
        <v>356.58</v>
      </c>
      <c r="F1310" s="2">
        <f>IFERROR(__xludf.DUMMYFUNCTION("""COMPUTED_VALUE"""),1782689.0)</f>
        <v>1782689</v>
      </c>
    </row>
    <row r="1311">
      <c r="A1311" s="3">
        <f>IFERROR(__xludf.DUMMYFUNCTION("""COMPUTED_VALUE"""),40164.645833333336)</f>
        <v>40164.64583</v>
      </c>
      <c r="B1311" s="2">
        <f>IFERROR(__xludf.DUMMYFUNCTION("""COMPUTED_VALUE"""),359.0)</f>
        <v>359</v>
      </c>
      <c r="C1311" s="2">
        <f>IFERROR(__xludf.DUMMYFUNCTION("""COMPUTED_VALUE"""),364.0)</f>
        <v>364</v>
      </c>
      <c r="D1311" s="2">
        <f>IFERROR(__xludf.DUMMYFUNCTION("""COMPUTED_VALUE"""),357.5)</f>
        <v>357.5</v>
      </c>
      <c r="E1311" s="2">
        <f>IFERROR(__xludf.DUMMYFUNCTION("""COMPUTED_VALUE"""),361.38)</f>
        <v>361.38</v>
      </c>
      <c r="F1311" s="2">
        <f>IFERROR(__xludf.DUMMYFUNCTION("""COMPUTED_VALUE"""),1891151.0)</f>
        <v>1891151</v>
      </c>
    </row>
    <row r="1312">
      <c r="A1312" s="3">
        <f>IFERROR(__xludf.DUMMYFUNCTION("""COMPUTED_VALUE"""),40165.645833333336)</f>
        <v>40165.64583</v>
      </c>
      <c r="B1312" s="2">
        <f>IFERROR(__xludf.DUMMYFUNCTION("""COMPUTED_VALUE"""),361.38)</f>
        <v>361.38</v>
      </c>
      <c r="C1312" s="2">
        <f>IFERROR(__xludf.DUMMYFUNCTION("""COMPUTED_VALUE"""),365.75)</f>
        <v>365.75</v>
      </c>
      <c r="D1312" s="2">
        <f>IFERROR(__xludf.DUMMYFUNCTION("""COMPUTED_VALUE"""),359.78)</f>
        <v>359.78</v>
      </c>
      <c r="E1312" s="2">
        <f>IFERROR(__xludf.DUMMYFUNCTION("""COMPUTED_VALUE"""),363.75)</f>
        <v>363.75</v>
      </c>
      <c r="F1312" s="2">
        <f>IFERROR(__xludf.DUMMYFUNCTION("""COMPUTED_VALUE"""),1397645.0)</f>
        <v>1397645</v>
      </c>
    </row>
    <row r="1313">
      <c r="A1313" s="3">
        <f>IFERROR(__xludf.DUMMYFUNCTION("""COMPUTED_VALUE"""),40168.645833333336)</f>
        <v>40168.64583</v>
      </c>
      <c r="B1313" s="2">
        <f>IFERROR(__xludf.DUMMYFUNCTION("""COMPUTED_VALUE"""),365.05)</f>
        <v>365.05</v>
      </c>
      <c r="C1313" s="2">
        <f>IFERROR(__xludf.DUMMYFUNCTION("""COMPUTED_VALUE"""),374.5)</f>
        <v>374.5</v>
      </c>
      <c r="D1313" s="2">
        <f>IFERROR(__xludf.DUMMYFUNCTION("""COMPUTED_VALUE"""),363.25)</f>
        <v>363.25</v>
      </c>
      <c r="E1313" s="2">
        <f>IFERROR(__xludf.DUMMYFUNCTION("""COMPUTED_VALUE"""),367.03)</f>
        <v>367.03</v>
      </c>
      <c r="F1313" s="2">
        <f>IFERROR(__xludf.DUMMYFUNCTION("""COMPUTED_VALUE"""),4663497.0)</f>
        <v>4663497</v>
      </c>
    </row>
    <row r="1314">
      <c r="A1314" s="3">
        <f>IFERROR(__xludf.DUMMYFUNCTION("""COMPUTED_VALUE"""),40169.645833333336)</f>
        <v>40169.64583</v>
      </c>
      <c r="B1314" s="2">
        <f>IFERROR(__xludf.DUMMYFUNCTION("""COMPUTED_VALUE"""),370.0)</f>
        <v>370</v>
      </c>
      <c r="C1314" s="2">
        <f>IFERROR(__xludf.DUMMYFUNCTION("""COMPUTED_VALUE"""),371.25)</f>
        <v>371.25</v>
      </c>
      <c r="D1314" s="2">
        <f>IFERROR(__xludf.DUMMYFUNCTION("""COMPUTED_VALUE"""),359.6)</f>
        <v>359.6</v>
      </c>
      <c r="E1314" s="2">
        <f>IFERROR(__xludf.DUMMYFUNCTION("""COMPUTED_VALUE"""),362.03)</f>
        <v>362.03</v>
      </c>
      <c r="F1314" s="2">
        <f>IFERROR(__xludf.DUMMYFUNCTION("""COMPUTED_VALUE"""),1594571.0)</f>
        <v>1594571</v>
      </c>
    </row>
    <row r="1315">
      <c r="A1315" s="3">
        <f>IFERROR(__xludf.DUMMYFUNCTION("""COMPUTED_VALUE"""),40170.645833333336)</f>
        <v>40170.64583</v>
      </c>
      <c r="B1315" s="2">
        <f>IFERROR(__xludf.DUMMYFUNCTION("""COMPUTED_VALUE"""),364.23)</f>
        <v>364.23</v>
      </c>
      <c r="C1315" s="2">
        <f>IFERROR(__xludf.DUMMYFUNCTION("""COMPUTED_VALUE"""),374.75)</f>
        <v>374.75</v>
      </c>
      <c r="D1315" s="2">
        <f>IFERROR(__xludf.DUMMYFUNCTION("""COMPUTED_VALUE"""),362.78)</f>
        <v>362.78</v>
      </c>
      <c r="E1315" s="2">
        <f>IFERROR(__xludf.DUMMYFUNCTION("""COMPUTED_VALUE"""),373.28)</f>
        <v>373.28</v>
      </c>
      <c r="F1315" s="2">
        <f>IFERROR(__xludf.DUMMYFUNCTION("""COMPUTED_VALUE"""),2235343.0)</f>
        <v>2235343</v>
      </c>
    </row>
    <row r="1316">
      <c r="A1316" s="3">
        <f>IFERROR(__xludf.DUMMYFUNCTION("""COMPUTED_VALUE"""),40171.645833333336)</f>
        <v>40171.64583</v>
      </c>
      <c r="B1316" s="2">
        <f>IFERROR(__xludf.DUMMYFUNCTION("""COMPUTED_VALUE"""),375.0)</f>
        <v>375</v>
      </c>
      <c r="C1316" s="2">
        <f>IFERROR(__xludf.DUMMYFUNCTION("""COMPUTED_VALUE"""),378.5)</f>
        <v>378.5</v>
      </c>
      <c r="D1316" s="2">
        <f>IFERROR(__xludf.DUMMYFUNCTION("""COMPUTED_VALUE"""),370.53)</f>
        <v>370.53</v>
      </c>
      <c r="E1316" s="2">
        <f>IFERROR(__xludf.DUMMYFUNCTION("""COMPUTED_VALUE"""),374.65)</f>
        <v>374.65</v>
      </c>
      <c r="F1316" s="2">
        <f>IFERROR(__xludf.DUMMYFUNCTION("""COMPUTED_VALUE"""),1528843.0)</f>
        <v>1528843</v>
      </c>
    </row>
    <row r="1317">
      <c r="A1317" s="3">
        <f>IFERROR(__xludf.DUMMYFUNCTION("""COMPUTED_VALUE"""),40176.645833333336)</f>
        <v>40176.64583</v>
      </c>
      <c r="B1317" s="2">
        <f>IFERROR(__xludf.DUMMYFUNCTION("""COMPUTED_VALUE"""),375.0)</f>
        <v>375</v>
      </c>
      <c r="C1317" s="2">
        <f>IFERROR(__xludf.DUMMYFUNCTION("""COMPUTED_VALUE"""),375.9)</f>
        <v>375.9</v>
      </c>
      <c r="D1317" s="2">
        <f>IFERROR(__xludf.DUMMYFUNCTION("""COMPUTED_VALUE"""),368.33)</f>
        <v>368.33</v>
      </c>
      <c r="E1317" s="2">
        <f>IFERROR(__xludf.DUMMYFUNCTION("""COMPUTED_VALUE"""),370.7)</f>
        <v>370.7</v>
      </c>
      <c r="F1317" s="2">
        <f>IFERROR(__xludf.DUMMYFUNCTION("""COMPUTED_VALUE"""),1128139.0)</f>
        <v>1128139</v>
      </c>
    </row>
    <row r="1318">
      <c r="A1318" s="3">
        <f>IFERROR(__xludf.DUMMYFUNCTION("""COMPUTED_VALUE"""),40177.645833333336)</f>
        <v>40177.64583</v>
      </c>
      <c r="B1318" s="2">
        <f>IFERROR(__xludf.DUMMYFUNCTION("""COMPUTED_VALUE"""),371.0)</f>
        <v>371</v>
      </c>
      <c r="C1318" s="2">
        <f>IFERROR(__xludf.DUMMYFUNCTION("""COMPUTED_VALUE"""),374.38)</f>
        <v>374.38</v>
      </c>
      <c r="D1318" s="2">
        <f>IFERROR(__xludf.DUMMYFUNCTION("""COMPUTED_VALUE"""),357.63)</f>
        <v>357.63</v>
      </c>
      <c r="E1318" s="2">
        <f>IFERROR(__xludf.DUMMYFUNCTION("""COMPUTED_VALUE"""),371.38)</f>
        <v>371.38</v>
      </c>
      <c r="F1318" s="2">
        <f>IFERROR(__xludf.DUMMYFUNCTION("""COMPUTED_VALUE"""),736055.0)</f>
        <v>736055</v>
      </c>
    </row>
    <row r="1319">
      <c r="A1319" s="3">
        <f>IFERROR(__xludf.DUMMYFUNCTION("""COMPUTED_VALUE"""),40178.645833333336)</f>
        <v>40178.64583</v>
      </c>
      <c r="B1319" s="2">
        <f>IFERROR(__xludf.DUMMYFUNCTION("""COMPUTED_VALUE"""),373.13)</f>
        <v>373.13</v>
      </c>
      <c r="C1319" s="2">
        <f>IFERROR(__xludf.DUMMYFUNCTION("""COMPUTED_VALUE"""),377.5)</f>
        <v>377.5</v>
      </c>
      <c r="D1319" s="2">
        <f>IFERROR(__xludf.DUMMYFUNCTION("""COMPUTED_VALUE"""),371.9)</f>
        <v>371.9</v>
      </c>
      <c r="E1319" s="2">
        <f>IFERROR(__xludf.DUMMYFUNCTION("""COMPUTED_VALUE"""),375.13)</f>
        <v>375.13</v>
      </c>
      <c r="F1319" s="2">
        <f>IFERROR(__xludf.DUMMYFUNCTION("""COMPUTED_VALUE"""),1426731.0)</f>
        <v>1426731</v>
      </c>
    </row>
    <row r="1320">
      <c r="A1320" s="3">
        <f>IFERROR(__xludf.DUMMYFUNCTION("""COMPUTED_VALUE"""),40182.645833333336)</f>
        <v>40182.64583</v>
      </c>
      <c r="B1320" s="2">
        <f>IFERROR(__xludf.DUMMYFUNCTION("""COMPUTED_VALUE"""),377.4)</f>
        <v>377.4</v>
      </c>
      <c r="C1320" s="2">
        <f>IFERROR(__xludf.DUMMYFUNCTION("""COMPUTED_VALUE"""),379.45)</f>
        <v>379.45</v>
      </c>
      <c r="D1320" s="2">
        <f>IFERROR(__xludf.DUMMYFUNCTION("""COMPUTED_VALUE"""),374.53)</f>
        <v>374.53</v>
      </c>
      <c r="E1320" s="2">
        <f>IFERROR(__xludf.DUMMYFUNCTION("""COMPUTED_VALUE"""),375.83)</f>
        <v>375.83</v>
      </c>
      <c r="F1320" s="2">
        <f>IFERROR(__xludf.DUMMYFUNCTION("""COMPUTED_VALUE"""),981841.0)</f>
        <v>981841</v>
      </c>
    </row>
    <row r="1321">
      <c r="A1321" s="3">
        <f>IFERROR(__xludf.DUMMYFUNCTION("""COMPUTED_VALUE"""),40183.645833333336)</f>
        <v>40183.64583</v>
      </c>
      <c r="B1321" s="2">
        <f>IFERROR(__xludf.DUMMYFUNCTION("""COMPUTED_VALUE"""),377.5)</f>
        <v>377.5</v>
      </c>
      <c r="C1321" s="2">
        <f>IFERROR(__xludf.DUMMYFUNCTION("""COMPUTED_VALUE"""),379.78)</f>
        <v>379.78</v>
      </c>
      <c r="D1321" s="2">
        <f>IFERROR(__xludf.DUMMYFUNCTION("""COMPUTED_VALUE"""),373.28)</f>
        <v>373.28</v>
      </c>
      <c r="E1321" s="2">
        <f>IFERROR(__xludf.DUMMYFUNCTION("""COMPUTED_VALUE"""),375.92)</f>
        <v>375.92</v>
      </c>
      <c r="F1321" s="2">
        <f>IFERROR(__xludf.DUMMYFUNCTION("""COMPUTED_VALUE"""),1007244.0)</f>
        <v>1007244</v>
      </c>
    </row>
    <row r="1322">
      <c r="A1322" s="3">
        <f>IFERROR(__xludf.DUMMYFUNCTION("""COMPUTED_VALUE"""),40184.645833333336)</f>
        <v>40184.64583</v>
      </c>
      <c r="B1322" s="2">
        <f>IFERROR(__xludf.DUMMYFUNCTION("""COMPUTED_VALUE"""),375.92)</f>
        <v>375.92</v>
      </c>
      <c r="C1322" s="2">
        <f>IFERROR(__xludf.DUMMYFUNCTION("""COMPUTED_VALUE"""),376.1)</f>
        <v>376.1</v>
      </c>
      <c r="D1322" s="2">
        <f>IFERROR(__xludf.DUMMYFUNCTION("""COMPUTED_VALUE"""),366.5)</f>
        <v>366.5</v>
      </c>
      <c r="E1322" s="2">
        <f>IFERROR(__xludf.DUMMYFUNCTION("""COMPUTED_VALUE"""),367.42)</f>
        <v>367.42</v>
      </c>
      <c r="F1322" s="2">
        <f>IFERROR(__xludf.DUMMYFUNCTION("""COMPUTED_VALUE"""),1674588.0)</f>
        <v>1674588</v>
      </c>
    </row>
    <row r="1323">
      <c r="A1323" s="3">
        <f>IFERROR(__xludf.DUMMYFUNCTION("""COMPUTED_VALUE"""),40185.645833333336)</f>
        <v>40185.64583</v>
      </c>
      <c r="B1323" s="2">
        <f>IFERROR(__xludf.DUMMYFUNCTION("""COMPUTED_VALUE"""),367.75)</f>
        <v>367.75</v>
      </c>
      <c r="C1323" s="2">
        <f>IFERROR(__xludf.DUMMYFUNCTION("""COMPUTED_VALUE"""),369.7)</f>
        <v>369.7</v>
      </c>
      <c r="D1323" s="2">
        <f>IFERROR(__xludf.DUMMYFUNCTION("""COMPUTED_VALUE"""),355.5)</f>
        <v>355.5</v>
      </c>
      <c r="E1323" s="2">
        <f>IFERROR(__xludf.DUMMYFUNCTION("""COMPUTED_VALUE"""),357.2)</f>
        <v>357.2</v>
      </c>
      <c r="F1323" s="2">
        <f>IFERROR(__xludf.DUMMYFUNCTION("""COMPUTED_VALUE"""),3237446.0)</f>
        <v>3237446</v>
      </c>
    </row>
    <row r="1324">
      <c r="A1324" s="3">
        <f>IFERROR(__xludf.DUMMYFUNCTION("""COMPUTED_VALUE"""),40186.645833333336)</f>
        <v>40186.64583</v>
      </c>
      <c r="B1324" s="2">
        <f>IFERROR(__xludf.DUMMYFUNCTION("""COMPUTED_VALUE"""),358.0)</f>
        <v>358</v>
      </c>
      <c r="C1324" s="2">
        <f>IFERROR(__xludf.DUMMYFUNCTION("""COMPUTED_VALUE"""),359.25)</f>
        <v>359.25</v>
      </c>
      <c r="D1324" s="2">
        <f>IFERROR(__xludf.DUMMYFUNCTION("""COMPUTED_VALUE"""),348.25)</f>
        <v>348.25</v>
      </c>
      <c r="E1324" s="2">
        <f>IFERROR(__xludf.DUMMYFUNCTION("""COMPUTED_VALUE"""),349.9)</f>
        <v>349.9</v>
      </c>
      <c r="F1324" s="2">
        <f>IFERROR(__xludf.DUMMYFUNCTION("""COMPUTED_VALUE"""),3024089.0)</f>
        <v>3024089</v>
      </c>
    </row>
    <row r="1325">
      <c r="A1325" s="3">
        <f>IFERROR(__xludf.DUMMYFUNCTION("""COMPUTED_VALUE"""),40189.645833333336)</f>
        <v>40189.64583</v>
      </c>
      <c r="B1325" s="2">
        <f>IFERROR(__xludf.DUMMYFUNCTION("""COMPUTED_VALUE"""),352.0)</f>
        <v>352</v>
      </c>
      <c r="C1325" s="2">
        <f>IFERROR(__xludf.DUMMYFUNCTION("""COMPUTED_VALUE"""),360.05)</f>
        <v>360.05</v>
      </c>
      <c r="D1325" s="2">
        <f>IFERROR(__xludf.DUMMYFUNCTION("""COMPUTED_VALUE"""),350.2)</f>
        <v>350.2</v>
      </c>
      <c r="E1325" s="2">
        <f>IFERROR(__xludf.DUMMYFUNCTION("""COMPUTED_VALUE"""),357.1)</f>
        <v>357.1</v>
      </c>
      <c r="F1325" s="2">
        <f>IFERROR(__xludf.DUMMYFUNCTION("""COMPUTED_VALUE"""),2159204.0)</f>
        <v>2159204</v>
      </c>
    </row>
    <row r="1326">
      <c r="A1326" s="3">
        <f>IFERROR(__xludf.DUMMYFUNCTION("""COMPUTED_VALUE"""),40190.645833333336)</f>
        <v>40190.64583</v>
      </c>
      <c r="B1326" s="2">
        <f>IFERROR(__xludf.DUMMYFUNCTION("""COMPUTED_VALUE"""),366.0)</f>
        <v>366</v>
      </c>
      <c r="C1326" s="2">
        <f>IFERROR(__xludf.DUMMYFUNCTION("""COMPUTED_VALUE"""),377.0)</f>
        <v>377</v>
      </c>
      <c r="D1326" s="2">
        <f>IFERROR(__xludf.DUMMYFUNCTION("""COMPUTED_VALUE"""),363.5)</f>
        <v>363.5</v>
      </c>
      <c r="E1326" s="2">
        <f>IFERROR(__xludf.DUMMYFUNCTION("""COMPUTED_VALUE"""),375.03)</f>
        <v>375.03</v>
      </c>
      <c r="F1326" s="2">
        <f>IFERROR(__xludf.DUMMYFUNCTION("""COMPUTED_VALUE"""),4513845.0)</f>
        <v>4513845</v>
      </c>
    </row>
    <row r="1327">
      <c r="A1327" s="3">
        <f>IFERROR(__xludf.DUMMYFUNCTION("""COMPUTED_VALUE"""),40191.645833333336)</f>
        <v>40191.64583</v>
      </c>
      <c r="B1327" s="2">
        <f>IFERROR(__xludf.DUMMYFUNCTION("""COMPUTED_VALUE"""),372.5)</f>
        <v>372.5</v>
      </c>
      <c r="C1327" s="2">
        <f>IFERROR(__xludf.DUMMYFUNCTION("""COMPUTED_VALUE"""),398.2)</f>
        <v>398.2</v>
      </c>
      <c r="D1327" s="2">
        <f>IFERROR(__xludf.DUMMYFUNCTION("""COMPUTED_VALUE"""),372.33)</f>
        <v>372.33</v>
      </c>
      <c r="E1327" s="2">
        <f>IFERROR(__xludf.DUMMYFUNCTION("""COMPUTED_VALUE"""),394.28)</f>
        <v>394.28</v>
      </c>
      <c r="F1327" s="2">
        <f>IFERROR(__xludf.DUMMYFUNCTION("""COMPUTED_VALUE"""),5455136.0)</f>
        <v>5455136</v>
      </c>
    </row>
    <row r="1328">
      <c r="A1328" s="3">
        <f>IFERROR(__xludf.DUMMYFUNCTION("""COMPUTED_VALUE"""),40192.645833333336)</f>
        <v>40192.64583</v>
      </c>
      <c r="B1328" s="2">
        <f>IFERROR(__xludf.DUMMYFUNCTION("""COMPUTED_VALUE"""),399.23)</f>
        <v>399.23</v>
      </c>
      <c r="C1328" s="2">
        <f>IFERROR(__xludf.DUMMYFUNCTION("""COMPUTED_VALUE"""),399.23)</f>
        <v>399.23</v>
      </c>
      <c r="D1328" s="2">
        <f>IFERROR(__xludf.DUMMYFUNCTION("""COMPUTED_VALUE"""),384.67)</f>
        <v>384.67</v>
      </c>
      <c r="E1328" s="2">
        <f>IFERROR(__xludf.DUMMYFUNCTION("""COMPUTED_VALUE"""),389.92)</f>
        <v>389.92</v>
      </c>
      <c r="F1328" s="2">
        <f>IFERROR(__xludf.DUMMYFUNCTION("""COMPUTED_VALUE"""),5163807.0)</f>
        <v>5163807</v>
      </c>
    </row>
    <row r="1329">
      <c r="A1329" s="3">
        <f>IFERROR(__xludf.DUMMYFUNCTION("""COMPUTED_VALUE"""),40193.645833333336)</f>
        <v>40193.64583</v>
      </c>
      <c r="B1329" s="2">
        <f>IFERROR(__xludf.DUMMYFUNCTION("""COMPUTED_VALUE"""),398.0)</f>
        <v>398</v>
      </c>
      <c r="C1329" s="2">
        <f>IFERROR(__xludf.DUMMYFUNCTION("""COMPUTED_VALUE"""),399.8)</f>
        <v>399.8</v>
      </c>
      <c r="D1329" s="2">
        <f>IFERROR(__xludf.DUMMYFUNCTION("""COMPUTED_VALUE"""),386.13)</f>
        <v>386.13</v>
      </c>
      <c r="E1329" s="2">
        <f>IFERROR(__xludf.DUMMYFUNCTION("""COMPUTED_VALUE"""),395.7)</f>
        <v>395.7</v>
      </c>
      <c r="F1329" s="2">
        <f>IFERROR(__xludf.DUMMYFUNCTION("""COMPUTED_VALUE"""),3972504.0)</f>
        <v>3972504</v>
      </c>
    </row>
    <row r="1330">
      <c r="A1330" s="3">
        <f>IFERROR(__xludf.DUMMYFUNCTION("""COMPUTED_VALUE"""),40196.645833333336)</f>
        <v>40196.64583</v>
      </c>
      <c r="B1330" s="2">
        <f>IFERROR(__xludf.DUMMYFUNCTION("""COMPUTED_VALUE"""),400.0)</f>
        <v>400</v>
      </c>
      <c r="C1330" s="2">
        <f>IFERROR(__xludf.DUMMYFUNCTION("""COMPUTED_VALUE"""),414.5)</f>
        <v>414.5</v>
      </c>
      <c r="D1330" s="2">
        <f>IFERROR(__xludf.DUMMYFUNCTION("""COMPUTED_VALUE"""),396.5)</f>
        <v>396.5</v>
      </c>
      <c r="E1330" s="2">
        <f>IFERROR(__xludf.DUMMYFUNCTION("""COMPUTED_VALUE"""),401.1)</f>
        <v>401.1</v>
      </c>
      <c r="F1330" s="2">
        <f>IFERROR(__xludf.DUMMYFUNCTION("""COMPUTED_VALUE"""),3630542.0)</f>
        <v>3630542</v>
      </c>
    </row>
    <row r="1331">
      <c r="A1331" s="3">
        <f>IFERROR(__xludf.DUMMYFUNCTION("""COMPUTED_VALUE"""),40197.645833333336)</f>
        <v>40197.64583</v>
      </c>
      <c r="B1331" s="2">
        <f>IFERROR(__xludf.DUMMYFUNCTION("""COMPUTED_VALUE"""),401.1)</f>
        <v>401.1</v>
      </c>
      <c r="C1331" s="2">
        <f>IFERROR(__xludf.DUMMYFUNCTION("""COMPUTED_VALUE"""),401.1)</f>
        <v>401.1</v>
      </c>
      <c r="D1331" s="2">
        <f>IFERROR(__xludf.DUMMYFUNCTION("""COMPUTED_VALUE"""),389.33)</f>
        <v>389.33</v>
      </c>
      <c r="E1331" s="2">
        <f>IFERROR(__xludf.DUMMYFUNCTION("""COMPUTED_VALUE"""),390.35)</f>
        <v>390.35</v>
      </c>
      <c r="F1331" s="2">
        <f>IFERROR(__xludf.DUMMYFUNCTION("""COMPUTED_VALUE"""),2577425.0)</f>
        <v>2577425</v>
      </c>
    </row>
    <row r="1332">
      <c r="A1332" s="3">
        <f>IFERROR(__xludf.DUMMYFUNCTION("""COMPUTED_VALUE"""),40198.645833333336)</f>
        <v>40198.64583</v>
      </c>
      <c r="B1332" s="2">
        <f>IFERROR(__xludf.DUMMYFUNCTION("""COMPUTED_VALUE"""),396.1)</f>
        <v>396.1</v>
      </c>
      <c r="C1332" s="2">
        <f>IFERROR(__xludf.DUMMYFUNCTION("""COMPUTED_VALUE"""),396.1)</f>
        <v>396.1</v>
      </c>
      <c r="D1332" s="2">
        <f>IFERROR(__xludf.DUMMYFUNCTION("""COMPUTED_VALUE"""),385.45)</f>
        <v>385.45</v>
      </c>
      <c r="E1332" s="2">
        <f>IFERROR(__xludf.DUMMYFUNCTION("""COMPUTED_VALUE"""),389.7)</f>
        <v>389.7</v>
      </c>
      <c r="F1332" s="2">
        <f>IFERROR(__xludf.DUMMYFUNCTION("""COMPUTED_VALUE"""),2173527.0)</f>
        <v>2173527</v>
      </c>
    </row>
    <row r="1333">
      <c r="A1333" s="3">
        <f>IFERROR(__xludf.DUMMYFUNCTION("""COMPUTED_VALUE"""),40199.645833333336)</f>
        <v>40199.64583</v>
      </c>
      <c r="B1333" s="2">
        <f>IFERROR(__xludf.DUMMYFUNCTION("""COMPUTED_VALUE"""),386.13)</f>
        <v>386.13</v>
      </c>
      <c r="C1333" s="2">
        <f>IFERROR(__xludf.DUMMYFUNCTION("""COMPUTED_VALUE"""),395.98)</f>
        <v>395.98</v>
      </c>
      <c r="D1333" s="2">
        <f>IFERROR(__xludf.DUMMYFUNCTION("""COMPUTED_VALUE"""),383.95)</f>
        <v>383.95</v>
      </c>
      <c r="E1333" s="2">
        <f>IFERROR(__xludf.DUMMYFUNCTION("""COMPUTED_VALUE"""),385.33)</f>
        <v>385.33</v>
      </c>
      <c r="F1333" s="2">
        <f>IFERROR(__xludf.DUMMYFUNCTION("""COMPUTED_VALUE"""),2544752.0)</f>
        <v>2544752</v>
      </c>
    </row>
    <row r="1334">
      <c r="A1334" s="3">
        <f>IFERROR(__xludf.DUMMYFUNCTION("""COMPUTED_VALUE"""),40200.645833333336)</f>
        <v>40200.64583</v>
      </c>
      <c r="B1334" s="2">
        <f>IFERROR(__xludf.DUMMYFUNCTION("""COMPUTED_VALUE"""),380.5)</f>
        <v>380.5</v>
      </c>
      <c r="C1334" s="2">
        <f>IFERROR(__xludf.DUMMYFUNCTION("""COMPUTED_VALUE"""),382.5)</f>
        <v>382.5</v>
      </c>
      <c r="D1334" s="2">
        <f>IFERROR(__xludf.DUMMYFUNCTION("""COMPUTED_VALUE"""),372.35)</f>
        <v>372.35</v>
      </c>
      <c r="E1334" s="2">
        <f>IFERROR(__xludf.DUMMYFUNCTION("""COMPUTED_VALUE"""),378.92)</f>
        <v>378.92</v>
      </c>
      <c r="F1334" s="2">
        <f>IFERROR(__xludf.DUMMYFUNCTION("""COMPUTED_VALUE"""),3787495.0)</f>
        <v>3787495</v>
      </c>
    </row>
    <row r="1335">
      <c r="A1335" s="3">
        <f>IFERROR(__xludf.DUMMYFUNCTION("""COMPUTED_VALUE"""),40203.645833333336)</f>
        <v>40203.64583</v>
      </c>
      <c r="B1335" s="2">
        <f>IFERROR(__xludf.DUMMYFUNCTION("""COMPUTED_VALUE"""),378.75)</f>
        <v>378.75</v>
      </c>
      <c r="C1335" s="2">
        <f>IFERROR(__xludf.DUMMYFUNCTION("""COMPUTED_VALUE"""),382.75)</f>
        <v>382.75</v>
      </c>
      <c r="D1335" s="2">
        <f>IFERROR(__xludf.DUMMYFUNCTION("""COMPUTED_VALUE"""),370.58)</f>
        <v>370.58</v>
      </c>
      <c r="E1335" s="2">
        <f>IFERROR(__xludf.DUMMYFUNCTION("""COMPUTED_VALUE"""),378.1)</f>
        <v>378.1</v>
      </c>
      <c r="F1335" s="2">
        <f>IFERROR(__xludf.DUMMYFUNCTION("""COMPUTED_VALUE"""),1504143.0)</f>
        <v>1504143</v>
      </c>
    </row>
    <row r="1336">
      <c r="A1336" s="3">
        <f>IFERROR(__xludf.DUMMYFUNCTION("""COMPUTED_VALUE"""),40205.645833333336)</f>
        <v>40205.64583</v>
      </c>
      <c r="B1336" s="2">
        <f>IFERROR(__xludf.DUMMYFUNCTION("""COMPUTED_VALUE"""),375.0)</f>
        <v>375</v>
      </c>
      <c r="C1336" s="2">
        <f>IFERROR(__xludf.DUMMYFUNCTION("""COMPUTED_VALUE"""),379.85)</f>
        <v>379.85</v>
      </c>
      <c r="D1336" s="2">
        <f>IFERROR(__xludf.DUMMYFUNCTION("""COMPUTED_VALUE"""),370.08)</f>
        <v>370.08</v>
      </c>
      <c r="E1336" s="2">
        <f>IFERROR(__xludf.DUMMYFUNCTION("""COMPUTED_VALUE"""),371.65)</f>
        <v>371.65</v>
      </c>
      <c r="F1336" s="2">
        <f>IFERROR(__xludf.DUMMYFUNCTION("""COMPUTED_VALUE"""),2422199.0)</f>
        <v>2422199</v>
      </c>
    </row>
    <row r="1337">
      <c r="A1337" s="3">
        <f>IFERROR(__xludf.DUMMYFUNCTION("""COMPUTED_VALUE"""),40206.645833333336)</f>
        <v>40206.64583</v>
      </c>
      <c r="B1337" s="2">
        <f>IFERROR(__xludf.DUMMYFUNCTION("""COMPUTED_VALUE"""),374.75)</f>
        <v>374.75</v>
      </c>
      <c r="C1337" s="2">
        <f>IFERROR(__xludf.DUMMYFUNCTION("""COMPUTED_VALUE"""),378.98)</f>
        <v>378.98</v>
      </c>
      <c r="D1337" s="2">
        <f>IFERROR(__xludf.DUMMYFUNCTION("""COMPUTED_VALUE"""),363.85)</f>
        <v>363.85</v>
      </c>
      <c r="E1337" s="2">
        <f>IFERROR(__xludf.DUMMYFUNCTION("""COMPUTED_VALUE"""),370.88)</f>
        <v>370.88</v>
      </c>
      <c r="F1337" s="2">
        <f>IFERROR(__xludf.DUMMYFUNCTION("""COMPUTED_VALUE"""),3268598.0)</f>
        <v>3268598</v>
      </c>
    </row>
    <row r="1338">
      <c r="A1338" s="3">
        <f>IFERROR(__xludf.DUMMYFUNCTION("""COMPUTED_VALUE"""),40207.645833333336)</f>
        <v>40207.64583</v>
      </c>
      <c r="B1338" s="2">
        <f>IFERROR(__xludf.DUMMYFUNCTION("""COMPUTED_VALUE"""),367.0)</f>
        <v>367</v>
      </c>
      <c r="C1338" s="2">
        <f>IFERROR(__xludf.DUMMYFUNCTION("""COMPUTED_VALUE"""),369.9)</f>
        <v>369.9</v>
      </c>
      <c r="D1338" s="2">
        <f>IFERROR(__xludf.DUMMYFUNCTION("""COMPUTED_VALUE"""),356.08)</f>
        <v>356.08</v>
      </c>
      <c r="E1338" s="2">
        <f>IFERROR(__xludf.DUMMYFUNCTION("""COMPUTED_VALUE"""),368.1)</f>
        <v>368.1</v>
      </c>
      <c r="F1338" s="2">
        <f>IFERROR(__xludf.DUMMYFUNCTION("""COMPUTED_VALUE"""),2736663.0)</f>
        <v>2736663</v>
      </c>
    </row>
    <row r="1339">
      <c r="A1339" s="3">
        <f>IFERROR(__xludf.DUMMYFUNCTION("""COMPUTED_VALUE"""),40210.645833333336)</f>
        <v>40210.64583</v>
      </c>
      <c r="B1339" s="2">
        <f>IFERROR(__xludf.DUMMYFUNCTION("""COMPUTED_VALUE"""),367.17)</f>
        <v>367.17</v>
      </c>
      <c r="C1339" s="2">
        <f>IFERROR(__xludf.DUMMYFUNCTION("""COMPUTED_VALUE"""),381.4)</f>
        <v>381.4</v>
      </c>
      <c r="D1339" s="2">
        <f>IFERROR(__xludf.DUMMYFUNCTION("""COMPUTED_VALUE"""),360.0)</f>
        <v>360</v>
      </c>
      <c r="E1339" s="2">
        <f>IFERROR(__xludf.DUMMYFUNCTION("""COMPUTED_VALUE"""),373.08)</f>
        <v>373.08</v>
      </c>
      <c r="F1339" s="2">
        <f>IFERROR(__xludf.DUMMYFUNCTION("""COMPUTED_VALUE"""),1689006.0)</f>
        <v>1689006</v>
      </c>
    </row>
    <row r="1340">
      <c r="A1340" s="3">
        <f>IFERROR(__xludf.DUMMYFUNCTION("""COMPUTED_VALUE"""),40211.645833333336)</f>
        <v>40211.64583</v>
      </c>
      <c r="B1340" s="2">
        <f>IFERROR(__xludf.DUMMYFUNCTION("""COMPUTED_VALUE"""),377.5)</f>
        <v>377.5</v>
      </c>
      <c r="C1340" s="2">
        <f>IFERROR(__xludf.DUMMYFUNCTION("""COMPUTED_VALUE"""),381.33)</f>
        <v>381.33</v>
      </c>
      <c r="D1340" s="2">
        <f>IFERROR(__xludf.DUMMYFUNCTION("""COMPUTED_VALUE"""),367.5)</f>
        <v>367.5</v>
      </c>
      <c r="E1340" s="2">
        <f>IFERROR(__xludf.DUMMYFUNCTION("""COMPUTED_VALUE"""),369.2)</f>
        <v>369.2</v>
      </c>
      <c r="F1340" s="2">
        <f>IFERROR(__xludf.DUMMYFUNCTION("""COMPUTED_VALUE"""),2369594.0)</f>
        <v>2369594</v>
      </c>
    </row>
    <row r="1341">
      <c r="A1341" s="3">
        <f>IFERROR(__xludf.DUMMYFUNCTION("""COMPUTED_VALUE"""),40212.645833333336)</f>
        <v>40212.64583</v>
      </c>
      <c r="B1341" s="2">
        <f>IFERROR(__xludf.DUMMYFUNCTION("""COMPUTED_VALUE"""),372.0)</f>
        <v>372</v>
      </c>
      <c r="C1341" s="2">
        <f>IFERROR(__xludf.DUMMYFUNCTION("""COMPUTED_VALUE"""),378.45)</f>
        <v>378.45</v>
      </c>
      <c r="D1341" s="2">
        <f>IFERROR(__xludf.DUMMYFUNCTION("""COMPUTED_VALUE"""),367.75)</f>
        <v>367.75</v>
      </c>
      <c r="E1341" s="2">
        <f>IFERROR(__xludf.DUMMYFUNCTION("""COMPUTED_VALUE"""),376.48)</f>
        <v>376.48</v>
      </c>
      <c r="F1341" s="2">
        <f>IFERROR(__xludf.DUMMYFUNCTION("""COMPUTED_VALUE"""),1488838.0)</f>
        <v>1488838</v>
      </c>
    </row>
    <row r="1342">
      <c r="A1342" s="3">
        <f>IFERROR(__xludf.DUMMYFUNCTION("""COMPUTED_VALUE"""),40213.645833333336)</f>
        <v>40213.64583</v>
      </c>
      <c r="B1342" s="2">
        <f>IFERROR(__xludf.DUMMYFUNCTION("""COMPUTED_VALUE"""),376.48)</f>
        <v>376.48</v>
      </c>
      <c r="C1342" s="2">
        <f>IFERROR(__xludf.DUMMYFUNCTION("""COMPUTED_VALUE"""),376.95)</f>
        <v>376.95</v>
      </c>
      <c r="D1342" s="2">
        <f>IFERROR(__xludf.DUMMYFUNCTION("""COMPUTED_VALUE"""),366.25)</f>
        <v>366.25</v>
      </c>
      <c r="E1342" s="2">
        <f>IFERROR(__xludf.DUMMYFUNCTION("""COMPUTED_VALUE"""),369.35)</f>
        <v>369.35</v>
      </c>
      <c r="F1342" s="2">
        <f>IFERROR(__xludf.DUMMYFUNCTION("""COMPUTED_VALUE"""),1358306.0)</f>
        <v>1358306</v>
      </c>
    </row>
    <row r="1343">
      <c r="A1343" s="3">
        <f>IFERROR(__xludf.DUMMYFUNCTION("""COMPUTED_VALUE"""),40214.645833333336)</f>
        <v>40214.64583</v>
      </c>
      <c r="B1343" s="2">
        <f>IFERROR(__xludf.DUMMYFUNCTION("""COMPUTED_VALUE"""),367.5)</f>
        <v>367.5</v>
      </c>
      <c r="C1343" s="2">
        <f>IFERROR(__xludf.DUMMYFUNCTION("""COMPUTED_VALUE"""),367.5)</f>
        <v>367.5</v>
      </c>
      <c r="D1343" s="2">
        <f>IFERROR(__xludf.DUMMYFUNCTION("""COMPUTED_VALUE"""),358.3)</f>
        <v>358.3</v>
      </c>
      <c r="E1343" s="2">
        <f>IFERROR(__xludf.DUMMYFUNCTION("""COMPUTED_VALUE"""),361.75)</f>
        <v>361.75</v>
      </c>
      <c r="F1343" s="2">
        <f>IFERROR(__xludf.DUMMYFUNCTION("""COMPUTED_VALUE"""),2303559.0)</f>
        <v>2303559</v>
      </c>
    </row>
    <row r="1344">
      <c r="A1344" s="3">
        <f>IFERROR(__xludf.DUMMYFUNCTION("""COMPUTED_VALUE"""),40217.645833333336)</f>
        <v>40217.64583</v>
      </c>
      <c r="B1344" s="2">
        <f>IFERROR(__xludf.DUMMYFUNCTION("""COMPUTED_VALUE"""),364.5)</f>
        <v>364.5</v>
      </c>
      <c r="C1344" s="2">
        <f>IFERROR(__xludf.DUMMYFUNCTION("""COMPUTED_VALUE"""),367.38)</f>
        <v>367.38</v>
      </c>
      <c r="D1344" s="2">
        <f>IFERROR(__xludf.DUMMYFUNCTION("""COMPUTED_VALUE"""),354.08)</f>
        <v>354.08</v>
      </c>
      <c r="E1344" s="2">
        <f>IFERROR(__xludf.DUMMYFUNCTION("""COMPUTED_VALUE"""),362.08)</f>
        <v>362.08</v>
      </c>
      <c r="F1344" s="2">
        <f>IFERROR(__xludf.DUMMYFUNCTION("""COMPUTED_VALUE"""),2085172.0)</f>
        <v>2085172</v>
      </c>
    </row>
    <row r="1345">
      <c r="A1345" s="3">
        <f>IFERROR(__xludf.DUMMYFUNCTION("""COMPUTED_VALUE"""),40218.645833333336)</f>
        <v>40218.64583</v>
      </c>
      <c r="B1345" s="2">
        <f>IFERROR(__xludf.DUMMYFUNCTION("""COMPUTED_VALUE"""),362.5)</f>
        <v>362.5</v>
      </c>
      <c r="C1345" s="2">
        <f>IFERROR(__xludf.DUMMYFUNCTION("""COMPUTED_VALUE"""),370.98)</f>
        <v>370.98</v>
      </c>
      <c r="D1345" s="2">
        <f>IFERROR(__xludf.DUMMYFUNCTION("""COMPUTED_VALUE"""),360.53)</f>
        <v>360.53</v>
      </c>
      <c r="E1345" s="2">
        <f>IFERROR(__xludf.DUMMYFUNCTION("""COMPUTED_VALUE"""),367.58)</f>
        <v>367.58</v>
      </c>
      <c r="F1345" s="2">
        <f>IFERROR(__xludf.DUMMYFUNCTION("""COMPUTED_VALUE"""),1502947.0)</f>
        <v>1502947</v>
      </c>
    </row>
    <row r="1346">
      <c r="A1346" s="3">
        <f>IFERROR(__xludf.DUMMYFUNCTION("""COMPUTED_VALUE"""),40219.645833333336)</f>
        <v>40219.64583</v>
      </c>
      <c r="B1346" s="2">
        <f>IFERROR(__xludf.DUMMYFUNCTION("""COMPUTED_VALUE"""),369.95)</f>
        <v>369.95</v>
      </c>
      <c r="C1346" s="2">
        <f>IFERROR(__xludf.DUMMYFUNCTION("""COMPUTED_VALUE"""),371.85)</f>
        <v>371.85</v>
      </c>
      <c r="D1346" s="2">
        <f>IFERROR(__xludf.DUMMYFUNCTION("""COMPUTED_VALUE"""),364.05)</f>
        <v>364.05</v>
      </c>
      <c r="E1346" s="2">
        <f>IFERROR(__xludf.DUMMYFUNCTION("""COMPUTED_VALUE"""),366.15)</f>
        <v>366.15</v>
      </c>
      <c r="F1346" s="2">
        <f>IFERROR(__xludf.DUMMYFUNCTION("""COMPUTED_VALUE"""),1168687.0)</f>
        <v>1168687</v>
      </c>
    </row>
    <row r="1347">
      <c r="A1347" s="3">
        <f>IFERROR(__xludf.DUMMYFUNCTION("""COMPUTED_VALUE"""),40220.645833333336)</f>
        <v>40220.64583</v>
      </c>
      <c r="B1347" s="2">
        <f>IFERROR(__xludf.DUMMYFUNCTION("""COMPUTED_VALUE"""),368.98)</f>
        <v>368.98</v>
      </c>
      <c r="C1347" s="2">
        <f>IFERROR(__xludf.DUMMYFUNCTION("""COMPUTED_VALUE"""),373.98)</f>
        <v>373.98</v>
      </c>
      <c r="D1347" s="2">
        <f>IFERROR(__xludf.DUMMYFUNCTION("""COMPUTED_VALUE"""),367.5)</f>
        <v>367.5</v>
      </c>
      <c r="E1347" s="2">
        <f>IFERROR(__xludf.DUMMYFUNCTION("""COMPUTED_VALUE"""),371.35)</f>
        <v>371.35</v>
      </c>
      <c r="F1347" s="2">
        <f>IFERROR(__xludf.DUMMYFUNCTION("""COMPUTED_VALUE"""),1206578.0)</f>
        <v>1206578</v>
      </c>
    </row>
    <row r="1348">
      <c r="A1348" s="3">
        <f>IFERROR(__xludf.DUMMYFUNCTION("""COMPUTED_VALUE"""),40224.645833333336)</f>
        <v>40224.64583</v>
      </c>
      <c r="B1348" s="2">
        <f>IFERROR(__xludf.DUMMYFUNCTION("""COMPUTED_VALUE"""),375.0)</f>
        <v>375</v>
      </c>
      <c r="C1348" s="2">
        <f>IFERROR(__xludf.DUMMYFUNCTION("""COMPUTED_VALUE"""),375.0)</f>
        <v>375</v>
      </c>
      <c r="D1348" s="2">
        <f>IFERROR(__xludf.DUMMYFUNCTION("""COMPUTED_VALUE"""),369.28)</f>
        <v>369.28</v>
      </c>
      <c r="E1348" s="2">
        <f>IFERROR(__xludf.DUMMYFUNCTION("""COMPUTED_VALUE"""),373.08)</f>
        <v>373.08</v>
      </c>
      <c r="F1348" s="2">
        <f>IFERROR(__xludf.DUMMYFUNCTION("""COMPUTED_VALUE"""),978241.0)</f>
        <v>978241</v>
      </c>
    </row>
    <row r="1349">
      <c r="A1349" s="3">
        <f>IFERROR(__xludf.DUMMYFUNCTION("""COMPUTED_VALUE"""),40225.645833333336)</f>
        <v>40225.64583</v>
      </c>
      <c r="B1349" s="2">
        <f>IFERROR(__xludf.DUMMYFUNCTION("""COMPUTED_VALUE"""),373.63)</f>
        <v>373.63</v>
      </c>
      <c r="C1349" s="2">
        <f>IFERROR(__xludf.DUMMYFUNCTION("""COMPUTED_VALUE"""),382.48)</f>
        <v>382.48</v>
      </c>
      <c r="D1349" s="2">
        <f>IFERROR(__xludf.DUMMYFUNCTION("""COMPUTED_VALUE"""),371.1)</f>
        <v>371.1</v>
      </c>
      <c r="E1349" s="2">
        <f>IFERROR(__xludf.DUMMYFUNCTION("""COMPUTED_VALUE"""),379.08)</f>
        <v>379.08</v>
      </c>
      <c r="F1349" s="2">
        <f>IFERROR(__xludf.DUMMYFUNCTION("""COMPUTED_VALUE"""),830245.0)</f>
        <v>830245</v>
      </c>
    </row>
    <row r="1350">
      <c r="A1350" s="3">
        <f>IFERROR(__xludf.DUMMYFUNCTION("""COMPUTED_VALUE"""),40226.645833333336)</f>
        <v>40226.64583</v>
      </c>
      <c r="B1350" s="2">
        <f>IFERROR(__xludf.DUMMYFUNCTION("""COMPUTED_VALUE"""),382.45)</f>
        <v>382.45</v>
      </c>
      <c r="C1350" s="2">
        <f>IFERROR(__xludf.DUMMYFUNCTION("""COMPUTED_VALUE"""),383.98)</f>
        <v>383.98</v>
      </c>
      <c r="D1350" s="2">
        <f>IFERROR(__xludf.DUMMYFUNCTION("""COMPUTED_VALUE"""),376.28)</f>
        <v>376.28</v>
      </c>
      <c r="E1350" s="2">
        <f>IFERROR(__xludf.DUMMYFUNCTION("""COMPUTED_VALUE"""),379.33)</f>
        <v>379.33</v>
      </c>
      <c r="F1350" s="2">
        <f>IFERROR(__xludf.DUMMYFUNCTION("""COMPUTED_VALUE"""),1264145.0)</f>
        <v>1264145</v>
      </c>
    </row>
    <row r="1351">
      <c r="A1351" s="3">
        <f>IFERROR(__xludf.DUMMYFUNCTION("""COMPUTED_VALUE"""),40227.645833333336)</f>
        <v>40227.64583</v>
      </c>
      <c r="B1351" s="2">
        <f>IFERROR(__xludf.DUMMYFUNCTION("""COMPUTED_VALUE"""),380.0)</f>
        <v>380</v>
      </c>
      <c r="C1351" s="2">
        <f>IFERROR(__xludf.DUMMYFUNCTION("""COMPUTED_VALUE"""),383.48)</f>
        <v>383.48</v>
      </c>
      <c r="D1351" s="2">
        <f>IFERROR(__xludf.DUMMYFUNCTION("""COMPUTED_VALUE"""),377.75)</f>
        <v>377.75</v>
      </c>
      <c r="E1351" s="2">
        <f>IFERROR(__xludf.DUMMYFUNCTION("""COMPUTED_VALUE"""),379.4)</f>
        <v>379.4</v>
      </c>
      <c r="F1351" s="2">
        <f>IFERROR(__xludf.DUMMYFUNCTION("""COMPUTED_VALUE"""),907403.0)</f>
        <v>907403</v>
      </c>
    </row>
    <row r="1352">
      <c r="A1352" s="3">
        <f>IFERROR(__xludf.DUMMYFUNCTION("""COMPUTED_VALUE"""),40228.645833333336)</f>
        <v>40228.64583</v>
      </c>
      <c r="B1352" s="2">
        <f>IFERROR(__xludf.DUMMYFUNCTION("""COMPUTED_VALUE"""),377.45)</f>
        <v>377.45</v>
      </c>
      <c r="C1352" s="2">
        <f>IFERROR(__xludf.DUMMYFUNCTION("""COMPUTED_VALUE"""),379.75)</f>
        <v>379.75</v>
      </c>
      <c r="D1352" s="2">
        <f>IFERROR(__xludf.DUMMYFUNCTION("""COMPUTED_VALUE"""),372.9)</f>
        <v>372.9</v>
      </c>
      <c r="E1352" s="2">
        <f>IFERROR(__xludf.DUMMYFUNCTION("""COMPUTED_VALUE"""),375.28)</f>
        <v>375.28</v>
      </c>
      <c r="F1352" s="2">
        <f>IFERROR(__xludf.DUMMYFUNCTION("""COMPUTED_VALUE"""),1107940.0)</f>
        <v>1107940</v>
      </c>
    </row>
    <row r="1353">
      <c r="A1353" s="3">
        <f>IFERROR(__xludf.DUMMYFUNCTION("""COMPUTED_VALUE"""),40231.645833333336)</f>
        <v>40231.64583</v>
      </c>
      <c r="B1353" s="2">
        <f>IFERROR(__xludf.DUMMYFUNCTION("""COMPUTED_VALUE"""),378.5)</f>
        <v>378.5</v>
      </c>
      <c r="C1353" s="2">
        <f>IFERROR(__xludf.DUMMYFUNCTION("""COMPUTED_VALUE"""),381.85)</f>
        <v>381.85</v>
      </c>
      <c r="D1353" s="2">
        <f>IFERROR(__xludf.DUMMYFUNCTION("""COMPUTED_VALUE"""),376.9)</f>
        <v>376.9</v>
      </c>
      <c r="E1353" s="2">
        <f>IFERROR(__xludf.DUMMYFUNCTION("""COMPUTED_VALUE"""),378.63)</f>
        <v>378.63</v>
      </c>
      <c r="F1353" s="2">
        <f>IFERROR(__xludf.DUMMYFUNCTION("""COMPUTED_VALUE"""),1071730.0)</f>
        <v>1071730</v>
      </c>
    </row>
    <row r="1354">
      <c r="A1354" s="3">
        <f>IFERROR(__xludf.DUMMYFUNCTION("""COMPUTED_VALUE"""),40232.645833333336)</f>
        <v>40232.64583</v>
      </c>
      <c r="B1354" s="2">
        <f>IFERROR(__xludf.DUMMYFUNCTION("""COMPUTED_VALUE"""),379.5)</f>
        <v>379.5</v>
      </c>
      <c r="C1354" s="2">
        <f>IFERROR(__xludf.DUMMYFUNCTION("""COMPUTED_VALUE"""),382.5)</f>
        <v>382.5</v>
      </c>
      <c r="D1354" s="2">
        <f>IFERROR(__xludf.DUMMYFUNCTION("""COMPUTED_VALUE"""),375.63)</f>
        <v>375.63</v>
      </c>
      <c r="E1354" s="2">
        <f>IFERROR(__xludf.DUMMYFUNCTION("""COMPUTED_VALUE"""),381.05)</f>
        <v>381.05</v>
      </c>
      <c r="F1354" s="2">
        <f>IFERROR(__xludf.DUMMYFUNCTION("""COMPUTED_VALUE"""),926526.0)</f>
        <v>926526</v>
      </c>
    </row>
    <row r="1355">
      <c r="A1355" s="3">
        <f>IFERROR(__xludf.DUMMYFUNCTION("""COMPUTED_VALUE"""),40233.645833333336)</f>
        <v>40233.64583</v>
      </c>
      <c r="B1355" s="2">
        <f>IFERROR(__xludf.DUMMYFUNCTION("""COMPUTED_VALUE"""),378.0)</f>
        <v>378</v>
      </c>
      <c r="C1355" s="2">
        <f>IFERROR(__xludf.DUMMYFUNCTION("""COMPUTED_VALUE"""),385.35)</f>
        <v>385.35</v>
      </c>
      <c r="D1355" s="2">
        <f>IFERROR(__xludf.DUMMYFUNCTION("""COMPUTED_VALUE"""),376.05)</f>
        <v>376.05</v>
      </c>
      <c r="E1355" s="2">
        <f>IFERROR(__xludf.DUMMYFUNCTION("""COMPUTED_VALUE"""),382.67)</f>
        <v>382.67</v>
      </c>
      <c r="F1355" s="2">
        <f>IFERROR(__xludf.DUMMYFUNCTION("""COMPUTED_VALUE"""),2038029.0)</f>
        <v>2038029</v>
      </c>
    </row>
    <row r="1356">
      <c r="A1356" s="3">
        <f>IFERROR(__xludf.DUMMYFUNCTION("""COMPUTED_VALUE"""),40234.645833333336)</f>
        <v>40234.64583</v>
      </c>
      <c r="B1356" s="2">
        <f>IFERROR(__xludf.DUMMYFUNCTION("""COMPUTED_VALUE"""),384.9)</f>
        <v>384.9</v>
      </c>
      <c r="C1356" s="2">
        <f>IFERROR(__xludf.DUMMYFUNCTION("""COMPUTED_VALUE"""),384.9)</f>
        <v>384.9</v>
      </c>
      <c r="D1356" s="2">
        <f>IFERROR(__xludf.DUMMYFUNCTION("""COMPUTED_VALUE"""),380.63)</f>
        <v>380.63</v>
      </c>
      <c r="E1356" s="2">
        <f>IFERROR(__xludf.DUMMYFUNCTION("""COMPUTED_VALUE"""),383.13)</f>
        <v>383.13</v>
      </c>
      <c r="F1356" s="2">
        <f>IFERROR(__xludf.DUMMYFUNCTION("""COMPUTED_VALUE"""),1336492.0)</f>
        <v>1336492</v>
      </c>
    </row>
    <row r="1357">
      <c r="A1357" s="3">
        <f>IFERROR(__xludf.DUMMYFUNCTION("""COMPUTED_VALUE"""),40235.645833333336)</f>
        <v>40235.64583</v>
      </c>
      <c r="B1357" s="2">
        <f>IFERROR(__xludf.DUMMYFUNCTION("""COMPUTED_VALUE"""),383.55)</f>
        <v>383.55</v>
      </c>
      <c r="C1357" s="2">
        <f>IFERROR(__xludf.DUMMYFUNCTION("""COMPUTED_VALUE"""),389.28)</f>
        <v>389.28</v>
      </c>
      <c r="D1357" s="2">
        <f>IFERROR(__xludf.DUMMYFUNCTION("""COMPUTED_VALUE"""),373.08)</f>
        <v>373.08</v>
      </c>
      <c r="E1357" s="2">
        <f>IFERROR(__xludf.DUMMYFUNCTION("""COMPUTED_VALUE"""),380.9)</f>
        <v>380.9</v>
      </c>
      <c r="F1357" s="2">
        <f>IFERROR(__xludf.DUMMYFUNCTION("""COMPUTED_VALUE"""),1507967.0)</f>
        <v>1507967</v>
      </c>
    </row>
    <row r="1358">
      <c r="A1358" s="3">
        <f>IFERROR(__xludf.DUMMYFUNCTION("""COMPUTED_VALUE"""),40239.645833333336)</f>
        <v>40239.64583</v>
      </c>
      <c r="B1358" s="2">
        <f>IFERROR(__xludf.DUMMYFUNCTION("""COMPUTED_VALUE"""),381.0)</f>
        <v>381</v>
      </c>
      <c r="C1358" s="2">
        <f>IFERROR(__xludf.DUMMYFUNCTION("""COMPUTED_VALUE"""),384.5)</f>
        <v>384.5</v>
      </c>
      <c r="D1358" s="2">
        <f>IFERROR(__xludf.DUMMYFUNCTION("""COMPUTED_VALUE"""),377.5)</f>
        <v>377.5</v>
      </c>
      <c r="E1358" s="2">
        <f>IFERROR(__xludf.DUMMYFUNCTION("""COMPUTED_VALUE"""),381.6)</f>
        <v>381.6</v>
      </c>
      <c r="F1358" s="2">
        <f>IFERROR(__xludf.DUMMYFUNCTION("""COMPUTED_VALUE"""),2026676.0)</f>
        <v>2026676</v>
      </c>
    </row>
    <row r="1359">
      <c r="A1359" s="3">
        <f>IFERROR(__xludf.DUMMYFUNCTION("""COMPUTED_VALUE"""),40240.645833333336)</f>
        <v>40240.64583</v>
      </c>
      <c r="B1359" s="2">
        <f>IFERROR(__xludf.DUMMYFUNCTION("""COMPUTED_VALUE"""),384.5)</f>
        <v>384.5</v>
      </c>
      <c r="C1359" s="2">
        <f>IFERROR(__xludf.DUMMYFUNCTION("""COMPUTED_VALUE"""),387.0)</f>
        <v>387</v>
      </c>
      <c r="D1359" s="2">
        <f>IFERROR(__xludf.DUMMYFUNCTION("""COMPUTED_VALUE"""),382.08)</f>
        <v>382.08</v>
      </c>
      <c r="E1359" s="2">
        <f>IFERROR(__xludf.DUMMYFUNCTION("""COMPUTED_VALUE"""),384.38)</f>
        <v>384.38</v>
      </c>
      <c r="F1359" s="2">
        <f>IFERROR(__xludf.DUMMYFUNCTION("""COMPUTED_VALUE"""),1377371.0)</f>
        <v>1377371</v>
      </c>
    </row>
    <row r="1360">
      <c r="A1360" s="3">
        <f>IFERROR(__xludf.DUMMYFUNCTION("""COMPUTED_VALUE"""),40241.645833333336)</f>
        <v>40241.64583</v>
      </c>
      <c r="B1360" s="2">
        <f>IFERROR(__xludf.DUMMYFUNCTION("""COMPUTED_VALUE"""),384.0)</f>
        <v>384</v>
      </c>
      <c r="C1360" s="2">
        <f>IFERROR(__xludf.DUMMYFUNCTION("""COMPUTED_VALUE"""),385.0)</f>
        <v>385</v>
      </c>
      <c r="D1360" s="2">
        <f>IFERROR(__xludf.DUMMYFUNCTION("""COMPUTED_VALUE"""),378.5)</f>
        <v>378.5</v>
      </c>
      <c r="E1360" s="2">
        <f>IFERROR(__xludf.DUMMYFUNCTION("""COMPUTED_VALUE"""),381.95)</f>
        <v>381.95</v>
      </c>
      <c r="F1360" s="2">
        <f>IFERROR(__xludf.DUMMYFUNCTION("""COMPUTED_VALUE"""),1026803.0)</f>
        <v>1026803</v>
      </c>
    </row>
    <row r="1361">
      <c r="A1361" s="3">
        <f>IFERROR(__xludf.DUMMYFUNCTION("""COMPUTED_VALUE"""),40242.645833333336)</f>
        <v>40242.64583</v>
      </c>
      <c r="B1361" s="2">
        <f>IFERROR(__xludf.DUMMYFUNCTION("""COMPUTED_VALUE"""),382.5)</f>
        <v>382.5</v>
      </c>
      <c r="C1361" s="2">
        <f>IFERROR(__xludf.DUMMYFUNCTION("""COMPUTED_VALUE"""),383.48)</f>
        <v>383.48</v>
      </c>
      <c r="D1361" s="2">
        <f>IFERROR(__xludf.DUMMYFUNCTION("""COMPUTED_VALUE"""),380.08)</f>
        <v>380.08</v>
      </c>
      <c r="E1361" s="2">
        <f>IFERROR(__xludf.DUMMYFUNCTION("""COMPUTED_VALUE"""),381.3)</f>
        <v>381.3</v>
      </c>
      <c r="F1361" s="2">
        <f>IFERROR(__xludf.DUMMYFUNCTION("""COMPUTED_VALUE"""),643656.0)</f>
        <v>643656</v>
      </c>
    </row>
    <row r="1362">
      <c r="A1362" s="3">
        <f>IFERROR(__xludf.DUMMYFUNCTION("""COMPUTED_VALUE"""),40245.645833333336)</f>
        <v>40245.64583</v>
      </c>
      <c r="B1362" s="2">
        <f>IFERROR(__xludf.DUMMYFUNCTION("""COMPUTED_VALUE"""),383.8)</f>
        <v>383.8</v>
      </c>
      <c r="C1362" s="2">
        <f>IFERROR(__xludf.DUMMYFUNCTION("""COMPUTED_VALUE"""),385.0)</f>
        <v>385</v>
      </c>
      <c r="D1362" s="2">
        <f>IFERROR(__xludf.DUMMYFUNCTION("""COMPUTED_VALUE"""),380.15)</f>
        <v>380.15</v>
      </c>
      <c r="E1362" s="2">
        <f>IFERROR(__xludf.DUMMYFUNCTION("""COMPUTED_VALUE"""),381.35)</f>
        <v>381.35</v>
      </c>
      <c r="F1362" s="2">
        <f>IFERROR(__xludf.DUMMYFUNCTION("""COMPUTED_VALUE"""),1507870.0)</f>
        <v>1507870</v>
      </c>
    </row>
    <row r="1363">
      <c r="A1363" s="3">
        <f>IFERROR(__xludf.DUMMYFUNCTION("""COMPUTED_VALUE"""),40246.645833333336)</f>
        <v>40246.64583</v>
      </c>
      <c r="B1363" s="2">
        <f>IFERROR(__xludf.DUMMYFUNCTION("""COMPUTED_VALUE"""),381.5)</f>
        <v>381.5</v>
      </c>
      <c r="C1363" s="2">
        <f>IFERROR(__xludf.DUMMYFUNCTION("""COMPUTED_VALUE"""),389.25)</f>
        <v>389.25</v>
      </c>
      <c r="D1363" s="2">
        <f>IFERROR(__xludf.DUMMYFUNCTION("""COMPUTED_VALUE"""),381.5)</f>
        <v>381.5</v>
      </c>
      <c r="E1363" s="2">
        <f>IFERROR(__xludf.DUMMYFUNCTION("""COMPUTED_VALUE"""),384.35)</f>
        <v>384.35</v>
      </c>
      <c r="F1363" s="2">
        <f>IFERROR(__xludf.DUMMYFUNCTION("""COMPUTED_VALUE"""),1728866.0)</f>
        <v>1728866</v>
      </c>
    </row>
    <row r="1364">
      <c r="A1364" s="3">
        <f>IFERROR(__xludf.DUMMYFUNCTION("""COMPUTED_VALUE"""),40247.645833333336)</f>
        <v>40247.64583</v>
      </c>
      <c r="B1364" s="2">
        <f>IFERROR(__xludf.DUMMYFUNCTION("""COMPUTED_VALUE"""),381.85)</f>
        <v>381.85</v>
      </c>
      <c r="C1364" s="2">
        <f>IFERROR(__xludf.DUMMYFUNCTION("""COMPUTED_VALUE"""),392.23)</f>
        <v>392.23</v>
      </c>
      <c r="D1364" s="2">
        <f>IFERROR(__xludf.DUMMYFUNCTION("""COMPUTED_VALUE"""),380.0)</f>
        <v>380</v>
      </c>
      <c r="E1364" s="2">
        <f>IFERROR(__xludf.DUMMYFUNCTION("""COMPUTED_VALUE"""),390.03)</f>
        <v>390.03</v>
      </c>
      <c r="F1364" s="2">
        <f>IFERROR(__xludf.DUMMYFUNCTION("""COMPUTED_VALUE"""),2293937.0)</f>
        <v>2293937</v>
      </c>
    </row>
    <row r="1365">
      <c r="A1365" s="3">
        <f>IFERROR(__xludf.DUMMYFUNCTION("""COMPUTED_VALUE"""),40248.645833333336)</f>
        <v>40248.64583</v>
      </c>
      <c r="B1365" s="2">
        <f>IFERROR(__xludf.DUMMYFUNCTION("""COMPUTED_VALUE"""),390.03)</f>
        <v>390.03</v>
      </c>
      <c r="C1365" s="2">
        <f>IFERROR(__xludf.DUMMYFUNCTION("""COMPUTED_VALUE"""),397.45)</f>
        <v>397.45</v>
      </c>
      <c r="D1365" s="2">
        <f>IFERROR(__xludf.DUMMYFUNCTION("""COMPUTED_VALUE"""),385.98)</f>
        <v>385.98</v>
      </c>
      <c r="E1365" s="2">
        <f>IFERROR(__xludf.DUMMYFUNCTION("""COMPUTED_VALUE"""),395.8)</f>
        <v>395.8</v>
      </c>
      <c r="F1365" s="2">
        <f>IFERROR(__xludf.DUMMYFUNCTION("""COMPUTED_VALUE"""),1607015.0)</f>
        <v>1607015</v>
      </c>
    </row>
    <row r="1366">
      <c r="A1366" s="3">
        <f>IFERROR(__xludf.DUMMYFUNCTION("""COMPUTED_VALUE"""),40249.645833333336)</f>
        <v>40249.64583</v>
      </c>
      <c r="B1366" s="2">
        <f>IFERROR(__xludf.DUMMYFUNCTION("""COMPUTED_VALUE"""),400.0)</f>
        <v>400</v>
      </c>
      <c r="C1366" s="2">
        <f>IFERROR(__xludf.DUMMYFUNCTION("""COMPUTED_VALUE"""),400.0)</f>
        <v>400</v>
      </c>
      <c r="D1366" s="2">
        <f>IFERROR(__xludf.DUMMYFUNCTION("""COMPUTED_VALUE"""),396.0)</f>
        <v>396</v>
      </c>
      <c r="E1366" s="2">
        <f>IFERROR(__xludf.DUMMYFUNCTION("""COMPUTED_VALUE"""),398.48)</f>
        <v>398.48</v>
      </c>
      <c r="F1366" s="2">
        <f>IFERROR(__xludf.DUMMYFUNCTION("""COMPUTED_VALUE"""),1255488.0)</f>
        <v>1255488</v>
      </c>
    </row>
    <row r="1367">
      <c r="A1367" s="3">
        <f>IFERROR(__xludf.DUMMYFUNCTION("""COMPUTED_VALUE"""),40252.645833333336)</f>
        <v>40252.64583</v>
      </c>
      <c r="B1367" s="2">
        <f>IFERROR(__xludf.DUMMYFUNCTION("""COMPUTED_VALUE"""),398.48)</f>
        <v>398.48</v>
      </c>
      <c r="C1367" s="2">
        <f>IFERROR(__xludf.DUMMYFUNCTION("""COMPUTED_VALUE"""),410.0)</f>
        <v>410</v>
      </c>
      <c r="D1367" s="2">
        <f>IFERROR(__xludf.DUMMYFUNCTION("""COMPUTED_VALUE"""),395.58)</f>
        <v>395.58</v>
      </c>
      <c r="E1367" s="2">
        <f>IFERROR(__xludf.DUMMYFUNCTION("""COMPUTED_VALUE"""),409.0)</f>
        <v>409</v>
      </c>
      <c r="F1367" s="2">
        <f>IFERROR(__xludf.DUMMYFUNCTION("""COMPUTED_VALUE"""),3027217.0)</f>
        <v>3027217</v>
      </c>
    </row>
    <row r="1368">
      <c r="A1368" s="3">
        <f>IFERROR(__xludf.DUMMYFUNCTION("""COMPUTED_VALUE"""),40253.645833333336)</f>
        <v>40253.64583</v>
      </c>
      <c r="B1368" s="2">
        <f>IFERROR(__xludf.DUMMYFUNCTION("""COMPUTED_VALUE"""),410.75)</f>
        <v>410.75</v>
      </c>
      <c r="C1368" s="2">
        <f>IFERROR(__xludf.DUMMYFUNCTION("""COMPUTED_VALUE"""),415.98)</f>
        <v>415.98</v>
      </c>
      <c r="D1368" s="2">
        <f>IFERROR(__xludf.DUMMYFUNCTION("""COMPUTED_VALUE"""),407.9)</f>
        <v>407.9</v>
      </c>
      <c r="E1368" s="2">
        <f>IFERROR(__xludf.DUMMYFUNCTION("""COMPUTED_VALUE"""),414.5)</f>
        <v>414.5</v>
      </c>
      <c r="F1368" s="2">
        <f>IFERROR(__xludf.DUMMYFUNCTION("""COMPUTED_VALUE"""),1544428.0)</f>
        <v>1544428</v>
      </c>
    </row>
    <row r="1369">
      <c r="A1369" s="3">
        <f>IFERROR(__xludf.DUMMYFUNCTION("""COMPUTED_VALUE"""),40254.645833333336)</f>
        <v>40254.64583</v>
      </c>
      <c r="B1369" s="2">
        <f>IFERROR(__xludf.DUMMYFUNCTION("""COMPUTED_VALUE"""),417.0)</f>
        <v>417</v>
      </c>
      <c r="C1369" s="2">
        <f>IFERROR(__xludf.DUMMYFUNCTION("""COMPUTED_VALUE"""),422.95)</f>
        <v>422.95</v>
      </c>
      <c r="D1369" s="2">
        <f>IFERROR(__xludf.DUMMYFUNCTION("""COMPUTED_VALUE"""),415.0)</f>
        <v>415</v>
      </c>
      <c r="E1369" s="2">
        <f>IFERROR(__xludf.DUMMYFUNCTION("""COMPUTED_VALUE"""),420.35)</f>
        <v>420.35</v>
      </c>
      <c r="F1369" s="2">
        <f>IFERROR(__xludf.DUMMYFUNCTION("""COMPUTED_VALUE"""),2087397.0)</f>
        <v>2087397</v>
      </c>
    </row>
    <row r="1370">
      <c r="A1370" s="3">
        <f>IFERROR(__xludf.DUMMYFUNCTION("""COMPUTED_VALUE"""),40255.645833333336)</f>
        <v>40255.64583</v>
      </c>
      <c r="B1370" s="2">
        <f>IFERROR(__xludf.DUMMYFUNCTION("""COMPUTED_VALUE"""),422.5)</f>
        <v>422.5</v>
      </c>
      <c r="C1370" s="2">
        <f>IFERROR(__xludf.DUMMYFUNCTION("""COMPUTED_VALUE"""),422.5)</f>
        <v>422.5</v>
      </c>
      <c r="D1370" s="2">
        <f>IFERROR(__xludf.DUMMYFUNCTION("""COMPUTED_VALUE"""),410.25)</f>
        <v>410.25</v>
      </c>
      <c r="E1370" s="2">
        <f>IFERROR(__xludf.DUMMYFUNCTION("""COMPUTED_VALUE"""),412.92)</f>
        <v>412.92</v>
      </c>
      <c r="F1370" s="2">
        <f>IFERROR(__xludf.DUMMYFUNCTION("""COMPUTED_VALUE"""),1862277.0)</f>
        <v>1862277</v>
      </c>
    </row>
    <row r="1371">
      <c r="A1371" s="3">
        <f>IFERROR(__xludf.DUMMYFUNCTION("""COMPUTED_VALUE"""),40256.645833333336)</f>
        <v>40256.64583</v>
      </c>
      <c r="B1371" s="2">
        <f>IFERROR(__xludf.DUMMYFUNCTION("""COMPUTED_VALUE"""),402.63)</f>
        <v>402.63</v>
      </c>
      <c r="C1371" s="2">
        <f>IFERROR(__xludf.DUMMYFUNCTION("""COMPUTED_VALUE"""),417.23)</f>
        <v>417.23</v>
      </c>
      <c r="D1371" s="2">
        <f>IFERROR(__xludf.DUMMYFUNCTION("""COMPUTED_VALUE"""),402.63)</f>
        <v>402.63</v>
      </c>
      <c r="E1371" s="2">
        <f>IFERROR(__xludf.DUMMYFUNCTION("""COMPUTED_VALUE"""),410.45)</f>
        <v>410.45</v>
      </c>
      <c r="F1371" s="2">
        <f>IFERROR(__xludf.DUMMYFUNCTION("""COMPUTED_VALUE"""),2358312.0)</f>
        <v>2358312</v>
      </c>
    </row>
    <row r="1372">
      <c r="A1372" s="3">
        <f>IFERROR(__xludf.DUMMYFUNCTION("""COMPUTED_VALUE"""),40259.645833333336)</f>
        <v>40259.64583</v>
      </c>
      <c r="B1372" s="2">
        <f>IFERROR(__xludf.DUMMYFUNCTION("""COMPUTED_VALUE"""),407.45)</f>
        <v>407.45</v>
      </c>
      <c r="C1372" s="2">
        <f>IFERROR(__xludf.DUMMYFUNCTION("""COMPUTED_VALUE"""),416.9)</f>
        <v>416.9</v>
      </c>
      <c r="D1372" s="2">
        <f>IFERROR(__xludf.DUMMYFUNCTION("""COMPUTED_VALUE"""),403.08)</f>
        <v>403.08</v>
      </c>
      <c r="E1372" s="2">
        <f>IFERROR(__xludf.DUMMYFUNCTION("""COMPUTED_VALUE"""),413.8)</f>
        <v>413.8</v>
      </c>
      <c r="F1372" s="2">
        <f>IFERROR(__xludf.DUMMYFUNCTION("""COMPUTED_VALUE"""),1655055.0)</f>
        <v>1655055</v>
      </c>
    </row>
    <row r="1373">
      <c r="A1373" s="3">
        <f>IFERROR(__xludf.DUMMYFUNCTION("""COMPUTED_VALUE"""),40260.645833333336)</f>
        <v>40260.64583</v>
      </c>
      <c r="B1373" s="2">
        <f>IFERROR(__xludf.DUMMYFUNCTION("""COMPUTED_VALUE"""),415.0)</f>
        <v>415</v>
      </c>
      <c r="C1373" s="2">
        <f>IFERROR(__xludf.DUMMYFUNCTION("""COMPUTED_VALUE"""),416.5)</f>
        <v>416.5</v>
      </c>
      <c r="D1373" s="2">
        <f>IFERROR(__xludf.DUMMYFUNCTION("""COMPUTED_VALUE"""),411.05)</f>
        <v>411.05</v>
      </c>
      <c r="E1373" s="2">
        <f>IFERROR(__xludf.DUMMYFUNCTION("""COMPUTED_VALUE"""),414.33)</f>
        <v>414.33</v>
      </c>
      <c r="F1373" s="2">
        <f>IFERROR(__xludf.DUMMYFUNCTION("""COMPUTED_VALUE"""),847482.0)</f>
        <v>847482</v>
      </c>
    </row>
    <row r="1374">
      <c r="A1374" s="3">
        <f>IFERROR(__xludf.DUMMYFUNCTION("""COMPUTED_VALUE"""),40262.645833333336)</f>
        <v>40262.64583</v>
      </c>
      <c r="B1374" s="2">
        <f>IFERROR(__xludf.DUMMYFUNCTION("""COMPUTED_VALUE"""),412.05)</f>
        <v>412.05</v>
      </c>
      <c r="C1374" s="2">
        <f>IFERROR(__xludf.DUMMYFUNCTION("""COMPUTED_VALUE"""),418.4)</f>
        <v>418.4</v>
      </c>
      <c r="D1374" s="2">
        <f>IFERROR(__xludf.DUMMYFUNCTION("""COMPUTED_VALUE"""),409.0)</f>
        <v>409</v>
      </c>
      <c r="E1374" s="2">
        <f>IFERROR(__xludf.DUMMYFUNCTION("""COMPUTED_VALUE"""),414.9)</f>
        <v>414.9</v>
      </c>
      <c r="F1374" s="2">
        <f>IFERROR(__xludf.DUMMYFUNCTION("""COMPUTED_VALUE"""),2758791.0)</f>
        <v>2758791</v>
      </c>
    </row>
    <row r="1375">
      <c r="A1375" s="3">
        <f>IFERROR(__xludf.DUMMYFUNCTION("""COMPUTED_VALUE"""),40263.645833333336)</f>
        <v>40263.64583</v>
      </c>
      <c r="B1375" s="2">
        <f>IFERROR(__xludf.DUMMYFUNCTION("""COMPUTED_VALUE"""),415.0)</f>
        <v>415</v>
      </c>
      <c r="C1375" s="2">
        <f>IFERROR(__xludf.DUMMYFUNCTION("""COMPUTED_VALUE"""),418.0)</f>
        <v>418</v>
      </c>
      <c r="D1375" s="2">
        <f>IFERROR(__xludf.DUMMYFUNCTION("""COMPUTED_VALUE"""),411.15)</f>
        <v>411.15</v>
      </c>
      <c r="E1375" s="2">
        <f>IFERROR(__xludf.DUMMYFUNCTION("""COMPUTED_VALUE"""),412.53)</f>
        <v>412.53</v>
      </c>
      <c r="F1375" s="2">
        <f>IFERROR(__xludf.DUMMYFUNCTION("""COMPUTED_VALUE"""),998903.0)</f>
        <v>998903</v>
      </c>
    </row>
    <row r="1376">
      <c r="A1376" s="3">
        <f>IFERROR(__xludf.DUMMYFUNCTION("""COMPUTED_VALUE"""),40266.645833333336)</f>
        <v>40266.64583</v>
      </c>
      <c r="B1376" s="2">
        <f>IFERROR(__xludf.DUMMYFUNCTION("""COMPUTED_VALUE"""),412.0)</f>
        <v>412</v>
      </c>
      <c r="C1376" s="2">
        <f>IFERROR(__xludf.DUMMYFUNCTION("""COMPUTED_VALUE"""),414.65)</f>
        <v>414.65</v>
      </c>
      <c r="D1376" s="2">
        <f>IFERROR(__xludf.DUMMYFUNCTION("""COMPUTED_VALUE"""),404.28)</f>
        <v>404.28</v>
      </c>
      <c r="E1376" s="2">
        <f>IFERROR(__xludf.DUMMYFUNCTION("""COMPUTED_VALUE"""),405.98)</f>
        <v>405.98</v>
      </c>
      <c r="F1376" s="2">
        <f>IFERROR(__xludf.DUMMYFUNCTION("""COMPUTED_VALUE"""),1721633.0)</f>
        <v>1721633</v>
      </c>
    </row>
    <row r="1377">
      <c r="A1377" s="3">
        <f>IFERROR(__xludf.DUMMYFUNCTION("""COMPUTED_VALUE"""),40267.645833333336)</f>
        <v>40267.64583</v>
      </c>
      <c r="B1377" s="2">
        <f>IFERROR(__xludf.DUMMYFUNCTION("""COMPUTED_VALUE"""),404.3)</f>
        <v>404.3</v>
      </c>
      <c r="C1377" s="2">
        <f>IFERROR(__xludf.DUMMYFUNCTION("""COMPUTED_VALUE"""),408.05)</f>
        <v>408.05</v>
      </c>
      <c r="D1377" s="2">
        <f>IFERROR(__xludf.DUMMYFUNCTION("""COMPUTED_VALUE"""),398.58)</f>
        <v>398.58</v>
      </c>
      <c r="E1377" s="2">
        <f>IFERROR(__xludf.DUMMYFUNCTION("""COMPUTED_VALUE"""),400.0)</f>
        <v>400</v>
      </c>
      <c r="F1377" s="2">
        <f>IFERROR(__xludf.DUMMYFUNCTION("""COMPUTED_VALUE"""),1548580.0)</f>
        <v>1548580</v>
      </c>
    </row>
    <row r="1378">
      <c r="A1378" s="3">
        <f>IFERROR(__xludf.DUMMYFUNCTION("""COMPUTED_VALUE"""),40268.645833333336)</f>
        <v>40268.64583</v>
      </c>
      <c r="B1378" s="2">
        <f>IFERROR(__xludf.DUMMYFUNCTION("""COMPUTED_VALUE"""),400.0)</f>
        <v>400</v>
      </c>
      <c r="C1378" s="2">
        <f>IFERROR(__xludf.DUMMYFUNCTION("""COMPUTED_VALUE"""),403.63)</f>
        <v>403.63</v>
      </c>
      <c r="D1378" s="2">
        <f>IFERROR(__xludf.DUMMYFUNCTION("""COMPUTED_VALUE"""),388.65)</f>
        <v>388.65</v>
      </c>
      <c r="E1378" s="2">
        <f>IFERROR(__xludf.DUMMYFUNCTION("""COMPUTED_VALUE"""),390.33)</f>
        <v>390.33</v>
      </c>
      <c r="F1378" s="2">
        <f>IFERROR(__xludf.DUMMYFUNCTION("""COMPUTED_VALUE"""),3541523.0)</f>
        <v>3541523</v>
      </c>
    </row>
    <row r="1379">
      <c r="A1379" s="3">
        <f>IFERROR(__xludf.DUMMYFUNCTION("""COMPUTED_VALUE"""),40269.645833333336)</f>
        <v>40269.64583</v>
      </c>
      <c r="B1379" s="2">
        <f>IFERROR(__xludf.DUMMYFUNCTION("""COMPUTED_VALUE"""),393.17)</f>
        <v>393.17</v>
      </c>
      <c r="C1379" s="2">
        <f>IFERROR(__xludf.DUMMYFUNCTION("""COMPUTED_VALUE"""),404.9)</f>
        <v>404.9</v>
      </c>
      <c r="D1379" s="2">
        <f>IFERROR(__xludf.DUMMYFUNCTION("""COMPUTED_VALUE"""),391.05)</f>
        <v>391.05</v>
      </c>
      <c r="E1379" s="2">
        <f>IFERROR(__xludf.DUMMYFUNCTION("""COMPUTED_VALUE"""),403.9)</f>
        <v>403.9</v>
      </c>
      <c r="F1379" s="2">
        <f>IFERROR(__xludf.DUMMYFUNCTION("""COMPUTED_VALUE"""),2890716.0)</f>
        <v>2890716</v>
      </c>
    </row>
    <row r="1380">
      <c r="A1380" s="3">
        <f>IFERROR(__xludf.DUMMYFUNCTION("""COMPUTED_VALUE"""),40273.645833333336)</f>
        <v>40273.64583</v>
      </c>
      <c r="B1380" s="2">
        <f>IFERROR(__xludf.DUMMYFUNCTION("""COMPUTED_VALUE"""),408.5)</f>
        <v>408.5</v>
      </c>
      <c r="C1380" s="2">
        <f>IFERROR(__xludf.DUMMYFUNCTION("""COMPUTED_VALUE"""),408.5)</f>
        <v>408.5</v>
      </c>
      <c r="D1380" s="2">
        <f>IFERROR(__xludf.DUMMYFUNCTION("""COMPUTED_VALUE"""),399.63)</f>
        <v>399.63</v>
      </c>
      <c r="E1380" s="2">
        <f>IFERROR(__xludf.DUMMYFUNCTION("""COMPUTED_VALUE"""),401.67)</f>
        <v>401.67</v>
      </c>
      <c r="F1380" s="2">
        <f>IFERROR(__xludf.DUMMYFUNCTION("""COMPUTED_VALUE"""),1500918.0)</f>
        <v>1500918</v>
      </c>
    </row>
    <row r="1381">
      <c r="A1381" s="3">
        <f>IFERROR(__xludf.DUMMYFUNCTION("""COMPUTED_VALUE"""),40274.645833333336)</f>
        <v>40274.64583</v>
      </c>
      <c r="B1381" s="2">
        <f>IFERROR(__xludf.DUMMYFUNCTION("""COMPUTED_VALUE"""),404.45)</f>
        <v>404.45</v>
      </c>
      <c r="C1381" s="2">
        <f>IFERROR(__xludf.DUMMYFUNCTION("""COMPUTED_VALUE"""),404.45)</f>
        <v>404.45</v>
      </c>
      <c r="D1381" s="2">
        <f>IFERROR(__xludf.DUMMYFUNCTION("""COMPUTED_VALUE"""),396.08)</f>
        <v>396.08</v>
      </c>
      <c r="E1381" s="2">
        <f>IFERROR(__xludf.DUMMYFUNCTION("""COMPUTED_VALUE"""),398.03)</f>
        <v>398.03</v>
      </c>
      <c r="F1381" s="2">
        <f>IFERROR(__xludf.DUMMYFUNCTION("""COMPUTED_VALUE"""),1851183.0)</f>
        <v>1851183</v>
      </c>
    </row>
    <row r="1382">
      <c r="A1382" s="3">
        <f>IFERROR(__xludf.DUMMYFUNCTION("""COMPUTED_VALUE"""),40275.645833333336)</f>
        <v>40275.64583</v>
      </c>
      <c r="B1382" s="2">
        <f>IFERROR(__xludf.DUMMYFUNCTION("""COMPUTED_VALUE"""),395.0)</f>
        <v>395</v>
      </c>
      <c r="C1382" s="2">
        <f>IFERROR(__xludf.DUMMYFUNCTION("""COMPUTED_VALUE"""),404.5)</f>
        <v>404.5</v>
      </c>
      <c r="D1382" s="2">
        <f>IFERROR(__xludf.DUMMYFUNCTION("""COMPUTED_VALUE"""),390.58)</f>
        <v>390.58</v>
      </c>
      <c r="E1382" s="2">
        <f>IFERROR(__xludf.DUMMYFUNCTION("""COMPUTED_VALUE"""),399.03)</f>
        <v>399.03</v>
      </c>
      <c r="F1382" s="2">
        <f>IFERROR(__xludf.DUMMYFUNCTION("""COMPUTED_VALUE"""),1512279.0)</f>
        <v>1512279</v>
      </c>
    </row>
    <row r="1383">
      <c r="A1383" s="3">
        <f>IFERROR(__xludf.DUMMYFUNCTION("""COMPUTED_VALUE"""),40276.645833333336)</f>
        <v>40276.64583</v>
      </c>
      <c r="B1383" s="2">
        <f>IFERROR(__xludf.DUMMYFUNCTION("""COMPUTED_VALUE"""),398.0)</f>
        <v>398</v>
      </c>
      <c r="C1383" s="2">
        <f>IFERROR(__xludf.DUMMYFUNCTION("""COMPUTED_VALUE"""),403.75)</f>
        <v>403.75</v>
      </c>
      <c r="D1383" s="2">
        <f>IFERROR(__xludf.DUMMYFUNCTION("""COMPUTED_VALUE"""),395.0)</f>
        <v>395</v>
      </c>
      <c r="E1383" s="2">
        <f>IFERROR(__xludf.DUMMYFUNCTION("""COMPUTED_VALUE"""),399.73)</f>
        <v>399.73</v>
      </c>
      <c r="F1383" s="2">
        <f>IFERROR(__xludf.DUMMYFUNCTION("""COMPUTED_VALUE"""),2247219.0)</f>
        <v>2247219</v>
      </c>
    </row>
    <row r="1384">
      <c r="A1384" s="3">
        <f>IFERROR(__xludf.DUMMYFUNCTION("""COMPUTED_VALUE"""),40277.645833333336)</f>
        <v>40277.64583</v>
      </c>
      <c r="B1384" s="2">
        <f>IFERROR(__xludf.DUMMYFUNCTION("""COMPUTED_VALUE"""),401.0)</f>
        <v>401</v>
      </c>
      <c r="C1384" s="2">
        <f>IFERROR(__xludf.DUMMYFUNCTION("""COMPUTED_VALUE"""),403.95)</f>
        <v>403.95</v>
      </c>
      <c r="D1384" s="2">
        <f>IFERROR(__xludf.DUMMYFUNCTION("""COMPUTED_VALUE"""),394.13)</f>
        <v>394.13</v>
      </c>
      <c r="E1384" s="2">
        <f>IFERROR(__xludf.DUMMYFUNCTION("""COMPUTED_VALUE"""),395.8)</f>
        <v>395.8</v>
      </c>
      <c r="F1384" s="2">
        <f>IFERROR(__xludf.DUMMYFUNCTION("""COMPUTED_VALUE"""),1509006.0)</f>
        <v>1509006</v>
      </c>
    </row>
    <row r="1385">
      <c r="A1385" s="3">
        <f>IFERROR(__xludf.DUMMYFUNCTION("""COMPUTED_VALUE"""),40280.645833333336)</f>
        <v>40280.64583</v>
      </c>
      <c r="B1385" s="2">
        <f>IFERROR(__xludf.DUMMYFUNCTION("""COMPUTED_VALUE"""),395.5)</f>
        <v>395.5</v>
      </c>
      <c r="C1385" s="2">
        <f>IFERROR(__xludf.DUMMYFUNCTION("""COMPUTED_VALUE"""),400.0)</f>
        <v>400</v>
      </c>
      <c r="D1385" s="2">
        <f>IFERROR(__xludf.DUMMYFUNCTION("""COMPUTED_VALUE"""),395.05)</f>
        <v>395.05</v>
      </c>
      <c r="E1385" s="2">
        <f>IFERROR(__xludf.DUMMYFUNCTION("""COMPUTED_VALUE"""),399.05)</f>
        <v>399.05</v>
      </c>
      <c r="F1385" s="2">
        <f>IFERROR(__xludf.DUMMYFUNCTION("""COMPUTED_VALUE"""),1434941.0)</f>
        <v>1434941</v>
      </c>
    </row>
    <row r="1386">
      <c r="A1386" s="3">
        <f>IFERROR(__xludf.DUMMYFUNCTION("""COMPUTED_VALUE"""),40281.645833333336)</f>
        <v>40281.64583</v>
      </c>
      <c r="B1386" s="2">
        <f>IFERROR(__xludf.DUMMYFUNCTION("""COMPUTED_VALUE"""),400.0)</f>
        <v>400</v>
      </c>
      <c r="C1386" s="2">
        <f>IFERROR(__xludf.DUMMYFUNCTION("""COMPUTED_VALUE"""),411.9)</f>
        <v>411.9</v>
      </c>
      <c r="D1386" s="2">
        <f>IFERROR(__xludf.DUMMYFUNCTION("""COMPUTED_VALUE"""),393.63)</f>
        <v>393.63</v>
      </c>
      <c r="E1386" s="2">
        <f>IFERROR(__xludf.DUMMYFUNCTION("""COMPUTED_VALUE"""),410.42)</f>
        <v>410.42</v>
      </c>
      <c r="F1386" s="2">
        <f>IFERROR(__xludf.DUMMYFUNCTION("""COMPUTED_VALUE"""),4202458.0)</f>
        <v>4202458</v>
      </c>
    </row>
    <row r="1387">
      <c r="A1387" s="3">
        <f>IFERROR(__xludf.DUMMYFUNCTION("""COMPUTED_VALUE"""),40283.645833333336)</f>
        <v>40283.64583</v>
      </c>
      <c r="B1387" s="2">
        <f>IFERROR(__xludf.DUMMYFUNCTION("""COMPUTED_VALUE"""),411.0)</f>
        <v>411</v>
      </c>
      <c r="C1387" s="2">
        <f>IFERROR(__xludf.DUMMYFUNCTION("""COMPUTED_VALUE"""),417.45)</f>
        <v>417.45</v>
      </c>
      <c r="D1387" s="2">
        <f>IFERROR(__xludf.DUMMYFUNCTION("""COMPUTED_VALUE"""),409.53)</f>
        <v>409.53</v>
      </c>
      <c r="E1387" s="2">
        <f>IFERROR(__xludf.DUMMYFUNCTION("""COMPUTED_VALUE"""),410.85)</f>
        <v>410.85</v>
      </c>
      <c r="F1387" s="2">
        <f>IFERROR(__xludf.DUMMYFUNCTION("""COMPUTED_VALUE"""),2145476.0)</f>
        <v>2145476</v>
      </c>
    </row>
    <row r="1388">
      <c r="A1388" s="3">
        <f>IFERROR(__xludf.DUMMYFUNCTION("""COMPUTED_VALUE"""),40284.645833333336)</f>
        <v>40284.64583</v>
      </c>
      <c r="B1388" s="2">
        <f>IFERROR(__xludf.DUMMYFUNCTION("""COMPUTED_VALUE"""),409.5)</f>
        <v>409.5</v>
      </c>
      <c r="C1388" s="2">
        <f>IFERROR(__xludf.DUMMYFUNCTION("""COMPUTED_VALUE"""),414.0)</f>
        <v>414</v>
      </c>
      <c r="D1388" s="2">
        <f>IFERROR(__xludf.DUMMYFUNCTION("""COMPUTED_VALUE"""),405.92)</f>
        <v>405.92</v>
      </c>
      <c r="E1388" s="2">
        <f>IFERROR(__xludf.DUMMYFUNCTION("""COMPUTED_VALUE"""),407.55)</f>
        <v>407.55</v>
      </c>
      <c r="F1388" s="2">
        <f>IFERROR(__xludf.DUMMYFUNCTION("""COMPUTED_VALUE"""),1905479.0)</f>
        <v>1905479</v>
      </c>
    </row>
    <row r="1389">
      <c r="A1389" s="3">
        <f>IFERROR(__xludf.DUMMYFUNCTION("""COMPUTED_VALUE"""),40287.645833333336)</f>
        <v>40287.64583</v>
      </c>
      <c r="B1389" s="2">
        <f>IFERROR(__xludf.DUMMYFUNCTION("""COMPUTED_VALUE"""),405.0)</f>
        <v>405</v>
      </c>
      <c r="C1389" s="2">
        <f>IFERROR(__xludf.DUMMYFUNCTION("""COMPUTED_VALUE"""),412.5)</f>
        <v>412.5</v>
      </c>
      <c r="D1389" s="2">
        <f>IFERROR(__xludf.DUMMYFUNCTION("""COMPUTED_VALUE"""),400.38)</f>
        <v>400.38</v>
      </c>
      <c r="E1389" s="2">
        <f>IFERROR(__xludf.DUMMYFUNCTION("""COMPUTED_VALUE"""),405.98)</f>
        <v>405.98</v>
      </c>
      <c r="F1389" s="2">
        <f>IFERROR(__xludf.DUMMYFUNCTION("""COMPUTED_VALUE"""),3473852.0)</f>
        <v>3473852</v>
      </c>
    </row>
    <row r="1390">
      <c r="A1390" s="3">
        <f>IFERROR(__xludf.DUMMYFUNCTION("""COMPUTED_VALUE"""),40288.645833333336)</f>
        <v>40288.64583</v>
      </c>
      <c r="B1390" s="2">
        <f>IFERROR(__xludf.DUMMYFUNCTION("""COMPUTED_VALUE"""),412.5)</f>
        <v>412.5</v>
      </c>
      <c r="C1390" s="2">
        <f>IFERROR(__xludf.DUMMYFUNCTION("""COMPUTED_VALUE"""),416.33)</f>
        <v>416.33</v>
      </c>
      <c r="D1390" s="2">
        <f>IFERROR(__xludf.DUMMYFUNCTION("""COMPUTED_VALUE"""),393.5)</f>
        <v>393.5</v>
      </c>
      <c r="E1390" s="2">
        <f>IFERROR(__xludf.DUMMYFUNCTION("""COMPUTED_VALUE"""),394.75)</f>
        <v>394.75</v>
      </c>
      <c r="F1390" s="2">
        <f>IFERROR(__xludf.DUMMYFUNCTION("""COMPUTED_VALUE"""),6008493.0)</f>
        <v>6008493</v>
      </c>
    </row>
    <row r="1391">
      <c r="A1391" s="3">
        <f>IFERROR(__xludf.DUMMYFUNCTION("""COMPUTED_VALUE"""),40289.645833333336)</f>
        <v>40289.64583</v>
      </c>
      <c r="B1391" s="2">
        <f>IFERROR(__xludf.DUMMYFUNCTION("""COMPUTED_VALUE"""),397.5)</f>
        <v>397.5</v>
      </c>
      <c r="C1391" s="2">
        <f>IFERROR(__xludf.DUMMYFUNCTION("""COMPUTED_VALUE"""),399.5)</f>
        <v>399.5</v>
      </c>
      <c r="D1391" s="2">
        <f>IFERROR(__xludf.DUMMYFUNCTION("""COMPUTED_VALUE"""),390.13)</f>
        <v>390.13</v>
      </c>
      <c r="E1391" s="2">
        <f>IFERROR(__xludf.DUMMYFUNCTION("""COMPUTED_VALUE"""),392.5)</f>
        <v>392.5</v>
      </c>
      <c r="F1391" s="2">
        <f>IFERROR(__xludf.DUMMYFUNCTION("""COMPUTED_VALUE"""),3553745.0)</f>
        <v>3553745</v>
      </c>
    </row>
    <row r="1392">
      <c r="A1392" s="3">
        <f>IFERROR(__xludf.DUMMYFUNCTION("""COMPUTED_VALUE"""),40290.645833333336)</f>
        <v>40290.64583</v>
      </c>
      <c r="B1392" s="2">
        <f>IFERROR(__xludf.DUMMYFUNCTION("""COMPUTED_VALUE"""),394.55)</f>
        <v>394.55</v>
      </c>
      <c r="C1392" s="2">
        <f>IFERROR(__xludf.DUMMYFUNCTION("""COMPUTED_VALUE"""),396.83)</f>
        <v>396.83</v>
      </c>
      <c r="D1392" s="2">
        <f>IFERROR(__xludf.DUMMYFUNCTION("""COMPUTED_VALUE"""),390.5)</f>
        <v>390.5</v>
      </c>
      <c r="E1392" s="2">
        <f>IFERROR(__xludf.DUMMYFUNCTION("""COMPUTED_VALUE"""),392.98)</f>
        <v>392.98</v>
      </c>
      <c r="F1392" s="2">
        <f>IFERROR(__xludf.DUMMYFUNCTION("""COMPUTED_VALUE"""),2375558.0)</f>
        <v>2375558</v>
      </c>
    </row>
    <row r="1393">
      <c r="A1393" s="3">
        <f>IFERROR(__xludf.DUMMYFUNCTION("""COMPUTED_VALUE"""),40291.645833333336)</f>
        <v>40291.64583</v>
      </c>
      <c r="B1393" s="2">
        <f>IFERROR(__xludf.DUMMYFUNCTION("""COMPUTED_VALUE"""),394.03)</f>
        <v>394.03</v>
      </c>
      <c r="C1393" s="2">
        <f>IFERROR(__xludf.DUMMYFUNCTION("""COMPUTED_VALUE"""),396.0)</f>
        <v>396</v>
      </c>
      <c r="D1393" s="2">
        <f>IFERROR(__xludf.DUMMYFUNCTION("""COMPUTED_VALUE"""),388.75)</f>
        <v>388.75</v>
      </c>
      <c r="E1393" s="2">
        <f>IFERROR(__xludf.DUMMYFUNCTION("""COMPUTED_VALUE"""),390.1)</f>
        <v>390.1</v>
      </c>
      <c r="F1393" s="2">
        <f>IFERROR(__xludf.DUMMYFUNCTION("""COMPUTED_VALUE"""),2153034.0)</f>
        <v>2153034</v>
      </c>
    </row>
    <row r="1394">
      <c r="A1394" s="3">
        <f>IFERROR(__xludf.DUMMYFUNCTION("""COMPUTED_VALUE"""),40294.645833333336)</f>
        <v>40294.64583</v>
      </c>
      <c r="B1394" s="2">
        <f>IFERROR(__xludf.DUMMYFUNCTION("""COMPUTED_VALUE"""),393.0)</f>
        <v>393</v>
      </c>
      <c r="C1394" s="2">
        <f>IFERROR(__xludf.DUMMYFUNCTION("""COMPUTED_VALUE"""),395.5)</f>
        <v>395.5</v>
      </c>
      <c r="D1394" s="2">
        <f>IFERROR(__xludf.DUMMYFUNCTION("""COMPUTED_VALUE"""),390.1)</f>
        <v>390.1</v>
      </c>
      <c r="E1394" s="2">
        <f>IFERROR(__xludf.DUMMYFUNCTION("""COMPUTED_VALUE"""),392.55)</f>
        <v>392.55</v>
      </c>
      <c r="F1394" s="2">
        <f>IFERROR(__xludf.DUMMYFUNCTION("""COMPUTED_VALUE"""),1256274.0)</f>
        <v>1256274</v>
      </c>
    </row>
    <row r="1395">
      <c r="A1395" s="3">
        <f>IFERROR(__xludf.DUMMYFUNCTION("""COMPUTED_VALUE"""),40295.645833333336)</f>
        <v>40295.64583</v>
      </c>
      <c r="B1395" s="2">
        <f>IFERROR(__xludf.DUMMYFUNCTION("""COMPUTED_VALUE"""),392.98)</f>
        <v>392.98</v>
      </c>
      <c r="C1395" s="2">
        <f>IFERROR(__xludf.DUMMYFUNCTION("""COMPUTED_VALUE"""),394.95)</f>
        <v>394.95</v>
      </c>
      <c r="D1395" s="2">
        <f>IFERROR(__xludf.DUMMYFUNCTION("""COMPUTED_VALUE"""),390.53)</f>
        <v>390.53</v>
      </c>
      <c r="E1395" s="2">
        <f>IFERROR(__xludf.DUMMYFUNCTION("""COMPUTED_VALUE"""),393.65)</f>
        <v>393.65</v>
      </c>
      <c r="F1395" s="2">
        <f>IFERROR(__xludf.DUMMYFUNCTION("""COMPUTED_VALUE"""),1310617.0)</f>
        <v>1310617</v>
      </c>
    </row>
    <row r="1396">
      <c r="A1396" s="3">
        <f>IFERROR(__xludf.DUMMYFUNCTION("""COMPUTED_VALUE"""),40296.645833333336)</f>
        <v>40296.64583</v>
      </c>
      <c r="B1396" s="2">
        <f>IFERROR(__xludf.DUMMYFUNCTION("""COMPUTED_VALUE"""),390.0)</f>
        <v>390</v>
      </c>
      <c r="C1396" s="2">
        <f>IFERROR(__xludf.DUMMYFUNCTION("""COMPUTED_VALUE"""),391.98)</f>
        <v>391.98</v>
      </c>
      <c r="D1396" s="2">
        <f>IFERROR(__xludf.DUMMYFUNCTION("""COMPUTED_VALUE"""),382.5)</f>
        <v>382.5</v>
      </c>
      <c r="E1396" s="2">
        <f>IFERROR(__xludf.DUMMYFUNCTION("""COMPUTED_VALUE"""),385.15)</f>
        <v>385.15</v>
      </c>
      <c r="F1396" s="2">
        <f>IFERROR(__xludf.DUMMYFUNCTION("""COMPUTED_VALUE"""),1200191.0)</f>
        <v>1200191</v>
      </c>
    </row>
    <row r="1397">
      <c r="A1397" s="3">
        <f>IFERROR(__xludf.DUMMYFUNCTION("""COMPUTED_VALUE"""),40297.645833333336)</f>
        <v>40297.64583</v>
      </c>
      <c r="B1397" s="2">
        <f>IFERROR(__xludf.DUMMYFUNCTION("""COMPUTED_VALUE"""),387.55)</f>
        <v>387.55</v>
      </c>
      <c r="C1397" s="2">
        <f>IFERROR(__xludf.DUMMYFUNCTION("""COMPUTED_VALUE"""),387.63)</f>
        <v>387.63</v>
      </c>
      <c r="D1397" s="2">
        <f>IFERROR(__xludf.DUMMYFUNCTION("""COMPUTED_VALUE"""),377.8)</f>
        <v>377.8</v>
      </c>
      <c r="E1397" s="2">
        <f>IFERROR(__xludf.DUMMYFUNCTION("""COMPUTED_VALUE"""),379.88)</f>
        <v>379.88</v>
      </c>
      <c r="F1397" s="2">
        <f>IFERROR(__xludf.DUMMYFUNCTION("""COMPUTED_VALUE"""),2311482.0)</f>
        <v>2311482</v>
      </c>
    </row>
    <row r="1398">
      <c r="A1398" s="3">
        <f>IFERROR(__xludf.DUMMYFUNCTION("""COMPUTED_VALUE"""),40298.645833333336)</f>
        <v>40298.64583</v>
      </c>
      <c r="B1398" s="2">
        <f>IFERROR(__xludf.DUMMYFUNCTION("""COMPUTED_VALUE"""),382.5)</f>
        <v>382.5</v>
      </c>
      <c r="C1398" s="2">
        <f>IFERROR(__xludf.DUMMYFUNCTION("""COMPUTED_VALUE"""),386.4)</f>
        <v>386.4</v>
      </c>
      <c r="D1398" s="2">
        <f>IFERROR(__xludf.DUMMYFUNCTION("""COMPUTED_VALUE"""),381.28)</f>
        <v>381.28</v>
      </c>
      <c r="E1398" s="2">
        <f>IFERROR(__xludf.DUMMYFUNCTION("""COMPUTED_VALUE"""),382.7)</f>
        <v>382.7</v>
      </c>
      <c r="F1398" s="2">
        <f>IFERROR(__xludf.DUMMYFUNCTION("""COMPUTED_VALUE"""),1845112.0)</f>
        <v>1845112</v>
      </c>
    </row>
    <row r="1399">
      <c r="A1399" s="3">
        <f>IFERROR(__xludf.DUMMYFUNCTION("""COMPUTED_VALUE"""),40301.645833333336)</f>
        <v>40301.64583</v>
      </c>
      <c r="B1399" s="2">
        <f>IFERROR(__xludf.DUMMYFUNCTION("""COMPUTED_VALUE"""),380.63)</f>
        <v>380.63</v>
      </c>
      <c r="C1399" s="2">
        <f>IFERROR(__xludf.DUMMYFUNCTION("""COMPUTED_VALUE"""),385.7)</f>
        <v>385.7</v>
      </c>
      <c r="D1399" s="2">
        <f>IFERROR(__xludf.DUMMYFUNCTION("""COMPUTED_VALUE"""),377.05)</f>
        <v>377.05</v>
      </c>
      <c r="E1399" s="2">
        <f>IFERROR(__xludf.DUMMYFUNCTION("""COMPUTED_VALUE"""),383.4)</f>
        <v>383.4</v>
      </c>
      <c r="F1399" s="2">
        <f>IFERROR(__xludf.DUMMYFUNCTION("""COMPUTED_VALUE"""),1208280.0)</f>
        <v>1208280</v>
      </c>
    </row>
    <row r="1400">
      <c r="A1400" s="3">
        <f>IFERROR(__xludf.DUMMYFUNCTION("""COMPUTED_VALUE"""),40302.645833333336)</f>
        <v>40302.64583</v>
      </c>
      <c r="B1400" s="2">
        <f>IFERROR(__xludf.DUMMYFUNCTION("""COMPUTED_VALUE"""),387.42)</f>
        <v>387.42</v>
      </c>
      <c r="C1400" s="2">
        <f>IFERROR(__xludf.DUMMYFUNCTION("""COMPUTED_VALUE"""),387.42)</f>
        <v>387.42</v>
      </c>
      <c r="D1400" s="2">
        <f>IFERROR(__xludf.DUMMYFUNCTION("""COMPUTED_VALUE"""),378.4)</f>
        <v>378.4</v>
      </c>
      <c r="E1400" s="2">
        <f>IFERROR(__xludf.DUMMYFUNCTION("""COMPUTED_VALUE"""),380.5)</f>
        <v>380.5</v>
      </c>
      <c r="F1400" s="2">
        <f>IFERROR(__xludf.DUMMYFUNCTION("""COMPUTED_VALUE"""),1448014.0)</f>
        <v>1448014</v>
      </c>
    </row>
    <row r="1401">
      <c r="A1401" s="3">
        <f>IFERROR(__xludf.DUMMYFUNCTION("""COMPUTED_VALUE"""),40303.645833333336)</f>
        <v>40303.64583</v>
      </c>
      <c r="B1401" s="2">
        <f>IFERROR(__xludf.DUMMYFUNCTION("""COMPUTED_VALUE"""),375.0)</f>
        <v>375</v>
      </c>
      <c r="C1401" s="2">
        <f>IFERROR(__xludf.DUMMYFUNCTION("""COMPUTED_VALUE"""),384.0)</f>
        <v>384</v>
      </c>
      <c r="D1401" s="2">
        <f>IFERROR(__xludf.DUMMYFUNCTION("""COMPUTED_VALUE"""),370.08)</f>
        <v>370.08</v>
      </c>
      <c r="E1401" s="2">
        <f>IFERROR(__xludf.DUMMYFUNCTION("""COMPUTED_VALUE"""),382.88)</f>
        <v>382.88</v>
      </c>
      <c r="F1401" s="2">
        <f>IFERROR(__xludf.DUMMYFUNCTION("""COMPUTED_VALUE"""),2185615.0)</f>
        <v>2185615</v>
      </c>
    </row>
    <row r="1402">
      <c r="A1402" s="3">
        <f>IFERROR(__xludf.DUMMYFUNCTION("""COMPUTED_VALUE"""),40304.645833333336)</f>
        <v>40304.64583</v>
      </c>
      <c r="B1402" s="2">
        <f>IFERROR(__xludf.DUMMYFUNCTION("""COMPUTED_VALUE"""),383.98)</f>
        <v>383.98</v>
      </c>
      <c r="C1402" s="2">
        <f>IFERROR(__xludf.DUMMYFUNCTION("""COMPUTED_VALUE"""),385.45)</f>
        <v>385.45</v>
      </c>
      <c r="D1402" s="2">
        <f>IFERROR(__xludf.DUMMYFUNCTION("""COMPUTED_VALUE"""),379.6)</f>
        <v>379.6</v>
      </c>
      <c r="E1402" s="2">
        <f>IFERROR(__xludf.DUMMYFUNCTION("""COMPUTED_VALUE"""),383.55)</f>
        <v>383.55</v>
      </c>
      <c r="F1402" s="2">
        <f>IFERROR(__xludf.DUMMYFUNCTION("""COMPUTED_VALUE"""),1290436.0)</f>
        <v>1290436</v>
      </c>
    </row>
    <row r="1403">
      <c r="A1403" s="3">
        <f>IFERROR(__xludf.DUMMYFUNCTION("""COMPUTED_VALUE"""),40305.645833333336)</f>
        <v>40305.64583</v>
      </c>
      <c r="B1403" s="2">
        <f>IFERROR(__xludf.DUMMYFUNCTION("""COMPUTED_VALUE"""),378.5)</f>
        <v>378.5</v>
      </c>
      <c r="C1403" s="2">
        <f>IFERROR(__xludf.DUMMYFUNCTION("""COMPUTED_VALUE"""),381.3)</f>
        <v>381.3</v>
      </c>
      <c r="D1403" s="2">
        <f>IFERROR(__xludf.DUMMYFUNCTION("""COMPUTED_VALUE"""),367.5)</f>
        <v>367.5</v>
      </c>
      <c r="E1403" s="2">
        <f>IFERROR(__xludf.DUMMYFUNCTION("""COMPUTED_VALUE"""),370.7)</f>
        <v>370.7</v>
      </c>
      <c r="F1403" s="2">
        <f>IFERROR(__xludf.DUMMYFUNCTION("""COMPUTED_VALUE"""),2133576.0)</f>
        <v>2133576</v>
      </c>
    </row>
    <row r="1404">
      <c r="A1404" s="3">
        <f>IFERROR(__xludf.DUMMYFUNCTION("""COMPUTED_VALUE"""),40308.645833333336)</f>
        <v>40308.64583</v>
      </c>
      <c r="B1404" s="2">
        <f>IFERROR(__xludf.DUMMYFUNCTION("""COMPUTED_VALUE"""),380.0)</f>
        <v>380</v>
      </c>
      <c r="C1404" s="2">
        <f>IFERROR(__xludf.DUMMYFUNCTION("""COMPUTED_VALUE"""),421.5)</f>
        <v>421.5</v>
      </c>
      <c r="D1404" s="2">
        <f>IFERROR(__xludf.DUMMYFUNCTION("""COMPUTED_VALUE"""),372.5)</f>
        <v>372.5</v>
      </c>
      <c r="E1404" s="2">
        <f>IFERROR(__xludf.DUMMYFUNCTION("""COMPUTED_VALUE"""),385.13)</f>
        <v>385.13</v>
      </c>
      <c r="F1404" s="2">
        <f>IFERROR(__xludf.DUMMYFUNCTION("""COMPUTED_VALUE"""),1163907.0)</f>
        <v>1163907</v>
      </c>
    </row>
    <row r="1405">
      <c r="A1405" s="3">
        <f>IFERROR(__xludf.DUMMYFUNCTION("""COMPUTED_VALUE"""),40309.645833333336)</f>
        <v>40309.64583</v>
      </c>
      <c r="B1405" s="2">
        <f>IFERROR(__xludf.DUMMYFUNCTION("""COMPUTED_VALUE"""),387.5)</f>
        <v>387.5</v>
      </c>
      <c r="C1405" s="2">
        <f>IFERROR(__xludf.DUMMYFUNCTION("""COMPUTED_VALUE"""),389.5)</f>
        <v>389.5</v>
      </c>
      <c r="D1405" s="2">
        <f>IFERROR(__xludf.DUMMYFUNCTION("""COMPUTED_VALUE"""),376.95)</f>
        <v>376.95</v>
      </c>
      <c r="E1405" s="2">
        <f>IFERROR(__xludf.DUMMYFUNCTION("""COMPUTED_VALUE"""),378.15)</f>
        <v>378.15</v>
      </c>
      <c r="F1405" s="2">
        <f>IFERROR(__xludf.DUMMYFUNCTION("""COMPUTED_VALUE"""),675644.0)</f>
        <v>675644</v>
      </c>
    </row>
    <row r="1406">
      <c r="A1406" s="3">
        <f>IFERROR(__xludf.DUMMYFUNCTION("""COMPUTED_VALUE"""),40310.645833333336)</f>
        <v>40310.64583</v>
      </c>
      <c r="B1406" s="2">
        <f>IFERROR(__xludf.DUMMYFUNCTION("""COMPUTED_VALUE"""),378.5)</f>
        <v>378.5</v>
      </c>
      <c r="C1406" s="2">
        <f>IFERROR(__xludf.DUMMYFUNCTION("""COMPUTED_VALUE"""),383.98)</f>
        <v>383.98</v>
      </c>
      <c r="D1406" s="2">
        <f>IFERROR(__xludf.DUMMYFUNCTION("""COMPUTED_VALUE"""),375.55)</f>
        <v>375.55</v>
      </c>
      <c r="E1406" s="2">
        <f>IFERROR(__xludf.DUMMYFUNCTION("""COMPUTED_VALUE"""),379.73)</f>
        <v>379.73</v>
      </c>
      <c r="F1406" s="2">
        <f>IFERROR(__xludf.DUMMYFUNCTION("""COMPUTED_VALUE"""),1370038.0)</f>
        <v>1370038</v>
      </c>
    </row>
    <row r="1407">
      <c r="A1407" s="3">
        <f>IFERROR(__xludf.DUMMYFUNCTION("""COMPUTED_VALUE"""),40311.645833333336)</f>
        <v>40311.64583</v>
      </c>
      <c r="B1407" s="2">
        <f>IFERROR(__xludf.DUMMYFUNCTION("""COMPUTED_VALUE"""),382.55)</f>
        <v>382.55</v>
      </c>
      <c r="C1407" s="2">
        <f>IFERROR(__xludf.DUMMYFUNCTION("""COMPUTED_VALUE"""),386.6)</f>
        <v>386.6</v>
      </c>
      <c r="D1407" s="2">
        <f>IFERROR(__xludf.DUMMYFUNCTION("""COMPUTED_VALUE"""),380.73)</f>
        <v>380.73</v>
      </c>
      <c r="E1407" s="2">
        <f>IFERROR(__xludf.DUMMYFUNCTION("""COMPUTED_VALUE"""),382.8)</f>
        <v>382.8</v>
      </c>
      <c r="F1407" s="2">
        <f>IFERROR(__xludf.DUMMYFUNCTION("""COMPUTED_VALUE"""),660726.0)</f>
        <v>660726</v>
      </c>
    </row>
    <row r="1408">
      <c r="A1408" s="3">
        <f>IFERROR(__xludf.DUMMYFUNCTION("""COMPUTED_VALUE"""),40312.645833333336)</f>
        <v>40312.64583</v>
      </c>
      <c r="B1408" s="2">
        <f>IFERROR(__xludf.DUMMYFUNCTION("""COMPUTED_VALUE"""),383.0)</f>
        <v>383</v>
      </c>
      <c r="C1408" s="2">
        <f>IFERROR(__xludf.DUMMYFUNCTION("""COMPUTED_VALUE"""),388.5)</f>
        <v>388.5</v>
      </c>
      <c r="D1408" s="2">
        <f>IFERROR(__xludf.DUMMYFUNCTION("""COMPUTED_VALUE"""),377.5)</f>
        <v>377.5</v>
      </c>
      <c r="E1408" s="2">
        <f>IFERROR(__xludf.DUMMYFUNCTION("""COMPUTED_VALUE"""),381.92)</f>
        <v>381.92</v>
      </c>
      <c r="F1408" s="2">
        <f>IFERROR(__xludf.DUMMYFUNCTION("""COMPUTED_VALUE"""),1013498.0)</f>
        <v>1013498</v>
      </c>
    </row>
    <row r="1409">
      <c r="A1409" s="3">
        <f>IFERROR(__xludf.DUMMYFUNCTION("""COMPUTED_VALUE"""),40315.645833333336)</f>
        <v>40315.64583</v>
      </c>
      <c r="B1409" s="2">
        <f>IFERROR(__xludf.DUMMYFUNCTION("""COMPUTED_VALUE"""),387.48)</f>
        <v>387.48</v>
      </c>
      <c r="C1409" s="2">
        <f>IFERROR(__xludf.DUMMYFUNCTION("""COMPUTED_VALUE"""),387.48)</f>
        <v>387.48</v>
      </c>
      <c r="D1409" s="2">
        <f>IFERROR(__xludf.DUMMYFUNCTION("""COMPUTED_VALUE"""),367.05)</f>
        <v>367.05</v>
      </c>
      <c r="E1409" s="2">
        <f>IFERROR(__xludf.DUMMYFUNCTION("""COMPUTED_VALUE"""),372.88)</f>
        <v>372.88</v>
      </c>
      <c r="F1409" s="2">
        <f>IFERROR(__xludf.DUMMYFUNCTION("""COMPUTED_VALUE"""),1861025.0)</f>
        <v>1861025</v>
      </c>
    </row>
    <row r="1410">
      <c r="A1410" s="3">
        <f>IFERROR(__xludf.DUMMYFUNCTION("""COMPUTED_VALUE"""),40316.645833333336)</f>
        <v>40316.64583</v>
      </c>
      <c r="B1410" s="2">
        <f>IFERROR(__xludf.DUMMYFUNCTION("""COMPUTED_VALUE"""),373.0)</f>
        <v>373</v>
      </c>
      <c r="C1410" s="2">
        <f>IFERROR(__xludf.DUMMYFUNCTION("""COMPUTED_VALUE"""),373.0)</f>
        <v>373</v>
      </c>
      <c r="D1410" s="2">
        <f>IFERROR(__xludf.DUMMYFUNCTION("""COMPUTED_VALUE"""),363.15)</f>
        <v>363.15</v>
      </c>
      <c r="E1410" s="2">
        <f>IFERROR(__xludf.DUMMYFUNCTION("""COMPUTED_VALUE"""),367.55)</f>
        <v>367.55</v>
      </c>
      <c r="F1410" s="2">
        <f>IFERROR(__xludf.DUMMYFUNCTION("""COMPUTED_VALUE"""),1599590.0)</f>
        <v>1599590</v>
      </c>
    </row>
    <row r="1411">
      <c r="A1411" s="3">
        <f>IFERROR(__xludf.DUMMYFUNCTION("""COMPUTED_VALUE"""),40317.645833333336)</f>
        <v>40317.64583</v>
      </c>
      <c r="B1411" s="2">
        <f>IFERROR(__xludf.DUMMYFUNCTION("""COMPUTED_VALUE"""),365.0)</f>
        <v>365</v>
      </c>
      <c r="C1411" s="2">
        <f>IFERROR(__xludf.DUMMYFUNCTION("""COMPUTED_VALUE"""),366.5)</f>
        <v>366.5</v>
      </c>
      <c r="D1411" s="2">
        <f>IFERROR(__xludf.DUMMYFUNCTION("""COMPUTED_VALUE"""),358.15)</f>
        <v>358.15</v>
      </c>
      <c r="E1411" s="2">
        <f>IFERROR(__xludf.DUMMYFUNCTION("""COMPUTED_VALUE"""),360.75)</f>
        <v>360.75</v>
      </c>
      <c r="F1411" s="2">
        <f>IFERROR(__xludf.DUMMYFUNCTION("""COMPUTED_VALUE"""),1964633.0)</f>
        <v>1964633</v>
      </c>
    </row>
    <row r="1412">
      <c r="A1412" s="3">
        <f>IFERROR(__xludf.DUMMYFUNCTION("""COMPUTED_VALUE"""),40318.645833333336)</f>
        <v>40318.64583</v>
      </c>
      <c r="B1412" s="2">
        <f>IFERROR(__xludf.DUMMYFUNCTION("""COMPUTED_VALUE"""),364.5)</f>
        <v>364.5</v>
      </c>
      <c r="C1412" s="2">
        <f>IFERROR(__xludf.DUMMYFUNCTION("""COMPUTED_VALUE"""),366.15)</f>
        <v>366.15</v>
      </c>
      <c r="D1412" s="2">
        <f>IFERROR(__xludf.DUMMYFUNCTION("""COMPUTED_VALUE"""),358.08)</f>
        <v>358.08</v>
      </c>
      <c r="E1412" s="2">
        <f>IFERROR(__xludf.DUMMYFUNCTION("""COMPUTED_VALUE"""),365.0)</f>
        <v>365</v>
      </c>
      <c r="F1412" s="2">
        <f>IFERROR(__xludf.DUMMYFUNCTION("""COMPUTED_VALUE"""),1199046.0)</f>
        <v>1199046</v>
      </c>
    </row>
    <row r="1413">
      <c r="A1413" s="3">
        <f>IFERROR(__xludf.DUMMYFUNCTION("""COMPUTED_VALUE"""),40319.645833333336)</f>
        <v>40319.64583</v>
      </c>
      <c r="B1413" s="2">
        <f>IFERROR(__xludf.DUMMYFUNCTION("""COMPUTED_VALUE"""),355.0)</f>
        <v>355</v>
      </c>
      <c r="C1413" s="2">
        <f>IFERROR(__xludf.DUMMYFUNCTION("""COMPUTED_VALUE"""),362.95)</f>
        <v>362.95</v>
      </c>
      <c r="D1413" s="2">
        <f>IFERROR(__xludf.DUMMYFUNCTION("""COMPUTED_VALUE"""),342.63)</f>
        <v>342.63</v>
      </c>
      <c r="E1413" s="2">
        <f>IFERROR(__xludf.DUMMYFUNCTION("""COMPUTED_VALUE"""),359.35)</f>
        <v>359.35</v>
      </c>
      <c r="F1413" s="2">
        <f>IFERROR(__xludf.DUMMYFUNCTION("""COMPUTED_VALUE"""),1337546.0)</f>
        <v>1337546</v>
      </c>
    </row>
    <row r="1414">
      <c r="A1414" s="3">
        <f>IFERROR(__xludf.DUMMYFUNCTION("""COMPUTED_VALUE"""),40322.645833333336)</f>
        <v>40322.64583</v>
      </c>
      <c r="B1414" s="2">
        <f>IFERROR(__xludf.DUMMYFUNCTION("""COMPUTED_VALUE"""),362.5)</f>
        <v>362.5</v>
      </c>
      <c r="C1414" s="2">
        <f>IFERROR(__xludf.DUMMYFUNCTION("""COMPUTED_VALUE"""),365.0)</f>
        <v>365</v>
      </c>
      <c r="D1414" s="2">
        <f>IFERROR(__xludf.DUMMYFUNCTION("""COMPUTED_VALUE"""),356.35)</f>
        <v>356.35</v>
      </c>
      <c r="E1414" s="2">
        <f>IFERROR(__xludf.DUMMYFUNCTION("""COMPUTED_VALUE"""),358.8)</f>
        <v>358.8</v>
      </c>
      <c r="F1414" s="2">
        <f>IFERROR(__xludf.DUMMYFUNCTION("""COMPUTED_VALUE"""),1442714.0)</f>
        <v>1442714</v>
      </c>
    </row>
    <row r="1415">
      <c r="A1415" s="3">
        <f>IFERROR(__xludf.DUMMYFUNCTION("""COMPUTED_VALUE"""),40323.645833333336)</f>
        <v>40323.64583</v>
      </c>
      <c r="B1415" s="2">
        <f>IFERROR(__xludf.DUMMYFUNCTION("""COMPUTED_VALUE"""),354.0)</f>
        <v>354</v>
      </c>
      <c r="C1415" s="2">
        <f>IFERROR(__xludf.DUMMYFUNCTION("""COMPUTED_VALUE"""),357.0)</f>
        <v>357</v>
      </c>
      <c r="D1415" s="2">
        <f>IFERROR(__xludf.DUMMYFUNCTION("""COMPUTED_VALUE"""),345.78)</f>
        <v>345.78</v>
      </c>
      <c r="E1415" s="2">
        <f>IFERROR(__xludf.DUMMYFUNCTION("""COMPUTED_VALUE"""),349.78)</f>
        <v>349.78</v>
      </c>
      <c r="F1415" s="2">
        <f>IFERROR(__xludf.DUMMYFUNCTION("""COMPUTED_VALUE"""),1148683.0)</f>
        <v>1148683</v>
      </c>
    </row>
    <row r="1416">
      <c r="A1416" s="3">
        <f>IFERROR(__xludf.DUMMYFUNCTION("""COMPUTED_VALUE"""),40324.645833333336)</f>
        <v>40324.64583</v>
      </c>
      <c r="B1416" s="2">
        <f>IFERROR(__xludf.DUMMYFUNCTION("""COMPUTED_VALUE"""),354.0)</f>
        <v>354</v>
      </c>
      <c r="C1416" s="2">
        <f>IFERROR(__xludf.DUMMYFUNCTION("""COMPUTED_VALUE"""),372.4)</f>
        <v>372.4</v>
      </c>
      <c r="D1416" s="2">
        <f>IFERROR(__xludf.DUMMYFUNCTION("""COMPUTED_VALUE"""),352.05)</f>
        <v>352.05</v>
      </c>
      <c r="E1416" s="2">
        <f>IFERROR(__xludf.DUMMYFUNCTION("""COMPUTED_VALUE"""),369.0)</f>
        <v>369</v>
      </c>
      <c r="F1416" s="2">
        <f>IFERROR(__xludf.DUMMYFUNCTION("""COMPUTED_VALUE"""),1844732.0)</f>
        <v>1844732</v>
      </c>
    </row>
    <row r="1417">
      <c r="A1417" s="3">
        <f>IFERROR(__xludf.DUMMYFUNCTION("""COMPUTED_VALUE"""),40325.645833333336)</f>
        <v>40325.64583</v>
      </c>
      <c r="B1417" s="2">
        <f>IFERROR(__xludf.DUMMYFUNCTION("""COMPUTED_VALUE"""),367.5)</f>
        <v>367.5</v>
      </c>
      <c r="C1417" s="2">
        <f>IFERROR(__xludf.DUMMYFUNCTION("""COMPUTED_VALUE"""),374.98)</f>
        <v>374.98</v>
      </c>
      <c r="D1417" s="2">
        <f>IFERROR(__xludf.DUMMYFUNCTION("""COMPUTED_VALUE"""),363.6)</f>
        <v>363.6</v>
      </c>
      <c r="E1417" s="2">
        <f>IFERROR(__xludf.DUMMYFUNCTION("""COMPUTED_VALUE"""),370.92)</f>
        <v>370.92</v>
      </c>
      <c r="F1417" s="2">
        <f>IFERROR(__xludf.DUMMYFUNCTION("""COMPUTED_VALUE"""),3441936.0)</f>
        <v>3441936</v>
      </c>
    </row>
    <row r="1418">
      <c r="A1418" s="3">
        <f>IFERROR(__xludf.DUMMYFUNCTION("""COMPUTED_VALUE"""),40326.645833333336)</f>
        <v>40326.64583</v>
      </c>
      <c r="B1418" s="2">
        <f>IFERROR(__xludf.DUMMYFUNCTION("""COMPUTED_VALUE"""),374.9)</f>
        <v>374.9</v>
      </c>
      <c r="C1418" s="2">
        <f>IFERROR(__xludf.DUMMYFUNCTION("""COMPUTED_VALUE"""),376.75)</f>
        <v>376.75</v>
      </c>
      <c r="D1418" s="2">
        <f>IFERROR(__xludf.DUMMYFUNCTION("""COMPUTED_VALUE"""),367.75)</f>
        <v>367.75</v>
      </c>
      <c r="E1418" s="2">
        <f>IFERROR(__xludf.DUMMYFUNCTION("""COMPUTED_VALUE"""),375.4)</f>
        <v>375.4</v>
      </c>
      <c r="F1418" s="2">
        <f>IFERROR(__xludf.DUMMYFUNCTION("""COMPUTED_VALUE"""),1239687.0)</f>
        <v>1239687</v>
      </c>
    </row>
    <row r="1419">
      <c r="A1419" s="3">
        <f>IFERROR(__xludf.DUMMYFUNCTION("""COMPUTED_VALUE"""),40329.645833333336)</f>
        <v>40329.64583</v>
      </c>
      <c r="B1419" s="2">
        <f>IFERROR(__xludf.DUMMYFUNCTION("""COMPUTED_VALUE"""),374.25)</f>
        <v>374.25</v>
      </c>
      <c r="C1419" s="2">
        <f>IFERROR(__xludf.DUMMYFUNCTION("""COMPUTED_VALUE"""),376.45)</f>
        <v>376.45</v>
      </c>
      <c r="D1419" s="2">
        <f>IFERROR(__xludf.DUMMYFUNCTION("""COMPUTED_VALUE"""),369.0)</f>
        <v>369</v>
      </c>
      <c r="E1419" s="2">
        <f>IFERROR(__xludf.DUMMYFUNCTION("""COMPUTED_VALUE"""),371.53)</f>
        <v>371.53</v>
      </c>
      <c r="F1419" s="2">
        <f>IFERROR(__xludf.DUMMYFUNCTION("""COMPUTED_VALUE"""),1663830.0)</f>
        <v>1663830</v>
      </c>
    </row>
    <row r="1420">
      <c r="A1420" s="3">
        <f>IFERROR(__xludf.DUMMYFUNCTION("""COMPUTED_VALUE"""),40330.645833333336)</f>
        <v>40330.64583</v>
      </c>
      <c r="B1420" s="2">
        <f>IFERROR(__xludf.DUMMYFUNCTION("""COMPUTED_VALUE"""),371.53)</f>
        <v>371.53</v>
      </c>
      <c r="C1420" s="2">
        <f>IFERROR(__xludf.DUMMYFUNCTION("""COMPUTED_VALUE"""),375.98)</f>
        <v>375.98</v>
      </c>
      <c r="D1420" s="2">
        <f>IFERROR(__xludf.DUMMYFUNCTION("""COMPUTED_VALUE"""),367.35)</f>
        <v>367.35</v>
      </c>
      <c r="E1420" s="2">
        <f>IFERROR(__xludf.DUMMYFUNCTION("""COMPUTED_VALUE"""),369.6)</f>
        <v>369.6</v>
      </c>
      <c r="F1420" s="2">
        <f>IFERROR(__xludf.DUMMYFUNCTION("""COMPUTED_VALUE"""),1568456.0)</f>
        <v>1568456</v>
      </c>
    </row>
    <row r="1421">
      <c r="A1421" s="3">
        <f>IFERROR(__xludf.DUMMYFUNCTION("""COMPUTED_VALUE"""),40331.645833333336)</f>
        <v>40331.64583</v>
      </c>
      <c r="B1421" s="2">
        <f>IFERROR(__xludf.DUMMYFUNCTION("""COMPUTED_VALUE"""),368.9)</f>
        <v>368.9</v>
      </c>
      <c r="C1421" s="2">
        <f>IFERROR(__xludf.DUMMYFUNCTION("""COMPUTED_VALUE"""),379.75)</f>
        <v>379.75</v>
      </c>
      <c r="D1421" s="2">
        <f>IFERROR(__xludf.DUMMYFUNCTION("""COMPUTED_VALUE"""),368.15)</f>
        <v>368.15</v>
      </c>
      <c r="E1421" s="2">
        <f>IFERROR(__xludf.DUMMYFUNCTION("""COMPUTED_VALUE"""),377.13)</f>
        <v>377.13</v>
      </c>
      <c r="F1421" s="2">
        <f>IFERROR(__xludf.DUMMYFUNCTION("""COMPUTED_VALUE"""),1384665.0)</f>
        <v>1384665</v>
      </c>
    </row>
    <row r="1422">
      <c r="A1422" s="3">
        <f>IFERROR(__xludf.DUMMYFUNCTION("""COMPUTED_VALUE"""),40332.645833333336)</f>
        <v>40332.64583</v>
      </c>
      <c r="B1422" s="2">
        <f>IFERROR(__xludf.DUMMYFUNCTION("""COMPUTED_VALUE"""),380.0)</f>
        <v>380</v>
      </c>
      <c r="C1422" s="2">
        <f>IFERROR(__xludf.DUMMYFUNCTION("""COMPUTED_VALUE"""),384.5)</f>
        <v>384.5</v>
      </c>
      <c r="D1422" s="2">
        <f>IFERROR(__xludf.DUMMYFUNCTION("""COMPUTED_VALUE"""),372.55)</f>
        <v>372.55</v>
      </c>
      <c r="E1422" s="2">
        <f>IFERROR(__xludf.DUMMYFUNCTION("""COMPUTED_VALUE"""),382.73)</f>
        <v>382.73</v>
      </c>
      <c r="F1422" s="2">
        <f>IFERROR(__xludf.DUMMYFUNCTION("""COMPUTED_VALUE"""),842217.0)</f>
        <v>842217</v>
      </c>
    </row>
    <row r="1423">
      <c r="A1423" s="3">
        <f>IFERROR(__xludf.DUMMYFUNCTION("""COMPUTED_VALUE"""),40333.645833333336)</f>
        <v>40333.64583</v>
      </c>
      <c r="B1423" s="2">
        <f>IFERROR(__xludf.DUMMYFUNCTION("""COMPUTED_VALUE"""),382.73)</f>
        <v>382.73</v>
      </c>
      <c r="C1423" s="2">
        <f>IFERROR(__xludf.DUMMYFUNCTION("""COMPUTED_VALUE"""),384.85)</f>
        <v>384.85</v>
      </c>
      <c r="D1423" s="2">
        <f>IFERROR(__xludf.DUMMYFUNCTION("""COMPUTED_VALUE"""),377.6)</f>
        <v>377.6</v>
      </c>
      <c r="E1423" s="2">
        <f>IFERROR(__xludf.DUMMYFUNCTION("""COMPUTED_VALUE"""),382.67)</f>
        <v>382.67</v>
      </c>
      <c r="F1423" s="2">
        <f>IFERROR(__xludf.DUMMYFUNCTION("""COMPUTED_VALUE"""),684105.0)</f>
        <v>684105</v>
      </c>
    </row>
    <row r="1424">
      <c r="A1424" s="3">
        <f>IFERROR(__xludf.DUMMYFUNCTION("""COMPUTED_VALUE"""),40336.645833333336)</f>
        <v>40336.64583</v>
      </c>
      <c r="B1424" s="2">
        <f>IFERROR(__xludf.DUMMYFUNCTION("""COMPUTED_VALUE"""),374.95)</f>
        <v>374.95</v>
      </c>
      <c r="C1424" s="2">
        <f>IFERROR(__xludf.DUMMYFUNCTION("""COMPUTED_VALUE"""),378.9)</f>
        <v>378.9</v>
      </c>
      <c r="D1424" s="2">
        <f>IFERROR(__xludf.DUMMYFUNCTION("""COMPUTED_VALUE"""),368.0)</f>
        <v>368</v>
      </c>
      <c r="E1424" s="2">
        <f>IFERROR(__xludf.DUMMYFUNCTION("""COMPUTED_VALUE"""),376.63)</f>
        <v>376.63</v>
      </c>
      <c r="F1424" s="2">
        <f>IFERROR(__xludf.DUMMYFUNCTION("""COMPUTED_VALUE"""),867461.0)</f>
        <v>867461</v>
      </c>
    </row>
    <row r="1425">
      <c r="A1425" s="3">
        <f>IFERROR(__xludf.DUMMYFUNCTION("""COMPUTED_VALUE"""),40337.645833333336)</f>
        <v>40337.64583</v>
      </c>
      <c r="B1425" s="2">
        <f>IFERROR(__xludf.DUMMYFUNCTION("""COMPUTED_VALUE"""),377.0)</f>
        <v>377</v>
      </c>
      <c r="C1425" s="2">
        <f>IFERROR(__xludf.DUMMYFUNCTION("""COMPUTED_VALUE"""),381.0)</f>
        <v>381</v>
      </c>
      <c r="D1425" s="2">
        <f>IFERROR(__xludf.DUMMYFUNCTION("""COMPUTED_VALUE"""),373.5)</f>
        <v>373.5</v>
      </c>
      <c r="E1425" s="2">
        <f>IFERROR(__xludf.DUMMYFUNCTION("""COMPUTED_VALUE"""),375.1)</f>
        <v>375.1</v>
      </c>
      <c r="F1425" s="2">
        <f>IFERROR(__xludf.DUMMYFUNCTION("""COMPUTED_VALUE"""),1121111.0)</f>
        <v>1121111</v>
      </c>
    </row>
    <row r="1426">
      <c r="A1426" s="3">
        <f>IFERROR(__xludf.DUMMYFUNCTION("""COMPUTED_VALUE"""),40338.645833333336)</f>
        <v>40338.64583</v>
      </c>
      <c r="B1426" s="2">
        <f>IFERROR(__xludf.DUMMYFUNCTION("""COMPUTED_VALUE"""),376.0)</f>
        <v>376</v>
      </c>
      <c r="C1426" s="2">
        <f>IFERROR(__xludf.DUMMYFUNCTION("""COMPUTED_VALUE"""),379.28)</f>
        <v>379.28</v>
      </c>
      <c r="D1426" s="2">
        <f>IFERROR(__xludf.DUMMYFUNCTION("""COMPUTED_VALUE"""),365.5)</f>
        <v>365.5</v>
      </c>
      <c r="E1426" s="2">
        <f>IFERROR(__xludf.DUMMYFUNCTION("""COMPUTED_VALUE"""),366.53)</f>
        <v>366.53</v>
      </c>
      <c r="F1426" s="2">
        <f>IFERROR(__xludf.DUMMYFUNCTION("""COMPUTED_VALUE"""),2433700.0)</f>
        <v>2433700</v>
      </c>
    </row>
    <row r="1427">
      <c r="A1427" s="3">
        <f>IFERROR(__xludf.DUMMYFUNCTION("""COMPUTED_VALUE"""),40339.645833333336)</f>
        <v>40339.64583</v>
      </c>
      <c r="B1427" s="2">
        <f>IFERROR(__xludf.DUMMYFUNCTION("""COMPUTED_VALUE"""),365.0)</f>
        <v>365</v>
      </c>
      <c r="C1427" s="2">
        <f>IFERROR(__xludf.DUMMYFUNCTION("""COMPUTED_VALUE"""),376.5)</f>
        <v>376.5</v>
      </c>
      <c r="D1427" s="2">
        <f>IFERROR(__xludf.DUMMYFUNCTION("""COMPUTED_VALUE"""),365.0)</f>
        <v>365</v>
      </c>
      <c r="E1427" s="2">
        <f>IFERROR(__xludf.DUMMYFUNCTION("""COMPUTED_VALUE"""),375.25)</f>
        <v>375.25</v>
      </c>
      <c r="F1427" s="2">
        <f>IFERROR(__xludf.DUMMYFUNCTION("""COMPUTED_VALUE"""),898018.0)</f>
        <v>898018</v>
      </c>
    </row>
    <row r="1428">
      <c r="A1428" s="3">
        <f>IFERROR(__xludf.DUMMYFUNCTION("""COMPUTED_VALUE"""),40340.645833333336)</f>
        <v>40340.64583</v>
      </c>
      <c r="B1428" s="2">
        <f>IFERROR(__xludf.DUMMYFUNCTION("""COMPUTED_VALUE"""),380.9)</f>
        <v>380.9</v>
      </c>
      <c r="C1428" s="2">
        <f>IFERROR(__xludf.DUMMYFUNCTION("""COMPUTED_VALUE"""),381.65)</f>
        <v>381.65</v>
      </c>
      <c r="D1428" s="2">
        <f>IFERROR(__xludf.DUMMYFUNCTION("""COMPUTED_VALUE"""),375.5)</f>
        <v>375.5</v>
      </c>
      <c r="E1428" s="2">
        <f>IFERROR(__xludf.DUMMYFUNCTION("""COMPUTED_VALUE"""),379.55)</f>
        <v>379.55</v>
      </c>
      <c r="F1428" s="2">
        <f>IFERROR(__xludf.DUMMYFUNCTION("""COMPUTED_VALUE"""),1618512.0)</f>
        <v>1618512</v>
      </c>
    </row>
    <row r="1429">
      <c r="A1429" s="3">
        <f>IFERROR(__xludf.DUMMYFUNCTION("""COMPUTED_VALUE"""),40343.645833333336)</f>
        <v>40343.64583</v>
      </c>
      <c r="B1429" s="2">
        <f>IFERROR(__xludf.DUMMYFUNCTION("""COMPUTED_VALUE"""),381.67)</f>
        <v>381.67</v>
      </c>
      <c r="C1429" s="2">
        <f>IFERROR(__xludf.DUMMYFUNCTION("""COMPUTED_VALUE"""),393.55)</f>
        <v>393.55</v>
      </c>
      <c r="D1429" s="2">
        <f>IFERROR(__xludf.DUMMYFUNCTION("""COMPUTED_VALUE"""),379.0)</f>
        <v>379</v>
      </c>
      <c r="E1429" s="2">
        <f>IFERROR(__xludf.DUMMYFUNCTION("""COMPUTED_VALUE"""),390.5)</f>
        <v>390.5</v>
      </c>
      <c r="F1429" s="2">
        <f>IFERROR(__xludf.DUMMYFUNCTION("""COMPUTED_VALUE"""),1775246.0)</f>
        <v>1775246</v>
      </c>
    </row>
    <row r="1430">
      <c r="A1430" s="3">
        <f>IFERROR(__xludf.DUMMYFUNCTION("""COMPUTED_VALUE"""),40344.645833333336)</f>
        <v>40344.64583</v>
      </c>
      <c r="B1430" s="2">
        <f>IFERROR(__xludf.DUMMYFUNCTION("""COMPUTED_VALUE"""),378.33)</f>
        <v>378.33</v>
      </c>
      <c r="C1430" s="2">
        <f>IFERROR(__xludf.DUMMYFUNCTION("""COMPUTED_VALUE"""),388.85)</f>
        <v>388.85</v>
      </c>
      <c r="D1430" s="2">
        <f>IFERROR(__xludf.DUMMYFUNCTION("""COMPUTED_VALUE"""),378.33)</f>
        <v>378.33</v>
      </c>
      <c r="E1430" s="2">
        <f>IFERROR(__xludf.DUMMYFUNCTION("""COMPUTED_VALUE"""),383.05)</f>
        <v>383.05</v>
      </c>
      <c r="F1430" s="2">
        <f>IFERROR(__xludf.DUMMYFUNCTION("""COMPUTED_VALUE"""),1321488.0)</f>
        <v>1321488</v>
      </c>
    </row>
    <row r="1431">
      <c r="A1431" s="3">
        <f>IFERROR(__xludf.DUMMYFUNCTION("""COMPUTED_VALUE"""),40345.645833333336)</f>
        <v>40345.64583</v>
      </c>
      <c r="B1431" s="2">
        <f>IFERROR(__xludf.DUMMYFUNCTION("""COMPUTED_VALUE"""),388.55)</f>
        <v>388.55</v>
      </c>
      <c r="C1431" s="2">
        <f>IFERROR(__xludf.DUMMYFUNCTION("""COMPUTED_VALUE"""),389.98)</f>
        <v>389.98</v>
      </c>
      <c r="D1431" s="2">
        <f>IFERROR(__xludf.DUMMYFUNCTION("""COMPUTED_VALUE"""),383.65)</f>
        <v>383.65</v>
      </c>
      <c r="E1431" s="2">
        <f>IFERROR(__xludf.DUMMYFUNCTION("""COMPUTED_VALUE"""),387.4)</f>
        <v>387.4</v>
      </c>
      <c r="F1431" s="2">
        <f>IFERROR(__xludf.DUMMYFUNCTION("""COMPUTED_VALUE"""),1164408.0)</f>
        <v>1164408</v>
      </c>
    </row>
    <row r="1432">
      <c r="A1432" s="3">
        <f>IFERROR(__xludf.DUMMYFUNCTION("""COMPUTED_VALUE"""),40346.645833333336)</f>
        <v>40346.64583</v>
      </c>
      <c r="B1432" s="2">
        <f>IFERROR(__xludf.DUMMYFUNCTION("""COMPUTED_VALUE"""),388.5)</f>
        <v>388.5</v>
      </c>
      <c r="C1432" s="2">
        <f>IFERROR(__xludf.DUMMYFUNCTION("""COMPUTED_VALUE"""),392.4)</f>
        <v>392.4</v>
      </c>
      <c r="D1432" s="2">
        <f>IFERROR(__xludf.DUMMYFUNCTION("""COMPUTED_VALUE"""),381.85)</f>
        <v>381.85</v>
      </c>
      <c r="E1432" s="2">
        <f>IFERROR(__xludf.DUMMYFUNCTION("""COMPUTED_VALUE"""),387.65)</f>
        <v>387.65</v>
      </c>
      <c r="F1432" s="2">
        <f>IFERROR(__xludf.DUMMYFUNCTION("""COMPUTED_VALUE"""),764460.0)</f>
        <v>764460</v>
      </c>
    </row>
    <row r="1433">
      <c r="A1433" s="3">
        <f>IFERROR(__xludf.DUMMYFUNCTION("""COMPUTED_VALUE"""),40347.645833333336)</f>
        <v>40347.64583</v>
      </c>
      <c r="B1433" s="2">
        <f>IFERROR(__xludf.DUMMYFUNCTION("""COMPUTED_VALUE"""),387.65)</f>
        <v>387.65</v>
      </c>
      <c r="C1433" s="2">
        <f>IFERROR(__xludf.DUMMYFUNCTION("""COMPUTED_VALUE"""),394.45)</f>
        <v>394.45</v>
      </c>
      <c r="D1433" s="2">
        <f>IFERROR(__xludf.DUMMYFUNCTION("""COMPUTED_VALUE"""),386.13)</f>
        <v>386.13</v>
      </c>
      <c r="E1433" s="2">
        <f>IFERROR(__xludf.DUMMYFUNCTION("""COMPUTED_VALUE"""),391.6)</f>
        <v>391.6</v>
      </c>
      <c r="F1433" s="2">
        <f>IFERROR(__xludf.DUMMYFUNCTION("""COMPUTED_VALUE"""),1112836.0)</f>
        <v>1112836</v>
      </c>
    </row>
    <row r="1434">
      <c r="A1434" s="3">
        <f>IFERROR(__xludf.DUMMYFUNCTION("""COMPUTED_VALUE"""),40350.645833333336)</f>
        <v>40350.64583</v>
      </c>
      <c r="B1434" s="2">
        <f>IFERROR(__xludf.DUMMYFUNCTION("""COMPUTED_VALUE"""),396.45)</f>
        <v>396.45</v>
      </c>
      <c r="C1434" s="2">
        <f>IFERROR(__xludf.DUMMYFUNCTION("""COMPUTED_VALUE"""),397.0)</f>
        <v>397</v>
      </c>
      <c r="D1434" s="2">
        <f>IFERROR(__xludf.DUMMYFUNCTION("""COMPUTED_VALUE"""),392.3)</f>
        <v>392.3</v>
      </c>
      <c r="E1434" s="2">
        <f>IFERROR(__xludf.DUMMYFUNCTION("""COMPUTED_VALUE"""),393.85)</f>
        <v>393.85</v>
      </c>
      <c r="F1434" s="2">
        <f>IFERROR(__xludf.DUMMYFUNCTION("""COMPUTED_VALUE"""),953714.0)</f>
        <v>953714</v>
      </c>
    </row>
    <row r="1435">
      <c r="A1435" s="3">
        <f>IFERROR(__xludf.DUMMYFUNCTION("""COMPUTED_VALUE"""),40351.645833333336)</f>
        <v>40351.64583</v>
      </c>
      <c r="B1435" s="2">
        <f>IFERROR(__xludf.DUMMYFUNCTION("""COMPUTED_VALUE"""),392.5)</f>
        <v>392.5</v>
      </c>
      <c r="C1435" s="2">
        <f>IFERROR(__xludf.DUMMYFUNCTION("""COMPUTED_VALUE"""),393.25)</f>
        <v>393.25</v>
      </c>
      <c r="D1435" s="2">
        <f>IFERROR(__xludf.DUMMYFUNCTION("""COMPUTED_VALUE"""),386.65)</f>
        <v>386.65</v>
      </c>
      <c r="E1435" s="2">
        <f>IFERROR(__xludf.DUMMYFUNCTION("""COMPUTED_VALUE"""),389.33)</f>
        <v>389.33</v>
      </c>
      <c r="F1435" s="2">
        <f>IFERROR(__xludf.DUMMYFUNCTION("""COMPUTED_VALUE"""),734162.0)</f>
        <v>734162</v>
      </c>
    </row>
    <row r="1436">
      <c r="A1436" s="3">
        <f>IFERROR(__xludf.DUMMYFUNCTION("""COMPUTED_VALUE"""),40352.645833333336)</f>
        <v>40352.64583</v>
      </c>
      <c r="B1436" s="2">
        <f>IFERROR(__xludf.DUMMYFUNCTION("""COMPUTED_VALUE"""),385.0)</f>
        <v>385</v>
      </c>
      <c r="C1436" s="2">
        <f>IFERROR(__xludf.DUMMYFUNCTION("""COMPUTED_VALUE"""),394.48)</f>
        <v>394.48</v>
      </c>
      <c r="D1436" s="2">
        <f>IFERROR(__xludf.DUMMYFUNCTION("""COMPUTED_VALUE"""),384.92)</f>
        <v>384.92</v>
      </c>
      <c r="E1436" s="2">
        <f>IFERROR(__xludf.DUMMYFUNCTION("""COMPUTED_VALUE"""),393.15)</f>
        <v>393.15</v>
      </c>
      <c r="F1436" s="2">
        <f>IFERROR(__xludf.DUMMYFUNCTION("""COMPUTED_VALUE"""),1479762.0)</f>
        <v>1479762</v>
      </c>
    </row>
    <row r="1437">
      <c r="A1437" s="3">
        <f>IFERROR(__xludf.DUMMYFUNCTION("""COMPUTED_VALUE"""),40353.645833333336)</f>
        <v>40353.64583</v>
      </c>
      <c r="B1437" s="2">
        <f>IFERROR(__xludf.DUMMYFUNCTION("""COMPUTED_VALUE"""),393.15)</f>
        <v>393.15</v>
      </c>
      <c r="C1437" s="2">
        <f>IFERROR(__xludf.DUMMYFUNCTION("""COMPUTED_VALUE"""),394.25)</f>
        <v>394.25</v>
      </c>
      <c r="D1437" s="2">
        <f>IFERROR(__xludf.DUMMYFUNCTION("""COMPUTED_VALUE"""),383.85)</f>
        <v>383.85</v>
      </c>
      <c r="E1437" s="2">
        <f>IFERROR(__xludf.DUMMYFUNCTION("""COMPUTED_VALUE"""),386.73)</f>
        <v>386.73</v>
      </c>
      <c r="F1437" s="2">
        <f>IFERROR(__xludf.DUMMYFUNCTION("""COMPUTED_VALUE"""),1888755.0)</f>
        <v>1888755</v>
      </c>
    </row>
    <row r="1438">
      <c r="A1438" s="3">
        <f>IFERROR(__xludf.DUMMYFUNCTION("""COMPUTED_VALUE"""),40354.645833333336)</f>
        <v>40354.64583</v>
      </c>
      <c r="B1438" s="2">
        <f>IFERROR(__xludf.DUMMYFUNCTION("""COMPUTED_VALUE"""),387.9)</f>
        <v>387.9</v>
      </c>
      <c r="C1438" s="2">
        <f>IFERROR(__xludf.DUMMYFUNCTION("""COMPUTED_VALUE"""),387.9)</f>
        <v>387.9</v>
      </c>
      <c r="D1438" s="2">
        <f>IFERROR(__xludf.DUMMYFUNCTION("""COMPUTED_VALUE"""),378.05)</f>
        <v>378.05</v>
      </c>
      <c r="E1438" s="2">
        <f>IFERROR(__xludf.DUMMYFUNCTION("""COMPUTED_VALUE"""),379.25)</f>
        <v>379.25</v>
      </c>
      <c r="F1438" s="2">
        <f>IFERROR(__xludf.DUMMYFUNCTION("""COMPUTED_VALUE"""),1018661.0)</f>
        <v>1018661</v>
      </c>
    </row>
    <row r="1439">
      <c r="A1439" s="3">
        <f>IFERROR(__xludf.DUMMYFUNCTION("""COMPUTED_VALUE"""),40357.645833333336)</f>
        <v>40357.64583</v>
      </c>
      <c r="B1439" s="2">
        <f>IFERROR(__xludf.DUMMYFUNCTION("""COMPUTED_VALUE"""),379.23)</f>
        <v>379.23</v>
      </c>
      <c r="C1439" s="2">
        <f>IFERROR(__xludf.DUMMYFUNCTION("""COMPUTED_VALUE"""),383.58)</f>
        <v>383.58</v>
      </c>
      <c r="D1439" s="2">
        <f>IFERROR(__xludf.DUMMYFUNCTION("""COMPUTED_VALUE"""),378.8)</f>
        <v>378.8</v>
      </c>
      <c r="E1439" s="2">
        <f>IFERROR(__xludf.DUMMYFUNCTION("""COMPUTED_VALUE"""),382.38)</f>
        <v>382.38</v>
      </c>
      <c r="F1439" s="2">
        <f>IFERROR(__xludf.DUMMYFUNCTION("""COMPUTED_VALUE"""),576562.0)</f>
        <v>576562</v>
      </c>
    </row>
    <row r="1440">
      <c r="A1440" s="3">
        <f>IFERROR(__xludf.DUMMYFUNCTION("""COMPUTED_VALUE"""),40358.645833333336)</f>
        <v>40358.64583</v>
      </c>
      <c r="B1440" s="2">
        <f>IFERROR(__xludf.DUMMYFUNCTION("""COMPUTED_VALUE"""),382.5)</f>
        <v>382.5</v>
      </c>
      <c r="C1440" s="2">
        <f>IFERROR(__xludf.DUMMYFUNCTION("""COMPUTED_VALUE"""),382.5)</f>
        <v>382.5</v>
      </c>
      <c r="D1440" s="2">
        <f>IFERROR(__xludf.DUMMYFUNCTION("""COMPUTED_VALUE"""),374.5)</f>
        <v>374.5</v>
      </c>
      <c r="E1440" s="2">
        <f>IFERROR(__xludf.DUMMYFUNCTION("""COMPUTED_VALUE"""),376.9)</f>
        <v>376.9</v>
      </c>
      <c r="F1440" s="2">
        <f>IFERROR(__xludf.DUMMYFUNCTION("""COMPUTED_VALUE"""),1307331.0)</f>
        <v>1307331</v>
      </c>
    </row>
    <row r="1441">
      <c r="A1441" s="3">
        <f>IFERROR(__xludf.DUMMYFUNCTION("""COMPUTED_VALUE"""),40359.645833333336)</f>
        <v>40359.64583</v>
      </c>
      <c r="B1441" s="2">
        <f>IFERROR(__xludf.DUMMYFUNCTION("""COMPUTED_VALUE"""),377.5)</f>
        <v>377.5</v>
      </c>
      <c r="C1441" s="2">
        <f>IFERROR(__xludf.DUMMYFUNCTION("""COMPUTED_VALUE"""),379.95)</f>
        <v>379.95</v>
      </c>
      <c r="D1441" s="2">
        <f>IFERROR(__xludf.DUMMYFUNCTION("""COMPUTED_VALUE"""),370.63)</f>
        <v>370.63</v>
      </c>
      <c r="E1441" s="2">
        <f>IFERROR(__xludf.DUMMYFUNCTION("""COMPUTED_VALUE"""),375.5)</f>
        <v>375.5</v>
      </c>
      <c r="F1441" s="2">
        <f>IFERROR(__xludf.DUMMYFUNCTION("""COMPUTED_VALUE"""),1658258.0)</f>
        <v>1658258</v>
      </c>
    </row>
    <row r="1442">
      <c r="A1442" s="3">
        <f>IFERROR(__xludf.DUMMYFUNCTION("""COMPUTED_VALUE"""),40360.645833333336)</f>
        <v>40360.64583</v>
      </c>
      <c r="B1442" s="2">
        <f>IFERROR(__xludf.DUMMYFUNCTION("""COMPUTED_VALUE"""),375.0)</f>
        <v>375</v>
      </c>
      <c r="C1442" s="2">
        <f>IFERROR(__xludf.DUMMYFUNCTION("""COMPUTED_VALUE"""),375.0)</f>
        <v>375</v>
      </c>
      <c r="D1442" s="2">
        <f>IFERROR(__xludf.DUMMYFUNCTION("""COMPUTED_VALUE"""),362.88)</f>
        <v>362.88</v>
      </c>
      <c r="E1442" s="2">
        <f>IFERROR(__xludf.DUMMYFUNCTION("""COMPUTED_VALUE"""),366.0)</f>
        <v>366</v>
      </c>
      <c r="F1442" s="2">
        <f>IFERROR(__xludf.DUMMYFUNCTION("""COMPUTED_VALUE"""),1703872.0)</f>
        <v>1703872</v>
      </c>
    </row>
    <row r="1443">
      <c r="A1443" s="3">
        <f>IFERROR(__xludf.DUMMYFUNCTION("""COMPUTED_VALUE"""),40361.645833333336)</f>
        <v>40361.64583</v>
      </c>
      <c r="B1443" s="2">
        <f>IFERROR(__xludf.DUMMYFUNCTION("""COMPUTED_VALUE"""),367.4)</f>
        <v>367.4</v>
      </c>
      <c r="C1443" s="2">
        <f>IFERROR(__xludf.DUMMYFUNCTION("""COMPUTED_VALUE"""),373.0)</f>
        <v>373</v>
      </c>
      <c r="D1443" s="2">
        <f>IFERROR(__xludf.DUMMYFUNCTION("""COMPUTED_VALUE"""),365.42)</f>
        <v>365.42</v>
      </c>
      <c r="E1443" s="2">
        <f>IFERROR(__xludf.DUMMYFUNCTION("""COMPUTED_VALUE"""),371.9)</f>
        <v>371.9</v>
      </c>
      <c r="F1443" s="2">
        <f>IFERROR(__xludf.DUMMYFUNCTION("""COMPUTED_VALUE"""),1471775.0)</f>
        <v>1471775</v>
      </c>
    </row>
    <row r="1444">
      <c r="A1444" s="3">
        <f>IFERROR(__xludf.DUMMYFUNCTION("""COMPUTED_VALUE"""),40364.645833333336)</f>
        <v>40364.64583</v>
      </c>
      <c r="B1444" s="2">
        <f>IFERROR(__xludf.DUMMYFUNCTION("""COMPUTED_VALUE"""),374.4)</f>
        <v>374.4</v>
      </c>
      <c r="C1444" s="2">
        <f>IFERROR(__xludf.DUMMYFUNCTION("""COMPUTED_VALUE"""),374.45)</f>
        <v>374.45</v>
      </c>
      <c r="D1444" s="2">
        <f>IFERROR(__xludf.DUMMYFUNCTION("""COMPUTED_VALUE"""),368.55)</f>
        <v>368.55</v>
      </c>
      <c r="E1444" s="2">
        <f>IFERROR(__xludf.DUMMYFUNCTION("""COMPUTED_VALUE"""),369.5)</f>
        <v>369.5</v>
      </c>
      <c r="F1444" s="2">
        <f>IFERROR(__xludf.DUMMYFUNCTION("""COMPUTED_VALUE"""),1082798.0)</f>
        <v>1082798</v>
      </c>
    </row>
    <row r="1445">
      <c r="A1445" s="3">
        <f>IFERROR(__xludf.DUMMYFUNCTION("""COMPUTED_VALUE"""),40365.645833333336)</f>
        <v>40365.64583</v>
      </c>
      <c r="B1445" s="2">
        <f>IFERROR(__xludf.DUMMYFUNCTION("""COMPUTED_VALUE"""),368.25)</f>
        <v>368.25</v>
      </c>
      <c r="C1445" s="2">
        <f>IFERROR(__xludf.DUMMYFUNCTION("""COMPUTED_VALUE"""),380.95)</f>
        <v>380.95</v>
      </c>
      <c r="D1445" s="2">
        <f>IFERROR(__xludf.DUMMYFUNCTION("""COMPUTED_VALUE"""),367.92)</f>
        <v>367.92</v>
      </c>
      <c r="E1445" s="2">
        <f>IFERROR(__xludf.DUMMYFUNCTION("""COMPUTED_VALUE"""),379.58)</f>
        <v>379.58</v>
      </c>
      <c r="F1445" s="2">
        <f>IFERROR(__xludf.DUMMYFUNCTION("""COMPUTED_VALUE"""),1380452.0)</f>
        <v>1380452</v>
      </c>
    </row>
    <row r="1446">
      <c r="A1446" s="3">
        <f>IFERROR(__xludf.DUMMYFUNCTION("""COMPUTED_VALUE"""),40366.645833333336)</f>
        <v>40366.64583</v>
      </c>
      <c r="B1446" s="2">
        <f>IFERROR(__xludf.DUMMYFUNCTION("""COMPUTED_VALUE"""),380.7)</f>
        <v>380.7</v>
      </c>
      <c r="C1446" s="2">
        <f>IFERROR(__xludf.DUMMYFUNCTION("""COMPUTED_VALUE"""),383.7)</f>
        <v>383.7</v>
      </c>
      <c r="D1446" s="2">
        <f>IFERROR(__xludf.DUMMYFUNCTION("""COMPUTED_VALUE"""),374.48)</f>
        <v>374.48</v>
      </c>
      <c r="E1446" s="2">
        <f>IFERROR(__xludf.DUMMYFUNCTION("""COMPUTED_VALUE"""),382.3)</f>
        <v>382.3</v>
      </c>
      <c r="F1446" s="2">
        <f>IFERROR(__xludf.DUMMYFUNCTION("""COMPUTED_VALUE"""),1076467.0)</f>
        <v>1076467</v>
      </c>
    </row>
    <row r="1447">
      <c r="A1447" s="3">
        <f>IFERROR(__xludf.DUMMYFUNCTION("""COMPUTED_VALUE"""),40367.645833333336)</f>
        <v>40367.64583</v>
      </c>
      <c r="B1447" s="2">
        <f>IFERROR(__xludf.DUMMYFUNCTION("""COMPUTED_VALUE"""),386.0)</f>
        <v>386</v>
      </c>
      <c r="C1447" s="2">
        <f>IFERROR(__xludf.DUMMYFUNCTION("""COMPUTED_VALUE"""),389.5)</f>
        <v>389.5</v>
      </c>
      <c r="D1447" s="2">
        <f>IFERROR(__xludf.DUMMYFUNCTION("""COMPUTED_VALUE"""),384.83)</f>
        <v>384.83</v>
      </c>
      <c r="E1447" s="2">
        <f>IFERROR(__xludf.DUMMYFUNCTION("""COMPUTED_VALUE"""),388.4)</f>
        <v>388.4</v>
      </c>
      <c r="F1447" s="2">
        <f>IFERROR(__xludf.DUMMYFUNCTION("""COMPUTED_VALUE"""),1093782.0)</f>
        <v>1093782</v>
      </c>
    </row>
    <row r="1448">
      <c r="A1448" s="3">
        <f>IFERROR(__xludf.DUMMYFUNCTION("""COMPUTED_VALUE"""),40368.645833333336)</f>
        <v>40368.64583</v>
      </c>
      <c r="B1448" s="2">
        <f>IFERROR(__xludf.DUMMYFUNCTION("""COMPUTED_VALUE"""),390.0)</f>
        <v>390</v>
      </c>
      <c r="C1448" s="2">
        <f>IFERROR(__xludf.DUMMYFUNCTION("""COMPUTED_VALUE"""),392.0)</f>
        <v>392</v>
      </c>
      <c r="D1448" s="2">
        <f>IFERROR(__xludf.DUMMYFUNCTION("""COMPUTED_VALUE"""),385.38)</f>
        <v>385.38</v>
      </c>
      <c r="E1448" s="2">
        <f>IFERROR(__xludf.DUMMYFUNCTION("""COMPUTED_VALUE"""),387.23)</f>
        <v>387.23</v>
      </c>
      <c r="F1448" s="2">
        <f>IFERROR(__xludf.DUMMYFUNCTION("""COMPUTED_VALUE"""),918333.0)</f>
        <v>918333</v>
      </c>
    </row>
    <row r="1449">
      <c r="A1449" s="3">
        <f>IFERROR(__xludf.DUMMYFUNCTION("""COMPUTED_VALUE"""),40371.645833333336)</f>
        <v>40371.64583</v>
      </c>
      <c r="B1449" s="2">
        <f>IFERROR(__xludf.DUMMYFUNCTION("""COMPUTED_VALUE"""),389.9)</f>
        <v>389.9</v>
      </c>
      <c r="C1449" s="2">
        <f>IFERROR(__xludf.DUMMYFUNCTION("""COMPUTED_VALUE"""),397.0)</f>
        <v>397</v>
      </c>
      <c r="D1449" s="2">
        <f>IFERROR(__xludf.DUMMYFUNCTION("""COMPUTED_VALUE"""),389.9)</f>
        <v>389.9</v>
      </c>
      <c r="E1449" s="2">
        <f>IFERROR(__xludf.DUMMYFUNCTION("""COMPUTED_VALUE"""),395.85)</f>
        <v>395.85</v>
      </c>
      <c r="F1449" s="2">
        <f>IFERROR(__xludf.DUMMYFUNCTION("""COMPUTED_VALUE"""),1362888.0)</f>
        <v>1362888</v>
      </c>
    </row>
    <row r="1450">
      <c r="A1450" s="3">
        <f>IFERROR(__xludf.DUMMYFUNCTION("""COMPUTED_VALUE"""),40372.645833333336)</f>
        <v>40372.64583</v>
      </c>
      <c r="B1450" s="2">
        <f>IFERROR(__xludf.DUMMYFUNCTION("""COMPUTED_VALUE"""),396.0)</f>
        <v>396</v>
      </c>
      <c r="C1450" s="2">
        <f>IFERROR(__xludf.DUMMYFUNCTION("""COMPUTED_VALUE"""),396.0)</f>
        <v>396</v>
      </c>
      <c r="D1450" s="2">
        <f>IFERROR(__xludf.DUMMYFUNCTION("""COMPUTED_VALUE"""),384.78)</f>
        <v>384.78</v>
      </c>
      <c r="E1450" s="2">
        <f>IFERROR(__xludf.DUMMYFUNCTION("""COMPUTED_VALUE"""),387.33)</f>
        <v>387.33</v>
      </c>
      <c r="F1450" s="2">
        <f>IFERROR(__xludf.DUMMYFUNCTION("""COMPUTED_VALUE"""),2772943.0)</f>
        <v>2772943</v>
      </c>
    </row>
    <row r="1451">
      <c r="A1451" s="3">
        <f>IFERROR(__xludf.DUMMYFUNCTION("""COMPUTED_VALUE"""),40373.645833333336)</f>
        <v>40373.64583</v>
      </c>
      <c r="B1451" s="2">
        <f>IFERROR(__xludf.DUMMYFUNCTION("""COMPUTED_VALUE"""),389.0)</f>
        <v>389</v>
      </c>
      <c r="C1451" s="2">
        <f>IFERROR(__xludf.DUMMYFUNCTION("""COMPUTED_VALUE"""),392.35)</f>
        <v>392.35</v>
      </c>
      <c r="D1451" s="2">
        <f>IFERROR(__xludf.DUMMYFUNCTION("""COMPUTED_VALUE"""),385.13)</f>
        <v>385.13</v>
      </c>
      <c r="E1451" s="2">
        <f>IFERROR(__xludf.DUMMYFUNCTION("""COMPUTED_VALUE"""),387.33)</f>
        <v>387.33</v>
      </c>
      <c r="F1451" s="2">
        <f>IFERROR(__xludf.DUMMYFUNCTION("""COMPUTED_VALUE"""),1416921.0)</f>
        <v>1416921</v>
      </c>
    </row>
    <row r="1452">
      <c r="A1452" s="3">
        <f>IFERROR(__xludf.DUMMYFUNCTION("""COMPUTED_VALUE"""),40374.645833333336)</f>
        <v>40374.64583</v>
      </c>
      <c r="B1452" s="2">
        <f>IFERROR(__xludf.DUMMYFUNCTION("""COMPUTED_VALUE"""),385.5)</f>
        <v>385.5</v>
      </c>
      <c r="C1452" s="2">
        <f>IFERROR(__xludf.DUMMYFUNCTION("""COMPUTED_VALUE"""),392.45)</f>
        <v>392.45</v>
      </c>
      <c r="D1452" s="2">
        <f>IFERROR(__xludf.DUMMYFUNCTION("""COMPUTED_VALUE"""),382.63)</f>
        <v>382.63</v>
      </c>
      <c r="E1452" s="2">
        <f>IFERROR(__xludf.DUMMYFUNCTION("""COMPUTED_VALUE"""),391.05)</f>
        <v>391.05</v>
      </c>
      <c r="F1452" s="2">
        <f>IFERROR(__xludf.DUMMYFUNCTION("""COMPUTED_VALUE"""),1897768.0)</f>
        <v>1897768</v>
      </c>
    </row>
    <row r="1453">
      <c r="A1453" s="3">
        <f>IFERROR(__xludf.DUMMYFUNCTION("""COMPUTED_VALUE"""),40375.645833333336)</f>
        <v>40375.64583</v>
      </c>
      <c r="B1453" s="2">
        <f>IFERROR(__xludf.DUMMYFUNCTION("""COMPUTED_VALUE"""),397.5)</f>
        <v>397.5</v>
      </c>
      <c r="C1453" s="2">
        <f>IFERROR(__xludf.DUMMYFUNCTION("""COMPUTED_VALUE"""),419.25)</f>
        <v>419.25</v>
      </c>
      <c r="D1453" s="2">
        <f>IFERROR(__xludf.DUMMYFUNCTION("""COMPUTED_VALUE"""),397.5)</f>
        <v>397.5</v>
      </c>
      <c r="E1453" s="2">
        <f>IFERROR(__xludf.DUMMYFUNCTION("""COMPUTED_VALUE"""),416.83)</f>
        <v>416.83</v>
      </c>
      <c r="F1453" s="2">
        <f>IFERROR(__xludf.DUMMYFUNCTION("""COMPUTED_VALUE"""),9567726.0)</f>
        <v>9567726</v>
      </c>
    </row>
    <row r="1454">
      <c r="A1454" s="3">
        <f>IFERROR(__xludf.DUMMYFUNCTION("""COMPUTED_VALUE"""),40378.645833333336)</f>
        <v>40378.64583</v>
      </c>
      <c r="B1454" s="2">
        <f>IFERROR(__xludf.DUMMYFUNCTION("""COMPUTED_VALUE"""),415.73)</f>
        <v>415.73</v>
      </c>
      <c r="C1454" s="2">
        <f>IFERROR(__xludf.DUMMYFUNCTION("""COMPUTED_VALUE"""),417.35)</f>
        <v>417.35</v>
      </c>
      <c r="D1454" s="2">
        <f>IFERROR(__xludf.DUMMYFUNCTION("""COMPUTED_VALUE"""),411.63)</f>
        <v>411.63</v>
      </c>
      <c r="E1454" s="2">
        <f>IFERROR(__xludf.DUMMYFUNCTION("""COMPUTED_VALUE"""),413.35)</f>
        <v>413.35</v>
      </c>
      <c r="F1454" s="2">
        <f>IFERROR(__xludf.DUMMYFUNCTION("""COMPUTED_VALUE"""),1513962.0)</f>
        <v>1513962</v>
      </c>
    </row>
    <row r="1455">
      <c r="A1455" s="3">
        <f>IFERROR(__xludf.DUMMYFUNCTION("""COMPUTED_VALUE"""),40379.645833333336)</f>
        <v>40379.64583</v>
      </c>
      <c r="B1455" s="2">
        <f>IFERROR(__xludf.DUMMYFUNCTION("""COMPUTED_VALUE"""),413.35)</f>
        <v>413.35</v>
      </c>
      <c r="C1455" s="2">
        <f>IFERROR(__xludf.DUMMYFUNCTION("""COMPUTED_VALUE"""),417.28)</f>
        <v>417.28</v>
      </c>
      <c r="D1455" s="2">
        <f>IFERROR(__xludf.DUMMYFUNCTION("""COMPUTED_VALUE"""),412.5)</f>
        <v>412.5</v>
      </c>
      <c r="E1455" s="2">
        <f>IFERROR(__xludf.DUMMYFUNCTION("""COMPUTED_VALUE"""),413.63)</f>
        <v>413.63</v>
      </c>
      <c r="F1455" s="2">
        <f>IFERROR(__xludf.DUMMYFUNCTION("""COMPUTED_VALUE"""),1171031.0)</f>
        <v>1171031</v>
      </c>
    </row>
    <row r="1456">
      <c r="A1456" s="3">
        <f>IFERROR(__xludf.DUMMYFUNCTION("""COMPUTED_VALUE"""),40380.645833333336)</f>
        <v>40380.64583</v>
      </c>
      <c r="B1456" s="2">
        <f>IFERROR(__xludf.DUMMYFUNCTION("""COMPUTED_VALUE"""),416.0)</f>
        <v>416</v>
      </c>
      <c r="C1456" s="2">
        <f>IFERROR(__xludf.DUMMYFUNCTION("""COMPUTED_VALUE"""),422.4)</f>
        <v>422.4</v>
      </c>
      <c r="D1456" s="2">
        <f>IFERROR(__xludf.DUMMYFUNCTION("""COMPUTED_VALUE"""),414.8)</f>
        <v>414.8</v>
      </c>
      <c r="E1456" s="2">
        <f>IFERROR(__xludf.DUMMYFUNCTION("""COMPUTED_VALUE"""),421.5)</f>
        <v>421.5</v>
      </c>
      <c r="F1456" s="2">
        <f>IFERROR(__xludf.DUMMYFUNCTION("""COMPUTED_VALUE"""),1471860.0)</f>
        <v>1471860</v>
      </c>
    </row>
    <row r="1457">
      <c r="A1457" s="3">
        <f>IFERROR(__xludf.DUMMYFUNCTION("""COMPUTED_VALUE"""),40381.645833333336)</f>
        <v>40381.64583</v>
      </c>
      <c r="B1457" s="2">
        <f>IFERROR(__xludf.DUMMYFUNCTION("""COMPUTED_VALUE"""),421.5)</f>
        <v>421.5</v>
      </c>
      <c r="C1457" s="2">
        <f>IFERROR(__xludf.DUMMYFUNCTION("""COMPUTED_VALUE"""),423.0)</f>
        <v>423</v>
      </c>
      <c r="D1457" s="2">
        <f>IFERROR(__xludf.DUMMYFUNCTION("""COMPUTED_VALUE"""),416.25)</f>
        <v>416.25</v>
      </c>
      <c r="E1457" s="2">
        <f>IFERROR(__xludf.DUMMYFUNCTION("""COMPUTED_VALUE"""),421.85)</f>
        <v>421.85</v>
      </c>
      <c r="F1457" s="2">
        <f>IFERROR(__xludf.DUMMYFUNCTION("""COMPUTED_VALUE"""),681441.0)</f>
        <v>681441</v>
      </c>
    </row>
    <row r="1458">
      <c r="A1458" s="3">
        <f>IFERROR(__xludf.DUMMYFUNCTION("""COMPUTED_VALUE"""),40382.645833333336)</f>
        <v>40382.64583</v>
      </c>
      <c r="B1458" s="2">
        <f>IFERROR(__xludf.DUMMYFUNCTION("""COMPUTED_VALUE"""),425.0)</f>
        <v>425</v>
      </c>
      <c r="C1458" s="2">
        <f>IFERROR(__xludf.DUMMYFUNCTION("""COMPUTED_VALUE"""),425.0)</f>
        <v>425</v>
      </c>
      <c r="D1458" s="2">
        <f>IFERROR(__xludf.DUMMYFUNCTION("""COMPUTED_VALUE"""),417.55)</f>
        <v>417.55</v>
      </c>
      <c r="E1458" s="2">
        <f>IFERROR(__xludf.DUMMYFUNCTION("""COMPUTED_VALUE"""),419.65)</f>
        <v>419.65</v>
      </c>
      <c r="F1458" s="2">
        <f>IFERROR(__xludf.DUMMYFUNCTION("""COMPUTED_VALUE"""),947236.0)</f>
        <v>947236</v>
      </c>
    </row>
    <row r="1459">
      <c r="A1459" s="3">
        <f>IFERROR(__xludf.DUMMYFUNCTION("""COMPUTED_VALUE"""),40385.645833333336)</f>
        <v>40385.64583</v>
      </c>
      <c r="B1459" s="2">
        <f>IFERROR(__xludf.DUMMYFUNCTION("""COMPUTED_VALUE"""),421.2)</f>
        <v>421.2</v>
      </c>
      <c r="C1459" s="2">
        <f>IFERROR(__xludf.DUMMYFUNCTION("""COMPUTED_VALUE"""),425.8)</f>
        <v>425.8</v>
      </c>
      <c r="D1459" s="2">
        <f>IFERROR(__xludf.DUMMYFUNCTION("""COMPUTED_VALUE"""),420.2)</f>
        <v>420.2</v>
      </c>
      <c r="E1459" s="2">
        <f>IFERROR(__xludf.DUMMYFUNCTION("""COMPUTED_VALUE"""),424.63)</f>
        <v>424.63</v>
      </c>
      <c r="F1459" s="2">
        <f>IFERROR(__xludf.DUMMYFUNCTION("""COMPUTED_VALUE"""),1383245.0)</f>
        <v>1383245</v>
      </c>
    </row>
    <row r="1460">
      <c r="A1460" s="3">
        <f>IFERROR(__xludf.DUMMYFUNCTION("""COMPUTED_VALUE"""),40386.645833333336)</f>
        <v>40386.64583</v>
      </c>
      <c r="B1460" s="2">
        <f>IFERROR(__xludf.DUMMYFUNCTION("""COMPUTED_VALUE"""),427.5)</f>
        <v>427.5</v>
      </c>
      <c r="C1460" s="2">
        <f>IFERROR(__xludf.DUMMYFUNCTION("""COMPUTED_VALUE"""),429.9)</f>
        <v>429.9</v>
      </c>
      <c r="D1460" s="2">
        <f>IFERROR(__xludf.DUMMYFUNCTION("""COMPUTED_VALUE"""),423.1)</f>
        <v>423.1</v>
      </c>
      <c r="E1460" s="2">
        <f>IFERROR(__xludf.DUMMYFUNCTION("""COMPUTED_VALUE"""),424.58)</f>
        <v>424.58</v>
      </c>
      <c r="F1460" s="2">
        <f>IFERROR(__xludf.DUMMYFUNCTION("""COMPUTED_VALUE"""),1053301.0)</f>
        <v>1053301</v>
      </c>
    </row>
    <row r="1461">
      <c r="A1461" s="3">
        <f>IFERROR(__xludf.DUMMYFUNCTION("""COMPUTED_VALUE"""),40387.645833333336)</f>
        <v>40387.64583</v>
      </c>
      <c r="B1461" s="2">
        <f>IFERROR(__xludf.DUMMYFUNCTION("""COMPUTED_VALUE"""),425.5)</f>
        <v>425.5</v>
      </c>
      <c r="C1461" s="2">
        <f>IFERROR(__xludf.DUMMYFUNCTION("""COMPUTED_VALUE"""),428.98)</f>
        <v>428.98</v>
      </c>
      <c r="D1461" s="2">
        <f>IFERROR(__xludf.DUMMYFUNCTION("""COMPUTED_VALUE"""),423.5)</f>
        <v>423.5</v>
      </c>
      <c r="E1461" s="2">
        <f>IFERROR(__xludf.DUMMYFUNCTION("""COMPUTED_VALUE"""),427.23)</f>
        <v>427.23</v>
      </c>
      <c r="F1461" s="2">
        <f>IFERROR(__xludf.DUMMYFUNCTION("""COMPUTED_VALUE"""),2179614.0)</f>
        <v>2179614</v>
      </c>
    </row>
    <row r="1462">
      <c r="A1462" s="3">
        <f>IFERROR(__xludf.DUMMYFUNCTION("""COMPUTED_VALUE"""),40388.645833333336)</f>
        <v>40388.64583</v>
      </c>
      <c r="B1462" s="2">
        <f>IFERROR(__xludf.DUMMYFUNCTION("""COMPUTED_VALUE"""),427.5)</f>
        <v>427.5</v>
      </c>
      <c r="C1462" s="2">
        <f>IFERROR(__xludf.DUMMYFUNCTION("""COMPUTED_VALUE"""),427.5)</f>
        <v>427.5</v>
      </c>
      <c r="D1462" s="2">
        <f>IFERROR(__xludf.DUMMYFUNCTION("""COMPUTED_VALUE"""),424.5)</f>
        <v>424.5</v>
      </c>
      <c r="E1462" s="2">
        <f>IFERROR(__xludf.DUMMYFUNCTION("""COMPUTED_VALUE"""),425.0)</f>
        <v>425</v>
      </c>
      <c r="F1462" s="2">
        <f>IFERROR(__xludf.DUMMYFUNCTION("""COMPUTED_VALUE"""),2665952.0)</f>
        <v>2665952</v>
      </c>
    </row>
    <row r="1463">
      <c r="A1463" s="3">
        <f>IFERROR(__xludf.DUMMYFUNCTION("""COMPUTED_VALUE"""),40389.645833333336)</f>
        <v>40389.64583</v>
      </c>
      <c r="B1463" s="2">
        <f>IFERROR(__xludf.DUMMYFUNCTION("""COMPUTED_VALUE"""),424.5)</f>
        <v>424.5</v>
      </c>
      <c r="C1463" s="2">
        <f>IFERROR(__xludf.DUMMYFUNCTION("""COMPUTED_VALUE"""),425.0)</f>
        <v>425</v>
      </c>
      <c r="D1463" s="2">
        <f>IFERROR(__xludf.DUMMYFUNCTION("""COMPUTED_VALUE"""),417.5)</f>
        <v>417.5</v>
      </c>
      <c r="E1463" s="2">
        <f>IFERROR(__xludf.DUMMYFUNCTION("""COMPUTED_VALUE"""),419.9)</f>
        <v>419.9</v>
      </c>
      <c r="F1463" s="2">
        <f>IFERROR(__xludf.DUMMYFUNCTION("""COMPUTED_VALUE"""),641713.0)</f>
        <v>641713</v>
      </c>
    </row>
    <row r="1464">
      <c r="A1464" s="3">
        <f>IFERROR(__xludf.DUMMYFUNCTION("""COMPUTED_VALUE"""),40392.645833333336)</f>
        <v>40392.64583</v>
      </c>
      <c r="B1464" s="2">
        <f>IFERROR(__xludf.DUMMYFUNCTION("""COMPUTED_VALUE"""),421.5)</f>
        <v>421.5</v>
      </c>
      <c r="C1464" s="2">
        <f>IFERROR(__xludf.DUMMYFUNCTION("""COMPUTED_VALUE"""),424.23)</f>
        <v>424.23</v>
      </c>
      <c r="D1464" s="2">
        <f>IFERROR(__xludf.DUMMYFUNCTION("""COMPUTED_VALUE"""),418.5)</f>
        <v>418.5</v>
      </c>
      <c r="E1464" s="2">
        <f>IFERROR(__xludf.DUMMYFUNCTION("""COMPUTED_VALUE"""),419.15)</f>
        <v>419.15</v>
      </c>
      <c r="F1464" s="2">
        <f>IFERROR(__xludf.DUMMYFUNCTION("""COMPUTED_VALUE"""),1413881.0)</f>
        <v>1413881</v>
      </c>
    </row>
    <row r="1465">
      <c r="A1465" s="3">
        <f>IFERROR(__xludf.DUMMYFUNCTION("""COMPUTED_VALUE"""),40393.645833333336)</f>
        <v>40393.64583</v>
      </c>
      <c r="B1465" s="2">
        <f>IFERROR(__xludf.DUMMYFUNCTION("""COMPUTED_VALUE"""),420.5)</f>
        <v>420.5</v>
      </c>
      <c r="C1465" s="2">
        <f>IFERROR(__xludf.DUMMYFUNCTION("""COMPUTED_VALUE"""),422.25)</f>
        <v>422.25</v>
      </c>
      <c r="D1465" s="2">
        <f>IFERROR(__xludf.DUMMYFUNCTION("""COMPUTED_VALUE"""),414.28)</f>
        <v>414.28</v>
      </c>
      <c r="E1465" s="2">
        <f>IFERROR(__xludf.DUMMYFUNCTION("""COMPUTED_VALUE"""),416.03)</f>
        <v>416.03</v>
      </c>
      <c r="F1465" s="2">
        <f>IFERROR(__xludf.DUMMYFUNCTION("""COMPUTED_VALUE"""),640776.0)</f>
        <v>640776</v>
      </c>
    </row>
    <row r="1466">
      <c r="A1466" s="3">
        <f>IFERROR(__xludf.DUMMYFUNCTION("""COMPUTED_VALUE"""),40394.645833333336)</f>
        <v>40394.64583</v>
      </c>
      <c r="B1466" s="2">
        <f>IFERROR(__xludf.DUMMYFUNCTION("""COMPUTED_VALUE"""),418.0)</f>
        <v>418</v>
      </c>
      <c r="C1466" s="2">
        <f>IFERROR(__xludf.DUMMYFUNCTION("""COMPUTED_VALUE"""),436.0)</f>
        <v>436</v>
      </c>
      <c r="D1466" s="2">
        <f>IFERROR(__xludf.DUMMYFUNCTION("""COMPUTED_VALUE"""),417.92)</f>
        <v>417.92</v>
      </c>
      <c r="E1466" s="2">
        <f>IFERROR(__xludf.DUMMYFUNCTION("""COMPUTED_VALUE"""),434.4)</f>
        <v>434.4</v>
      </c>
      <c r="F1466" s="2">
        <f>IFERROR(__xludf.DUMMYFUNCTION("""COMPUTED_VALUE"""),2791967.0)</f>
        <v>2791967</v>
      </c>
    </row>
    <row r="1467">
      <c r="A1467" s="3">
        <f>IFERROR(__xludf.DUMMYFUNCTION("""COMPUTED_VALUE"""),40395.645833333336)</f>
        <v>40395.64583</v>
      </c>
      <c r="B1467" s="2">
        <f>IFERROR(__xludf.DUMMYFUNCTION("""COMPUTED_VALUE"""),436.0)</f>
        <v>436</v>
      </c>
      <c r="C1467" s="2">
        <f>IFERROR(__xludf.DUMMYFUNCTION("""COMPUTED_VALUE"""),441.2)</f>
        <v>441.2</v>
      </c>
      <c r="D1467" s="2">
        <f>IFERROR(__xludf.DUMMYFUNCTION("""COMPUTED_VALUE"""),432.83)</f>
        <v>432.83</v>
      </c>
      <c r="E1467" s="2">
        <f>IFERROR(__xludf.DUMMYFUNCTION("""COMPUTED_VALUE"""),438.92)</f>
        <v>438.92</v>
      </c>
      <c r="F1467" s="2">
        <f>IFERROR(__xludf.DUMMYFUNCTION("""COMPUTED_VALUE"""),1456475.0)</f>
        <v>1456475</v>
      </c>
    </row>
    <row r="1468">
      <c r="A1468" s="3">
        <f>IFERROR(__xludf.DUMMYFUNCTION("""COMPUTED_VALUE"""),40396.645833333336)</f>
        <v>40396.64583</v>
      </c>
      <c r="B1468" s="2">
        <f>IFERROR(__xludf.DUMMYFUNCTION("""COMPUTED_VALUE"""),440.0)</f>
        <v>440</v>
      </c>
      <c r="C1468" s="2">
        <f>IFERROR(__xludf.DUMMYFUNCTION("""COMPUTED_VALUE"""),441.75)</f>
        <v>441.75</v>
      </c>
      <c r="D1468" s="2">
        <f>IFERROR(__xludf.DUMMYFUNCTION("""COMPUTED_VALUE"""),430.33)</f>
        <v>430.33</v>
      </c>
      <c r="E1468" s="2">
        <f>IFERROR(__xludf.DUMMYFUNCTION("""COMPUTED_VALUE"""),432.35)</f>
        <v>432.35</v>
      </c>
      <c r="F1468" s="2">
        <f>IFERROR(__xludf.DUMMYFUNCTION("""COMPUTED_VALUE"""),1218867.0)</f>
        <v>1218867</v>
      </c>
    </row>
    <row r="1469">
      <c r="A1469" s="3">
        <f>IFERROR(__xludf.DUMMYFUNCTION("""COMPUTED_VALUE"""),40399.645833333336)</f>
        <v>40399.64583</v>
      </c>
      <c r="B1469" s="2">
        <f>IFERROR(__xludf.DUMMYFUNCTION("""COMPUTED_VALUE"""),430.58)</f>
        <v>430.58</v>
      </c>
      <c r="C1469" s="2">
        <f>IFERROR(__xludf.DUMMYFUNCTION("""COMPUTED_VALUE"""),441.85)</f>
        <v>441.85</v>
      </c>
      <c r="D1469" s="2">
        <f>IFERROR(__xludf.DUMMYFUNCTION("""COMPUTED_VALUE"""),423.05)</f>
        <v>423.05</v>
      </c>
      <c r="E1469" s="2">
        <f>IFERROR(__xludf.DUMMYFUNCTION("""COMPUTED_VALUE"""),439.92)</f>
        <v>439.92</v>
      </c>
      <c r="F1469" s="2">
        <f>IFERROR(__xludf.DUMMYFUNCTION("""COMPUTED_VALUE"""),2129993.0)</f>
        <v>2129993</v>
      </c>
    </row>
    <row r="1470">
      <c r="A1470" s="3">
        <f>IFERROR(__xludf.DUMMYFUNCTION("""COMPUTED_VALUE"""),40400.645833333336)</f>
        <v>40400.64583</v>
      </c>
      <c r="B1470" s="2">
        <f>IFERROR(__xludf.DUMMYFUNCTION("""COMPUTED_VALUE"""),442.5)</f>
        <v>442.5</v>
      </c>
      <c r="C1470" s="2">
        <f>IFERROR(__xludf.DUMMYFUNCTION("""COMPUTED_VALUE"""),442.5)</f>
        <v>442.5</v>
      </c>
      <c r="D1470" s="2">
        <f>IFERROR(__xludf.DUMMYFUNCTION("""COMPUTED_VALUE"""),430.7)</f>
        <v>430.7</v>
      </c>
      <c r="E1470" s="2">
        <f>IFERROR(__xludf.DUMMYFUNCTION("""COMPUTED_VALUE"""),432.25)</f>
        <v>432.25</v>
      </c>
      <c r="F1470" s="2">
        <f>IFERROR(__xludf.DUMMYFUNCTION("""COMPUTED_VALUE"""),772597.0)</f>
        <v>772597</v>
      </c>
    </row>
    <row r="1471">
      <c r="A1471" s="3">
        <f>IFERROR(__xludf.DUMMYFUNCTION("""COMPUTED_VALUE"""),40401.645833333336)</f>
        <v>40401.64583</v>
      </c>
      <c r="B1471" s="2">
        <f>IFERROR(__xludf.DUMMYFUNCTION("""COMPUTED_VALUE"""),431.0)</f>
        <v>431</v>
      </c>
      <c r="C1471" s="2">
        <f>IFERROR(__xludf.DUMMYFUNCTION("""COMPUTED_VALUE"""),436.5)</f>
        <v>436.5</v>
      </c>
      <c r="D1471" s="2">
        <f>IFERROR(__xludf.DUMMYFUNCTION("""COMPUTED_VALUE"""),427.4)</f>
        <v>427.4</v>
      </c>
      <c r="E1471" s="2">
        <f>IFERROR(__xludf.DUMMYFUNCTION("""COMPUTED_VALUE"""),429.08)</f>
        <v>429.08</v>
      </c>
      <c r="F1471" s="2">
        <f>IFERROR(__xludf.DUMMYFUNCTION("""COMPUTED_VALUE"""),2010124.0)</f>
        <v>2010124</v>
      </c>
    </row>
    <row r="1472">
      <c r="A1472" s="3">
        <f>IFERROR(__xludf.DUMMYFUNCTION("""COMPUTED_VALUE"""),40402.645833333336)</f>
        <v>40402.64583</v>
      </c>
      <c r="B1472" s="2">
        <f>IFERROR(__xludf.DUMMYFUNCTION("""COMPUTED_VALUE"""),428.45)</f>
        <v>428.45</v>
      </c>
      <c r="C1472" s="2">
        <f>IFERROR(__xludf.DUMMYFUNCTION("""COMPUTED_VALUE"""),428.45)</f>
        <v>428.45</v>
      </c>
      <c r="D1472" s="2">
        <f>IFERROR(__xludf.DUMMYFUNCTION("""COMPUTED_VALUE"""),423.1)</f>
        <v>423.1</v>
      </c>
      <c r="E1472" s="2">
        <f>IFERROR(__xludf.DUMMYFUNCTION("""COMPUTED_VALUE"""),426.73)</f>
        <v>426.73</v>
      </c>
      <c r="F1472" s="2">
        <f>IFERROR(__xludf.DUMMYFUNCTION("""COMPUTED_VALUE"""),1139046.0)</f>
        <v>1139046</v>
      </c>
    </row>
    <row r="1473">
      <c r="A1473" s="3">
        <f>IFERROR(__xludf.DUMMYFUNCTION("""COMPUTED_VALUE"""),40403.645833333336)</f>
        <v>40403.64583</v>
      </c>
      <c r="B1473" s="2">
        <f>IFERROR(__xludf.DUMMYFUNCTION("""COMPUTED_VALUE"""),428.5)</f>
        <v>428.5</v>
      </c>
      <c r="C1473" s="2">
        <f>IFERROR(__xludf.DUMMYFUNCTION("""COMPUTED_VALUE"""),431.45)</f>
        <v>431.45</v>
      </c>
      <c r="D1473" s="2">
        <f>IFERROR(__xludf.DUMMYFUNCTION("""COMPUTED_VALUE"""),419.0)</f>
        <v>419</v>
      </c>
      <c r="E1473" s="2">
        <f>IFERROR(__xludf.DUMMYFUNCTION("""COMPUTED_VALUE"""),427.2)</f>
        <v>427.2</v>
      </c>
      <c r="F1473" s="2">
        <f>IFERROR(__xludf.DUMMYFUNCTION("""COMPUTED_VALUE"""),1294953.0)</f>
        <v>1294953</v>
      </c>
    </row>
    <row r="1474">
      <c r="A1474" s="3">
        <f>IFERROR(__xludf.DUMMYFUNCTION("""COMPUTED_VALUE"""),40406.645833333336)</f>
        <v>40406.64583</v>
      </c>
      <c r="B1474" s="2">
        <f>IFERROR(__xludf.DUMMYFUNCTION("""COMPUTED_VALUE"""),428.5)</f>
        <v>428.5</v>
      </c>
      <c r="C1474" s="2">
        <f>IFERROR(__xludf.DUMMYFUNCTION("""COMPUTED_VALUE"""),431.28)</f>
        <v>431.28</v>
      </c>
      <c r="D1474" s="2">
        <f>IFERROR(__xludf.DUMMYFUNCTION("""COMPUTED_VALUE"""),424.4)</f>
        <v>424.4</v>
      </c>
      <c r="E1474" s="2">
        <f>IFERROR(__xludf.DUMMYFUNCTION("""COMPUTED_VALUE"""),427.05)</f>
        <v>427.05</v>
      </c>
      <c r="F1474" s="2">
        <f>IFERROR(__xludf.DUMMYFUNCTION("""COMPUTED_VALUE"""),659549.0)</f>
        <v>659549</v>
      </c>
    </row>
    <row r="1475">
      <c r="A1475" s="3">
        <f>IFERROR(__xludf.DUMMYFUNCTION("""COMPUTED_VALUE"""),40407.645833333336)</f>
        <v>40407.64583</v>
      </c>
      <c r="B1475" s="2">
        <f>IFERROR(__xludf.DUMMYFUNCTION("""COMPUTED_VALUE"""),425.05)</f>
        <v>425.05</v>
      </c>
      <c r="C1475" s="2">
        <f>IFERROR(__xludf.DUMMYFUNCTION("""COMPUTED_VALUE"""),430.5)</f>
        <v>430.5</v>
      </c>
      <c r="D1475" s="2">
        <f>IFERROR(__xludf.DUMMYFUNCTION("""COMPUTED_VALUE"""),422.0)</f>
        <v>422</v>
      </c>
      <c r="E1475" s="2">
        <f>IFERROR(__xludf.DUMMYFUNCTION("""COMPUTED_VALUE"""),425.1)</f>
        <v>425.1</v>
      </c>
      <c r="F1475" s="2">
        <f>IFERROR(__xludf.DUMMYFUNCTION("""COMPUTED_VALUE"""),866598.0)</f>
        <v>866598</v>
      </c>
    </row>
    <row r="1476">
      <c r="A1476" s="3">
        <f>IFERROR(__xludf.DUMMYFUNCTION("""COMPUTED_VALUE"""),40408.645833333336)</f>
        <v>40408.64583</v>
      </c>
      <c r="B1476" s="2">
        <f>IFERROR(__xludf.DUMMYFUNCTION("""COMPUTED_VALUE"""),426.5)</f>
        <v>426.5</v>
      </c>
      <c r="C1476" s="2">
        <f>IFERROR(__xludf.DUMMYFUNCTION("""COMPUTED_VALUE"""),437.9)</f>
        <v>437.9</v>
      </c>
      <c r="D1476" s="2">
        <f>IFERROR(__xludf.DUMMYFUNCTION("""COMPUTED_VALUE"""),425.0)</f>
        <v>425</v>
      </c>
      <c r="E1476" s="2">
        <f>IFERROR(__xludf.DUMMYFUNCTION("""COMPUTED_VALUE"""),435.55)</f>
        <v>435.55</v>
      </c>
      <c r="F1476" s="2">
        <f>IFERROR(__xludf.DUMMYFUNCTION("""COMPUTED_VALUE"""),1444458.0)</f>
        <v>1444458</v>
      </c>
    </row>
    <row r="1477">
      <c r="A1477" s="3">
        <f>IFERROR(__xludf.DUMMYFUNCTION("""COMPUTED_VALUE"""),40409.645833333336)</f>
        <v>40409.64583</v>
      </c>
      <c r="B1477" s="2">
        <f>IFERROR(__xludf.DUMMYFUNCTION("""COMPUTED_VALUE"""),437.0)</f>
        <v>437</v>
      </c>
      <c r="C1477" s="2">
        <f>IFERROR(__xludf.DUMMYFUNCTION("""COMPUTED_VALUE"""),440.45)</f>
        <v>440.45</v>
      </c>
      <c r="D1477" s="2">
        <f>IFERROR(__xludf.DUMMYFUNCTION("""COMPUTED_VALUE"""),433.65)</f>
        <v>433.65</v>
      </c>
      <c r="E1477" s="2">
        <f>IFERROR(__xludf.DUMMYFUNCTION("""COMPUTED_VALUE"""),436.03)</f>
        <v>436.03</v>
      </c>
      <c r="F1477" s="2">
        <f>IFERROR(__xludf.DUMMYFUNCTION("""COMPUTED_VALUE"""),1074267.0)</f>
        <v>1074267</v>
      </c>
    </row>
    <row r="1478">
      <c r="A1478" s="3">
        <f>IFERROR(__xludf.DUMMYFUNCTION("""COMPUTED_VALUE"""),40410.645833333336)</f>
        <v>40410.64583</v>
      </c>
      <c r="B1478" s="2">
        <f>IFERROR(__xludf.DUMMYFUNCTION("""COMPUTED_VALUE"""),434.5)</f>
        <v>434.5</v>
      </c>
      <c r="C1478" s="2">
        <f>IFERROR(__xludf.DUMMYFUNCTION("""COMPUTED_VALUE"""),439.95)</f>
        <v>439.95</v>
      </c>
      <c r="D1478" s="2">
        <f>IFERROR(__xludf.DUMMYFUNCTION("""COMPUTED_VALUE"""),431.5)</f>
        <v>431.5</v>
      </c>
      <c r="E1478" s="2">
        <f>IFERROR(__xludf.DUMMYFUNCTION("""COMPUTED_VALUE"""),434.48)</f>
        <v>434.48</v>
      </c>
      <c r="F1478" s="2">
        <f>IFERROR(__xludf.DUMMYFUNCTION("""COMPUTED_VALUE"""),873198.0)</f>
        <v>873198</v>
      </c>
    </row>
    <row r="1479">
      <c r="A1479" s="3">
        <f>IFERROR(__xludf.DUMMYFUNCTION("""COMPUTED_VALUE"""),40413.645833333336)</f>
        <v>40413.64583</v>
      </c>
      <c r="B1479" s="2">
        <f>IFERROR(__xludf.DUMMYFUNCTION("""COMPUTED_VALUE"""),430.0)</f>
        <v>430</v>
      </c>
      <c r="C1479" s="2">
        <f>IFERROR(__xludf.DUMMYFUNCTION("""COMPUTED_VALUE"""),437.73)</f>
        <v>437.73</v>
      </c>
      <c r="D1479" s="2">
        <f>IFERROR(__xludf.DUMMYFUNCTION("""COMPUTED_VALUE"""),428.53)</f>
        <v>428.53</v>
      </c>
      <c r="E1479" s="2">
        <f>IFERROR(__xludf.DUMMYFUNCTION("""COMPUTED_VALUE"""),435.2)</f>
        <v>435.2</v>
      </c>
      <c r="F1479" s="2">
        <f>IFERROR(__xludf.DUMMYFUNCTION("""COMPUTED_VALUE"""),524915.0)</f>
        <v>524915</v>
      </c>
    </row>
    <row r="1480">
      <c r="A1480" s="3">
        <f>IFERROR(__xludf.DUMMYFUNCTION("""COMPUTED_VALUE"""),40414.645833333336)</f>
        <v>40414.64583</v>
      </c>
      <c r="B1480" s="2">
        <f>IFERROR(__xludf.DUMMYFUNCTION("""COMPUTED_VALUE"""),435.0)</f>
        <v>435</v>
      </c>
      <c r="C1480" s="2">
        <f>IFERROR(__xludf.DUMMYFUNCTION("""COMPUTED_VALUE"""),440.95)</f>
        <v>440.95</v>
      </c>
      <c r="D1480" s="2">
        <f>IFERROR(__xludf.DUMMYFUNCTION("""COMPUTED_VALUE"""),432.5)</f>
        <v>432.5</v>
      </c>
      <c r="E1480" s="2">
        <f>IFERROR(__xludf.DUMMYFUNCTION("""COMPUTED_VALUE"""),435.35)</f>
        <v>435.35</v>
      </c>
      <c r="F1480" s="2">
        <f>IFERROR(__xludf.DUMMYFUNCTION("""COMPUTED_VALUE"""),1325237.0)</f>
        <v>1325237</v>
      </c>
    </row>
    <row r="1481">
      <c r="A1481" s="3">
        <f>IFERROR(__xludf.DUMMYFUNCTION("""COMPUTED_VALUE"""),40415.645833333336)</f>
        <v>40415.64583</v>
      </c>
      <c r="B1481" s="2">
        <f>IFERROR(__xludf.DUMMYFUNCTION("""COMPUTED_VALUE"""),436.0)</f>
        <v>436</v>
      </c>
      <c r="C1481" s="2">
        <f>IFERROR(__xludf.DUMMYFUNCTION("""COMPUTED_VALUE"""),440.75)</f>
        <v>440.75</v>
      </c>
      <c r="D1481" s="2">
        <f>IFERROR(__xludf.DUMMYFUNCTION("""COMPUTED_VALUE"""),433.15)</f>
        <v>433.15</v>
      </c>
      <c r="E1481" s="2">
        <f>IFERROR(__xludf.DUMMYFUNCTION("""COMPUTED_VALUE"""),435.6)</f>
        <v>435.6</v>
      </c>
      <c r="F1481" s="2">
        <f>IFERROR(__xludf.DUMMYFUNCTION("""COMPUTED_VALUE"""),1189984.0)</f>
        <v>1189984</v>
      </c>
    </row>
    <row r="1482">
      <c r="A1482" s="3">
        <f>IFERROR(__xludf.DUMMYFUNCTION("""COMPUTED_VALUE"""),40416.645833333336)</f>
        <v>40416.64583</v>
      </c>
      <c r="B1482" s="2">
        <f>IFERROR(__xludf.DUMMYFUNCTION("""COMPUTED_VALUE"""),437.0)</f>
        <v>437</v>
      </c>
      <c r="C1482" s="2">
        <f>IFERROR(__xludf.DUMMYFUNCTION("""COMPUTED_VALUE"""),439.5)</f>
        <v>439.5</v>
      </c>
      <c r="D1482" s="2">
        <f>IFERROR(__xludf.DUMMYFUNCTION("""COMPUTED_VALUE"""),430.13)</f>
        <v>430.13</v>
      </c>
      <c r="E1482" s="2">
        <f>IFERROR(__xludf.DUMMYFUNCTION("""COMPUTED_VALUE"""),438.25)</f>
        <v>438.25</v>
      </c>
      <c r="F1482" s="2">
        <f>IFERROR(__xludf.DUMMYFUNCTION("""COMPUTED_VALUE"""),2102214.0)</f>
        <v>2102214</v>
      </c>
    </row>
    <row r="1483">
      <c r="A1483" s="3">
        <f>IFERROR(__xludf.DUMMYFUNCTION("""COMPUTED_VALUE"""),40417.645833333336)</f>
        <v>40417.64583</v>
      </c>
      <c r="B1483" s="2">
        <f>IFERROR(__xludf.DUMMYFUNCTION("""COMPUTED_VALUE"""),436.05)</f>
        <v>436.05</v>
      </c>
      <c r="C1483" s="2">
        <f>IFERROR(__xludf.DUMMYFUNCTION("""COMPUTED_VALUE"""),436.5)</f>
        <v>436.5</v>
      </c>
      <c r="D1483" s="2">
        <f>IFERROR(__xludf.DUMMYFUNCTION("""COMPUTED_VALUE"""),425.5)</f>
        <v>425.5</v>
      </c>
      <c r="E1483" s="2">
        <f>IFERROR(__xludf.DUMMYFUNCTION("""COMPUTED_VALUE"""),428.03)</f>
        <v>428.03</v>
      </c>
      <c r="F1483" s="2">
        <f>IFERROR(__xludf.DUMMYFUNCTION("""COMPUTED_VALUE"""),638257.0)</f>
        <v>638257</v>
      </c>
    </row>
    <row r="1484">
      <c r="A1484" s="3">
        <f>IFERROR(__xludf.DUMMYFUNCTION("""COMPUTED_VALUE"""),40420.645833333336)</f>
        <v>40420.64583</v>
      </c>
      <c r="B1484" s="2">
        <f>IFERROR(__xludf.DUMMYFUNCTION("""COMPUTED_VALUE"""),431.4)</f>
        <v>431.4</v>
      </c>
      <c r="C1484" s="2">
        <f>IFERROR(__xludf.DUMMYFUNCTION("""COMPUTED_VALUE"""),431.4)</f>
        <v>431.4</v>
      </c>
      <c r="D1484" s="2">
        <f>IFERROR(__xludf.DUMMYFUNCTION("""COMPUTED_VALUE"""),420.05)</f>
        <v>420.05</v>
      </c>
      <c r="E1484" s="2">
        <f>IFERROR(__xludf.DUMMYFUNCTION("""COMPUTED_VALUE"""),422.83)</f>
        <v>422.83</v>
      </c>
      <c r="F1484" s="2">
        <f>IFERROR(__xludf.DUMMYFUNCTION("""COMPUTED_VALUE"""),779285.0)</f>
        <v>779285</v>
      </c>
    </row>
    <row r="1485">
      <c r="A1485" s="3">
        <f>IFERROR(__xludf.DUMMYFUNCTION("""COMPUTED_VALUE"""),40421.645833333336)</f>
        <v>40421.64583</v>
      </c>
      <c r="B1485" s="2">
        <f>IFERROR(__xludf.DUMMYFUNCTION("""COMPUTED_VALUE"""),420.0)</f>
        <v>420</v>
      </c>
      <c r="C1485" s="2">
        <f>IFERROR(__xludf.DUMMYFUNCTION("""COMPUTED_VALUE"""),423.85)</f>
        <v>423.85</v>
      </c>
      <c r="D1485" s="2">
        <f>IFERROR(__xludf.DUMMYFUNCTION("""COMPUTED_VALUE"""),415.1)</f>
        <v>415.1</v>
      </c>
      <c r="E1485" s="2">
        <f>IFERROR(__xludf.DUMMYFUNCTION("""COMPUTED_VALUE"""),421.88)</f>
        <v>421.88</v>
      </c>
      <c r="F1485" s="2">
        <f>IFERROR(__xludf.DUMMYFUNCTION("""COMPUTED_VALUE"""),1223937.0)</f>
        <v>1223937</v>
      </c>
    </row>
    <row r="1486">
      <c r="A1486" s="3">
        <f>IFERROR(__xludf.DUMMYFUNCTION("""COMPUTED_VALUE"""),40422.645833333336)</f>
        <v>40422.64583</v>
      </c>
      <c r="B1486" s="2">
        <f>IFERROR(__xludf.DUMMYFUNCTION("""COMPUTED_VALUE"""),421.0)</f>
        <v>421</v>
      </c>
      <c r="C1486" s="2">
        <f>IFERROR(__xludf.DUMMYFUNCTION("""COMPUTED_VALUE"""),430.5)</f>
        <v>430.5</v>
      </c>
      <c r="D1486" s="2">
        <f>IFERROR(__xludf.DUMMYFUNCTION("""COMPUTED_VALUE"""),420.0)</f>
        <v>420</v>
      </c>
      <c r="E1486" s="2">
        <f>IFERROR(__xludf.DUMMYFUNCTION("""COMPUTED_VALUE"""),429.2)</f>
        <v>429.2</v>
      </c>
      <c r="F1486" s="2">
        <f>IFERROR(__xludf.DUMMYFUNCTION("""COMPUTED_VALUE"""),1372742.0)</f>
        <v>1372742</v>
      </c>
    </row>
    <row r="1487">
      <c r="A1487" s="3">
        <f>IFERROR(__xludf.DUMMYFUNCTION("""COMPUTED_VALUE"""),40423.645833333336)</f>
        <v>40423.64583</v>
      </c>
      <c r="B1487" s="2">
        <f>IFERROR(__xludf.DUMMYFUNCTION("""COMPUTED_VALUE"""),433.75)</f>
        <v>433.75</v>
      </c>
      <c r="C1487" s="2">
        <f>IFERROR(__xludf.DUMMYFUNCTION("""COMPUTED_VALUE"""),433.75)</f>
        <v>433.75</v>
      </c>
      <c r="D1487" s="2">
        <f>IFERROR(__xludf.DUMMYFUNCTION("""COMPUTED_VALUE"""),420.75)</f>
        <v>420.75</v>
      </c>
      <c r="E1487" s="2">
        <f>IFERROR(__xludf.DUMMYFUNCTION("""COMPUTED_VALUE"""),422.05)</f>
        <v>422.05</v>
      </c>
      <c r="F1487" s="2">
        <f>IFERROR(__xludf.DUMMYFUNCTION("""COMPUTED_VALUE"""),1379400.0)</f>
        <v>1379400</v>
      </c>
    </row>
    <row r="1488">
      <c r="A1488" s="3">
        <f>IFERROR(__xludf.DUMMYFUNCTION("""COMPUTED_VALUE"""),40424.645833333336)</f>
        <v>40424.64583</v>
      </c>
      <c r="B1488" s="2">
        <f>IFERROR(__xludf.DUMMYFUNCTION("""COMPUTED_VALUE"""),425.0)</f>
        <v>425</v>
      </c>
      <c r="C1488" s="2">
        <f>IFERROR(__xludf.DUMMYFUNCTION("""COMPUTED_VALUE"""),425.75)</f>
        <v>425.75</v>
      </c>
      <c r="D1488" s="2">
        <f>IFERROR(__xludf.DUMMYFUNCTION("""COMPUTED_VALUE"""),417.55)</f>
        <v>417.55</v>
      </c>
      <c r="E1488" s="2">
        <f>IFERROR(__xludf.DUMMYFUNCTION("""COMPUTED_VALUE"""),418.65)</f>
        <v>418.65</v>
      </c>
      <c r="F1488" s="2">
        <f>IFERROR(__xludf.DUMMYFUNCTION("""COMPUTED_VALUE"""),1388985.0)</f>
        <v>1388985</v>
      </c>
    </row>
    <row r="1489">
      <c r="A1489" s="3">
        <f>IFERROR(__xludf.DUMMYFUNCTION("""COMPUTED_VALUE"""),40427.645833333336)</f>
        <v>40427.64583</v>
      </c>
      <c r="B1489" s="2">
        <f>IFERROR(__xludf.DUMMYFUNCTION("""COMPUTED_VALUE"""),419.0)</f>
        <v>419</v>
      </c>
      <c r="C1489" s="2">
        <f>IFERROR(__xludf.DUMMYFUNCTION("""COMPUTED_VALUE"""),428.75)</f>
        <v>428.75</v>
      </c>
      <c r="D1489" s="2">
        <f>IFERROR(__xludf.DUMMYFUNCTION("""COMPUTED_VALUE"""),419.0)</f>
        <v>419</v>
      </c>
      <c r="E1489" s="2">
        <f>IFERROR(__xludf.DUMMYFUNCTION("""COMPUTED_VALUE"""),427.67)</f>
        <v>427.67</v>
      </c>
      <c r="F1489" s="2">
        <f>IFERROR(__xludf.DUMMYFUNCTION("""COMPUTED_VALUE"""),1143989.0)</f>
        <v>1143989</v>
      </c>
    </row>
    <row r="1490">
      <c r="A1490" s="3">
        <f>IFERROR(__xludf.DUMMYFUNCTION("""COMPUTED_VALUE"""),40428.645833333336)</f>
        <v>40428.64583</v>
      </c>
      <c r="B1490" s="2">
        <f>IFERROR(__xludf.DUMMYFUNCTION("""COMPUTED_VALUE"""),429.0)</f>
        <v>429</v>
      </c>
      <c r="C1490" s="2">
        <f>IFERROR(__xludf.DUMMYFUNCTION("""COMPUTED_VALUE"""),437.45)</f>
        <v>437.45</v>
      </c>
      <c r="D1490" s="2">
        <f>IFERROR(__xludf.DUMMYFUNCTION("""COMPUTED_VALUE"""),428.0)</f>
        <v>428</v>
      </c>
      <c r="E1490" s="2">
        <f>IFERROR(__xludf.DUMMYFUNCTION("""COMPUTED_VALUE"""),435.67)</f>
        <v>435.67</v>
      </c>
      <c r="F1490" s="2">
        <f>IFERROR(__xludf.DUMMYFUNCTION("""COMPUTED_VALUE"""),1242118.0)</f>
        <v>1242118</v>
      </c>
    </row>
    <row r="1491">
      <c r="A1491" s="3">
        <f>IFERROR(__xludf.DUMMYFUNCTION("""COMPUTED_VALUE"""),40429.645833333336)</f>
        <v>40429.64583</v>
      </c>
      <c r="B1491" s="2">
        <f>IFERROR(__xludf.DUMMYFUNCTION("""COMPUTED_VALUE"""),432.0)</f>
        <v>432</v>
      </c>
      <c r="C1491" s="2">
        <f>IFERROR(__xludf.DUMMYFUNCTION("""COMPUTED_VALUE"""),441.45)</f>
        <v>441.45</v>
      </c>
      <c r="D1491" s="2">
        <f>IFERROR(__xludf.DUMMYFUNCTION("""COMPUTED_VALUE"""),429.45)</f>
        <v>429.45</v>
      </c>
      <c r="E1491" s="2">
        <f>IFERROR(__xludf.DUMMYFUNCTION("""COMPUTED_VALUE"""),439.53)</f>
        <v>439.53</v>
      </c>
      <c r="F1491" s="2">
        <f>IFERROR(__xludf.DUMMYFUNCTION("""COMPUTED_VALUE"""),2094739.0)</f>
        <v>2094739</v>
      </c>
    </row>
    <row r="1492">
      <c r="A1492" s="3">
        <f>IFERROR(__xludf.DUMMYFUNCTION("""COMPUTED_VALUE"""),40430.645833333336)</f>
        <v>40430.64583</v>
      </c>
      <c r="B1492" s="2">
        <f>IFERROR(__xludf.DUMMYFUNCTION("""COMPUTED_VALUE"""),441.0)</f>
        <v>441</v>
      </c>
      <c r="C1492" s="2">
        <f>IFERROR(__xludf.DUMMYFUNCTION("""COMPUTED_VALUE"""),441.25)</f>
        <v>441.25</v>
      </c>
      <c r="D1492" s="2">
        <f>IFERROR(__xludf.DUMMYFUNCTION("""COMPUTED_VALUE"""),435.67)</f>
        <v>435.67</v>
      </c>
      <c r="E1492" s="2">
        <f>IFERROR(__xludf.DUMMYFUNCTION("""COMPUTED_VALUE"""),437.35)</f>
        <v>437.35</v>
      </c>
      <c r="F1492" s="2">
        <f>IFERROR(__xludf.DUMMYFUNCTION("""COMPUTED_VALUE"""),1469079.0)</f>
        <v>1469079</v>
      </c>
    </row>
    <row r="1493">
      <c r="A1493" s="3">
        <f>IFERROR(__xludf.DUMMYFUNCTION("""COMPUTED_VALUE"""),40434.645833333336)</f>
        <v>40434.64583</v>
      </c>
      <c r="B1493" s="2">
        <f>IFERROR(__xludf.DUMMYFUNCTION("""COMPUTED_VALUE"""),435.67)</f>
        <v>435.67</v>
      </c>
      <c r="C1493" s="2">
        <f>IFERROR(__xludf.DUMMYFUNCTION("""COMPUTED_VALUE"""),444.5)</f>
        <v>444.5</v>
      </c>
      <c r="D1493" s="2">
        <f>IFERROR(__xludf.DUMMYFUNCTION("""COMPUTED_VALUE"""),435.35)</f>
        <v>435.35</v>
      </c>
      <c r="E1493" s="2">
        <f>IFERROR(__xludf.DUMMYFUNCTION("""COMPUTED_VALUE"""),439.88)</f>
        <v>439.88</v>
      </c>
      <c r="F1493" s="2">
        <f>IFERROR(__xludf.DUMMYFUNCTION("""COMPUTED_VALUE"""),1174705.0)</f>
        <v>1174705</v>
      </c>
    </row>
    <row r="1494">
      <c r="A1494" s="3">
        <f>IFERROR(__xludf.DUMMYFUNCTION("""COMPUTED_VALUE"""),40435.645833333336)</f>
        <v>40435.64583</v>
      </c>
      <c r="B1494" s="2">
        <f>IFERROR(__xludf.DUMMYFUNCTION("""COMPUTED_VALUE"""),441.5)</f>
        <v>441.5</v>
      </c>
      <c r="C1494" s="2">
        <f>IFERROR(__xludf.DUMMYFUNCTION("""COMPUTED_VALUE"""),449.5)</f>
        <v>449.5</v>
      </c>
      <c r="D1494" s="2">
        <f>IFERROR(__xludf.DUMMYFUNCTION("""COMPUTED_VALUE"""),440.15)</f>
        <v>440.15</v>
      </c>
      <c r="E1494" s="2">
        <f>IFERROR(__xludf.DUMMYFUNCTION("""COMPUTED_VALUE"""),447.67)</f>
        <v>447.67</v>
      </c>
      <c r="F1494" s="2">
        <f>IFERROR(__xludf.DUMMYFUNCTION("""COMPUTED_VALUE"""),1535519.0)</f>
        <v>1535519</v>
      </c>
    </row>
    <row r="1495">
      <c r="A1495" s="3">
        <f>IFERROR(__xludf.DUMMYFUNCTION("""COMPUTED_VALUE"""),40436.645833333336)</f>
        <v>40436.64583</v>
      </c>
      <c r="B1495" s="2">
        <f>IFERROR(__xludf.DUMMYFUNCTION("""COMPUTED_VALUE"""),450.0)</f>
        <v>450</v>
      </c>
      <c r="C1495" s="2">
        <f>IFERROR(__xludf.DUMMYFUNCTION("""COMPUTED_VALUE"""),459.7)</f>
        <v>459.7</v>
      </c>
      <c r="D1495" s="2">
        <f>IFERROR(__xludf.DUMMYFUNCTION("""COMPUTED_VALUE"""),449.5)</f>
        <v>449.5</v>
      </c>
      <c r="E1495" s="2">
        <f>IFERROR(__xludf.DUMMYFUNCTION("""COMPUTED_VALUE"""),457.4)</f>
        <v>457.4</v>
      </c>
      <c r="F1495" s="2">
        <f>IFERROR(__xludf.DUMMYFUNCTION("""COMPUTED_VALUE"""),2780197.0)</f>
        <v>2780197</v>
      </c>
    </row>
    <row r="1496">
      <c r="A1496" s="3">
        <f>IFERROR(__xludf.DUMMYFUNCTION("""COMPUTED_VALUE"""),40437.645833333336)</f>
        <v>40437.64583</v>
      </c>
      <c r="B1496" s="2">
        <f>IFERROR(__xludf.DUMMYFUNCTION("""COMPUTED_VALUE"""),454.0)</f>
        <v>454</v>
      </c>
      <c r="C1496" s="2">
        <f>IFERROR(__xludf.DUMMYFUNCTION("""COMPUTED_VALUE"""),456.73)</f>
        <v>456.73</v>
      </c>
      <c r="D1496" s="2">
        <f>IFERROR(__xludf.DUMMYFUNCTION("""COMPUTED_VALUE"""),432.25)</f>
        <v>432.25</v>
      </c>
      <c r="E1496" s="2">
        <f>IFERROR(__xludf.DUMMYFUNCTION("""COMPUTED_VALUE"""),447.7)</f>
        <v>447.7</v>
      </c>
      <c r="F1496" s="2">
        <f>IFERROR(__xludf.DUMMYFUNCTION("""COMPUTED_VALUE"""),1167132.0)</f>
        <v>1167132</v>
      </c>
    </row>
    <row r="1497">
      <c r="A1497" s="3">
        <f>IFERROR(__xludf.DUMMYFUNCTION("""COMPUTED_VALUE"""),40438.645833333336)</f>
        <v>40438.64583</v>
      </c>
      <c r="B1497" s="2">
        <f>IFERROR(__xludf.DUMMYFUNCTION("""COMPUTED_VALUE"""),450.05)</f>
        <v>450.05</v>
      </c>
      <c r="C1497" s="2">
        <f>IFERROR(__xludf.DUMMYFUNCTION("""COMPUTED_VALUE"""),459.38)</f>
        <v>459.38</v>
      </c>
      <c r="D1497" s="2">
        <f>IFERROR(__xludf.DUMMYFUNCTION("""COMPUTED_VALUE"""),450.05)</f>
        <v>450.05</v>
      </c>
      <c r="E1497" s="2">
        <f>IFERROR(__xludf.DUMMYFUNCTION("""COMPUTED_VALUE"""),456.9)</f>
        <v>456.9</v>
      </c>
      <c r="F1497" s="2">
        <f>IFERROR(__xludf.DUMMYFUNCTION("""COMPUTED_VALUE"""),1503989.0)</f>
        <v>1503989</v>
      </c>
    </row>
    <row r="1498">
      <c r="A1498" s="3">
        <f>IFERROR(__xludf.DUMMYFUNCTION("""COMPUTED_VALUE"""),40441.645833333336)</f>
        <v>40441.64583</v>
      </c>
      <c r="B1498" s="2">
        <f>IFERROR(__xludf.DUMMYFUNCTION("""COMPUTED_VALUE"""),458.5)</f>
        <v>458.5</v>
      </c>
      <c r="C1498" s="2">
        <f>IFERROR(__xludf.DUMMYFUNCTION("""COMPUTED_VALUE"""),460.95)</f>
        <v>460.95</v>
      </c>
      <c r="D1498" s="2">
        <f>IFERROR(__xludf.DUMMYFUNCTION("""COMPUTED_VALUE"""),453.35)</f>
        <v>453.35</v>
      </c>
      <c r="E1498" s="2">
        <f>IFERROR(__xludf.DUMMYFUNCTION("""COMPUTED_VALUE"""),456.13)</f>
        <v>456.13</v>
      </c>
      <c r="F1498" s="2">
        <f>IFERROR(__xludf.DUMMYFUNCTION("""COMPUTED_VALUE"""),1209554.0)</f>
        <v>1209554</v>
      </c>
    </row>
    <row r="1499">
      <c r="A1499" s="3">
        <f>IFERROR(__xludf.DUMMYFUNCTION("""COMPUTED_VALUE"""),40442.645833333336)</f>
        <v>40442.64583</v>
      </c>
      <c r="B1499" s="2">
        <f>IFERROR(__xludf.DUMMYFUNCTION("""COMPUTED_VALUE"""),456.0)</f>
        <v>456</v>
      </c>
      <c r="C1499" s="2">
        <f>IFERROR(__xludf.DUMMYFUNCTION("""COMPUTED_VALUE"""),479.0)</f>
        <v>479</v>
      </c>
      <c r="D1499" s="2">
        <f>IFERROR(__xludf.DUMMYFUNCTION("""COMPUTED_VALUE"""),455.15)</f>
        <v>455.15</v>
      </c>
      <c r="E1499" s="2">
        <f>IFERROR(__xludf.DUMMYFUNCTION("""COMPUTED_VALUE"""),476.98)</f>
        <v>476.98</v>
      </c>
      <c r="F1499" s="2">
        <f>IFERROR(__xludf.DUMMYFUNCTION("""COMPUTED_VALUE"""),2498592.0)</f>
        <v>2498592</v>
      </c>
    </row>
    <row r="1500">
      <c r="A1500" s="3">
        <f>IFERROR(__xludf.DUMMYFUNCTION("""COMPUTED_VALUE"""),40443.645833333336)</f>
        <v>40443.64583</v>
      </c>
      <c r="B1500" s="2">
        <f>IFERROR(__xludf.DUMMYFUNCTION("""COMPUTED_VALUE"""),478.0)</f>
        <v>478</v>
      </c>
      <c r="C1500" s="2">
        <f>IFERROR(__xludf.DUMMYFUNCTION("""COMPUTED_VALUE"""),480.0)</f>
        <v>480</v>
      </c>
      <c r="D1500" s="2">
        <f>IFERROR(__xludf.DUMMYFUNCTION("""COMPUTED_VALUE"""),465.0)</f>
        <v>465</v>
      </c>
      <c r="E1500" s="2">
        <f>IFERROR(__xludf.DUMMYFUNCTION("""COMPUTED_VALUE"""),467.63)</f>
        <v>467.63</v>
      </c>
      <c r="F1500" s="2">
        <f>IFERROR(__xludf.DUMMYFUNCTION("""COMPUTED_VALUE"""),2015533.0)</f>
        <v>2015533</v>
      </c>
    </row>
    <row r="1501">
      <c r="A1501" s="3">
        <f>IFERROR(__xludf.DUMMYFUNCTION("""COMPUTED_VALUE"""),40444.645833333336)</f>
        <v>40444.64583</v>
      </c>
      <c r="B1501" s="2">
        <f>IFERROR(__xludf.DUMMYFUNCTION("""COMPUTED_VALUE"""),470.0)</f>
        <v>470</v>
      </c>
      <c r="C1501" s="2">
        <f>IFERROR(__xludf.DUMMYFUNCTION("""COMPUTED_VALUE"""),472.65)</f>
        <v>472.65</v>
      </c>
      <c r="D1501" s="2">
        <f>IFERROR(__xludf.DUMMYFUNCTION("""COMPUTED_VALUE"""),463.9)</f>
        <v>463.9</v>
      </c>
      <c r="E1501" s="2">
        <f>IFERROR(__xludf.DUMMYFUNCTION("""COMPUTED_VALUE"""),465.67)</f>
        <v>465.67</v>
      </c>
      <c r="F1501" s="2">
        <f>IFERROR(__xludf.DUMMYFUNCTION("""COMPUTED_VALUE"""),1663618.0)</f>
        <v>1663618</v>
      </c>
    </row>
    <row r="1502">
      <c r="A1502" s="3">
        <f>IFERROR(__xludf.DUMMYFUNCTION("""COMPUTED_VALUE"""),40445.645833333336)</f>
        <v>40445.64583</v>
      </c>
      <c r="B1502" s="2">
        <f>IFERROR(__xludf.DUMMYFUNCTION("""COMPUTED_VALUE"""),466.55)</f>
        <v>466.55</v>
      </c>
      <c r="C1502" s="2">
        <f>IFERROR(__xludf.DUMMYFUNCTION("""COMPUTED_VALUE"""),468.95)</f>
        <v>468.95</v>
      </c>
      <c r="D1502" s="2">
        <f>IFERROR(__xludf.DUMMYFUNCTION("""COMPUTED_VALUE"""),462.5)</f>
        <v>462.5</v>
      </c>
      <c r="E1502" s="2">
        <f>IFERROR(__xludf.DUMMYFUNCTION("""COMPUTED_VALUE"""),465.98)</f>
        <v>465.98</v>
      </c>
      <c r="F1502" s="2">
        <f>IFERROR(__xludf.DUMMYFUNCTION("""COMPUTED_VALUE"""),1369392.0)</f>
        <v>1369392</v>
      </c>
    </row>
    <row r="1503">
      <c r="A1503" s="3">
        <f>IFERROR(__xludf.DUMMYFUNCTION("""COMPUTED_VALUE"""),40448.645833333336)</f>
        <v>40448.64583</v>
      </c>
      <c r="B1503" s="2">
        <f>IFERROR(__xludf.DUMMYFUNCTION("""COMPUTED_VALUE"""),467.5)</f>
        <v>467.5</v>
      </c>
      <c r="C1503" s="2">
        <f>IFERROR(__xludf.DUMMYFUNCTION("""COMPUTED_VALUE"""),470.73)</f>
        <v>470.73</v>
      </c>
      <c r="D1503" s="2">
        <f>IFERROR(__xludf.DUMMYFUNCTION("""COMPUTED_VALUE"""),461.0)</f>
        <v>461</v>
      </c>
      <c r="E1503" s="2">
        <f>IFERROR(__xludf.DUMMYFUNCTION("""COMPUTED_VALUE"""),463.8)</f>
        <v>463.8</v>
      </c>
      <c r="F1503" s="2">
        <f>IFERROR(__xludf.DUMMYFUNCTION("""COMPUTED_VALUE"""),1711645.0)</f>
        <v>1711645</v>
      </c>
    </row>
    <row r="1504">
      <c r="A1504" s="3">
        <f>IFERROR(__xludf.DUMMYFUNCTION("""COMPUTED_VALUE"""),40449.645833333336)</f>
        <v>40449.64583</v>
      </c>
      <c r="B1504" s="2">
        <f>IFERROR(__xludf.DUMMYFUNCTION("""COMPUTED_VALUE"""),462.63)</f>
        <v>462.63</v>
      </c>
      <c r="C1504" s="2">
        <f>IFERROR(__xludf.DUMMYFUNCTION("""COMPUTED_VALUE"""),465.15)</f>
        <v>465.15</v>
      </c>
      <c r="D1504" s="2">
        <f>IFERROR(__xludf.DUMMYFUNCTION("""COMPUTED_VALUE"""),457.05)</f>
        <v>457.05</v>
      </c>
      <c r="E1504" s="2">
        <f>IFERROR(__xludf.DUMMYFUNCTION("""COMPUTED_VALUE"""),459.83)</f>
        <v>459.83</v>
      </c>
      <c r="F1504" s="2">
        <f>IFERROR(__xludf.DUMMYFUNCTION("""COMPUTED_VALUE"""),1260857.0)</f>
        <v>1260857</v>
      </c>
    </row>
    <row r="1505">
      <c r="A1505" s="3">
        <f>IFERROR(__xludf.DUMMYFUNCTION("""COMPUTED_VALUE"""),40450.645833333336)</f>
        <v>40450.64583</v>
      </c>
      <c r="B1505" s="2">
        <f>IFERROR(__xludf.DUMMYFUNCTION("""COMPUTED_VALUE"""),462.5)</f>
        <v>462.5</v>
      </c>
      <c r="C1505" s="2">
        <f>IFERROR(__xludf.DUMMYFUNCTION("""COMPUTED_VALUE"""),468.63)</f>
        <v>468.63</v>
      </c>
      <c r="D1505" s="2">
        <f>IFERROR(__xludf.DUMMYFUNCTION("""COMPUTED_VALUE"""),457.45)</f>
        <v>457.45</v>
      </c>
      <c r="E1505" s="2">
        <f>IFERROR(__xludf.DUMMYFUNCTION("""COMPUTED_VALUE"""),460.17)</f>
        <v>460.17</v>
      </c>
      <c r="F1505" s="2">
        <f>IFERROR(__xludf.DUMMYFUNCTION("""COMPUTED_VALUE"""),1685097.0)</f>
        <v>1685097</v>
      </c>
    </row>
    <row r="1506">
      <c r="A1506" s="3">
        <f>IFERROR(__xludf.DUMMYFUNCTION("""COMPUTED_VALUE"""),40451.645833333336)</f>
        <v>40451.64583</v>
      </c>
      <c r="B1506" s="2">
        <f>IFERROR(__xludf.DUMMYFUNCTION("""COMPUTED_VALUE"""),462.5)</f>
        <v>462.5</v>
      </c>
      <c r="C1506" s="2">
        <f>IFERROR(__xludf.DUMMYFUNCTION("""COMPUTED_VALUE"""),465.0)</f>
        <v>465</v>
      </c>
      <c r="D1506" s="2">
        <f>IFERROR(__xludf.DUMMYFUNCTION("""COMPUTED_VALUE"""),457.58)</f>
        <v>457.58</v>
      </c>
      <c r="E1506" s="2">
        <f>IFERROR(__xludf.DUMMYFUNCTION("""COMPUTED_VALUE"""),463.48)</f>
        <v>463.48</v>
      </c>
      <c r="F1506" s="2">
        <f>IFERROR(__xludf.DUMMYFUNCTION("""COMPUTED_VALUE"""),3780462.0)</f>
        <v>3780462</v>
      </c>
    </row>
    <row r="1507">
      <c r="A1507" s="3">
        <f>IFERROR(__xludf.DUMMYFUNCTION("""COMPUTED_VALUE"""),40452.645833333336)</f>
        <v>40452.64583</v>
      </c>
      <c r="B1507" s="2">
        <f>IFERROR(__xludf.DUMMYFUNCTION("""COMPUTED_VALUE"""),463.5)</f>
        <v>463.5</v>
      </c>
      <c r="C1507" s="2">
        <f>IFERROR(__xludf.DUMMYFUNCTION("""COMPUTED_VALUE"""),483.0)</f>
        <v>483</v>
      </c>
      <c r="D1507" s="2">
        <f>IFERROR(__xludf.DUMMYFUNCTION("""COMPUTED_VALUE"""),461.0)</f>
        <v>461</v>
      </c>
      <c r="E1507" s="2">
        <f>IFERROR(__xludf.DUMMYFUNCTION("""COMPUTED_VALUE"""),480.8)</f>
        <v>480.8</v>
      </c>
      <c r="F1507" s="2">
        <f>IFERROR(__xludf.DUMMYFUNCTION("""COMPUTED_VALUE"""),1663078.0)</f>
        <v>1663078</v>
      </c>
    </row>
    <row r="1508">
      <c r="A1508" s="3">
        <f>IFERROR(__xludf.DUMMYFUNCTION("""COMPUTED_VALUE"""),40455.645833333336)</f>
        <v>40455.64583</v>
      </c>
      <c r="B1508" s="2">
        <f>IFERROR(__xludf.DUMMYFUNCTION("""COMPUTED_VALUE"""),483.38)</f>
        <v>483.38</v>
      </c>
      <c r="C1508" s="2">
        <f>IFERROR(__xludf.DUMMYFUNCTION("""COMPUTED_VALUE"""),487.5)</f>
        <v>487.5</v>
      </c>
      <c r="D1508" s="2">
        <f>IFERROR(__xludf.DUMMYFUNCTION("""COMPUTED_VALUE"""),476.5)</f>
        <v>476.5</v>
      </c>
      <c r="E1508" s="2">
        <f>IFERROR(__xludf.DUMMYFUNCTION("""COMPUTED_VALUE"""),477.9)</f>
        <v>477.9</v>
      </c>
      <c r="F1508" s="2">
        <f>IFERROR(__xludf.DUMMYFUNCTION("""COMPUTED_VALUE"""),1070478.0)</f>
        <v>1070478</v>
      </c>
    </row>
    <row r="1509">
      <c r="A1509" s="3">
        <f>IFERROR(__xludf.DUMMYFUNCTION("""COMPUTED_VALUE"""),40456.645833333336)</f>
        <v>40456.64583</v>
      </c>
      <c r="B1509" s="2">
        <f>IFERROR(__xludf.DUMMYFUNCTION("""COMPUTED_VALUE"""),475.0)</f>
        <v>475</v>
      </c>
      <c r="C1509" s="2">
        <f>IFERROR(__xludf.DUMMYFUNCTION("""COMPUTED_VALUE"""),482.98)</f>
        <v>482.98</v>
      </c>
      <c r="D1509" s="2">
        <f>IFERROR(__xludf.DUMMYFUNCTION("""COMPUTED_VALUE"""),473.08)</f>
        <v>473.08</v>
      </c>
      <c r="E1509" s="2">
        <f>IFERROR(__xludf.DUMMYFUNCTION("""COMPUTED_VALUE"""),475.13)</f>
        <v>475.13</v>
      </c>
      <c r="F1509" s="2">
        <f>IFERROR(__xludf.DUMMYFUNCTION("""COMPUTED_VALUE"""),1105832.0)</f>
        <v>1105832</v>
      </c>
    </row>
    <row r="1510">
      <c r="A1510" s="3">
        <f>IFERROR(__xludf.DUMMYFUNCTION("""COMPUTED_VALUE"""),40457.645833333336)</f>
        <v>40457.64583</v>
      </c>
      <c r="B1510" s="2">
        <f>IFERROR(__xludf.DUMMYFUNCTION("""COMPUTED_VALUE"""),475.0)</f>
        <v>475</v>
      </c>
      <c r="C1510" s="2">
        <f>IFERROR(__xludf.DUMMYFUNCTION("""COMPUTED_VALUE"""),483.95)</f>
        <v>483.95</v>
      </c>
      <c r="D1510" s="2">
        <f>IFERROR(__xludf.DUMMYFUNCTION("""COMPUTED_VALUE"""),475.0)</f>
        <v>475</v>
      </c>
      <c r="E1510" s="2">
        <f>IFERROR(__xludf.DUMMYFUNCTION("""COMPUTED_VALUE"""),479.83)</f>
        <v>479.83</v>
      </c>
      <c r="F1510" s="2">
        <f>IFERROR(__xludf.DUMMYFUNCTION("""COMPUTED_VALUE"""),919480.0)</f>
        <v>919480</v>
      </c>
    </row>
    <row r="1511">
      <c r="A1511" s="3">
        <f>IFERROR(__xludf.DUMMYFUNCTION("""COMPUTED_VALUE"""),40458.645833333336)</f>
        <v>40458.64583</v>
      </c>
      <c r="B1511" s="2">
        <f>IFERROR(__xludf.DUMMYFUNCTION("""COMPUTED_VALUE"""),480.0)</f>
        <v>480</v>
      </c>
      <c r="C1511" s="2">
        <f>IFERROR(__xludf.DUMMYFUNCTION("""COMPUTED_VALUE"""),483.0)</f>
        <v>483</v>
      </c>
      <c r="D1511" s="2">
        <f>IFERROR(__xludf.DUMMYFUNCTION("""COMPUTED_VALUE"""),469.2)</f>
        <v>469.2</v>
      </c>
      <c r="E1511" s="2">
        <f>IFERROR(__xludf.DUMMYFUNCTION("""COMPUTED_VALUE"""),474.4)</f>
        <v>474.4</v>
      </c>
      <c r="F1511" s="2">
        <f>IFERROR(__xludf.DUMMYFUNCTION("""COMPUTED_VALUE"""),986470.0)</f>
        <v>986470</v>
      </c>
    </row>
    <row r="1512">
      <c r="A1512" s="3">
        <f>IFERROR(__xludf.DUMMYFUNCTION("""COMPUTED_VALUE"""),40459.645833333336)</f>
        <v>40459.64583</v>
      </c>
      <c r="B1512" s="2">
        <f>IFERROR(__xludf.DUMMYFUNCTION("""COMPUTED_VALUE"""),472.03)</f>
        <v>472.03</v>
      </c>
      <c r="C1512" s="2">
        <f>IFERROR(__xludf.DUMMYFUNCTION("""COMPUTED_VALUE"""),477.35)</f>
        <v>477.35</v>
      </c>
      <c r="D1512" s="2">
        <f>IFERROR(__xludf.DUMMYFUNCTION("""COMPUTED_VALUE"""),434.5)</f>
        <v>434.5</v>
      </c>
      <c r="E1512" s="2">
        <f>IFERROR(__xludf.DUMMYFUNCTION("""COMPUTED_VALUE"""),471.3)</f>
        <v>471.3</v>
      </c>
      <c r="F1512" s="2">
        <f>IFERROR(__xludf.DUMMYFUNCTION("""COMPUTED_VALUE"""),1347998.0)</f>
        <v>1347998</v>
      </c>
    </row>
    <row r="1513">
      <c r="A1513" s="3">
        <f>IFERROR(__xludf.DUMMYFUNCTION("""COMPUTED_VALUE"""),40462.645833333336)</f>
        <v>40462.64583</v>
      </c>
      <c r="B1513" s="2">
        <f>IFERROR(__xludf.DUMMYFUNCTION("""COMPUTED_VALUE"""),471.3)</f>
        <v>471.3</v>
      </c>
      <c r="C1513" s="2">
        <f>IFERROR(__xludf.DUMMYFUNCTION("""COMPUTED_VALUE"""),476.98)</f>
        <v>476.98</v>
      </c>
      <c r="D1513" s="2">
        <f>IFERROR(__xludf.DUMMYFUNCTION("""COMPUTED_VALUE"""),464.53)</f>
        <v>464.53</v>
      </c>
      <c r="E1513" s="2">
        <f>IFERROR(__xludf.DUMMYFUNCTION("""COMPUTED_VALUE"""),470.45)</f>
        <v>470.45</v>
      </c>
      <c r="F1513" s="2">
        <f>IFERROR(__xludf.DUMMYFUNCTION("""COMPUTED_VALUE"""),1532685.0)</f>
        <v>1532685</v>
      </c>
    </row>
    <row r="1514">
      <c r="A1514" s="3">
        <f>IFERROR(__xludf.DUMMYFUNCTION("""COMPUTED_VALUE"""),40463.645833333336)</f>
        <v>40463.64583</v>
      </c>
      <c r="B1514" s="2">
        <f>IFERROR(__xludf.DUMMYFUNCTION("""COMPUTED_VALUE"""),471.33)</f>
        <v>471.33</v>
      </c>
      <c r="C1514" s="2">
        <f>IFERROR(__xludf.DUMMYFUNCTION("""COMPUTED_VALUE"""),477.9)</f>
        <v>477.9</v>
      </c>
      <c r="D1514" s="2">
        <f>IFERROR(__xludf.DUMMYFUNCTION("""COMPUTED_VALUE"""),469.55)</f>
        <v>469.55</v>
      </c>
      <c r="E1514" s="2">
        <f>IFERROR(__xludf.DUMMYFUNCTION("""COMPUTED_VALUE"""),475.35)</f>
        <v>475.35</v>
      </c>
      <c r="F1514" s="2">
        <f>IFERROR(__xludf.DUMMYFUNCTION("""COMPUTED_VALUE"""),1304451.0)</f>
        <v>1304451</v>
      </c>
    </row>
    <row r="1515">
      <c r="A1515" s="3">
        <f>IFERROR(__xludf.DUMMYFUNCTION("""COMPUTED_VALUE"""),40464.645833333336)</f>
        <v>40464.64583</v>
      </c>
      <c r="B1515" s="2">
        <f>IFERROR(__xludf.DUMMYFUNCTION("""COMPUTED_VALUE"""),477.98)</f>
        <v>477.98</v>
      </c>
      <c r="C1515" s="2">
        <f>IFERROR(__xludf.DUMMYFUNCTION("""COMPUTED_VALUE"""),498.85)</f>
        <v>498.85</v>
      </c>
      <c r="D1515" s="2">
        <f>IFERROR(__xludf.DUMMYFUNCTION("""COMPUTED_VALUE"""),474.55)</f>
        <v>474.55</v>
      </c>
      <c r="E1515" s="2">
        <f>IFERROR(__xludf.DUMMYFUNCTION("""COMPUTED_VALUE"""),496.42)</f>
        <v>496.42</v>
      </c>
      <c r="F1515" s="2">
        <f>IFERROR(__xludf.DUMMYFUNCTION("""COMPUTED_VALUE"""),2675302.0)</f>
        <v>2675302</v>
      </c>
    </row>
    <row r="1516">
      <c r="A1516" s="3">
        <f>IFERROR(__xludf.DUMMYFUNCTION("""COMPUTED_VALUE"""),40465.645833333336)</f>
        <v>40465.64583</v>
      </c>
      <c r="B1516" s="2">
        <f>IFERROR(__xludf.DUMMYFUNCTION("""COMPUTED_VALUE"""),498.45)</f>
        <v>498.45</v>
      </c>
      <c r="C1516" s="2">
        <f>IFERROR(__xludf.DUMMYFUNCTION("""COMPUTED_VALUE"""),502.0)</f>
        <v>502</v>
      </c>
      <c r="D1516" s="2">
        <f>IFERROR(__xludf.DUMMYFUNCTION("""COMPUTED_VALUE"""),491.17)</f>
        <v>491.17</v>
      </c>
      <c r="E1516" s="2">
        <f>IFERROR(__xludf.DUMMYFUNCTION("""COMPUTED_VALUE"""),493.03)</f>
        <v>493.03</v>
      </c>
      <c r="F1516" s="2">
        <f>IFERROR(__xludf.DUMMYFUNCTION("""COMPUTED_VALUE"""),1474543.0)</f>
        <v>1474543</v>
      </c>
    </row>
    <row r="1517">
      <c r="A1517" s="3">
        <f>IFERROR(__xludf.DUMMYFUNCTION("""COMPUTED_VALUE"""),40466.645833333336)</f>
        <v>40466.64583</v>
      </c>
      <c r="B1517" s="2">
        <f>IFERROR(__xludf.DUMMYFUNCTION("""COMPUTED_VALUE"""),499.5)</f>
        <v>499.5</v>
      </c>
      <c r="C1517" s="2">
        <f>IFERROR(__xludf.DUMMYFUNCTION("""COMPUTED_VALUE"""),505.5)</f>
        <v>505.5</v>
      </c>
      <c r="D1517" s="2">
        <f>IFERROR(__xludf.DUMMYFUNCTION("""COMPUTED_VALUE"""),472.5)</f>
        <v>472.5</v>
      </c>
      <c r="E1517" s="2">
        <f>IFERROR(__xludf.DUMMYFUNCTION("""COMPUTED_VALUE"""),475.15)</f>
        <v>475.15</v>
      </c>
      <c r="F1517" s="2">
        <f>IFERROR(__xludf.DUMMYFUNCTION("""COMPUTED_VALUE"""),2858899.0)</f>
        <v>2858899</v>
      </c>
    </row>
    <row r="1518">
      <c r="A1518" s="3">
        <f>IFERROR(__xludf.DUMMYFUNCTION("""COMPUTED_VALUE"""),40469.645833333336)</f>
        <v>40469.64583</v>
      </c>
      <c r="B1518" s="2">
        <f>IFERROR(__xludf.DUMMYFUNCTION("""COMPUTED_VALUE"""),485.0)</f>
        <v>485</v>
      </c>
      <c r="C1518" s="2">
        <f>IFERROR(__xludf.DUMMYFUNCTION("""COMPUTED_VALUE"""),492.0)</f>
        <v>492</v>
      </c>
      <c r="D1518" s="2">
        <f>IFERROR(__xludf.DUMMYFUNCTION("""COMPUTED_VALUE"""),465.0)</f>
        <v>465</v>
      </c>
      <c r="E1518" s="2">
        <f>IFERROR(__xludf.DUMMYFUNCTION("""COMPUTED_VALUE"""),490.63)</f>
        <v>490.63</v>
      </c>
      <c r="F1518" s="2">
        <f>IFERROR(__xludf.DUMMYFUNCTION("""COMPUTED_VALUE"""),2240367.0)</f>
        <v>2240367</v>
      </c>
    </row>
    <row r="1519">
      <c r="A1519" s="3">
        <f>IFERROR(__xludf.DUMMYFUNCTION("""COMPUTED_VALUE"""),40470.645833333336)</f>
        <v>40470.64583</v>
      </c>
      <c r="B1519" s="2">
        <f>IFERROR(__xludf.DUMMYFUNCTION("""COMPUTED_VALUE"""),491.0)</f>
        <v>491</v>
      </c>
      <c r="C1519" s="2">
        <f>IFERROR(__xludf.DUMMYFUNCTION("""COMPUTED_VALUE"""),493.7)</f>
        <v>493.7</v>
      </c>
      <c r="D1519" s="2">
        <f>IFERROR(__xludf.DUMMYFUNCTION("""COMPUTED_VALUE"""),482.05)</f>
        <v>482.05</v>
      </c>
      <c r="E1519" s="2">
        <f>IFERROR(__xludf.DUMMYFUNCTION("""COMPUTED_VALUE"""),483.88)</f>
        <v>483.88</v>
      </c>
      <c r="F1519" s="2">
        <f>IFERROR(__xludf.DUMMYFUNCTION("""COMPUTED_VALUE"""),1100456.0)</f>
        <v>1100456</v>
      </c>
    </row>
    <row r="1520">
      <c r="A1520" s="3">
        <f>IFERROR(__xludf.DUMMYFUNCTION("""COMPUTED_VALUE"""),40471.645833333336)</f>
        <v>40471.64583</v>
      </c>
      <c r="B1520" s="2">
        <f>IFERROR(__xludf.DUMMYFUNCTION("""COMPUTED_VALUE"""),482.25)</f>
        <v>482.25</v>
      </c>
      <c r="C1520" s="2">
        <f>IFERROR(__xludf.DUMMYFUNCTION("""COMPUTED_VALUE"""),490.25)</f>
        <v>490.25</v>
      </c>
      <c r="D1520" s="2">
        <f>IFERROR(__xludf.DUMMYFUNCTION("""COMPUTED_VALUE"""),478.1)</f>
        <v>478.1</v>
      </c>
      <c r="E1520" s="2">
        <f>IFERROR(__xludf.DUMMYFUNCTION("""COMPUTED_VALUE"""),481.63)</f>
        <v>481.63</v>
      </c>
      <c r="F1520" s="2">
        <f>IFERROR(__xludf.DUMMYFUNCTION("""COMPUTED_VALUE"""),1103319.0)</f>
        <v>1103319</v>
      </c>
    </row>
    <row r="1521">
      <c r="A1521" s="3">
        <f>IFERROR(__xludf.DUMMYFUNCTION("""COMPUTED_VALUE"""),40472.645833333336)</f>
        <v>40472.64583</v>
      </c>
      <c r="B1521" s="2">
        <f>IFERROR(__xludf.DUMMYFUNCTION("""COMPUTED_VALUE"""),487.03)</f>
        <v>487.03</v>
      </c>
      <c r="C1521" s="2">
        <f>IFERROR(__xludf.DUMMYFUNCTION("""COMPUTED_VALUE"""),496.92)</f>
        <v>496.92</v>
      </c>
      <c r="D1521" s="2">
        <f>IFERROR(__xludf.DUMMYFUNCTION("""COMPUTED_VALUE"""),485.0)</f>
        <v>485</v>
      </c>
      <c r="E1521" s="2">
        <f>IFERROR(__xludf.DUMMYFUNCTION("""COMPUTED_VALUE"""),493.1)</f>
        <v>493.1</v>
      </c>
      <c r="F1521" s="2">
        <f>IFERROR(__xludf.DUMMYFUNCTION("""COMPUTED_VALUE"""),1876177.0)</f>
        <v>1876177</v>
      </c>
    </row>
    <row r="1522">
      <c r="A1522" s="3">
        <f>IFERROR(__xludf.DUMMYFUNCTION("""COMPUTED_VALUE"""),40473.645833333336)</f>
        <v>40473.64583</v>
      </c>
      <c r="B1522" s="2">
        <f>IFERROR(__xludf.DUMMYFUNCTION("""COMPUTED_VALUE"""),511.0)</f>
        <v>511</v>
      </c>
      <c r="C1522" s="2">
        <f>IFERROR(__xludf.DUMMYFUNCTION("""COMPUTED_VALUE"""),524.7)</f>
        <v>524.7</v>
      </c>
      <c r="D1522" s="2">
        <f>IFERROR(__xludf.DUMMYFUNCTION("""COMPUTED_VALUE"""),511.0)</f>
        <v>511</v>
      </c>
      <c r="E1522" s="2">
        <f>IFERROR(__xludf.DUMMYFUNCTION("""COMPUTED_VALUE"""),520.1)</f>
        <v>520.1</v>
      </c>
      <c r="F1522" s="2">
        <f>IFERROR(__xludf.DUMMYFUNCTION("""COMPUTED_VALUE"""),4805202.0)</f>
        <v>4805202</v>
      </c>
    </row>
    <row r="1523">
      <c r="A1523" s="3">
        <f>IFERROR(__xludf.DUMMYFUNCTION("""COMPUTED_VALUE"""),40476.645833333336)</f>
        <v>40476.64583</v>
      </c>
      <c r="B1523" s="2">
        <f>IFERROR(__xludf.DUMMYFUNCTION("""COMPUTED_VALUE"""),521.5)</f>
        <v>521.5</v>
      </c>
      <c r="C1523" s="2">
        <f>IFERROR(__xludf.DUMMYFUNCTION("""COMPUTED_VALUE"""),536.48)</f>
        <v>536.48</v>
      </c>
      <c r="D1523" s="2">
        <f>IFERROR(__xludf.DUMMYFUNCTION("""COMPUTED_VALUE"""),518.6)</f>
        <v>518.6</v>
      </c>
      <c r="E1523" s="2">
        <f>IFERROR(__xludf.DUMMYFUNCTION("""COMPUTED_VALUE"""),533.48)</f>
        <v>533.48</v>
      </c>
      <c r="F1523" s="2">
        <f>IFERROR(__xludf.DUMMYFUNCTION("""COMPUTED_VALUE"""),2578158.0)</f>
        <v>2578158</v>
      </c>
    </row>
    <row r="1524">
      <c r="A1524" s="3">
        <f>IFERROR(__xludf.DUMMYFUNCTION("""COMPUTED_VALUE"""),40477.645833333336)</f>
        <v>40477.64583</v>
      </c>
      <c r="B1524" s="2">
        <f>IFERROR(__xludf.DUMMYFUNCTION("""COMPUTED_VALUE"""),531.75)</f>
        <v>531.75</v>
      </c>
      <c r="C1524" s="2">
        <f>IFERROR(__xludf.DUMMYFUNCTION("""COMPUTED_VALUE"""),533.88)</f>
        <v>533.88</v>
      </c>
      <c r="D1524" s="2">
        <f>IFERROR(__xludf.DUMMYFUNCTION("""COMPUTED_VALUE"""),520.78)</f>
        <v>520.78</v>
      </c>
      <c r="E1524" s="2">
        <f>IFERROR(__xludf.DUMMYFUNCTION("""COMPUTED_VALUE"""),531.3)</f>
        <v>531.3</v>
      </c>
      <c r="F1524" s="2">
        <f>IFERROR(__xludf.DUMMYFUNCTION("""COMPUTED_VALUE"""),1753512.0)</f>
        <v>1753512</v>
      </c>
    </row>
    <row r="1525">
      <c r="A1525" s="3">
        <f>IFERROR(__xludf.DUMMYFUNCTION("""COMPUTED_VALUE"""),40478.645833333336)</f>
        <v>40478.64583</v>
      </c>
      <c r="B1525" s="2">
        <f>IFERROR(__xludf.DUMMYFUNCTION("""COMPUTED_VALUE"""),530.0)</f>
        <v>530</v>
      </c>
      <c r="C1525" s="2">
        <f>IFERROR(__xludf.DUMMYFUNCTION("""COMPUTED_VALUE"""),533.4)</f>
        <v>533.4</v>
      </c>
      <c r="D1525" s="2">
        <f>IFERROR(__xludf.DUMMYFUNCTION("""COMPUTED_VALUE"""),521.78)</f>
        <v>521.78</v>
      </c>
      <c r="E1525" s="2">
        <f>IFERROR(__xludf.DUMMYFUNCTION("""COMPUTED_VALUE"""),524.1)</f>
        <v>524.1</v>
      </c>
      <c r="F1525" s="2">
        <f>IFERROR(__xludf.DUMMYFUNCTION("""COMPUTED_VALUE"""),1070691.0)</f>
        <v>1070691</v>
      </c>
    </row>
    <row r="1526">
      <c r="A1526" s="3">
        <f>IFERROR(__xludf.DUMMYFUNCTION("""COMPUTED_VALUE"""),40479.645833333336)</f>
        <v>40479.64583</v>
      </c>
      <c r="B1526" s="2">
        <f>IFERROR(__xludf.DUMMYFUNCTION("""COMPUTED_VALUE"""),525.0)</f>
        <v>525</v>
      </c>
      <c r="C1526" s="2">
        <f>IFERROR(__xludf.DUMMYFUNCTION("""COMPUTED_VALUE"""),533.78)</f>
        <v>533.78</v>
      </c>
      <c r="D1526" s="2">
        <f>IFERROR(__xludf.DUMMYFUNCTION("""COMPUTED_VALUE"""),520.0)</f>
        <v>520</v>
      </c>
      <c r="E1526" s="2">
        <f>IFERROR(__xludf.DUMMYFUNCTION("""COMPUTED_VALUE"""),526.45)</f>
        <v>526.45</v>
      </c>
      <c r="F1526" s="2">
        <f>IFERROR(__xludf.DUMMYFUNCTION("""COMPUTED_VALUE"""),2627845.0)</f>
        <v>2627845</v>
      </c>
    </row>
    <row r="1527">
      <c r="A1527" s="3">
        <f>IFERROR(__xludf.DUMMYFUNCTION("""COMPUTED_VALUE"""),40480.645833333336)</f>
        <v>40480.64583</v>
      </c>
      <c r="B1527" s="2">
        <f>IFERROR(__xludf.DUMMYFUNCTION("""COMPUTED_VALUE"""),530.0)</f>
        <v>530</v>
      </c>
      <c r="C1527" s="2">
        <f>IFERROR(__xludf.DUMMYFUNCTION("""COMPUTED_VALUE"""),530.0)</f>
        <v>530</v>
      </c>
      <c r="D1527" s="2">
        <f>IFERROR(__xludf.DUMMYFUNCTION("""COMPUTED_VALUE"""),515.5)</f>
        <v>515.5</v>
      </c>
      <c r="E1527" s="2">
        <f>IFERROR(__xludf.DUMMYFUNCTION("""COMPUTED_VALUE"""),526.45)</f>
        <v>526.45</v>
      </c>
      <c r="F1527" s="2">
        <f>IFERROR(__xludf.DUMMYFUNCTION("""COMPUTED_VALUE"""),1106199.0)</f>
        <v>1106199</v>
      </c>
    </row>
    <row r="1528">
      <c r="A1528" s="3">
        <f>IFERROR(__xludf.DUMMYFUNCTION("""COMPUTED_VALUE"""),40483.645833333336)</f>
        <v>40483.64583</v>
      </c>
      <c r="B1528" s="2">
        <f>IFERROR(__xludf.DUMMYFUNCTION("""COMPUTED_VALUE"""),526.03)</f>
        <v>526.03</v>
      </c>
      <c r="C1528" s="2">
        <f>IFERROR(__xludf.DUMMYFUNCTION("""COMPUTED_VALUE"""),533.2)</f>
        <v>533.2</v>
      </c>
      <c r="D1528" s="2">
        <f>IFERROR(__xludf.DUMMYFUNCTION("""COMPUTED_VALUE"""),524.55)</f>
        <v>524.55</v>
      </c>
      <c r="E1528" s="2">
        <f>IFERROR(__xludf.DUMMYFUNCTION("""COMPUTED_VALUE"""),526.7)</f>
        <v>526.7</v>
      </c>
      <c r="F1528" s="2">
        <f>IFERROR(__xludf.DUMMYFUNCTION("""COMPUTED_VALUE"""),573974.0)</f>
        <v>573974</v>
      </c>
    </row>
    <row r="1529">
      <c r="A1529" s="3">
        <f>IFERROR(__xludf.DUMMYFUNCTION("""COMPUTED_VALUE"""),40484.645833333336)</f>
        <v>40484.64583</v>
      </c>
      <c r="B1529" s="2">
        <f>IFERROR(__xludf.DUMMYFUNCTION("""COMPUTED_VALUE"""),527.5)</f>
        <v>527.5</v>
      </c>
      <c r="C1529" s="2">
        <f>IFERROR(__xludf.DUMMYFUNCTION("""COMPUTED_VALUE"""),530.0)</f>
        <v>530</v>
      </c>
      <c r="D1529" s="2">
        <f>IFERROR(__xludf.DUMMYFUNCTION("""COMPUTED_VALUE"""),521.85)</f>
        <v>521.85</v>
      </c>
      <c r="E1529" s="2">
        <f>IFERROR(__xludf.DUMMYFUNCTION("""COMPUTED_VALUE"""),524.73)</f>
        <v>524.73</v>
      </c>
      <c r="F1529" s="2">
        <f>IFERROR(__xludf.DUMMYFUNCTION("""COMPUTED_VALUE"""),782889.0)</f>
        <v>782889</v>
      </c>
    </row>
    <row r="1530">
      <c r="A1530" s="3">
        <f>IFERROR(__xludf.DUMMYFUNCTION("""COMPUTED_VALUE"""),40485.645833333336)</f>
        <v>40485.64583</v>
      </c>
      <c r="B1530" s="2">
        <f>IFERROR(__xludf.DUMMYFUNCTION("""COMPUTED_VALUE"""),525.45)</f>
        <v>525.45</v>
      </c>
      <c r="C1530" s="2">
        <f>IFERROR(__xludf.DUMMYFUNCTION("""COMPUTED_VALUE"""),539.5)</f>
        <v>539.5</v>
      </c>
      <c r="D1530" s="2">
        <f>IFERROR(__xludf.DUMMYFUNCTION("""COMPUTED_VALUE"""),524.2)</f>
        <v>524.2</v>
      </c>
      <c r="E1530" s="2">
        <f>IFERROR(__xludf.DUMMYFUNCTION("""COMPUTED_VALUE"""),526.4)</f>
        <v>526.4</v>
      </c>
      <c r="F1530" s="2">
        <f>IFERROR(__xludf.DUMMYFUNCTION("""COMPUTED_VALUE"""),1108939.0)</f>
        <v>1108939</v>
      </c>
    </row>
    <row r="1531">
      <c r="A1531" s="3">
        <f>IFERROR(__xludf.DUMMYFUNCTION("""COMPUTED_VALUE"""),40486.645833333336)</f>
        <v>40486.64583</v>
      </c>
      <c r="B1531" s="2">
        <f>IFERROR(__xludf.DUMMYFUNCTION("""COMPUTED_VALUE"""),531.0)</f>
        <v>531</v>
      </c>
      <c r="C1531" s="2">
        <f>IFERROR(__xludf.DUMMYFUNCTION("""COMPUTED_VALUE"""),539.3)</f>
        <v>539.3</v>
      </c>
      <c r="D1531" s="2">
        <f>IFERROR(__xludf.DUMMYFUNCTION("""COMPUTED_VALUE"""),530.75)</f>
        <v>530.75</v>
      </c>
      <c r="E1531" s="2">
        <f>IFERROR(__xludf.DUMMYFUNCTION("""COMPUTED_VALUE"""),534.58)</f>
        <v>534.58</v>
      </c>
      <c r="F1531" s="2">
        <f>IFERROR(__xludf.DUMMYFUNCTION("""COMPUTED_VALUE"""),858720.0)</f>
        <v>858720</v>
      </c>
    </row>
    <row r="1532">
      <c r="A1532" s="3">
        <f>IFERROR(__xludf.DUMMYFUNCTION("""COMPUTED_VALUE"""),40487.645833333336)</f>
        <v>40487.64583</v>
      </c>
      <c r="B1532" s="2">
        <f>IFERROR(__xludf.DUMMYFUNCTION("""COMPUTED_VALUE"""),541.45)</f>
        <v>541.45</v>
      </c>
      <c r="C1532" s="2">
        <f>IFERROR(__xludf.DUMMYFUNCTION("""COMPUTED_VALUE"""),541.95)</f>
        <v>541.95</v>
      </c>
      <c r="D1532" s="2">
        <f>IFERROR(__xludf.DUMMYFUNCTION("""COMPUTED_VALUE"""),537.67)</f>
        <v>537.67</v>
      </c>
      <c r="E1532" s="2">
        <f>IFERROR(__xludf.DUMMYFUNCTION("""COMPUTED_VALUE"""),539.2)</f>
        <v>539.2</v>
      </c>
      <c r="F1532" s="2">
        <f>IFERROR(__xludf.DUMMYFUNCTION("""COMPUTED_VALUE"""),178897.0)</f>
        <v>178897</v>
      </c>
    </row>
    <row r="1533">
      <c r="A1533" s="3">
        <f>IFERROR(__xludf.DUMMYFUNCTION("""COMPUTED_VALUE"""),40490.645833333336)</f>
        <v>40490.64583</v>
      </c>
      <c r="B1533" s="2">
        <f>IFERROR(__xludf.DUMMYFUNCTION("""COMPUTED_VALUE"""),540.0)</f>
        <v>540</v>
      </c>
      <c r="C1533" s="2">
        <f>IFERROR(__xludf.DUMMYFUNCTION("""COMPUTED_VALUE"""),541.2)</f>
        <v>541.2</v>
      </c>
      <c r="D1533" s="2">
        <f>IFERROR(__xludf.DUMMYFUNCTION("""COMPUTED_VALUE"""),531.05)</f>
        <v>531.05</v>
      </c>
      <c r="E1533" s="2">
        <f>IFERROR(__xludf.DUMMYFUNCTION("""COMPUTED_VALUE"""),534.08)</f>
        <v>534.08</v>
      </c>
      <c r="F1533" s="2">
        <f>IFERROR(__xludf.DUMMYFUNCTION("""COMPUTED_VALUE"""),1124293.0)</f>
        <v>1124293</v>
      </c>
    </row>
    <row r="1534">
      <c r="A1534" s="3">
        <f>IFERROR(__xludf.DUMMYFUNCTION("""COMPUTED_VALUE"""),40491.645833333336)</f>
        <v>40491.64583</v>
      </c>
      <c r="B1534" s="2">
        <f>IFERROR(__xludf.DUMMYFUNCTION("""COMPUTED_VALUE"""),536.95)</f>
        <v>536.95</v>
      </c>
      <c r="C1534" s="2">
        <f>IFERROR(__xludf.DUMMYFUNCTION("""COMPUTED_VALUE"""),549.35)</f>
        <v>549.35</v>
      </c>
      <c r="D1534" s="2">
        <f>IFERROR(__xludf.DUMMYFUNCTION("""COMPUTED_VALUE"""),534.25)</f>
        <v>534.25</v>
      </c>
      <c r="E1534" s="2">
        <f>IFERROR(__xludf.DUMMYFUNCTION("""COMPUTED_VALUE"""),545.55)</f>
        <v>545.55</v>
      </c>
      <c r="F1534" s="2">
        <f>IFERROR(__xludf.DUMMYFUNCTION("""COMPUTED_VALUE"""),1752043.0)</f>
        <v>1752043</v>
      </c>
    </row>
    <row r="1535">
      <c r="A1535" s="3">
        <f>IFERROR(__xludf.DUMMYFUNCTION("""COMPUTED_VALUE"""),40492.645833333336)</f>
        <v>40492.64583</v>
      </c>
      <c r="B1535" s="2">
        <f>IFERROR(__xludf.DUMMYFUNCTION("""COMPUTED_VALUE"""),546.13)</f>
        <v>546.13</v>
      </c>
      <c r="C1535" s="2">
        <f>IFERROR(__xludf.DUMMYFUNCTION("""COMPUTED_VALUE"""),554.0)</f>
        <v>554</v>
      </c>
      <c r="D1535" s="2">
        <f>IFERROR(__xludf.DUMMYFUNCTION("""COMPUTED_VALUE"""),543.05)</f>
        <v>543.05</v>
      </c>
      <c r="E1535" s="2">
        <f>IFERROR(__xludf.DUMMYFUNCTION("""COMPUTED_VALUE"""),546.15)</f>
        <v>546.15</v>
      </c>
      <c r="F1535" s="2">
        <f>IFERROR(__xludf.DUMMYFUNCTION("""COMPUTED_VALUE"""),770112.0)</f>
        <v>770112</v>
      </c>
    </row>
    <row r="1536">
      <c r="A1536" s="3">
        <f>IFERROR(__xludf.DUMMYFUNCTION("""COMPUTED_VALUE"""),40493.645833333336)</f>
        <v>40493.64583</v>
      </c>
      <c r="B1536" s="2">
        <f>IFERROR(__xludf.DUMMYFUNCTION("""COMPUTED_VALUE"""),545.0)</f>
        <v>545</v>
      </c>
      <c r="C1536" s="2">
        <f>IFERROR(__xludf.DUMMYFUNCTION("""COMPUTED_VALUE"""),545.0)</f>
        <v>545</v>
      </c>
      <c r="D1536" s="2">
        <f>IFERROR(__xludf.DUMMYFUNCTION("""COMPUTED_VALUE"""),529.13)</f>
        <v>529.13</v>
      </c>
      <c r="E1536" s="2">
        <f>IFERROR(__xludf.DUMMYFUNCTION("""COMPUTED_VALUE"""),532.38)</f>
        <v>532.38</v>
      </c>
      <c r="F1536" s="2">
        <f>IFERROR(__xludf.DUMMYFUNCTION("""COMPUTED_VALUE"""),963048.0)</f>
        <v>963048</v>
      </c>
    </row>
    <row r="1537">
      <c r="A1537" s="3">
        <f>IFERROR(__xludf.DUMMYFUNCTION("""COMPUTED_VALUE"""),40494.645833333336)</f>
        <v>40494.64583</v>
      </c>
      <c r="B1537" s="2">
        <f>IFERROR(__xludf.DUMMYFUNCTION("""COMPUTED_VALUE"""),530.0)</f>
        <v>530</v>
      </c>
      <c r="C1537" s="2">
        <f>IFERROR(__xludf.DUMMYFUNCTION("""COMPUTED_VALUE"""),534.95)</f>
        <v>534.95</v>
      </c>
      <c r="D1537" s="2">
        <f>IFERROR(__xludf.DUMMYFUNCTION("""COMPUTED_VALUE"""),524.1)</f>
        <v>524.1</v>
      </c>
      <c r="E1537" s="2">
        <f>IFERROR(__xludf.DUMMYFUNCTION("""COMPUTED_VALUE"""),527.95)</f>
        <v>527.95</v>
      </c>
      <c r="F1537" s="2">
        <f>IFERROR(__xludf.DUMMYFUNCTION("""COMPUTED_VALUE"""),901165.0)</f>
        <v>901165</v>
      </c>
    </row>
    <row r="1538">
      <c r="A1538" s="3">
        <f>IFERROR(__xludf.DUMMYFUNCTION("""COMPUTED_VALUE"""),40497.645833333336)</f>
        <v>40497.64583</v>
      </c>
      <c r="B1538" s="2">
        <f>IFERROR(__xludf.DUMMYFUNCTION("""COMPUTED_VALUE"""),532.5)</f>
        <v>532.5</v>
      </c>
      <c r="C1538" s="2">
        <f>IFERROR(__xludf.DUMMYFUNCTION("""COMPUTED_VALUE"""),539.92)</f>
        <v>539.92</v>
      </c>
      <c r="D1538" s="2">
        <f>IFERROR(__xludf.DUMMYFUNCTION("""COMPUTED_VALUE"""),526.5)</f>
        <v>526.5</v>
      </c>
      <c r="E1538" s="2">
        <f>IFERROR(__xludf.DUMMYFUNCTION("""COMPUTED_VALUE"""),533.0)</f>
        <v>533</v>
      </c>
      <c r="F1538" s="2">
        <f>IFERROR(__xludf.DUMMYFUNCTION("""COMPUTED_VALUE"""),694698.0)</f>
        <v>694698</v>
      </c>
    </row>
    <row r="1539">
      <c r="A1539" s="3">
        <f>IFERROR(__xludf.DUMMYFUNCTION("""COMPUTED_VALUE"""),40498.645833333336)</f>
        <v>40498.64583</v>
      </c>
      <c r="B1539" s="2">
        <f>IFERROR(__xludf.DUMMYFUNCTION("""COMPUTED_VALUE"""),533.0)</f>
        <v>533</v>
      </c>
      <c r="C1539" s="2">
        <f>IFERROR(__xludf.DUMMYFUNCTION("""COMPUTED_VALUE"""),533.2)</f>
        <v>533.2</v>
      </c>
      <c r="D1539" s="2">
        <f>IFERROR(__xludf.DUMMYFUNCTION("""COMPUTED_VALUE"""),521.1)</f>
        <v>521.1</v>
      </c>
      <c r="E1539" s="2">
        <f>IFERROR(__xludf.DUMMYFUNCTION("""COMPUTED_VALUE"""),524.45)</f>
        <v>524.45</v>
      </c>
      <c r="F1539" s="2">
        <f>IFERROR(__xludf.DUMMYFUNCTION("""COMPUTED_VALUE"""),1089038.0)</f>
        <v>1089038</v>
      </c>
    </row>
    <row r="1540">
      <c r="A1540" s="3">
        <f>IFERROR(__xludf.DUMMYFUNCTION("""COMPUTED_VALUE"""),40500.645833333336)</f>
        <v>40500.64583</v>
      </c>
      <c r="B1540" s="2">
        <f>IFERROR(__xludf.DUMMYFUNCTION("""COMPUTED_VALUE"""),536.0)</f>
        <v>536</v>
      </c>
      <c r="C1540" s="2">
        <f>IFERROR(__xludf.DUMMYFUNCTION("""COMPUTED_VALUE"""),536.0)</f>
        <v>536</v>
      </c>
      <c r="D1540" s="2">
        <f>IFERROR(__xludf.DUMMYFUNCTION("""COMPUTED_VALUE"""),520.0)</f>
        <v>520</v>
      </c>
      <c r="E1540" s="2">
        <f>IFERROR(__xludf.DUMMYFUNCTION("""COMPUTED_VALUE"""),521.4)</f>
        <v>521.4</v>
      </c>
      <c r="F1540" s="2">
        <f>IFERROR(__xludf.DUMMYFUNCTION("""COMPUTED_VALUE"""),1382580.0)</f>
        <v>1382580</v>
      </c>
    </row>
    <row r="1541">
      <c r="A1541" s="3">
        <f>IFERROR(__xludf.DUMMYFUNCTION("""COMPUTED_VALUE"""),40501.645833333336)</f>
        <v>40501.64583</v>
      </c>
      <c r="B1541" s="2">
        <f>IFERROR(__xludf.DUMMYFUNCTION("""COMPUTED_VALUE"""),522.45)</f>
        <v>522.45</v>
      </c>
      <c r="C1541" s="2">
        <f>IFERROR(__xludf.DUMMYFUNCTION("""COMPUTED_VALUE"""),524.5)</f>
        <v>524.5</v>
      </c>
      <c r="D1541" s="2">
        <f>IFERROR(__xludf.DUMMYFUNCTION("""COMPUTED_VALUE"""),503.0)</f>
        <v>503</v>
      </c>
      <c r="E1541" s="2">
        <f>IFERROR(__xludf.DUMMYFUNCTION("""COMPUTED_VALUE"""),507.7)</f>
        <v>507.7</v>
      </c>
      <c r="F1541" s="2">
        <f>IFERROR(__xludf.DUMMYFUNCTION("""COMPUTED_VALUE"""),1086326.0)</f>
        <v>1086326</v>
      </c>
    </row>
    <row r="1542">
      <c r="A1542" s="3">
        <f>IFERROR(__xludf.DUMMYFUNCTION("""COMPUTED_VALUE"""),40504.645833333336)</f>
        <v>40504.64583</v>
      </c>
      <c r="B1542" s="2">
        <f>IFERROR(__xludf.DUMMYFUNCTION("""COMPUTED_VALUE"""),508.0)</f>
        <v>508</v>
      </c>
      <c r="C1542" s="2">
        <f>IFERROR(__xludf.DUMMYFUNCTION("""COMPUTED_VALUE"""),521.5)</f>
        <v>521.5</v>
      </c>
      <c r="D1542" s="2">
        <f>IFERROR(__xludf.DUMMYFUNCTION("""COMPUTED_VALUE"""),505.75)</f>
        <v>505.75</v>
      </c>
      <c r="E1542" s="2">
        <f>IFERROR(__xludf.DUMMYFUNCTION("""COMPUTED_VALUE"""),519.55)</f>
        <v>519.55</v>
      </c>
      <c r="F1542" s="2">
        <f>IFERROR(__xludf.DUMMYFUNCTION("""COMPUTED_VALUE"""),1110618.0)</f>
        <v>1110618</v>
      </c>
    </row>
    <row r="1543">
      <c r="A1543" s="3">
        <f>IFERROR(__xludf.DUMMYFUNCTION("""COMPUTED_VALUE"""),40505.645833333336)</f>
        <v>40505.64583</v>
      </c>
      <c r="B1543" s="2">
        <f>IFERROR(__xludf.DUMMYFUNCTION("""COMPUTED_VALUE"""),517.0)</f>
        <v>517</v>
      </c>
      <c r="C1543" s="2">
        <f>IFERROR(__xludf.DUMMYFUNCTION("""COMPUTED_VALUE"""),522.5)</f>
        <v>522.5</v>
      </c>
      <c r="D1543" s="2">
        <f>IFERROR(__xludf.DUMMYFUNCTION("""COMPUTED_VALUE"""),506.2)</f>
        <v>506.2</v>
      </c>
      <c r="E1543" s="2">
        <f>IFERROR(__xludf.DUMMYFUNCTION("""COMPUTED_VALUE"""),515.03)</f>
        <v>515.03</v>
      </c>
      <c r="F1543" s="2">
        <f>IFERROR(__xludf.DUMMYFUNCTION("""COMPUTED_VALUE"""),842224.0)</f>
        <v>842224</v>
      </c>
    </row>
    <row r="1544">
      <c r="A1544" s="3">
        <f>IFERROR(__xludf.DUMMYFUNCTION("""COMPUTED_VALUE"""),40506.645833333336)</f>
        <v>40506.64583</v>
      </c>
      <c r="B1544" s="2">
        <f>IFERROR(__xludf.DUMMYFUNCTION("""COMPUTED_VALUE"""),512.5)</f>
        <v>512.5</v>
      </c>
      <c r="C1544" s="2">
        <f>IFERROR(__xludf.DUMMYFUNCTION("""COMPUTED_VALUE"""),517.25)</f>
        <v>517.25</v>
      </c>
      <c r="D1544" s="2">
        <f>IFERROR(__xludf.DUMMYFUNCTION("""COMPUTED_VALUE"""),499.48)</f>
        <v>499.48</v>
      </c>
      <c r="E1544" s="2">
        <f>IFERROR(__xludf.DUMMYFUNCTION("""COMPUTED_VALUE"""),502.38)</f>
        <v>502.38</v>
      </c>
      <c r="F1544" s="2">
        <f>IFERROR(__xludf.DUMMYFUNCTION("""COMPUTED_VALUE"""),1504304.0)</f>
        <v>1504304</v>
      </c>
    </row>
    <row r="1545">
      <c r="A1545" s="3">
        <f>IFERROR(__xludf.DUMMYFUNCTION("""COMPUTED_VALUE"""),40507.645833333336)</f>
        <v>40507.64583</v>
      </c>
      <c r="B1545" s="2">
        <f>IFERROR(__xludf.DUMMYFUNCTION("""COMPUTED_VALUE"""),505.03)</f>
        <v>505.03</v>
      </c>
      <c r="C1545" s="2">
        <f>IFERROR(__xludf.DUMMYFUNCTION("""COMPUTED_VALUE"""),520.95)</f>
        <v>520.95</v>
      </c>
      <c r="D1545" s="2">
        <f>IFERROR(__xludf.DUMMYFUNCTION("""COMPUTED_VALUE"""),503.55)</f>
        <v>503.55</v>
      </c>
      <c r="E1545" s="2">
        <f>IFERROR(__xludf.DUMMYFUNCTION("""COMPUTED_VALUE"""),510.9)</f>
        <v>510.9</v>
      </c>
      <c r="F1545" s="2">
        <f>IFERROR(__xludf.DUMMYFUNCTION("""COMPUTED_VALUE"""),2927503.0)</f>
        <v>2927503</v>
      </c>
    </row>
    <row r="1546">
      <c r="A1546" s="3">
        <f>IFERROR(__xludf.DUMMYFUNCTION("""COMPUTED_VALUE"""),40508.645833333336)</f>
        <v>40508.64583</v>
      </c>
      <c r="B1546" s="2">
        <f>IFERROR(__xludf.DUMMYFUNCTION("""COMPUTED_VALUE"""),512.5)</f>
        <v>512.5</v>
      </c>
      <c r="C1546" s="2">
        <f>IFERROR(__xludf.DUMMYFUNCTION("""COMPUTED_VALUE"""),527.0)</f>
        <v>527</v>
      </c>
      <c r="D1546" s="2">
        <f>IFERROR(__xludf.DUMMYFUNCTION("""COMPUTED_VALUE"""),512.5)</f>
        <v>512.5</v>
      </c>
      <c r="E1546" s="2">
        <f>IFERROR(__xludf.DUMMYFUNCTION("""COMPUTED_VALUE"""),523.63)</f>
        <v>523.63</v>
      </c>
      <c r="F1546" s="2">
        <f>IFERROR(__xludf.DUMMYFUNCTION("""COMPUTED_VALUE"""),1808913.0)</f>
        <v>1808913</v>
      </c>
    </row>
    <row r="1547">
      <c r="A1547" s="3">
        <f>IFERROR(__xludf.DUMMYFUNCTION("""COMPUTED_VALUE"""),40511.645833333336)</f>
        <v>40511.64583</v>
      </c>
      <c r="B1547" s="2">
        <f>IFERROR(__xludf.DUMMYFUNCTION("""COMPUTED_VALUE"""),527.5)</f>
        <v>527.5</v>
      </c>
      <c r="C1547" s="2">
        <f>IFERROR(__xludf.DUMMYFUNCTION("""COMPUTED_VALUE"""),539.25)</f>
        <v>539.25</v>
      </c>
      <c r="D1547" s="2">
        <f>IFERROR(__xludf.DUMMYFUNCTION("""COMPUTED_VALUE"""),525.13)</f>
        <v>525.13</v>
      </c>
      <c r="E1547" s="2">
        <f>IFERROR(__xludf.DUMMYFUNCTION("""COMPUTED_VALUE"""),535.65)</f>
        <v>535.65</v>
      </c>
      <c r="F1547" s="2">
        <f>IFERROR(__xludf.DUMMYFUNCTION("""COMPUTED_VALUE"""),2259446.0)</f>
        <v>2259446</v>
      </c>
    </row>
    <row r="1548">
      <c r="A1548" s="3">
        <f>IFERROR(__xludf.DUMMYFUNCTION("""COMPUTED_VALUE"""),40512.645833333336)</f>
        <v>40512.64583</v>
      </c>
      <c r="B1548" s="2">
        <f>IFERROR(__xludf.DUMMYFUNCTION("""COMPUTED_VALUE"""),530.25)</f>
        <v>530.25</v>
      </c>
      <c r="C1548" s="2">
        <f>IFERROR(__xludf.DUMMYFUNCTION("""COMPUTED_VALUE"""),543.03)</f>
        <v>543.03</v>
      </c>
      <c r="D1548" s="2">
        <f>IFERROR(__xludf.DUMMYFUNCTION("""COMPUTED_VALUE"""),526.55)</f>
        <v>526.55</v>
      </c>
      <c r="E1548" s="2">
        <f>IFERROR(__xludf.DUMMYFUNCTION("""COMPUTED_VALUE"""),538.0)</f>
        <v>538</v>
      </c>
      <c r="F1548" s="2">
        <f>IFERROR(__xludf.DUMMYFUNCTION("""COMPUTED_VALUE"""),2404204.0)</f>
        <v>2404204</v>
      </c>
    </row>
    <row r="1549">
      <c r="A1549" s="3">
        <f>IFERROR(__xludf.DUMMYFUNCTION("""COMPUTED_VALUE"""),40513.645833333336)</f>
        <v>40513.64583</v>
      </c>
      <c r="B1549" s="2">
        <f>IFERROR(__xludf.DUMMYFUNCTION("""COMPUTED_VALUE"""),532.0)</f>
        <v>532</v>
      </c>
      <c r="C1549" s="2">
        <f>IFERROR(__xludf.DUMMYFUNCTION("""COMPUTED_VALUE"""),546.6)</f>
        <v>546.6</v>
      </c>
      <c r="D1549" s="2">
        <f>IFERROR(__xludf.DUMMYFUNCTION("""COMPUTED_VALUE"""),532.0)</f>
        <v>532</v>
      </c>
      <c r="E1549" s="2">
        <f>IFERROR(__xludf.DUMMYFUNCTION("""COMPUTED_VALUE"""),540.95)</f>
        <v>540.95</v>
      </c>
      <c r="F1549" s="2">
        <f>IFERROR(__xludf.DUMMYFUNCTION("""COMPUTED_VALUE"""),1888016.0)</f>
        <v>1888016</v>
      </c>
    </row>
    <row r="1550">
      <c r="A1550" s="3">
        <f>IFERROR(__xludf.DUMMYFUNCTION("""COMPUTED_VALUE"""),40514.645833333336)</f>
        <v>40514.64583</v>
      </c>
      <c r="B1550" s="2">
        <f>IFERROR(__xludf.DUMMYFUNCTION("""COMPUTED_VALUE"""),545.5)</f>
        <v>545.5</v>
      </c>
      <c r="C1550" s="2">
        <f>IFERROR(__xludf.DUMMYFUNCTION("""COMPUTED_VALUE"""),549.6)</f>
        <v>549.6</v>
      </c>
      <c r="D1550" s="2">
        <f>IFERROR(__xludf.DUMMYFUNCTION("""COMPUTED_VALUE"""),537.53)</f>
        <v>537.53</v>
      </c>
      <c r="E1550" s="2">
        <f>IFERROR(__xludf.DUMMYFUNCTION("""COMPUTED_VALUE"""),547.9)</f>
        <v>547.9</v>
      </c>
      <c r="F1550" s="2">
        <f>IFERROR(__xludf.DUMMYFUNCTION("""COMPUTED_VALUE"""),2047858.0)</f>
        <v>2047858</v>
      </c>
    </row>
    <row r="1551">
      <c r="A1551" s="3">
        <f>IFERROR(__xludf.DUMMYFUNCTION("""COMPUTED_VALUE"""),40515.645833333336)</f>
        <v>40515.64583</v>
      </c>
      <c r="B1551" s="2">
        <f>IFERROR(__xludf.DUMMYFUNCTION("""COMPUTED_VALUE"""),546.53)</f>
        <v>546.53</v>
      </c>
      <c r="C1551" s="2">
        <f>IFERROR(__xludf.DUMMYFUNCTION("""COMPUTED_VALUE"""),556.5)</f>
        <v>556.5</v>
      </c>
      <c r="D1551" s="2">
        <f>IFERROR(__xludf.DUMMYFUNCTION("""COMPUTED_VALUE"""),545.58)</f>
        <v>545.58</v>
      </c>
      <c r="E1551" s="2">
        <f>IFERROR(__xludf.DUMMYFUNCTION("""COMPUTED_VALUE"""),548.67)</f>
        <v>548.67</v>
      </c>
      <c r="F1551" s="2">
        <f>IFERROR(__xludf.DUMMYFUNCTION("""COMPUTED_VALUE"""),1015056.0)</f>
        <v>1015056</v>
      </c>
    </row>
    <row r="1552">
      <c r="A1552" s="3">
        <f>IFERROR(__xludf.DUMMYFUNCTION("""COMPUTED_VALUE"""),40518.645833333336)</f>
        <v>40518.64583</v>
      </c>
      <c r="B1552" s="2">
        <f>IFERROR(__xludf.DUMMYFUNCTION("""COMPUTED_VALUE"""),550.0)</f>
        <v>550</v>
      </c>
      <c r="C1552" s="2">
        <f>IFERROR(__xludf.DUMMYFUNCTION("""COMPUTED_VALUE"""),555.0)</f>
        <v>555</v>
      </c>
      <c r="D1552" s="2">
        <f>IFERROR(__xludf.DUMMYFUNCTION("""COMPUTED_VALUE"""),547.65)</f>
        <v>547.65</v>
      </c>
      <c r="E1552" s="2">
        <f>IFERROR(__xludf.DUMMYFUNCTION("""COMPUTED_VALUE"""),550.85)</f>
        <v>550.85</v>
      </c>
      <c r="F1552" s="2">
        <f>IFERROR(__xludf.DUMMYFUNCTION("""COMPUTED_VALUE"""),965477.0)</f>
        <v>965477</v>
      </c>
    </row>
    <row r="1553">
      <c r="A1553" s="3">
        <f>IFERROR(__xludf.DUMMYFUNCTION("""COMPUTED_VALUE"""),40519.645833333336)</f>
        <v>40519.64583</v>
      </c>
      <c r="B1553" s="2">
        <f>IFERROR(__xludf.DUMMYFUNCTION("""COMPUTED_VALUE"""),550.0)</f>
        <v>550</v>
      </c>
      <c r="C1553" s="2">
        <f>IFERROR(__xludf.DUMMYFUNCTION("""COMPUTED_VALUE"""),550.0)</f>
        <v>550</v>
      </c>
      <c r="D1553" s="2">
        <f>IFERROR(__xludf.DUMMYFUNCTION("""COMPUTED_VALUE"""),541.05)</f>
        <v>541.05</v>
      </c>
      <c r="E1553" s="2">
        <f>IFERROR(__xludf.DUMMYFUNCTION("""COMPUTED_VALUE"""),543.75)</f>
        <v>543.75</v>
      </c>
      <c r="F1553" s="2">
        <f>IFERROR(__xludf.DUMMYFUNCTION("""COMPUTED_VALUE"""),1079162.0)</f>
        <v>1079162</v>
      </c>
    </row>
    <row r="1554">
      <c r="A1554" s="3">
        <f>IFERROR(__xludf.DUMMYFUNCTION("""COMPUTED_VALUE"""),40520.645833333336)</f>
        <v>40520.64583</v>
      </c>
      <c r="B1554" s="2">
        <f>IFERROR(__xludf.DUMMYFUNCTION("""COMPUTED_VALUE"""),545.48)</f>
        <v>545.48</v>
      </c>
      <c r="C1554" s="2">
        <f>IFERROR(__xludf.DUMMYFUNCTION("""COMPUTED_VALUE"""),546.48)</f>
        <v>546.48</v>
      </c>
      <c r="D1554" s="2">
        <f>IFERROR(__xludf.DUMMYFUNCTION("""COMPUTED_VALUE"""),535.63)</f>
        <v>535.63</v>
      </c>
      <c r="E1554" s="2">
        <f>IFERROR(__xludf.DUMMYFUNCTION("""COMPUTED_VALUE"""),539.58)</f>
        <v>539.58</v>
      </c>
      <c r="F1554" s="2">
        <f>IFERROR(__xludf.DUMMYFUNCTION("""COMPUTED_VALUE"""),992066.0)</f>
        <v>992066</v>
      </c>
    </row>
    <row r="1555">
      <c r="A1555" s="3">
        <f>IFERROR(__xludf.DUMMYFUNCTION("""COMPUTED_VALUE"""),40521.645833333336)</f>
        <v>40521.64583</v>
      </c>
      <c r="B1555" s="2">
        <f>IFERROR(__xludf.DUMMYFUNCTION("""COMPUTED_VALUE"""),541.85)</f>
        <v>541.85</v>
      </c>
      <c r="C1555" s="2">
        <f>IFERROR(__xludf.DUMMYFUNCTION("""COMPUTED_VALUE"""),548.65)</f>
        <v>548.65</v>
      </c>
      <c r="D1555" s="2">
        <f>IFERROR(__xludf.DUMMYFUNCTION("""COMPUTED_VALUE"""),534.05)</f>
        <v>534.05</v>
      </c>
      <c r="E1555" s="2">
        <f>IFERROR(__xludf.DUMMYFUNCTION("""COMPUTED_VALUE"""),536.3)</f>
        <v>536.3</v>
      </c>
      <c r="F1555" s="2">
        <f>IFERROR(__xludf.DUMMYFUNCTION("""COMPUTED_VALUE"""),1289951.0)</f>
        <v>1289951</v>
      </c>
    </row>
    <row r="1556">
      <c r="A1556" s="3">
        <f>IFERROR(__xludf.DUMMYFUNCTION("""COMPUTED_VALUE"""),40522.645833333336)</f>
        <v>40522.64583</v>
      </c>
      <c r="B1556" s="2">
        <f>IFERROR(__xludf.DUMMYFUNCTION("""COMPUTED_VALUE"""),533.5)</f>
        <v>533.5</v>
      </c>
      <c r="C1556" s="2">
        <f>IFERROR(__xludf.DUMMYFUNCTION("""COMPUTED_VALUE"""),541.92)</f>
        <v>541.92</v>
      </c>
      <c r="D1556" s="2">
        <f>IFERROR(__xludf.DUMMYFUNCTION("""COMPUTED_VALUE"""),528.5)</f>
        <v>528.5</v>
      </c>
      <c r="E1556" s="2">
        <f>IFERROR(__xludf.DUMMYFUNCTION("""COMPUTED_VALUE"""),537.45)</f>
        <v>537.45</v>
      </c>
      <c r="F1556" s="2">
        <f>IFERROR(__xludf.DUMMYFUNCTION("""COMPUTED_VALUE"""),1122812.0)</f>
        <v>1122812</v>
      </c>
    </row>
    <row r="1557">
      <c r="A1557" s="3">
        <f>IFERROR(__xludf.DUMMYFUNCTION("""COMPUTED_VALUE"""),40525.645833333336)</f>
        <v>40525.64583</v>
      </c>
      <c r="B1557" s="2">
        <f>IFERROR(__xludf.DUMMYFUNCTION("""COMPUTED_VALUE"""),535.5)</f>
        <v>535.5</v>
      </c>
      <c r="C1557" s="2">
        <f>IFERROR(__xludf.DUMMYFUNCTION("""COMPUTED_VALUE"""),540.35)</f>
        <v>540.35</v>
      </c>
      <c r="D1557" s="2">
        <f>IFERROR(__xludf.DUMMYFUNCTION("""COMPUTED_VALUE"""),524.2)</f>
        <v>524.2</v>
      </c>
      <c r="E1557" s="2">
        <f>IFERROR(__xludf.DUMMYFUNCTION("""COMPUTED_VALUE"""),538.05)</f>
        <v>538.05</v>
      </c>
      <c r="F1557" s="2">
        <f>IFERROR(__xludf.DUMMYFUNCTION("""COMPUTED_VALUE"""),1057533.0)</f>
        <v>1057533</v>
      </c>
    </row>
    <row r="1558">
      <c r="A1558" s="3">
        <f>IFERROR(__xludf.DUMMYFUNCTION("""COMPUTED_VALUE"""),40526.645833333336)</f>
        <v>40526.64583</v>
      </c>
      <c r="B1558" s="2">
        <f>IFERROR(__xludf.DUMMYFUNCTION("""COMPUTED_VALUE"""),536.6)</f>
        <v>536.6</v>
      </c>
      <c r="C1558" s="2">
        <f>IFERROR(__xludf.DUMMYFUNCTION("""COMPUTED_VALUE"""),544.8)</f>
        <v>544.8</v>
      </c>
      <c r="D1558" s="2">
        <f>IFERROR(__xludf.DUMMYFUNCTION("""COMPUTED_VALUE"""),532.08)</f>
        <v>532.08</v>
      </c>
      <c r="E1558" s="2">
        <f>IFERROR(__xludf.DUMMYFUNCTION("""COMPUTED_VALUE"""),540.48)</f>
        <v>540.48</v>
      </c>
      <c r="F1558" s="2">
        <f>IFERROR(__xludf.DUMMYFUNCTION("""COMPUTED_VALUE"""),1307670.0)</f>
        <v>1307670</v>
      </c>
    </row>
    <row r="1559">
      <c r="A1559" s="3">
        <f>IFERROR(__xludf.DUMMYFUNCTION("""COMPUTED_VALUE"""),40527.645833333336)</f>
        <v>40527.64583</v>
      </c>
      <c r="B1559" s="2">
        <f>IFERROR(__xludf.DUMMYFUNCTION("""COMPUTED_VALUE"""),542.55)</f>
        <v>542.55</v>
      </c>
      <c r="C1559" s="2">
        <f>IFERROR(__xludf.DUMMYFUNCTION("""COMPUTED_VALUE"""),554.2)</f>
        <v>554.2</v>
      </c>
      <c r="D1559" s="2">
        <f>IFERROR(__xludf.DUMMYFUNCTION("""COMPUTED_VALUE"""),540.75)</f>
        <v>540.75</v>
      </c>
      <c r="E1559" s="2">
        <f>IFERROR(__xludf.DUMMYFUNCTION("""COMPUTED_VALUE"""),551.83)</f>
        <v>551.83</v>
      </c>
      <c r="F1559" s="2">
        <f>IFERROR(__xludf.DUMMYFUNCTION("""COMPUTED_VALUE"""),1286017.0)</f>
        <v>1286017</v>
      </c>
    </row>
    <row r="1560">
      <c r="A1560" s="3">
        <f>IFERROR(__xludf.DUMMYFUNCTION("""COMPUTED_VALUE"""),40528.645833333336)</f>
        <v>40528.64583</v>
      </c>
      <c r="B1560" s="2">
        <f>IFERROR(__xludf.DUMMYFUNCTION("""COMPUTED_VALUE"""),554.5)</f>
        <v>554.5</v>
      </c>
      <c r="C1560" s="2">
        <f>IFERROR(__xludf.DUMMYFUNCTION("""COMPUTED_VALUE"""),572.0)</f>
        <v>572</v>
      </c>
      <c r="D1560" s="2">
        <f>IFERROR(__xludf.DUMMYFUNCTION("""COMPUTED_VALUE"""),552.08)</f>
        <v>552.08</v>
      </c>
      <c r="E1560" s="2">
        <f>IFERROR(__xludf.DUMMYFUNCTION("""COMPUTED_VALUE"""),570.35)</f>
        <v>570.35</v>
      </c>
      <c r="F1560" s="2">
        <f>IFERROR(__xludf.DUMMYFUNCTION("""COMPUTED_VALUE"""),2257852.0)</f>
        <v>2257852</v>
      </c>
    </row>
    <row r="1561">
      <c r="A1561" s="3">
        <f>IFERROR(__xludf.DUMMYFUNCTION("""COMPUTED_VALUE"""),40532.645833333336)</f>
        <v>40532.64583</v>
      </c>
      <c r="B1561" s="2">
        <f>IFERROR(__xludf.DUMMYFUNCTION("""COMPUTED_VALUE"""),567.4)</f>
        <v>567.4</v>
      </c>
      <c r="C1561" s="2">
        <f>IFERROR(__xludf.DUMMYFUNCTION("""COMPUTED_VALUE"""),588.5)</f>
        <v>588.5</v>
      </c>
      <c r="D1561" s="2">
        <f>IFERROR(__xludf.DUMMYFUNCTION("""COMPUTED_VALUE"""),557.42)</f>
        <v>557.42</v>
      </c>
      <c r="E1561" s="2">
        <f>IFERROR(__xludf.DUMMYFUNCTION("""COMPUTED_VALUE"""),583.35)</f>
        <v>583.35</v>
      </c>
      <c r="F1561" s="2">
        <f>IFERROR(__xludf.DUMMYFUNCTION("""COMPUTED_VALUE"""),2257023.0)</f>
        <v>2257023</v>
      </c>
    </row>
    <row r="1562">
      <c r="A1562" s="3">
        <f>IFERROR(__xludf.DUMMYFUNCTION("""COMPUTED_VALUE"""),40533.645833333336)</f>
        <v>40533.64583</v>
      </c>
      <c r="B1562" s="2">
        <f>IFERROR(__xludf.DUMMYFUNCTION("""COMPUTED_VALUE"""),584.5)</f>
        <v>584.5</v>
      </c>
      <c r="C1562" s="2">
        <f>IFERROR(__xludf.DUMMYFUNCTION("""COMPUTED_VALUE"""),586.13)</f>
        <v>586.13</v>
      </c>
      <c r="D1562" s="2">
        <f>IFERROR(__xludf.DUMMYFUNCTION("""COMPUTED_VALUE"""),577.0)</f>
        <v>577</v>
      </c>
      <c r="E1562" s="2">
        <f>IFERROR(__xludf.DUMMYFUNCTION("""COMPUTED_VALUE"""),580.4)</f>
        <v>580.4</v>
      </c>
      <c r="F1562" s="2">
        <f>IFERROR(__xludf.DUMMYFUNCTION("""COMPUTED_VALUE"""),1405321.0)</f>
        <v>1405321</v>
      </c>
    </row>
    <row r="1563">
      <c r="A1563" s="3">
        <f>IFERROR(__xludf.DUMMYFUNCTION("""COMPUTED_VALUE"""),40534.645833333336)</f>
        <v>40534.64583</v>
      </c>
      <c r="B1563" s="2">
        <f>IFERROR(__xludf.DUMMYFUNCTION("""COMPUTED_VALUE"""),583.5)</f>
        <v>583.5</v>
      </c>
      <c r="C1563" s="2">
        <f>IFERROR(__xludf.DUMMYFUNCTION("""COMPUTED_VALUE"""),584.5)</f>
        <v>584.5</v>
      </c>
      <c r="D1563" s="2">
        <f>IFERROR(__xludf.DUMMYFUNCTION("""COMPUTED_VALUE"""),568.88)</f>
        <v>568.88</v>
      </c>
      <c r="E1563" s="2">
        <f>IFERROR(__xludf.DUMMYFUNCTION("""COMPUTED_VALUE"""),574.88)</f>
        <v>574.88</v>
      </c>
      <c r="F1563" s="2">
        <f>IFERROR(__xludf.DUMMYFUNCTION("""COMPUTED_VALUE"""),1593418.0)</f>
        <v>1593418</v>
      </c>
    </row>
    <row r="1564">
      <c r="A1564" s="3">
        <f>IFERROR(__xludf.DUMMYFUNCTION("""COMPUTED_VALUE"""),40535.645833333336)</f>
        <v>40535.64583</v>
      </c>
      <c r="B1564" s="2">
        <f>IFERROR(__xludf.DUMMYFUNCTION("""COMPUTED_VALUE"""),575.0)</f>
        <v>575</v>
      </c>
      <c r="C1564" s="2">
        <f>IFERROR(__xludf.DUMMYFUNCTION("""COMPUTED_VALUE"""),579.78)</f>
        <v>579.78</v>
      </c>
      <c r="D1564" s="2">
        <f>IFERROR(__xludf.DUMMYFUNCTION("""COMPUTED_VALUE"""),566.05)</f>
        <v>566.05</v>
      </c>
      <c r="E1564" s="2">
        <f>IFERROR(__xludf.DUMMYFUNCTION("""COMPUTED_VALUE"""),570.0)</f>
        <v>570</v>
      </c>
      <c r="F1564" s="2">
        <f>IFERROR(__xludf.DUMMYFUNCTION("""COMPUTED_VALUE"""),1425462.0)</f>
        <v>1425462</v>
      </c>
    </row>
    <row r="1565">
      <c r="A1565" s="3">
        <f>IFERROR(__xludf.DUMMYFUNCTION("""COMPUTED_VALUE"""),40536.645833333336)</f>
        <v>40536.64583</v>
      </c>
      <c r="B1565" s="2">
        <f>IFERROR(__xludf.DUMMYFUNCTION("""COMPUTED_VALUE"""),567.0)</f>
        <v>567</v>
      </c>
      <c r="C1565" s="2">
        <f>IFERROR(__xludf.DUMMYFUNCTION("""COMPUTED_VALUE"""),574.4)</f>
        <v>574.4</v>
      </c>
      <c r="D1565" s="2">
        <f>IFERROR(__xludf.DUMMYFUNCTION("""COMPUTED_VALUE"""),562.88)</f>
        <v>562.88</v>
      </c>
      <c r="E1565" s="2">
        <f>IFERROR(__xludf.DUMMYFUNCTION("""COMPUTED_VALUE"""),570.55)</f>
        <v>570.55</v>
      </c>
      <c r="F1565" s="2">
        <f>IFERROR(__xludf.DUMMYFUNCTION("""COMPUTED_VALUE"""),812320.0)</f>
        <v>812320</v>
      </c>
    </row>
    <row r="1566">
      <c r="A1566" s="3">
        <f>IFERROR(__xludf.DUMMYFUNCTION("""COMPUTED_VALUE"""),40539.645833333336)</f>
        <v>40539.64583</v>
      </c>
      <c r="B1566" s="2">
        <f>IFERROR(__xludf.DUMMYFUNCTION("""COMPUTED_VALUE"""),572.5)</f>
        <v>572.5</v>
      </c>
      <c r="C1566" s="2">
        <f>IFERROR(__xludf.DUMMYFUNCTION("""COMPUTED_VALUE"""),579.73)</f>
        <v>579.73</v>
      </c>
      <c r="D1566" s="2">
        <f>IFERROR(__xludf.DUMMYFUNCTION("""COMPUTED_VALUE"""),569.1)</f>
        <v>569.1</v>
      </c>
      <c r="E1566" s="2">
        <f>IFERROR(__xludf.DUMMYFUNCTION("""COMPUTED_VALUE"""),570.6)</f>
        <v>570.6</v>
      </c>
      <c r="F1566" s="2">
        <f>IFERROR(__xludf.DUMMYFUNCTION("""COMPUTED_VALUE"""),832468.0)</f>
        <v>832468</v>
      </c>
    </row>
    <row r="1567">
      <c r="A1567" s="3">
        <f>IFERROR(__xludf.DUMMYFUNCTION("""COMPUTED_VALUE"""),40540.645833333336)</f>
        <v>40540.64583</v>
      </c>
      <c r="B1567" s="2">
        <f>IFERROR(__xludf.DUMMYFUNCTION("""COMPUTED_VALUE"""),570.6)</f>
        <v>570.6</v>
      </c>
      <c r="C1567" s="2">
        <f>IFERROR(__xludf.DUMMYFUNCTION("""COMPUTED_VALUE"""),575.45)</f>
        <v>575.45</v>
      </c>
      <c r="D1567" s="2">
        <f>IFERROR(__xludf.DUMMYFUNCTION("""COMPUTED_VALUE"""),570.03)</f>
        <v>570.03</v>
      </c>
      <c r="E1567" s="2">
        <f>IFERROR(__xludf.DUMMYFUNCTION("""COMPUTED_VALUE"""),573.17)</f>
        <v>573.17</v>
      </c>
      <c r="F1567" s="2">
        <f>IFERROR(__xludf.DUMMYFUNCTION("""COMPUTED_VALUE"""),506438.0)</f>
        <v>506438</v>
      </c>
    </row>
    <row r="1568">
      <c r="A1568" s="3">
        <f>IFERROR(__xludf.DUMMYFUNCTION("""COMPUTED_VALUE"""),40541.645833333336)</f>
        <v>40541.64583</v>
      </c>
      <c r="B1568" s="2">
        <f>IFERROR(__xludf.DUMMYFUNCTION("""COMPUTED_VALUE"""),574.5)</f>
        <v>574.5</v>
      </c>
      <c r="C1568" s="2">
        <f>IFERROR(__xludf.DUMMYFUNCTION("""COMPUTED_VALUE"""),581.0)</f>
        <v>581</v>
      </c>
      <c r="D1568" s="2">
        <f>IFERROR(__xludf.DUMMYFUNCTION("""COMPUTED_VALUE"""),573.53)</f>
        <v>573.53</v>
      </c>
      <c r="E1568" s="2">
        <f>IFERROR(__xludf.DUMMYFUNCTION("""COMPUTED_VALUE"""),578.48)</f>
        <v>578.48</v>
      </c>
      <c r="F1568" s="2">
        <f>IFERROR(__xludf.DUMMYFUNCTION("""COMPUTED_VALUE"""),521185.0)</f>
        <v>521185</v>
      </c>
    </row>
    <row r="1569">
      <c r="A1569" s="3">
        <f>IFERROR(__xludf.DUMMYFUNCTION("""COMPUTED_VALUE"""),40542.645833333336)</f>
        <v>40542.64583</v>
      </c>
      <c r="B1569" s="2">
        <f>IFERROR(__xludf.DUMMYFUNCTION("""COMPUTED_VALUE"""),576.25)</f>
        <v>576.25</v>
      </c>
      <c r="C1569" s="2">
        <f>IFERROR(__xludf.DUMMYFUNCTION("""COMPUTED_VALUE"""),587.4)</f>
        <v>587.4</v>
      </c>
      <c r="D1569" s="2">
        <f>IFERROR(__xludf.DUMMYFUNCTION("""COMPUTED_VALUE"""),576.25)</f>
        <v>576.25</v>
      </c>
      <c r="E1569" s="2">
        <f>IFERROR(__xludf.DUMMYFUNCTION("""COMPUTED_VALUE"""),585.1)</f>
        <v>585.1</v>
      </c>
      <c r="F1569" s="2">
        <f>IFERROR(__xludf.DUMMYFUNCTION("""COMPUTED_VALUE"""),1922776.0)</f>
        <v>1922776</v>
      </c>
    </row>
    <row r="1570">
      <c r="A1570" s="3">
        <f>IFERROR(__xludf.DUMMYFUNCTION("""COMPUTED_VALUE"""),40543.645833333336)</f>
        <v>40543.64583</v>
      </c>
      <c r="B1570" s="2">
        <f>IFERROR(__xludf.DUMMYFUNCTION("""COMPUTED_VALUE"""),586.25)</f>
        <v>586.25</v>
      </c>
      <c r="C1570" s="2">
        <f>IFERROR(__xludf.DUMMYFUNCTION("""COMPUTED_VALUE"""),590.0)</f>
        <v>590</v>
      </c>
      <c r="D1570" s="2">
        <f>IFERROR(__xludf.DUMMYFUNCTION("""COMPUTED_VALUE"""),580.9)</f>
        <v>580.9</v>
      </c>
      <c r="E1570" s="2">
        <f>IFERROR(__xludf.DUMMYFUNCTION("""COMPUTED_VALUE"""),582.83)</f>
        <v>582.83</v>
      </c>
      <c r="F1570" s="2">
        <f>IFERROR(__xludf.DUMMYFUNCTION("""COMPUTED_VALUE"""),766490.0)</f>
        <v>766490</v>
      </c>
    </row>
    <row r="1571">
      <c r="A1571" s="3">
        <f>IFERROR(__xludf.DUMMYFUNCTION("""COMPUTED_VALUE"""),40546.645833333336)</f>
        <v>40546.64583</v>
      </c>
      <c r="B1571" s="2">
        <f>IFERROR(__xludf.DUMMYFUNCTION("""COMPUTED_VALUE"""),583.5)</f>
        <v>583.5</v>
      </c>
      <c r="C1571" s="2">
        <f>IFERROR(__xludf.DUMMYFUNCTION("""COMPUTED_VALUE"""),588.48)</f>
        <v>588.48</v>
      </c>
      <c r="D1571" s="2">
        <f>IFERROR(__xludf.DUMMYFUNCTION("""COMPUTED_VALUE"""),577.28)</f>
        <v>577.28</v>
      </c>
      <c r="E1571" s="2">
        <f>IFERROR(__xludf.DUMMYFUNCTION("""COMPUTED_VALUE"""),579.03)</f>
        <v>579.03</v>
      </c>
      <c r="F1571" s="2">
        <f>IFERROR(__xludf.DUMMYFUNCTION("""COMPUTED_VALUE"""),702521.0)</f>
        <v>702521</v>
      </c>
    </row>
    <row r="1572">
      <c r="A1572" s="3">
        <f>IFERROR(__xludf.DUMMYFUNCTION("""COMPUTED_VALUE"""),40547.645833333336)</f>
        <v>40547.64583</v>
      </c>
      <c r="B1572" s="2">
        <f>IFERROR(__xludf.DUMMYFUNCTION("""COMPUTED_VALUE"""),581.95)</f>
        <v>581.95</v>
      </c>
      <c r="C1572" s="2">
        <f>IFERROR(__xludf.DUMMYFUNCTION("""COMPUTED_VALUE"""),583.08)</f>
        <v>583.08</v>
      </c>
      <c r="D1572" s="2">
        <f>IFERROR(__xludf.DUMMYFUNCTION("""COMPUTED_VALUE"""),569.05)</f>
        <v>569.05</v>
      </c>
      <c r="E1572" s="2">
        <f>IFERROR(__xludf.DUMMYFUNCTION("""COMPUTED_VALUE"""),572.38)</f>
        <v>572.38</v>
      </c>
      <c r="F1572" s="2">
        <f>IFERROR(__xludf.DUMMYFUNCTION("""COMPUTED_VALUE"""),1251434.0)</f>
        <v>1251434</v>
      </c>
    </row>
    <row r="1573">
      <c r="A1573" s="3">
        <f>IFERROR(__xludf.DUMMYFUNCTION("""COMPUTED_VALUE"""),40548.645833333336)</f>
        <v>40548.64583</v>
      </c>
      <c r="B1573" s="2">
        <f>IFERROR(__xludf.DUMMYFUNCTION("""COMPUTED_VALUE"""),572.63)</f>
        <v>572.63</v>
      </c>
      <c r="C1573" s="2">
        <f>IFERROR(__xludf.DUMMYFUNCTION("""COMPUTED_VALUE"""),582.95)</f>
        <v>582.95</v>
      </c>
      <c r="D1573" s="2">
        <f>IFERROR(__xludf.DUMMYFUNCTION("""COMPUTED_VALUE"""),570.88)</f>
        <v>570.88</v>
      </c>
      <c r="E1573" s="2">
        <f>IFERROR(__xludf.DUMMYFUNCTION("""COMPUTED_VALUE"""),579.48)</f>
        <v>579.48</v>
      </c>
      <c r="F1573" s="2">
        <f>IFERROR(__xludf.DUMMYFUNCTION("""COMPUTED_VALUE"""),1534837.0)</f>
        <v>1534837</v>
      </c>
    </row>
    <row r="1574">
      <c r="A1574" s="3">
        <f>IFERROR(__xludf.DUMMYFUNCTION("""COMPUTED_VALUE"""),40549.645833333336)</f>
        <v>40549.64583</v>
      </c>
      <c r="B1574" s="2">
        <f>IFERROR(__xludf.DUMMYFUNCTION("""COMPUTED_VALUE"""),584.0)</f>
        <v>584</v>
      </c>
      <c r="C1574" s="2">
        <f>IFERROR(__xludf.DUMMYFUNCTION("""COMPUTED_VALUE"""),591.0)</f>
        <v>591</v>
      </c>
      <c r="D1574" s="2">
        <f>IFERROR(__xludf.DUMMYFUNCTION("""COMPUTED_VALUE"""),576.55)</f>
        <v>576.55</v>
      </c>
      <c r="E1574" s="2">
        <f>IFERROR(__xludf.DUMMYFUNCTION("""COMPUTED_VALUE"""),585.85)</f>
        <v>585.85</v>
      </c>
      <c r="F1574" s="2">
        <f>IFERROR(__xludf.DUMMYFUNCTION("""COMPUTED_VALUE"""),1423360.0)</f>
        <v>1423360</v>
      </c>
    </row>
    <row r="1575">
      <c r="A1575" s="3">
        <f>IFERROR(__xludf.DUMMYFUNCTION("""COMPUTED_VALUE"""),40550.645833333336)</f>
        <v>40550.64583</v>
      </c>
      <c r="B1575" s="2">
        <f>IFERROR(__xludf.DUMMYFUNCTION("""COMPUTED_VALUE"""),588.0)</f>
        <v>588</v>
      </c>
      <c r="C1575" s="2">
        <f>IFERROR(__xludf.DUMMYFUNCTION("""COMPUTED_VALUE"""),593.42)</f>
        <v>593.42</v>
      </c>
      <c r="D1575" s="2">
        <f>IFERROR(__xludf.DUMMYFUNCTION("""COMPUTED_VALUE"""),569.08)</f>
        <v>569.08</v>
      </c>
      <c r="E1575" s="2">
        <f>IFERROR(__xludf.DUMMYFUNCTION("""COMPUTED_VALUE"""),571.33)</f>
        <v>571.33</v>
      </c>
      <c r="F1575" s="2">
        <f>IFERROR(__xludf.DUMMYFUNCTION("""COMPUTED_VALUE"""),1266362.0)</f>
        <v>1266362</v>
      </c>
    </row>
    <row r="1576">
      <c r="A1576" s="3">
        <f>IFERROR(__xludf.DUMMYFUNCTION("""COMPUTED_VALUE"""),40553.645833333336)</f>
        <v>40553.64583</v>
      </c>
      <c r="B1576" s="2">
        <f>IFERROR(__xludf.DUMMYFUNCTION("""COMPUTED_VALUE"""),573.75)</f>
        <v>573.75</v>
      </c>
      <c r="C1576" s="2">
        <f>IFERROR(__xludf.DUMMYFUNCTION("""COMPUTED_VALUE"""),574.5)</f>
        <v>574.5</v>
      </c>
      <c r="D1576" s="2">
        <f>IFERROR(__xludf.DUMMYFUNCTION("""COMPUTED_VALUE"""),560.5)</f>
        <v>560.5</v>
      </c>
      <c r="E1576" s="2">
        <f>IFERROR(__xludf.DUMMYFUNCTION("""COMPUTED_VALUE"""),565.45)</f>
        <v>565.45</v>
      </c>
      <c r="F1576" s="2">
        <f>IFERROR(__xludf.DUMMYFUNCTION("""COMPUTED_VALUE"""),1976213.0)</f>
        <v>1976213</v>
      </c>
    </row>
    <row r="1577">
      <c r="A1577" s="3">
        <f>IFERROR(__xludf.DUMMYFUNCTION("""COMPUTED_VALUE"""),40554.645833333336)</f>
        <v>40554.64583</v>
      </c>
      <c r="B1577" s="2">
        <f>IFERROR(__xludf.DUMMYFUNCTION("""COMPUTED_VALUE"""),561.5)</f>
        <v>561.5</v>
      </c>
      <c r="C1577" s="2">
        <f>IFERROR(__xludf.DUMMYFUNCTION("""COMPUTED_VALUE"""),567.78)</f>
        <v>567.78</v>
      </c>
      <c r="D1577" s="2">
        <f>IFERROR(__xludf.DUMMYFUNCTION("""COMPUTED_VALUE"""),543.9)</f>
        <v>543.9</v>
      </c>
      <c r="E1577" s="2">
        <f>IFERROR(__xludf.DUMMYFUNCTION("""COMPUTED_VALUE"""),549.25)</f>
        <v>549.25</v>
      </c>
      <c r="F1577" s="2">
        <f>IFERROR(__xludf.DUMMYFUNCTION("""COMPUTED_VALUE"""),1884365.0)</f>
        <v>1884365</v>
      </c>
    </row>
    <row r="1578">
      <c r="A1578" s="3">
        <f>IFERROR(__xludf.DUMMYFUNCTION("""COMPUTED_VALUE"""),40555.645833333336)</f>
        <v>40555.64583</v>
      </c>
      <c r="B1578" s="2">
        <f>IFERROR(__xludf.DUMMYFUNCTION("""COMPUTED_VALUE"""),554.95)</f>
        <v>554.95</v>
      </c>
      <c r="C1578" s="2">
        <f>IFERROR(__xludf.DUMMYFUNCTION("""COMPUTED_VALUE"""),575.8)</f>
        <v>575.8</v>
      </c>
      <c r="D1578" s="2">
        <f>IFERROR(__xludf.DUMMYFUNCTION("""COMPUTED_VALUE"""),554.0)</f>
        <v>554</v>
      </c>
      <c r="E1578" s="2">
        <f>IFERROR(__xludf.DUMMYFUNCTION("""COMPUTED_VALUE"""),567.98)</f>
        <v>567.98</v>
      </c>
      <c r="F1578" s="2">
        <f>IFERROR(__xludf.DUMMYFUNCTION("""COMPUTED_VALUE"""),1580437.0)</f>
        <v>1580437</v>
      </c>
    </row>
    <row r="1579">
      <c r="A1579" s="3">
        <f>IFERROR(__xludf.DUMMYFUNCTION("""COMPUTED_VALUE"""),40556.645833333336)</f>
        <v>40556.64583</v>
      </c>
      <c r="B1579" s="2">
        <f>IFERROR(__xludf.DUMMYFUNCTION("""COMPUTED_VALUE"""),564.48)</f>
        <v>564.48</v>
      </c>
      <c r="C1579" s="2">
        <f>IFERROR(__xludf.DUMMYFUNCTION("""COMPUTED_VALUE"""),577.98)</f>
        <v>577.98</v>
      </c>
      <c r="D1579" s="2">
        <f>IFERROR(__xludf.DUMMYFUNCTION("""COMPUTED_VALUE"""),558.1)</f>
        <v>558.1</v>
      </c>
      <c r="E1579" s="2">
        <f>IFERROR(__xludf.DUMMYFUNCTION("""COMPUTED_VALUE"""),562.13)</f>
        <v>562.13</v>
      </c>
      <c r="F1579" s="2">
        <f>IFERROR(__xludf.DUMMYFUNCTION("""COMPUTED_VALUE"""),2794599.0)</f>
        <v>2794599</v>
      </c>
    </row>
    <row r="1580">
      <c r="A1580" s="3">
        <f>IFERROR(__xludf.DUMMYFUNCTION("""COMPUTED_VALUE"""),40557.645833333336)</f>
        <v>40557.64583</v>
      </c>
      <c r="B1580" s="2">
        <f>IFERROR(__xludf.DUMMYFUNCTION("""COMPUTED_VALUE"""),564.95)</f>
        <v>564.95</v>
      </c>
      <c r="C1580" s="2">
        <f>IFERROR(__xludf.DUMMYFUNCTION("""COMPUTED_VALUE"""),575.0)</f>
        <v>575</v>
      </c>
      <c r="D1580" s="2">
        <f>IFERROR(__xludf.DUMMYFUNCTION("""COMPUTED_VALUE"""),560.0)</f>
        <v>560</v>
      </c>
      <c r="E1580" s="2">
        <f>IFERROR(__xludf.DUMMYFUNCTION("""COMPUTED_VALUE"""),560.08)</f>
        <v>560.08</v>
      </c>
      <c r="F1580" s="2">
        <f>IFERROR(__xludf.DUMMYFUNCTION("""COMPUTED_VALUE"""),1575846.0)</f>
        <v>1575846</v>
      </c>
    </row>
    <row r="1581">
      <c r="A1581" s="3">
        <f>IFERROR(__xludf.DUMMYFUNCTION("""COMPUTED_VALUE"""),40560.645833333336)</f>
        <v>40560.64583</v>
      </c>
      <c r="B1581" s="2">
        <f>IFERROR(__xludf.DUMMYFUNCTION("""COMPUTED_VALUE"""),560.6)</f>
        <v>560.6</v>
      </c>
      <c r="C1581" s="2">
        <f>IFERROR(__xludf.DUMMYFUNCTION("""COMPUTED_VALUE"""),573.28)</f>
        <v>573.28</v>
      </c>
      <c r="D1581" s="2">
        <f>IFERROR(__xludf.DUMMYFUNCTION("""COMPUTED_VALUE"""),560.0)</f>
        <v>560</v>
      </c>
      <c r="E1581" s="2">
        <f>IFERROR(__xludf.DUMMYFUNCTION("""COMPUTED_VALUE"""),568.7)</f>
        <v>568.7</v>
      </c>
      <c r="F1581" s="2">
        <f>IFERROR(__xludf.DUMMYFUNCTION("""COMPUTED_VALUE"""),1500106.0)</f>
        <v>1500106</v>
      </c>
    </row>
    <row r="1582">
      <c r="A1582" s="3">
        <f>IFERROR(__xludf.DUMMYFUNCTION("""COMPUTED_VALUE"""),40561.645833333336)</f>
        <v>40561.64583</v>
      </c>
      <c r="B1582" s="2">
        <f>IFERROR(__xludf.DUMMYFUNCTION("""COMPUTED_VALUE"""),587.0)</f>
        <v>587</v>
      </c>
      <c r="C1582" s="2">
        <f>IFERROR(__xludf.DUMMYFUNCTION("""COMPUTED_VALUE"""),604.45)</f>
        <v>604.45</v>
      </c>
      <c r="D1582" s="2">
        <f>IFERROR(__xludf.DUMMYFUNCTION("""COMPUTED_VALUE"""),582.17)</f>
        <v>582.17</v>
      </c>
      <c r="E1582" s="2">
        <f>IFERROR(__xludf.DUMMYFUNCTION("""COMPUTED_VALUE"""),601.28)</f>
        <v>601.28</v>
      </c>
      <c r="F1582" s="2">
        <f>IFERROR(__xludf.DUMMYFUNCTION("""COMPUTED_VALUE"""),4240685.0)</f>
        <v>4240685</v>
      </c>
    </row>
    <row r="1583">
      <c r="A1583" s="3">
        <f>IFERROR(__xludf.DUMMYFUNCTION("""COMPUTED_VALUE"""),40562.645833333336)</f>
        <v>40562.64583</v>
      </c>
      <c r="B1583" s="2">
        <f>IFERROR(__xludf.DUMMYFUNCTION("""COMPUTED_VALUE"""),601.73)</f>
        <v>601.73</v>
      </c>
      <c r="C1583" s="2">
        <f>IFERROR(__xludf.DUMMYFUNCTION("""COMPUTED_VALUE"""),604.5)</f>
        <v>604.5</v>
      </c>
      <c r="D1583" s="2">
        <f>IFERROR(__xludf.DUMMYFUNCTION("""COMPUTED_VALUE"""),592.5)</f>
        <v>592.5</v>
      </c>
      <c r="E1583" s="2">
        <f>IFERROR(__xludf.DUMMYFUNCTION("""COMPUTED_VALUE"""),596.5)</f>
        <v>596.5</v>
      </c>
      <c r="F1583" s="2">
        <f>IFERROR(__xludf.DUMMYFUNCTION("""COMPUTED_VALUE"""),1476020.0)</f>
        <v>1476020</v>
      </c>
    </row>
    <row r="1584">
      <c r="A1584" s="3">
        <f>IFERROR(__xludf.DUMMYFUNCTION("""COMPUTED_VALUE"""),40563.645833333336)</f>
        <v>40563.64583</v>
      </c>
      <c r="B1584" s="2">
        <f>IFERROR(__xludf.DUMMYFUNCTION("""COMPUTED_VALUE"""),590.0)</f>
        <v>590</v>
      </c>
      <c r="C1584" s="2">
        <f>IFERROR(__xludf.DUMMYFUNCTION("""COMPUTED_VALUE"""),609.38)</f>
        <v>609.38</v>
      </c>
      <c r="D1584" s="2">
        <f>IFERROR(__xludf.DUMMYFUNCTION("""COMPUTED_VALUE"""),590.0)</f>
        <v>590</v>
      </c>
      <c r="E1584" s="2">
        <f>IFERROR(__xludf.DUMMYFUNCTION("""COMPUTED_VALUE"""),606.1)</f>
        <v>606.1</v>
      </c>
      <c r="F1584" s="2">
        <f>IFERROR(__xludf.DUMMYFUNCTION("""COMPUTED_VALUE"""),2272604.0)</f>
        <v>2272604</v>
      </c>
    </row>
    <row r="1585">
      <c r="A1585" s="3">
        <f>IFERROR(__xludf.DUMMYFUNCTION("""COMPUTED_VALUE"""),40564.645833333336)</f>
        <v>40564.64583</v>
      </c>
      <c r="B1585" s="2">
        <f>IFERROR(__xludf.DUMMYFUNCTION("""COMPUTED_VALUE"""),605.0)</f>
        <v>605</v>
      </c>
      <c r="C1585" s="2">
        <f>IFERROR(__xludf.DUMMYFUNCTION("""COMPUTED_VALUE"""),610.0)</f>
        <v>610</v>
      </c>
      <c r="D1585" s="2">
        <f>IFERROR(__xludf.DUMMYFUNCTION("""COMPUTED_VALUE"""),602.0)</f>
        <v>602</v>
      </c>
      <c r="E1585" s="2">
        <f>IFERROR(__xludf.DUMMYFUNCTION("""COMPUTED_VALUE"""),605.83)</f>
        <v>605.83</v>
      </c>
      <c r="F1585" s="2">
        <f>IFERROR(__xludf.DUMMYFUNCTION("""COMPUTED_VALUE"""),1298702.0)</f>
        <v>1298702</v>
      </c>
    </row>
    <row r="1586">
      <c r="A1586" s="3">
        <f>IFERROR(__xludf.DUMMYFUNCTION("""COMPUTED_VALUE"""),40567.645833333336)</f>
        <v>40567.64583</v>
      </c>
      <c r="B1586" s="2">
        <f>IFERROR(__xludf.DUMMYFUNCTION("""COMPUTED_VALUE"""),600.0)</f>
        <v>600</v>
      </c>
      <c r="C1586" s="2">
        <f>IFERROR(__xludf.DUMMYFUNCTION("""COMPUTED_VALUE"""),610.0)</f>
        <v>610</v>
      </c>
      <c r="D1586" s="2">
        <f>IFERROR(__xludf.DUMMYFUNCTION("""COMPUTED_VALUE"""),599.13)</f>
        <v>599.13</v>
      </c>
      <c r="E1586" s="2">
        <f>IFERROR(__xludf.DUMMYFUNCTION("""COMPUTED_VALUE"""),604.6)</f>
        <v>604.6</v>
      </c>
      <c r="F1586" s="2">
        <f>IFERROR(__xludf.DUMMYFUNCTION("""COMPUTED_VALUE"""),1008339.0)</f>
        <v>1008339</v>
      </c>
    </row>
    <row r="1587">
      <c r="A1587" s="3">
        <f>IFERROR(__xludf.DUMMYFUNCTION("""COMPUTED_VALUE"""),40568.645833333336)</f>
        <v>40568.64583</v>
      </c>
      <c r="B1587" s="2">
        <f>IFERROR(__xludf.DUMMYFUNCTION("""COMPUTED_VALUE"""),607.4)</f>
        <v>607.4</v>
      </c>
      <c r="C1587" s="2">
        <f>IFERROR(__xludf.DUMMYFUNCTION("""COMPUTED_VALUE"""),609.65)</f>
        <v>609.65</v>
      </c>
      <c r="D1587" s="2">
        <f>IFERROR(__xludf.DUMMYFUNCTION("""COMPUTED_VALUE"""),590.0)</f>
        <v>590</v>
      </c>
      <c r="E1587" s="2">
        <f>IFERROR(__xludf.DUMMYFUNCTION("""COMPUTED_VALUE"""),594.28)</f>
        <v>594.28</v>
      </c>
      <c r="F1587" s="2">
        <f>IFERROR(__xludf.DUMMYFUNCTION("""COMPUTED_VALUE"""),1233547.0)</f>
        <v>1233547</v>
      </c>
    </row>
    <row r="1588">
      <c r="A1588" s="3">
        <f>IFERROR(__xludf.DUMMYFUNCTION("""COMPUTED_VALUE"""),40570.645833333336)</f>
        <v>40570.64583</v>
      </c>
      <c r="B1588" s="2">
        <f>IFERROR(__xludf.DUMMYFUNCTION("""COMPUTED_VALUE"""),593.78)</f>
        <v>593.78</v>
      </c>
      <c r="C1588" s="2">
        <f>IFERROR(__xludf.DUMMYFUNCTION("""COMPUTED_VALUE"""),604.98)</f>
        <v>604.98</v>
      </c>
      <c r="D1588" s="2">
        <f>IFERROR(__xludf.DUMMYFUNCTION("""COMPUTED_VALUE"""),590.8)</f>
        <v>590.8</v>
      </c>
      <c r="E1588" s="2">
        <f>IFERROR(__xludf.DUMMYFUNCTION("""COMPUTED_VALUE"""),599.7)</f>
        <v>599.7</v>
      </c>
      <c r="F1588" s="2">
        <f>IFERROR(__xludf.DUMMYFUNCTION("""COMPUTED_VALUE"""),2357059.0)</f>
        <v>2357059</v>
      </c>
    </row>
    <row r="1589">
      <c r="A1589" s="3">
        <f>IFERROR(__xludf.DUMMYFUNCTION("""COMPUTED_VALUE"""),40571.645833333336)</f>
        <v>40571.64583</v>
      </c>
      <c r="B1589" s="2">
        <f>IFERROR(__xludf.DUMMYFUNCTION("""COMPUTED_VALUE"""),597.5)</f>
        <v>597.5</v>
      </c>
      <c r="C1589" s="2">
        <f>IFERROR(__xludf.DUMMYFUNCTION("""COMPUTED_VALUE"""),601.8)</f>
        <v>601.8</v>
      </c>
      <c r="D1589" s="2">
        <f>IFERROR(__xludf.DUMMYFUNCTION("""COMPUTED_VALUE"""),582.63)</f>
        <v>582.63</v>
      </c>
      <c r="E1589" s="2">
        <f>IFERROR(__xludf.DUMMYFUNCTION("""COMPUTED_VALUE"""),590.67)</f>
        <v>590.67</v>
      </c>
      <c r="F1589" s="2">
        <f>IFERROR(__xludf.DUMMYFUNCTION("""COMPUTED_VALUE"""),1507289.0)</f>
        <v>1507289</v>
      </c>
    </row>
    <row r="1590">
      <c r="A1590" s="3">
        <f>IFERROR(__xludf.DUMMYFUNCTION("""COMPUTED_VALUE"""),40574.645833333336)</f>
        <v>40574.64583</v>
      </c>
      <c r="B1590" s="2">
        <f>IFERROR(__xludf.DUMMYFUNCTION("""COMPUTED_VALUE"""),584.5)</f>
        <v>584.5</v>
      </c>
      <c r="C1590" s="2">
        <f>IFERROR(__xludf.DUMMYFUNCTION("""COMPUTED_VALUE"""),584.5)</f>
        <v>584.5</v>
      </c>
      <c r="D1590" s="2">
        <f>IFERROR(__xludf.DUMMYFUNCTION("""COMPUTED_VALUE"""),564.28)</f>
        <v>564.28</v>
      </c>
      <c r="E1590" s="2">
        <f>IFERROR(__xludf.DUMMYFUNCTION("""COMPUTED_VALUE"""),579.75)</f>
        <v>579.75</v>
      </c>
      <c r="F1590" s="2">
        <f>IFERROR(__xludf.DUMMYFUNCTION("""COMPUTED_VALUE"""),2970408.0)</f>
        <v>2970408</v>
      </c>
    </row>
    <row r="1591">
      <c r="A1591" s="3">
        <f>IFERROR(__xludf.DUMMYFUNCTION("""COMPUTED_VALUE"""),40575.645833333336)</f>
        <v>40575.64583</v>
      </c>
      <c r="B1591" s="2">
        <f>IFERROR(__xludf.DUMMYFUNCTION("""COMPUTED_VALUE"""),582.5)</f>
        <v>582.5</v>
      </c>
      <c r="C1591" s="2">
        <f>IFERROR(__xludf.DUMMYFUNCTION("""COMPUTED_VALUE"""),582.5)</f>
        <v>582.5</v>
      </c>
      <c r="D1591" s="2">
        <f>IFERROR(__xludf.DUMMYFUNCTION("""COMPUTED_VALUE"""),566.5)</f>
        <v>566.5</v>
      </c>
      <c r="E1591" s="2">
        <f>IFERROR(__xludf.DUMMYFUNCTION("""COMPUTED_VALUE"""),575.08)</f>
        <v>575.08</v>
      </c>
      <c r="F1591" s="2">
        <f>IFERROR(__xludf.DUMMYFUNCTION("""COMPUTED_VALUE"""),2106354.0)</f>
        <v>2106354</v>
      </c>
    </row>
    <row r="1592">
      <c r="A1592" s="3">
        <f>IFERROR(__xludf.DUMMYFUNCTION("""COMPUTED_VALUE"""),40576.645833333336)</f>
        <v>40576.64583</v>
      </c>
      <c r="B1592" s="2">
        <f>IFERROR(__xludf.DUMMYFUNCTION("""COMPUTED_VALUE"""),585.0)</f>
        <v>585</v>
      </c>
      <c r="C1592" s="2">
        <f>IFERROR(__xludf.DUMMYFUNCTION("""COMPUTED_VALUE"""),599.45)</f>
        <v>599.45</v>
      </c>
      <c r="D1592" s="2">
        <f>IFERROR(__xludf.DUMMYFUNCTION("""COMPUTED_VALUE"""),581.17)</f>
        <v>581.17</v>
      </c>
      <c r="E1592" s="2">
        <f>IFERROR(__xludf.DUMMYFUNCTION("""COMPUTED_VALUE"""),591.23)</f>
        <v>591.23</v>
      </c>
      <c r="F1592" s="2">
        <f>IFERROR(__xludf.DUMMYFUNCTION("""COMPUTED_VALUE"""),1968809.0)</f>
        <v>1968809</v>
      </c>
    </row>
    <row r="1593">
      <c r="A1593" s="3">
        <f>IFERROR(__xludf.DUMMYFUNCTION("""COMPUTED_VALUE"""),40577.645833333336)</f>
        <v>40577.64583</v>
      </c>
      <c r="B1593" s="2">
        <f>IFERROR(__xludf.DUMMYFUNCTION("""COMPUTED_VALUE"""),592.35)</f>
        <v>592.35</v>
      </c>
      <c r="C1593" s="2">
        <f>IFERROR(__xludf.DUMMYFUNCTION("""COMPUTED_VALUE"""),597.85)</f>
        <v>597.85</v>
      </c>
      <c r="D1593" s="2">
        <f>IFERROR(__xludf.DUMMYFUNCTION("""COMPUTED_VALUE"""),585.33)</f>
        <v>585.33</v>
      </c>
      <c r="E1593" s="2">
        <f>IFERROR(__xludf.DUMMYFUNCTION("""COMPUTED_VALUE"""),591.85)</f>
        <v>591.85</v>
      </c>
      <c r="F1593" s="2">
        <f>IFERROR(__xludf.DUMMYFUNCTION("""COMPUTED_VALUE"""),941706.0)</f>
        <v>941706</v>
      </c>
    </row>
    <row r="1594">
      <c r="A1594" s="3">
        <f>IFERROR(__xludf.DUMMYFUNCTION("""COMPUTED_VALUE"""),40578.645833333336)</f>
        <v>40578.64583</v>
      </c>
      <c r="B1594" s="2">
        <f>IFERROR(__xludf.DUMMYFUNCTION("""COMPUTED_VALUE"""),588.0)</f>
        <v>588</v>
      </c>
      <c r="C1594" s="2">
        <f>IFERROR(__xludf.DUMMYFUNCTION("""COMPUTED_VALUE"""),591.55)</f>
        <v>591.55</v>
      </c>
      <c r="D1594" s="2">
        <f>IFERROR(__xludf.DUMMYFUNCTION("""COMPUTED_VALUE"""),570.13)</f>
        <v>570.13</v>
      </c>
      <c r="E1594" s="2">
        <f>IFERROR(__xludf.DUMMYFUNCTION("""COMPUTED_VALUE"""),574.4)</f>
        <v>574.4</v>
      </c>
      <c r="F1594" s="2">
        <f>IFERROR(__xludf.DUMMYFUNCTION("""COMPUTED_VALUE"""),1728800.0)</f>
        <v>1728800</v>
      </c>
    </row>
    <row r="1595">
      <c r="A1595" s="3">
        <f>IFERROR(__xludf.DUMMYFUNCTION("""COMPUTED_VALUE"""),40581.645833333336)</f>
        <v>40581.64583</v>
      </c>
      <c r="B1595" s="2">
        <f>IFERROR(__xludf.DUMMYFUNCTION("""COMPUTED_VALUE"""),586.75)</f>
        <v>586.75</v>
      </c>
      <c r="C1595" s="2">
        <f>IFERROR(__xludf.DUMMYFUNCTION("""COMPUTED_VALUE"""),586.75)</f>
        <v>586.75</v>
      </c>
      <c r="D1595" s="2">
        <f>IFERROR(__xludf.DUMMYFUNCTION("""COMPUTED_VALUE"""),563.25)</f>
        <v>563.25</v>
      </c>
      <c r="E1595" s="2">
        <f>IFERROR(__xludf.DUMMYFUNCTION("""COMPUTED_VALUE"""),565.58)</f>
        <v>565.58</v>
      </c>
      <c r="F1595" s="2">
        <f>IFERROR(__xludf.DUMMYFUNCTION("""COMPUTED_VALUE"""),1289191.0)</f>
        <v>1289191</v>
      </c>
    </row>
    <row r="1596">
      <c r="A1596" s="3">
        <f>IFERROR(__xludf.DUMMYFUNCTION("""COMPUTED_VALUE"""),40582.645833333336)</f>
        <v>40582.64583</v>
      </c>
      <c r="B1596" s="2">
        <f>IFERROR(__xludf.DUMMYFUNCTION("""COMPUTED_VALUE"""),566.0)</f>
        <v>566</v>
      </c>
      <c r="C1596" s="2">
        <f>IFERROR(__xludf.DUMMYFUNCTION("""COMPUTED_VALUE"""),574.95)</f>
        <v>574.95</v>
      </c>
      <c r="D1596" s="2">
        <f>IFERROR(__xludf.DUMMYFUNCTION("""COMPUTED_VALUE"""),559.25)</f>
        <v>559.25</v>
      </c>
      <c r="E1596" s="2">
        <f>IFERROR(__xludf.DUMMYFUNCTION("""COMPUTED_VALUE"""),562.55)</f>
        <v>562.55</v>
      </c>
      <c r="F1596" s="2">
        <f>IFERROR(__xludf.DUMMYFUNCTION("""COMPUTED_VALUE"""),2644319.0)</f>
        <v>2644319</v>
      </c>
    </row>
    <row r="1597">
      <c r="A1597" s="3">
        <f>IFERROR(__xludf.DUMMYFUNCTION("""COMPUTED_VALUE"""),40583.645833333336)</f>
        <v>40583.64583</v>
      </c>
      <c r="B1597" s="2">
        <f>IFERROR(__xludf.DUMMYFUNCTION("""COMPUTED_VALUE"""),561.25)</f>
        <v>561.25</v>
      </c>
      <c r="C1597" s="2">
        <f>IFERROR(__xludf.DUMMYFUNCTION("""COMPUTED_VALUE"""),564.8)</f>
        <v>564.8</v>
      </c>
      <c r="D1597" s="2">
        <f>IFERROR(__xludf.DUMMYFUNCTION("""COMPUTED_VALUE"""),541.85)</f>
        <v>541.85</v>
      </c>
      <c r="E1597" s="2">
        <f>IFERROR(__xludf.DUMMYFUNCTION("""COMPUTED_VALUE"""),549.15)</f>
        <v>549.15</v>
      </c>
      <c r="F1597" s="2">
        <f>IFERROR(__xludf.DUMMYFUNCTION("""COMPUTED_VALUE"""),3006366.0)</f>
        <v>3006366</v>
      </c>
    </row>
    <row r="1598">
      <c r="A1598" s="3">
        <f>IFERROR(__xludf.DUMMYFUNCTION("""COMPUTED_VALUE"""),40584.645833333336)</f>
        <v>40584.64583</v>
      </c>
      <c r="B1598" s="2">
        <f>IFERROR(__xludf.DUMMYFUNCTION("""COMPUTED_VALUE"""),550.0)</f>
        <v>550</v>
      </c>
      <c r="C1598" s="2">
        <f>IFERROR(__xludf.DUMMYFUNCTION("""COMPUTED_VALUE"""),557.25)</f>
        <v>557.25</v>
      </c>
      <c r="D1598" s="2">
        <f>IFERROR(__xludf.DUMMYFUNCTION("""COMPUTED_VALUE"""),536.0)</f>
        <v>536</v>
      </c>
      <c r="E1598" s="2">
        <f>IFERROR(__xludf.DUMMYFUNCTION("""COMPUTED_VALUE"""),545.38)</f>
        <v>545.38</v>
      </c>
      <c r="F1598" s="2">
        <f>IFERROR(__xludf.DUMMYFUNCTION("""COMPUTED_VALUE"""),2275911.0)</f>
        <v>2275911</v>
      </c>
    </row>
    <row r="1599">
      <c r="A1599" s="3">
        <f>IFERROR(__xludf.DUMMYFUNCTION("""COMPUTED_VALUE"""),40585.645833333336)</f>
        <v>40585.64583</v>
      </c>
      <c r="B1599" s="2">
        <f>IFERROR(__xludf.DUMMYFUNCTION("""COMPUTED_VALUE"""),542.05)</f>
        <v>542.05</v>
      </c>
      <c r="C1599" s="2">
        <f>IFERROR(__xludf.DUMMYFUNCTION("""COMPUTED_VALUE"""),552.1)</f>
        <v>552.1</v>
      </c>
      <c r="D1599" s="2">
        <f>IFERROR(__xludf.DUMMYFUNCTION("""COMPUTED_VALUE"""),527.95)</f>
        <v>527.95</v>
      </c>
      <c r="E1599" s="2">
        <f>IFERROR(__xludf.DUMMYFUNCTION("""COMPUTED_VALUE"""),544.8)</f>
        <v>544.8</v>
      </c>
      <c r="F1599" s="2">
        <f>IFERROR(__xludf.DUMMYFUNCTION("""COMPUTED_VALUE"""),1472528.0)</f>
        <v>1472528</v>
      </c>
    </row>
    <row r="1600">
      <c r="A1600" s="3">
        <f>IFERROR(__xludf.DUMMYFUNCTION("""COMPUTED_VALUE"""),40588.645833333336)</f>
        <v>40588.64583</v>
      </c>
      <c r="B1600" s="2">
        <f>IFERROR(__xludf.DUMMYFUNCTION("""COMPUTED_VALUE"""),545.5)</f>
        <v>545.5</v>
      </c>
      <c r="C1600" s="2">
        <f>IFERROR(__xludf.DUMMYFUNCTION("""COMPUTED_VALUE"""),560.0)</f>
        <v>560</v>
      </c>
      <c r="D1600" s="2">
        <f>IFERROR(__xludf.DUMMYFUNCTION("""COMPUTED_VALUE"""),543.5)</f>
        <v>543.5</v>
      </c>
      <c r="E1600" s="2">
        <f>IFERROR(__xludf.DUMMYFUNCTION("""COMPUTED_VALUE"""),556.15)</f>
        <v>556.15</v>
      </c>
      <c r="F1600" s="2">
        <f>IFERROR(__xludf.DUMMYFUNCTION("""COMPUTED_VALUE"""),1231274.0)</f>
        <v>1231274</v>
      </c>
    </row>
    <row r="1601">
      <c r="A1601" s="3">
        <f>IFERROR(__xludf.DUMMYFUNCTION("""COMPUTED_VALUE"""),40589.645833333336)</f>
        <v>40589.64583</v>
      </c>
      <c r="B1601" s="2">
        <f>IFERROR(__xludf.DUMMYFUNCTION("""COMPUTED_VALUE"""),559.5)</f>
        <v>559.5</v>
      </c>
      <c r="C1601" s="2">
        <f>IFERROR(__xludf.DUMMYFUNCTION("""COMPUTED_VALUE"""),559.5)</f>
        <v>559.5</v>
      </c>
      <c r="D1601" s="2">
        <f>IFERROR(__xludf.DUMMYFUNCTION("""COMPUTED_VALUE"""),538.28)</f>
        <v>538.28</v>
      </c>
      <c r="E1601" s="2">
        <f>IFERROR(__xludf.DUMMYFUNCTION("""COMPUTED_VALUE"""),548.85)</f>
        <v>548.85</v>
      </c>
      <c r="F1601" s="2">
        <f>IFERROR(__xludf.DUMMYFUNCTION("""COMPUTED_VALUE"""),1812713.0)</f>
        <v>1812713</v>
      </c>
    </row>
    <row r="1602">
      <c r="A1602" s="3">
        <f>IFERROR(__xludf.DUMMYFUNCTION("""COMPUTED_VALUE"""),40590.645833333336)</f>
        <v>40590.64583</v>
      </c>
      <c r="B1602" s="2">
        <f>IFERROR(__xludf.DUMMYFUNCTION("""COMPUTED_VALUE"""),552.5)</f>
        <v>552.5</v>
      </c>
      <c r="C1602" s="2">
        <f>IFERROR(__xludf.DUMMYFUNCTION("""COMPUTED_VALUE"""),554.85)</f>
        <v>554.85</v>
      </c>
      <c r="D1602" s="2">
        <f>IFERROR(__xludf.DUMMYFUNCTION("""COMPUTED_VALUE"""),540.5)</f>
        <v>540.5</v>
      </c>
      <c r="E1602" s="2">
        <f>IFERROR(__xludf.DUMMYFUNCTION("""COMPUTED_VALUE"""),548.25)</f>
        <v>548.25</v>
      </c>
      <c r="F1602" s="2">
        <f>IFERROR(__xludf.DUMMYFUNCTION("""COMPUTED_VALUE"""),1232296.0)</f>
        <v>1232296</v>
      </c>
    </row>
    <row r="1603">
      <c r="A1603" s="3">
        <f>IFERROR(__xludf.DUMMYFUNCTION("""COMPUTED_VALUE"""),40591.645833333336)</f>
        <v>40591.64583</v>
      </c>
      <c r="B1603" s="2">
        <f>IFERROR(__xludf.DUMMYFUNCTION("""COMPUTED_VALUE"""),552.5)</f>
        <v>552.5</v>
      </c>
      <c r="C1603" s="2">
        <f>IFERROR(__xludf.DUMMYFUNCTION("""COMPUTED_VALUE"""),557.23)</f>
        <v>557.23</v>
      </c>
      <c r="D1603" s="2">
        <f>IFERROR(__xludf.DUMMYFUNCTION("""COMPUTED_VALUE"""),546.2)</f>
        <v>546.2</v>
      </c>
      <c r="E1603" s="2">
        <f>IFERROR(__xludf.DUMMYFUNCTION("""COMPUTED_VALUE"""),554.6)</f>
        <v>554.6</v>
      </c>
      <c r="F1603" s="2">
        <f>IFERROR(__xludf.DUMMYFUNCTION("""COMPUTED_VALUE"""),738880.0)</f>
        <v>738880</v>
      </c>
    </row>
    <row r="1604">
      <c r="A1604" s="3">
        <f>IFERROR(__xludf.DUMMYFUNCTION("""COMPUTED_VALUE"""),40592.645833333336)</f>
        <v>40592.64583</v>
      </c>
      <c r="B1604" s="2">
        <f>IFERROR(__xludf.DUMMYFUNCTION("""COMPUTED_VALUE"""),555.13)</f>
        <v>555.13</v>
      </c>
      <c r="C1604" s="2">
        <f>IFERROR(__xludf.DUMMYFUNCTION("""COMPUTED_VALUE"""),566.2)</f>
        <v>566.2</v>
      </c>
      <c r="D1604" s="2">
        <f>IFERROR(__xludf.DUMMYFUNCTION("""COMPUTED_VALUE"""),541.05)</f>
        <v>541.05</v>
      </c>
      <c r="E1604" s="2">
        <f>IFERROR(__xludf.DUMMYFUNCTION("""COMPUTED_VALUE"""),544.85)</f>
        <v>544.85</v>
      </c>
      <c r="F1604" s="2">
        <f>IFERROR(__xludf.DUMMYFUNCTION("""COMPUTED_VALUE"""),2038464.0)</f>
        <v>2038464</v>
      </c>
    </row>
    <row r="1605">
      <c r="A1605" s="3">
        <f>IFERROR(__xludf.DUMMYFUNCTION("""COMPUTED_VALUE"""),40595.645833333336)</f>
        <v>40595.64583</v>
      </c>
      <c r="B1605" s="2">
        <f>IFERROR(__xludf.DUMMYFUNCTION("""COMPUTED_VALUE"""),545.0)</f>
        <v>545</v>
      </c>
      <c r="C1605" s="2">
        <f>IFERROR(__xludf.DUMMYFUNCTION("""COMPUTED_VALUE"""),574.0)</f>
        <v>574</v>
      </c>
      <c r="D1605" s="2">
        <f>IFERROR(__xludf.DUMMYFUNCTION("""COMPUTED_VALUE"""),529.1)</f>
        <v>529.1</v>
      </c>
      <c r="E1605" s="2">
        <f>IFERROR(__xludf.DUMMYFUNCTION("""COMPUTED_VALUE"""),569.3)</f>
        <v>569.3</v>
      </c>
      <c r="F1605" s="2">
        <f>IFERROR(__xludf.DUMMYFUNCTION("""COMPUTED_VALUE"""),2828900.0)</f>
        <v>2828900</v>
      </c>
    </row>
    <row r="1606">
      <c r="A1606" s="3">
        <f>IFERROR(__xludf.DUMMYFUNCTION("""COMPUTED_VALUE"""),40596.645833333336)</f>
        <v>40596.64583</v>
      </c>
      <c r="B1606" s="2">
        <f>IFERROR(__xludf.DUMMYFUNCTION("""COMPUTED_VALUE"""),561.33)</f>
        <v>561.33</v>
      </c>
      <c r="C1606" s="2">
        <f>IFERROR(__xludf.DUMMYFUNCTION("""COMPUTED_VALUE"""),573.85)</f>
        <v>573.85</v>
      </c>
      <c r="D1606" s="2">
        <f>IFERROR(__xludf.DUMMYFUNCTION("""COMPUTED_VALUE"""),560.0)</f>
        <v>560</v>
      </c>
      <c r="E1606" s="2">
        <f>IFERROR(__xludf.DUMMYFUNCTION("""COMPUTED_VALUE"""),569.38)</f>
        <v>569.38</v>
      </c>
      <c r="F1606" s="2">
        <f>IFERROR(__xludf.DUMMYFUNCTION("""COMPUTED_VALUE"""),1652700.0)</f>
        <v>1652700</v>
      </c>
    </row>
    <row r="1607">
      <c r="A1607" s="3">
        <f>IFERROR(__xludf.DUMMYFUNCTION("""COMPUTED_VALUE"""),40597.645833333336)</f>
        <v>40597.64583</v>
      </c>
      <c r="B1607" s="2">
        <f>IFERROR(__xludf.DUMMYFUNCTION("""COMPUTED_VALUE"""),564.08)</f>
        <v>564.08</v>
      </c>
      <c r="C1607" s="2">
        <f>IFERROR(__xludf.DUMMYFUNCTION("""COMPUTED_VALUE"""),572.48)</f>
        <v>572.48</v>
      </c>
      <c r="D1607" s="2">
        <f>IFERROR(__xludf.DUMMYFUNCTION("""COMPUTED_VALUE"""),561.55)</f>
        <v>561.55</v>
      </c>
      <c r="E1607" s="2">
        <f>IFERROR(__xludf.DUMMYFUNCTION("""COMPUTED_VALUE"""),562.78)</f>
        <v>562.78</v>
      </c>
      <c r="F1607" s="2">
        <f>IFERROR(__xludf.DUMMYFUNCTION("""COMPUTED_VALUE"""),939672.0)</f>
        <v>939672</v>
      </c>
    </row>
    <row r="1608">
      <c r="A1608" s="3">
        <f>IFERROR(__xludf.DUMMYFUNCTION("""COMPUTED_VALUE"""),40598.645833333336)</f>
        <v>40598.64583</v>
      </c>
      <c r="B1608" s="2">
        <f>IFERROR(__xludf.DUMMYFUNCTION("""COMPUTED_VALUE"""),559.5)</f>
        <v>559.5</v>
      </c>
      <c r="C1608" s="2">
        <f>IFERROR(__xludf.DUMMYFUNCTION("""COMPUTED_VALUE"""),569.38)</f>
        <v>569.38</v>
      </c>
      <c r="D1608" s="2">
        <f>IFERROR(__xludf.DUMMYFUNCTION("""COMPUTED_VALUE"""),545.65)</f>
        <v>545.65</v>
      </c>
      <c r="E1608" s="2">
        <f>IFERROR(__xludf.DUMMYFUNCTION("""COMPUTED_VALUE"""),555.9)</f>
        <v>555.9</v>
      </c>
      <c r="F1608" s="2">
        <f>IFERROR(__xludf.DUMMYFUNCTION("""COMPUTED_VALUE"""),2689415.0)</f>
        <v>2689415</v>
      </c>
    </row>
    <row r="1609">
      <c r="A1609" s="3">
        <f>IFERROR(__xludf.DUMMYFUNCTION("""COMPUTED_VALUE"""),40599.645833333336)</f>
        <v>40599.64583</v>
      </c>
      <c r="B1609" s="2">
        <f>IFERROR(__xludf.DUMMYFUNCTION("""COMPUTED_VALUE"""),552.65)</f>
        <v>552.65</v>
      </c>
      <c r="C1609" s="2">
        <f>IFERROR(__xludf.DUMMYFUNCTION("""COMPUTED_VALUE"""),558.5)</f>
        <v>558.5</v>
      </c>
      <c r="D1609" s="2">
        <f>IFERROR(__xludf.DUMMYFUNCTION("""COMPUTED_VALUE"""),544.13)</f>
        <v>544.13</v>
      </c>
      <c r="E1609" s="2">
        <f>IFERROR(__xludf.DUMMYFUNCTION("""COMPUTED_VALUE"""),555.03)</f>
        <v>555.03</v>
      </c>
      <c r="F1609" s="2">
        <f>IFERROR(__xludf.DUMMYFUNCTION("""COMPUTED_VALUE"""),1535237.0)</f>
        <v>1535237</v>
      </c>
    </row>
    <row r="1610">
      <c r="A1610" s="3">
        <f>IFERROR(__xludf.DUMMYFUNCTION("""COMPUTED_VALUE"""),40602.645833333336)</f>
        <v>40602.64583</v>
      </c>
      <c r="B1610" s="2">
        <f>IFERROR(__xludf.DUMMYFUNCTION("""COMPUTED_VALUE"""),550.6)</f>
        <v>550.6</v>
      </c>
      <c r="C1610" s="2">
        <f>IFERROR(__xludf.DUMMYFUNCTION("""COMPUTED_VALUE"""),574.13)</f>
        <v>574.13</v>
      </c>
      <c r="D1610" s="2">
        <f>IFERROR(__xludf.DUMMYFUNCTION("""COMPUTED_VALUE"""),550.0)</f>
        <v>550</v>
      </c>
      <c r="E1610" s="2">
        <f>IFERROR(__xludf.DUMMYFUNCTION("""COMPUTED_VALUE"""),555.13)</f>
        <v>555.13</v>
      </c>
      <c r="F1610" s="2">
        <f>IFERROR(__xludf.DUMMYFUNCTION("""COMPUTED_VALUE"""),1614698.0)</f>
        <v>1614698</v>
      </c>
    </row>
    <row r="1611">
      <c r="A1611" s="3">
        <f>IFERROR(__xludf.DUMMYFUNCTION("""COMPUTED_VALUE"""),40603.645833333336)</f>
        <v>40603.64583</v>
      </c>
      <c r="B1611" s="2">
        <f>IFERROR(__xludf.DUMMYFUNCTION("""COMPUTED_VALUE"""),556.5)</f>
        <v>556.5</v>
      </c>
      <c r="C1611" s="2">
        <f>IFERROR(__xludf.DUMMYFUNCTION("""COMPUTED_VALUE"""),566.0)</f>
        <v>566</v>
      </c>
      <c r="D1611" s="2">
        <f>IFERROR(__xludf.DUMMYFUNCTION("""COMPUTED_VALUE"""),548.8)</f>
        <v>548.8</v>
      </c>
      <c r="E1611" s="2">
        <f>IFERROR(__xludf.DUMMYFUNCTION("""COMPUTED_VALUE"""),562.25)</f>
        <v>562.25</v>
      </c>
      <c r="F1611" s="2">
        <f>IFERROR(__xludf.DUMMYFUNCTION("""COMPUTED_VALUE"""),1583902.0)</f>
        <v>1583902</v>
      </c>
    </row>
    <row r="1612">
      <c r="A1612" s="3">
        <f>IFERROR(__xludf.DUMMYFUNCTION("""COMPUTED_VALUE"""),40605.645833333336)</f>
        <v>40605.64583</v>
      </c>
      <c r="B1612" s="2">
        <f>IFERROR(__xludf.DUMMYFUNCTION("""COMPUTED_VALUE"""),559.95)</f>
        <v>559.95</v>
      </c>
      <c r="C1612" s="2">
        <f>IFERROR(__xludf.DUMMYFUNCTION("""COMPUTED_VALUE"""),577.5)</f>
        <v>577.5</v>
      </c>
      <c r="D1612" s="2">
        <f>IFERROR(__xludf.DUMMYFUNCTION("""COMPUTED_VALUE"""),553.5)</f>
        <v>553.5</v>
      </c>
      <c r="E1612" s="2">
        <f>IFERROR(__xludf.DUMMYFUNCTION("""COMPUTED_VALUE"""),575.1)</f>
        <v>575.1</v>
      </c>
      <c r="F1612" s="2">
        <f>IFERROR(__xludf.DUMMYFUNCTION("""COMPUTED_VALUE"""),1726300.0)</f>
        <v>1726300</v>
      </c>
    </row>
    <row r="1613">
      <c r="A1613" s="3">
        <f>IFERROR(__xludf.DUMMYFUNCTION("""COMPUTED_VALUE"""),40606.645833333336)</f>
        <v>40606.64583</v>
      </c>
      <c r="B1613" s="2">
        <f>IFERROR(__xludf.DUMMYFUNCTION("""COMPUTED_VALUE"""),581.67)</f>
        <v>581.67</v>
      </c>
      <c r="C1613" s="2">
        <f>IFERROR(__xludf.DUMMYFUNCTION("""COMPUTED_VALUE"""),581.67)</f>
        <v>581.67</v>
      </c>
      <c r="D1613" s="2">
        <f>IFERROR(__xludf.DUMMYFUNCTION("""COMPUTED_VALUE"""),566.25)</f>
        <v>566.25</v>
      </c>
      <c r="E1613" s="2">
        <f>IFERROR(__xludf.DUMMYFUNCTION("""COMPUTED_VALUE"""),567.78)</f>
        <v>567.78</v>
      </c>
      <c r="F1613" s="2">
        <f>IFERROR(__xludf.DUMMYFUNCTION("""COMPUTED_VALUE"""),1030599.0)</f>
        <v>1030599</v>
      </c>
    </row>
    <row r="1614">
      <c r="A1614" s="3">
        <f>IFERROR(__xludf.DUMMYFUNCTION("""COMPUTED_VALUE"""),40609.645833333336)</f>
        <v>40609.64583</v>
      </c>
      <c r="B1614" s="2">
        <f>IFERROR(__xludf.DUMMYFUNCTION("""COMPUTED_VALUE"""),562.0)</f>
        <v>562</v>
      </c>
      <c r="C1614" s="2">
        <f>IFERROR(__xludf.DUMMYFUNCTION("""COMPUTED_VALUE"""),562.5)</f>
        <v>562.5</v>
      </c>
      <c r="D1614" s="2">
        <f>IFERROR(__xludf.DUMMYFUNCTION("""COMPUTED_VALUE"""),547.23)</f>
        <v>547.23</v>
      </c>
      <c r="E1614" s="2">
        <f>IFERROR(__xludf.DUMMYFUNCTION("""COMPUTED_VALUE"""),554.13)</f>
        <v>554.13</v>
      </c>
      <c r="F1614" s="2">
        <f>IFERROR(__xludf.DUMMYFUNCTION("""COMPUTED_VALUE"""),2092294.0)</f>
        <v>2092294</v>
      </c>
    </row>
    <row r="1615">
      <c r="A1615" s="3">
        <f>IFERROR(__xludf.DUMMYFUNCTION("""COMPUTED_VALUE"""),40610.645833333336)</f>
        <v>40610.64583</v>
      </c>
      <c r="B1615" s="2">
        <f>IFERROR(__xludf.DUMMYFUNCTION("""COMPUTED_VALUE"""),552.58)</f>
        <v>552.58</v>
      </c>
      <c r="C1615" s="2">
        <f>IFERROR(__xludf.DUMMYFUNCTION("""COMPUTED_VALUE"""),564.4)</f>
        <v>564.4</v>
      </c>
      <c r="D1615" s="2">
        <f>IFERROR(__xludf.DUMMYFUNCTION("""COMPUTED_VALUE"""),552.58)</f>
        <v>552.58</v>
      </c>
      <c r="E1615" s="2">
        <f>IFERROR(__xludf.DUMMYFUNCTION("""COMPUTED_VALUE"""),558.85)</f>
        <v>558.85</v>
      </c>
      <c r="F1615" s="2">
        <f>IFERROR(__xludf.DUMMYFUNCTION("""COMPUTED_VALUE"""),1973951.0)</f>
        <v>1973951</v>
      </c>
    </row>
    <row r="1616">
      <c r="A1616" s="3">
        <f>IFERROR(__xludf.DUMMYFUNCTION("""COMPUTED_VALUE"""),40611.645833333336)</f>
        <v>40611.64583</v>
      </c>
      <c r="B1616" s="2">
        <f>IFERROR(__xludf.DUMMYFUNCTION("""COMPUTED_VALUE"""),561.28)</f>
        <v>561.28</v>
      </c>
      <c r="C1616" s="2">
        <f>IFERROR(__xludf.DUMMYFUNCTION("""COMPUTED_VALUE"""),569.0)</f>
        <v>569</v>
      </c>
      <c r="D1616" s="2">
        <f>IFERROR(__xludf.DUMMYFUNCTION("""COMPUTED_VALUE"""),559.25)</f>
        <v>559.25</v>
      </c>
      <c r="E1616" s="2">
        <f>IFERROR(__xludf.DUMMYFUNCTION("""COMPUTED_VALUE"""),563.35)</f>
        <v>563.35</v>
      </c>
      <c r="F1616" s="2">
        <f>IFERROR(__xludf.DUMMYFUNCTION("""COMPUTED_VALUE"""),1212243.0)</f>
        <v>1212243</v>
      </c>
    </row>
    <row r="1617">
      <c r="A1617" s="3">
        <f>IFERROR(__xludf.DUMMYFUNCTION("""COMPUTED_VALUE"""),40612.645833333336)</f>
        <v>40612.64583</v>
      </c>
      <c r="B1617" s="2">
        <f>IFERROR(__xludf.DUMMYFUNCTION("""COMPUTED_VALUE"""),561.0)</f>
        <v>561</v>
      </c>
      <c r="C1617" s="2">
        <f>IFERROR(__xludf.DUMMYFUNCTION("""COMPUTED_VALUE"""),561.0)</f>
        <v>561</v>
      </c>
      <c r="D1617" s="2">
        <f>IFERROR(__xludf.DUMMYFUNCTION("""COMPUTED_VALUE"""),550.0)</f>
        <v>550</v>
      </c>
      <c r="E1617" s="2">
        <f>IFERROR(__xludf.DUMMYFUNCTION("""COMPUTED_VALUE"""),554.28)</f>
        <v>554.28</v>
      </c>
      <c r="F1617" s="2">
        <f>IFERROR(__xludf.DUMMYFUNCTION("""COMPUTED_VALUE"""),935662.0)</f>
        <v>935662</v>
      </c>
    </row>
    <row r="1618">
      <c r="A1618" s="3">
        <f>IFERROR(__xludf.DUMMYFUNCTION("""COMPUTED_VALUE"""),40613.645833333336)</f>
        <v>40613.64583</v>
      </c>
      <c r="B1618" s="2">
        <f>IFERROR(__xludf.DUMMYFUNCTION("""COMPUTED_VALUE"""),550.0)</f>
        <v>550</v>
      </c>
      <c r="C1618" s="2">
        <f>IFERROR(__xludf.DUMMYFUNCTION("""COMPUTED_VALUE"""),551.2)</f>
        <v>551.2</v>
      </c>
      <c r="D1618" s="2">
        <f>IFERROR(__xludf.DUMMYFUNCTION("""COMPUTED_VALUE"""),531.65)</f>
        <v>531.65</v>
      </c>
      <c r="E1618" s="2">
        <f>IFERROR(__xludf.DUMMYFUNCTION("""COMPUTED_VALUE"""),538.53)</f>
        <v>538.53</v>
      </c>
      <c r="F1618" s="2">
        <f>IFERROR(__xludf.DUMMYFUNCTION("""COMPUTED_VALUE"""),2506441.0)</f>
        <v>2506441</v>
      </c>
    </row>
    <row r="1619">
      <c r="A1619" s="3">
        <f>IFERROR(__xludf.DUMMYFUNCTION("""COMPUTED_VALUE"""),40616.645833333336)</f>
        <v>40616.64583</v>
      </c>
      <c r="B1619" s="2">
        <f>IFERROR(__xludf.DUMMYFUNCTION("""COMPUTED_VALUE"""),535.5)</f>
        <v>535.5</v>
      </c>
      <c r="C1619" s="2">
        <f>IFERROR(__xludf.DUMMYFUNCTION("""COMPUTED_VALUE"""),551.0)</f>
        <v>551</v>
      </c>
      <c r="D1619" s="2">
        <f>IFERROR(__xludf.DUMMYFUNCTION("""COMPUTED_VALUE"""),529.2)</f>
        <v>529.2</v>
      </c>
      <c r="E1619" s="2">
        <f>IFERROR(__xludf.DUMMYFUNCTION("""COMPUTED_VALUE"""),548.78)</f>
        <v>548.78</v>
      </c>
      <c r="F1619" s="2">
        <f>IFERROR(__xludf.DUMMYFUNCTION("""COMPUTED_VALUE"""),1624309.0)</f>
        <v>1624309</v>
      </c>
    </row>
    <row r="1620">
      <c r="A1620" s="3">
        <f>IFERROR(__xludf.DUMMYFUNCTION("""COMPUTED_VALUE"""),40617.645833333336)</f>
        <v>40617.64583</v>
      </c>
      <c r="B1620" s="2">
        <f>IFERROR(__xludf.DUMMYFUNCTION("""COMPUTED_VALUE"""),537.5)</f>
        <v>537.5</v>
      </c>
      <c r="C1620" s="2">
        <f>IFERROR(__xludf.DUMMYFUNCTION("""COMPUTED_VALUE"""),547.73)</f>
        <v>547.73</v>
      </c>
      <c r="D1620" s="2">
        <f>IFERROR(__xludf.DUMMYFUNCTION("""COMPUTED_VALUE"""),532.83)</f>
        <v>532.83</v>
      </c>
      <c r="E1620" s="2">
        <f>IFERROR(__xludf.DUMMYFUNCTION("""COMPUTED_VALUE"""),544.9)</f>
        <v>544.9</v>
      </c>
      <c r="F1620" s="2">
        <f>IFERROR(__xludf.DUMMYFUNCTION("""COMPUTED_VALUE"""),1705934.0)</f>
        <v>1705934</v>
      </c>
    </row>
    <row r="1621">
      <c r="A1621" s="3">
        <f>IFERROR(__xludf.DUMMYFUNCTION("""COMPUTED_VALUE"""),40618.645833333336)</f>
        <v>40618.64583</v>
      </c>
      <c r="B1621" s="2">
        <f>IFERROR(__xludf.DUMMYFUNCTION("""COMPUTED_VALUE"""),546.0)</f>
        <v>546</v>
      </c>
      <c r="C1621" s="2">
        <f>IFERROR(__xludf.DUMMYFUNCTION("""COMPUTED_VALUE"""),561.73)</f>
        <v>561.73</v>
      </c>
      <c r="D1621" s="2">
        <f>IFERROR(__xludf.DUMMYFUNCTION("""COMPUTED_VALUE"""),545.58)</f>
        <v>545.58</v>
      </c>
      <c r="E1621" s="2">
        <f>IFERROR(__xludf.DUMMYFUNCTION("""COMPUTED_VALUE"""),557.42)</f>
        <v>557.42</v>
      </c>
      <c r="F1621" s="2">
        <f>IFERROR(__xludf.DUMMYFUNCTION("""COMPUTED_VALUE"""),1338937.0)</f>
        <v>1338937</v>
      </c>
    </row>
    <row r="1622">
      <c r="A1622" s="3">
        <f>IFERROR(__xludf.DUMMYFUNCTION("""COMPUTED_VALUE"""),40619.645833333336)</f>
        <v>40619.64583</v>
      </c>
      <c r="B1622" s="2">
        <f>IFERROR(__xludf.DUMMYFUNCTION("""COMPUTED_VALUE"""),552.5)</f>
        <v>552.5</v>
      </c>
      <c r="C1622" s="2">
        <f>IFERROR(__xludf.DUMMYFUNCTION("""COMPUTED_VALUE"""),559.45)</f>
        <v>559.45</v>
      </c>
      <c r="D1622" s="2">
        <f>IFERROR(__xludf.DUMMYFUNCTION("""COMPUTED_VALUE"""),546.33)</f>
        <v>546.33</v>
      </c>
      <c r="E1622" s="2">
        <f>IFERROR(__xludf.DUMMYFUNCTION("""COMPUTED_VALUE"""),549.0)</f>
        <v>549</v>
      </c>
      <c r="F1622" s="2">
        <f>IFERROR(__xludf.DUMMYFUNCTION("""COMPUTED_VALUE"""),1028051.0)</f>
        <v>1028051</v>
      </c>
    </row>
    <row r="1623">
      <c r="A1623" s="3">
        <f>IFERROR(__xludf.DUMMYFUNCTION("""COMPUTED_VALUE"""),40620.645833333336)</f>
        <v>40620.64583</v>
      </c>
      <c r="B1623" s="2">
        <f>IFERROR(__xludf.DUMMYFUNCTION("""COMPUTED_VALUE"""),546.75)</f>
        <v>546.75</v>
      </c>
      <c r="C1623" s="2">
        <f>IFERROR(__xludf.DUMMYFUNCTION("""COMPUTED_VALUE"""),554.5)</f>
        <v>554.5</v>
      </c>
      <c r="D1623" s="2">
        <f>IFERROR(__xludf.DUMMYFUNCTION("""COMPUTED_VALUE"""),538.05)</f>
        <v>538.05</v>
      </c>
      <c r="E1623" s="2">
        <f>IFERROR(__xludf.DUMMYFUNCTION("""COMPUTED_VALUE"""),541.38)</f>
        <v>541.38</v>
      </c>
      <c r="F1623" s="2">
        <f>IFERROR(__xludf.DUMMYFUNCTION("""COMPUTED_VALUE"""),1105674.0)</f>
        <v>1105674</v>
      </c>
    </row>
    <row r="1624">
      <c r="A1624" s="3">
        <f>IFERROR(__xludf.DUMMYFUNCTION("""COMPUTED_VALUE"""),40623.645833333336)</f>
        <v>40623.64583</v>
      </c>
      <c r="B1624" s="2">
        <f>IFERROR(__xludf.DUMMYFUNCTION("""COMPUTED_VALUE"""),545.75)</f>
        <v>545.75</v>
      </c>
      <c r="C1624" s="2">
        <f>IFERROR(__xludf.DUMMYFUNCTION("""COMPUTED_VALUE"""),545.75)</f>
        <v>545.75</v>
      </c>
      <c r="D1624" s="2">
        <f>IFERROR(__xludf.DUMMYFUNCTION("""COMPUTED_VALUE"""),533.25)</f>
        <v>533.25</v>
      </c>
      <c r="E1624" s="2">
        <f>IFERROR(__xludf.DUMMYFUNCTION("""COMPUTED_VALUE"""),535.4)</f>
        <v>535.4</v>
      </c>
      <c r="F1624" s="2">
        <f>IFERROR(__xludf.DUMMYFUNCTION("""COMPUTED_VALUE"""),1309545.0)</f>
        <v>1309545</v>
      </c>
    </row>
    <row r="1625">
      <c r="A1625" s="3">
        <f>IFERROR(__xludf.DUMMYFUNCTION("""COMPUTED_VALUE"""),40624.645833333336)</f>
        <v>40624.64583</v>
      </c>
      <c r="B1625" s="2">
        <f>IFERROR(__xludf.DUMMYFUNCTION("""COMPUTED_VALUE"""),537.55)</f>
        <v>537.55</v>
      </c>
      <c r="C1625" s="2">
        <f>IFERROR(__xludf.DUMMYFUNCTION("""COMPUTED_VALUE"""),540.0)</f>
        <v>540</v>
      </c>
      <c r="D1625" s="2">
        <f>IFERROR(__xludf.DUMMYFUNCTION("""COMPUTED_VALUE"""),531.5)</f>
        <v>531.5</v>
      </c>
      <c r="E1625" s="2">
        <f>IFERROR(__xludf.DUMMYFUNCTION("""COMPUTED_VALUE"""),534.75)</f>
        <v>534.75</v>
      </c>
      <c r="F1625" s="2">
        <f>IFERROR(__xludf.DUMMYFUNCTION("""COMPUTED_VALUE"""),1328887.0)</f>
        <v>1328887</v>
      </c>
    </row>
    <row r="1626">
      <c r="A1626" s="3">
        <f>IFERROR(__xludf.DUMMYFUNCTION("""COMPUTED_VALUE"""),40625.645833333336)</f>
        <v>40625.64583</v>
      </c>
      <c r="B1626" s="2">
        <f>IFERROR(__xludf.DUMMYFUNCTION("""COMPUTED_VALUE"""),535.5)</f>
        <v>535.5</v>
      </c>
      <c r="C1626" s="2">
        <f>IFERROR(__xludf.DUMMYFUNCTION("""COMPUTED_VALUE"""),535.5)</f>
        <v>535.5</v>
      </c>
      <c r="D1626" s="2">
        <f>IFERROR(__xludf.DUMMYFUNCTION("""COMPUTED_VALUE"""),528.63)</f>
        <v>528.63</v>
      </c>
      <c r="E1626" s="2">
        <f>IFERROR(__xludf.DUMMYFUNCTION("""COMPUTED_VALUE"""),532.17)</f>
        <v>532.17</v>
      </c>
      <c r="F1626" s="2">
        <f>IFERROR(__xludf.DUMMYFUNCTION("""COMPUTED_VALUE"""),2176124.0)</f>
        <v>2176124</v>
      </c>
    </row>
    <row r="1627">
      <c r="A1627" s="3">
        <f>IFERROR(__xludf.DUMMYFUNCTION("""COMPUTED_VALUE"""),40626.645833333336)</f>
        <v>40626.64583</v>
      </c>
      <c r="B1627" s="2">
        <f>IFERROR(__xludf.DUMMYFUNCTION("""COMPUTED_VALUE"""),535.5)</f>
        <v>535.5</v>
      </c>
      <c r="C1627" s="2">
        <f>IFERROR(__xludf.DUMMYFUNCTION("""COMPUTED_VALUE"""),547.78)</f>
        <v>547.78</v>
      </c>
      <c r="D1627" s="2">
        <f>IFERROR(__xludf.DUMMYFUNCTION("""COMPUTED_VALUE"""),535.0)</f>
        <v>535</v>
      </c>
      <c r="E1627" s="2">
        <f>IFERROR(__xludf.DUMMYFUNCTION("""COMPUTED_VALUE"""),546.7)</f>
        <v>546.7</v>
      </c>
      <c r="F1627" s="2">
        <f>IFERROR(__xludf.DUMMYFUNCTION("""COMPUTED_VALUE"""),1547417.0)</f>
        <v>1547417</v>
      </c>
    </row>
    <row r="1628">
      <c r="A1628" s="3">
        <f>IFERROR(__xludf.DUMMYFUNCTION("""COMPUTED_VALUE"""),40627.645833333336)</f>
        <v>40627.64583</v>
      </c>
      <c r="B1628" s="2">
        <f>IFERROR(__xludf.DUMMYFUNCTION("""COMPUTED_VALUE"""),558.42)</f>
        <v>558.42</v>
      </c>
      <c r="C1628" s="2">
        <f>IFERROR(__xludf.DUMMYFUNCTION("""COMPUTED_VALUE"""),564.25)</f>
        <v>564.25</v>
      </c>
      <c r="D1628" s="2">
        <f>IFERROR(__xludf.DUMMYFUNCTION("""COMPUTED_VALUE"""),551.88)</f>
        <v>551.88</v>
      </c>
      <c r="E1628" s="2">
        <f>IFERROR(__xludf.DUMMYFUNCTION("""COMPUTED_VALUE"""),559.83)</f>
        <v>559.83</v>
      </c>
      <c r="F1628" s="2">
        <f>IFERROR(__xludf.DUMMYFUNCTION("""COMPUTED_VALUE"""),2073217.0)</f>
        <v>2073217</v>
      </c>
    </row>
    <row r="1629">
      <c r="A1629" s="3">
        <f>IFERROR(__xludf.DUMMYFUNCTION("""COMPUTED_VALUE"""),40630.645833333336)</f>
        <v>40630.64583</v>
      </c>
      <c r="B1629" s="2">
        <f>IFERROR(__xludf.DUMMYFUNCTION("""COMPUTED_VALUE"""),561.92)</f>
        <v>561.92</v>
      </c>
      <c r="C1629" s="2">
        <f>IFERROR(__xludf.DUMMYFUNCTION("""COMPUTED_VALUE"""),563.35)</f>
        <v>563.35</v>
      </c>
      <c r="D1629" s="2">
        <f>IFERROR(__xludf.DUMMYFUNCTION("""COMPUTED_VALUE"""),554.0)</f>
        <v>554</v>
      </c>
      <c r="E1629" s="2">
        <f>IFERROR(__xludf.DUMMYFUNCTION("""COMPUTED_VALUE"""),559.95)</f>
        <v>559.95</v>
      </c>
      <c r="F1629" s="2">
        <f>IFERROR(__xludf.DUMMYFUNCTION("""COMPUTED_VALUE"""),1124321.0)</f>
        <v>1124321</v>
      </c>
    </row>
    <row r="1630">
      <c r="A1630" s="3">
        <f>IFERROR(__xludf.DUMMYFUNCTION("""COMPUTED_VALUE"""),40631.645833333336)</f>
        <v>40631.64583</v>
      </c>
      <c r="B1630" s="2">
        <f>IFERROR(__xludf.DUMMYFUNCTION("""COMPUTED_VALUE"""),560.0)</f>
        <v>560</v>
      </c>
      <c r="C1630" s="2">
        <f>IFERROR(__xludf.DUMMYFUNCTION("""COMPUTED_VALUE"""),575.95)</f>
        <v>575.95</v>
      </c>
      <c r="D1630" s="2">
        <f>IFERROR(__xludf.DUMMYFUNCTION("""COMPUTED_VALUE"""),559.58)</f>
        <v>559.58</v>
      </c>
      <c r="E1630" s="2">
        <f>IFERROR(__xludf.DUMMYFUNCTION("""COMPUTED_VALUE"""),569.35)</f>
        <v>569.35</v>
      </c>
      <c r="F1630" s="2">
        <f>IFERROR(__xludf.DUMMYFUNCTION("""COMPUTED_VALUE"""),1579794.0)</f>
        <v>1579794</v>
      </c>
    </row>
    <row r="1631">
      <c r="A1631" s="3">
        <f>IFERROR(__xludf.DUMMYFUNCTION("""COMPUTED_VALUE"""),40632.645833333336)</f>
        <v>40632.64583</v>
      </c>
      <c r="B1631" s="2">
        <f>IFERROR(__xludf.DUMMYFUNCTION("""COMPUTED_VALUE"""),574.0)</f>
        <v>574</v>
      </c>
      <c r="C1631" s="2">
        <f>IFERROR(__xludf.DUMMYFUNCTION("""COMPUTED_VALUE"""),582.0)</f>
        <v>582</v>
      </c>
      <c r="D1631" s="2">
        <f>IFERROR(__xludf.DUMMYFUNCTION("""COMPUTED_VALUE"""),572.45)</f>
        <v>572.45</v>
      </c>
      <c r="E1631" s="2">
        <f>IFERROR(__xludf.DUMMYFUNCTION("""COMPUTED_VALUE"""),575.98)</f>
        <v>575.98</v>
      </c>
      <c r="F1631" s="2">
        <f>IFERROR(__xludf.DUMMYFUNCTION("""COMPUTED_VALUE"""),1147385.0)</f>
        <v>1147385</v>
      </c>
    </row>
    <row r="1632">
      <c r="A1632" s="3">
        <f>IFERROR(__xludf.DUMMYFUNCTION("""COMPUTED_VALUE"""),40633.645833333336)</f>
        <v>40633.64583</v>
      </c>
      <c r="B1632" s="2">
        <f>IFERROR(__xludf.DUMMYFUNCTION("""COMPUTED_VALUE"""),576.0)</f>
        <v>576</v>
      </c>
      <c r="C1632" s="2">
        <f>IFERROR(__xludf.DUMMYFUNCTION("""COMPUTED_VALUE"""),599.0)</f>
        <v>599</v>
      </c>
      <c r="D1632" s="2">
        <f>IFERROR(__xludf.DUMMYFUNCTION("""COMPUTED_VALUE"""),576.0)</f>
        <v>576</v>
      </c>
      <c r="E1632" s="2">
        <f>IFERROR(__xludf.DUMMYFUNCTION("""COMPUTED_VALUE"""),591.95)</f>
        <v>591.95</v>
      </c>
      <c r="F1632" s="2">
        <f>IFERROR(__xludf.DUMMYFUNCTION("""COMPUTED_VALUE"""),3697063.0)</f>
        <v>3697063</v>
      </c>
    </row>
    <row r="1633">
      <c r="A1633" s="3">
        <f>IFERROR(__xludf.DUMMYFUNCTION("""COMPUTED_VALUE"""),40634.645833333336)</f>
        <v>40634.64583</v>
      </c>
      <c r="B1633" s="2">
        <f>IFERROR(__xludf.DUMMYFUNCTION("""COMPUTED_VALUE"""),592.5)</f>
        <v>592.5</v>
      </c>
      <c r="C1633" s="2">
        <f>IFERROR(__xludf.DUMMYFUNCTION("""COMPUTED_VALUE"""),599.38)</f>
        <v>599.38</v>
      </c>
      <c r="D1633" s="2">
        <f>IFERROR(__xludf.DUMMYFUNCTION("""COMPUTED_VALUE"""),586.28)</f>
        <v>586.28</v>
      </c>
      <c r="E1633" s="2">
        <f>IFERROR(__xludf.DUMMYFUNCTION("""COMPUTED_VALUE"""),590.08)</f>
        <v>590.08</v>
      </c>
      <c r="F1633" s="2">
        <f>IFERROR(__xludf.DUMMYFUNCTION("""COMPUTED_VALUE"""),899812.0)</f>
        <v>899812</v>
      </c>
    </row>
    <row r="1634">
      <c r="A1634" s="3">
        <f>IFERROR(__xludf.DUMMYFUNCTION("""COMPUTED_VALUE"""),40637.645833333336)</f>
        <v>40637.64583</v>
      </c>
      <c r="B1634" s="2">
        <f>IFERROR(__xludf.DUMMYFUNCTION("""COMPUTED_VALUE"""),592.5)</f>
        <v>592.5</v>
      </c>
      <c r="C1634" s="2">
        <f>IFERROR(__xludf.DUMMYFUNCTION("""COMPUTED_VALUE"""),608.0)</f>
        <v>608</v>
      </c>
      <c r="D1634" s="2">
        <f>IFERROR(__xludf.DUMMYFUNCTION("""COMPUTED_VALUE"""),592.0)</f>
        <v>592</v>
      </c>
      <c r="E1634" s="2">
        <f>IFERROR(__xludf.DUMMYFUNCTION("""COMPUTED_VALUE"""),606.6)</f>
        <v>606.6</v>
      </c>
      <c r="F1634" s="2">
        <f>IFERROR(__xludf.DUMMYFUNCTION("""COMPUTED_VALUE"""),1155808.0)</f>
        <v>1155808</v>
      </c>
    </row>
    <row r="1635">
      <c r="A1635" s="3">
        <f>IFERROR(__xludf.DUMMYFUNCTION("""COMPUTED_VALUE"""),40638.645833333336)</f>
        <v>40638.64583</v>
      </c>
      <c r="B1635" s="2">
        <f>IFERROR(__xludf.DUMMYFUNCTION("""COMPUTED_VALUE"""),607.53)</f>
        <v>607.53</v>
      </c>
      <c r="C1635" s="2">
        <f>IFERROR(__xludf.DUMMYFUNCTION("""COMPUTED_VALUE"""),621.98)</f>
        <v>621.98</v>
      </c>
      <c r="D1635" s="2">
        <f>IFERROR(__xludf.DUMMYFUNCTION("""COMPUTED_VALUE"""),601.88)</f>
        <v>601.88</v>
      </c>
      <c r="E1635" s="2">
        <f>IFERROR(__xludf.DUMMYFUNCTION("""COMPUTED_VALUE"""),619.92)</f>
        <v>619.92</v>
      </c>
      <c r="F1635" s="2">
        <f>IFERROR(__xludf.DUMMYFUNCTION("""COMPUTED_VALUE"""),1445507.0)</f>
        <v>1445507</v>
      </c>
    </row>
    <row r="1636">
      <c r="A1636" s="3">
        <f>IFERROR(__xludf.DUMMYFUNCTION("""COMPUTED_VALUE"""),40639.645833333336)</f>
        <v>40639.64583</v>
      </c>
      <c r="B1636" s="2">
        <f>IFERROR(__xludf.DUMMYFUNCTION("""COMPUTED_VALUE"""),619.5)</f>
        <v>619.5</v>
      </c>
      <c r="C1636" s="2">
        <f>IFERROR(__xludf.DUMMYFUNCTION("""COMPUTED_VALUE"""),623.48)</f>
        <v>623.48</v>
      </c>
      <c r="D1636" s="2">
        <f>IFERROR(__xludf.DUMMYFUNCTION("""COMPUTED_VALUE"""),607.08)</f>
        <v>607.08</v>
      </c>
      <c r="E1636" s="2">
        <f>IFERROR(__xludf.DUMMYFUNCTION("""COMPUTED_VALUE"""),610.92)</f>
        <v>610.92</v>
      </c>
      <c r="F1636" s="2">
        <f>IFERROR(__xludf.DUMMYFUNCTION("""COMPUTED_VALUE"""),1211176.0)</f>
        <v>1211176</v>
      </c>
    </row>
    <row r="1637">
      <c r="A1637" s="3">
        <f>IFERROR(__xludf.DUMMYFUNCTION("""COMPUTED_VALUE"""),40640.645833333336)</f>
        <v>40640.64583</v>
      </c>
      <c r="B1637" s="2">
        <f>IFERROR(__xludf.DUMMYFUNCTION("""COMPUTED_VALUE"""),610.0)</f>
        <v>610</v>
      </c>
      <c r="C1637" s="2">
        <f>IFERROR(__xludf.DUMMYFUNCTION("""COMPUTED_VALUE"""),610.0)</f>
        <v>610</v>
      </c>
      <c r="D1637" s="2">
        <f>IFERROR(__xludf.DUMMYFUNCTION("""COMPUTED_VALUE"""),597.58)</f>
        <v>597.58</v>
      </c>
      <c r="E1637" s="2">
        <f>IFERROR(__xludf.DUMMYFUNCTION("""COMPUTED_VALUE"""),599.6)</f>
        <v>599.6</v>
      </c>
      <c r="F1637" s="2">
        <f>IFERROR(__xludf.DUMMYFUNCTION("""COMPUTED_VALUE"""),1074508.0)</f>
        <v>1074508</v>
      </c>
    </row>
    <row r="1638">
      <c r="A1638" s="3">
        <f>IFERROR(__xludf.DUMMYFUNCTION("""COMPUTED_VALUE"""),40641.645833333336)</f>
        <v>40641.64583</v>
      </c>
      <c r="B1638" s="2">
        <f>IFERROR(__xludf.DUMMYFUNCTION("""COMPUTED_VALUE"""),598.45)</f>
        <v>598.45</v>
      </c>
      <c r="C1638" s="2">
        <f>IFERROR(__xludf.DUMMYFUNCTION("""COMPUTED_VALUE"""),607.0)</f>
        <v>607</v>
      </c>
      <c r="D1638" s="2">
        <f>IFERROR(__xludf.DUMMYFUNCTION("""COMPUTED_VALUE"""),592.38)</f>
        <v>592.38</v>
      </c>
      <c r="E1638" s="2">
        <f>IFERROR(__xludf.DUMMYFUNCTION("""COMPUTED_VALUE"""),598.0)</f>
        <v>598</v>
      </c>
      <c r="F1638" s="2">
        <f>IFERROR(__xludf.DUMMYFUNCTION("""COMPUTED_VALUE"""),991884.0)</f>
        <v>991884</v>
      </c>
    </row>
    <row r="1639">
      <c r="A1639" s="3">
        <f>IFERROR(__xludf.DUMMYFUNCTION("""COMPUTED_VALUE"""),40644.645833333336)</f>
        <v>40644.64583</v>
      </c>
      <c r="B1639" s="2">
        <f>IFERROR(__xludf.DUMMYFUNCTION("""COMPUTED_VALUE"""),590.08)</f>
        <v>590.08</v>
      </c>
      <c r="C1639" s="2">
        <f>IFERROR(__xludf.DUMMYFUNCTION("""COMPUTED_VALUE"""),597.5)</f>
        <v>597.5</v>
      </c>
      <c r="D1639" s="2">
        <f>IFERROR(__xludf.DUMMYFUNCTION("""COMPUTED_VALUE"""),587.65)</f>
        <v>587.65</v>
      </c>
      <c r="E1639" s="2">
        <f>IFERROR(__xludf.DUMMYFUNCTION("""COMPUTED_VALUE"""),589.2)</f>
        <v>589.2</v>
      </c>
      <c r="F1639" s="2">
        <f>IFERROR(__xludf.DUMMYFUNCTION("""COMPUTED_VALUE"""),1128116.0)</f>
        <v>1128116</v>
      </c>
    </row>
    <row r="1640">
      <c r="A1640" s="3">
        <f>IFERROR(__xludf.DUMMYFUNCTION("""COMPUTED_VALUE"""),40646.645833333336)</f>
        <v>40646.64583</v>
      </c>
      <c r="B1640" s="2">
        <f>IFERROR(__xludf.DUMMYFUNCTION("""COMPUTED_VALUE"""),587.5)</f>
        <v>587.5</v>
      </c>
      <c r="C1640" s="2">
        <f>IFERROR(__xludf.DUMMYFUNCTION("""COMPUTED_VALUE"""),610.7)</f>
        <v>610.7</v>
      </c>
      <c r="D1640" s="2">
        <f>IFERROR(__xludf.DUMMYFUNCTION("""COMPUTED_VALUE"""),587.15)</f>
        <v>587.15</v>
      </c>
      <c r="E1640" s="2">
        <f>IFERROR(__xludf.DUMMYFUNCTION("""COMPUTED_VALUE"""),605.05)</f>
        <v>605.05</v>
      </c>
      <c r="F1640" s="2">
        <f>IFERROR(__xludf.DUMMYFUNCTION("""COMPUTED_VALUE"""),1878765.0)</f>
        <v>1878765</v>
      </c>
    </row>
    <row r="1641">
      <c r="A1641" s="3">
        <f>IFERROR(__xludf.DUMMYFUNCTION("""COMPUTED_VALUE"""),40648.645833333336)</f>
        <v>40648.64583</v>
      </c>
      <c r="B1641" s="2">
        <f>IFERROR(__xludf.DUMMYFUNCTION("""COMPUTED_VALUE"""),608.45)</f>
        <v>608.45</v>
      </c>
      <c r="C1641" s="2">
        <f>IFERROR(__xludf.DUMMYFUNCTION("""COMPUTED_VALUE"""),609.95)</f>
        <v>609.95</v>
      </c>
      <c r="D1641" s="2">
        <f>IFERROR(__xludf.DUMMYFUNCTION("""COMPUTED_VALUE"""),590.0)</f>
        <v>590</v>
      </c>
      <c r="E1641" s="2">
        <f>IFERROR(__xludf.DUMMYFUNCTION("""COMPUTED_VALUE"""),595.7)</f>
        <v>595.7</v>
      </c>
      <c r="F1641" s="2">
        <f>IFERROR(__xludf.DUMMYFUNCTION("""COMPUTED_VALUE"""),3783385.0)</f>
        <v>3783385</v>
      </c>
    </row>
    <row r="1642">
      <c r="A1642" s="3">
        <f>IFERROR(__xludf.DUMMYFUNCTION("""COMPUTED_VALUE"""),40651.645833333336)</f>
        <v>40651.64583</v>
      </c>
      <c r="B1642" s="2">
        <f>IFERROR(__xludf.DUMMYFUNCTION("""COMPUTED_VALUE"""),599.0)</f>
        <v>599</v>
      </c>
      <c r="C1642" s="2">
        <f>IFERROR(__xludf.DUMMYFUNCTION("""COMPUTED_VALUE"""),606.25)</f>
        <v>606.25</v>
      </c>
      <c r="D1642" s="2">
        <f>IFERROR(__xludf.DUMMYFUNCTION("""COMPUTED_VALUE"""),570.03)</f>
        <v>570.03</v>
      </c>
      <c r="E1642" s="2">
        <f>IFERROR(__xludf.DUMMYFUNCTION("""COMPUTED_VALUE"""),572.3)</f>
        <v>572.3</v>
      </c>
      <c r="F1642" s="2">
        <f>IFERROR(__xludf.DUMMYFUNCTION("""COMPUTED_VALUE"""),3882727.0)</f>
        <v>3882727</v>
      </c>
    </row>
    <row r="1643">
      <c r="A1643" s="3">
        <f>IFERROR(__xludf.DUMMYFUNCTION("""COMPUTED_VALUE"""),40652.645833333336)</f>
        <v>40652.64583</v>
      </c>
      <c r="B1643" s="2">
        <f>IFERROR(__xludf.DUMMYFUNCTION("""COMPUTED_VALUE"""),572.3)</f>
        <v>572.3</v>
      </c>
      <c r="C1643" s="2">
        <f>IFERROR(__xludf.DUMMYFUNCTION("""COMPUTED_VALUE"""),584.7)</f>
        <v>584.7</v>
      </c>
      <c r="D1643" s="2">
        <f>IFERROR(__xludf.DUMMYFUNCTION("""COMPUTED_VALUE"""),570.0)</f>
        <v>570</v>
      </c>
      <c r="E1643" s="2">
        <f>IFERROR(__xludf.DUMMYFUNCTION("""COMPUTED_VALUE"""),582.35)</f>
        <v>582.35</v>
      </c>
      <c r="F1643" s="2">
        <f>IFERROR(__xludf.DUMMYFUNCTION("""COMPUTED_VALUE"""),1560112.0)</f>
        <v>1560112</v>
      </c>
    </row>
    <row r="1644">
      <c r="A1644" s="3">
        <f>IFERROR(__xludf.DUMMYFUNCTION("""COMPUTED_VALUE"""),40653.645833333336)</f>
        <v>40653.64583</v>
      </c>
      <c r="B1644" s="2">
        <f>IFERROR(__xludf.DUMMYFUNCTION("""COMPUTED_VALUE"""),589.9)</f>
        <v>589.9</v>
      </c>
      <c r="C1644" s="2">
        <f>IFERROR(__xludf.DUMMYFUNCTION("""COMPUTED_VALUE"""),612.0)</f>
        <v>612</v>
      </c>
      <c r="D1644" s="2">
        <f>IFERROR(__xludf.DUMMYFUNCTION("""COMPUTED_VALUE"""),589.78)</f>
        <v>589.78</v>
      </c>
      <c r="E1644" s="2">
        <f>IFERROR(__xludf.DUMMYFUNCTION("""COMPUTED_VALUE"""),609.35)</f>
        <v>609.35</v>
      </c>
      <c r="F1644" s="2">
        <f>IFERROR(__xludf.DUMMYFUNCTION("""COMPUTED_VALUE"""),2669274.0)</f>
        <v>2669274</v>
      </c>
    </row>
    <row r="1645">
      <c r="A1645" s="3">
        <f>IFERROR(__xludf.DUMMYFUNCTION("""COMPUTED_VALUE"""),40654.645833333336)</f>
        <v>40654.64583</v>
      </c>
      <c r="B1645" s="2">
        <f>IFERROR(__xludf.DUMMYFUNCTION("""COMPUTED_VALUE"""),620.5)</f>
        <v>620.5</v>
      </c>
      <c r="C1645" s="2">
        <f>IFERROR(__xludf.DUMMYFUNCTION("""COMPUTED_VALUE"""),622.9)</f>
        <v>622.9</v>
      </c>
      <c r="D1645" s="2">
        <f>IFERROR(__xludf.DUMMYFUNCTION("""COMPUTED_VALUE"""),585.42)</f>
        <v>585.42</v>
      </c>
      <c r="E1645" s="2">
        <f>IFERROR(__xludf.DUMMYFUNCTION("""COMPUTED_VALUE"""),596.05)</f>
        <v>596.05</v>
      </c>
      <c r="F1645" s="2">
        <f>IFERROR(__xludf.DUMMYFUNCTION("""COMPUTED_VALUE"""),8666984.0)</f>
        <v>8666984</v>
      </c>
    </row>
    <row r="1646">
      <c r="A1646" s="3">
        <f>IFERROR(__xludf.DUMMYFUNCTION("""COMPUTED_VALUE"""),40658.645833333336)</f>
        <v>40658.64583</v>
      </c>
      <c r="B1646" s="2">
        <f>IFERROR(__xludf.DUMMYFUNCTION("""COMPUTED_VALUE"""),598.5)</f>
        <v>598.5</v>
      </c>
      <c r="C1646" s="2">
        <f>IFERROR(__xludf.DUMMYFUNCTION("""COMPUTED_VALUE"""),602.0)</f>
        <v>602</v>
      </c>
      <c r="D1646" s="2">
        <f>IFERROR(__xludf.DUMMYFUNCTION("""COMPUTED_VALUE"""),586.33)</f>
        <v>586.33</v>
      </c>
      <c r="E1646" s="2">
        <f>IFERROR(__xludf.DUMMYFUNCTION("""COMPUTED_VALUE"""),598.92)</f>
        <v>598.92</v>
      </c>
      <c r="F1646" s="2">
        <f>IFERROR(__xludf.DUMMYFUNCTION("""COMPUTED_VALUE"""),2095776.0)</f>
        <v>2095776</v>
      </c>
    </row>
    <row r="1647">
      <c r="A1647" s="3">
        <f>IFERROR(__xludf.DUMMYFUNCTION("""COMPUTED_VALUE"""),40659.645833333336)</f>
        <v>40659.64583</v>
      </c>
      <c r="B1647" s="2">
        <f>IFERROR(__xludf.DUMMYFUNCTION("""COMPUTED_VALUE"""),600.0)</f>
        <v>600</v>
      </c>
      <c r="C1647" s="2">
        <f>IFERROR(__xludf.DUMMYFUNCTION("""COMPUTED_VALUE"""),601.0)</f>
        <v>601</v>
      </c>
      <c r="D1647" s="2">
        <f>IFERROR(__xludf.DUMMYFUNCTION("""COMPUTED_VALUE"""),590.17)</f>
        <v>590.17</v>
      </c>
      <c r="E1647" s="2">
        <f>IFERROR(__xludf.DUMMYFUNCTION("""COMPUTED_VALUE"""),594.5)</f>
        <v>594.5</v>
      </c>
      <c r="F1647" s="2">
        <f>IFERROR(__xludf.DUMMYFUNCTION("""COMPUTED_VALUE"""),1577623.0)</f>
        <v>1577623</v>
      </c>
    </row>
    <row r="1648">
      <c r="A1648" s="3">
        <f>IFERROR(__xludf.DUMMYFUNCTION("""COMPUTED_VALUE"""),40660.645833333336)</f>
        <v>40660.64583</v>
      </c>
      <c r="B1648" s="2">
        <f>IFERROR(__xludf.DUMMYFUNCTION("""COMPUTED_VALUE"""),597.48)</f>
        <v>597.48</v>
      </c>
      <c r="C1648" s="2">
        <f>IFERROR(__xludf.DUMMYFUNCTION("""COMPUTED_VALUE"""),597.48)</f>
        <v>597.48</v>
      </c>
      <c r="D1648" s="2">
        <f>IFERROR(__xludf.DUMMYFUNCTION("""COMPUTED_VALUE"""),588.03)</f>
        <v>588.03</v>
      </c>
      <c r="E1648" s="2">
        <f>IFERROR(__xludf.DUMMYFUNCTION("""COMPUTED_VALUE"""),590.3)</f>
        <v>590.3</v>
      </c>
      <c r="F1648" s="2">
        <f>IFERROR(__xludf.DUMMYFUNCTION("""COMPUTED_VALUE"""),887239.0)</f>
        <v>887239</v>
      </c>
    </row>
    <row r="1649">
      <c r="A1649" s="3">
        <f>IFERROR(__xludf.DUMMYFUNCTION("""COMPUTED_VALUE"""),40661.645833333336)</f>
        <v>40661.64583</v>
      </c>
      <c r="B1649" s="2">
        <f>IFERROR(__xludf.DUMMYFUNCTION("""COMPUTED_VALUE"""),590.08)</f>
        <v>590.08</v>
      </c>
      <c r="C1649" s="2">
        <f>IFERROR(__xludf.DUMMYFUNCTION("""COMPUTED_VALUE"""),591.75)</f>
        <v>591.75</v>
      </c>
      <c r="D1649" s="2">
        <f>IFERROR(__xludf.DUMMYFUNCTION("""COMPUTED_VALUE"""),577.8)</f>
        <v>577.8</v>
      </c>
      <c r="E1649" s="2">
        <f>IFERROR(__xludf.DUMMYFUNCTION("""COMPUTED_VALUE"""),579.33)</f>
        <v>579.33</v>
      </c>
      <c r="F1649" s="2">
        <f>IFERROR(__xludf.DUMMYFUNCTION("""COMPUTED_VALUE"""),1423097.0)</f>
        <v>1423097</v>
      </c>
    </row>
    <row r="1650">
      <c r="A1650" s="3">
        <f>IFERROR(__xludf.DUMMYFUNCTION("""COMPUTED_VALUE"""),40662.645833333336)</f>
        <v>40662.64583</v>
      </c>
      <c r="B1650" s="2">
        <f>IFERROR(__xludf.DUMMYFUNCTION("""COMPUTED_VALUE"""),586.0)</f>
        <v>586</v>
      </c>
      <c r="C1650" s="2">
        <f>IFERROR(__xludf.DUMMYFUNCTION("""COMPUTED_VALUE"""),586.0)</f>
        <v>586</v>
      </c>
      <c r="D1650" s="2">
        <f>IFERROR(__xludf.DUMMYFUNCTION("""COMPUTED_VALUE"""),575.13)</f>
        <v>575.13</v>
      </c>
      <c r="E1650" s="2">
        <f>IFERROR(__xludf.DUMMYFUNCTION("""COMPUTED_VALUE"""),582.83)</f>
        <v>582.83</v>
      </c>
      <c r="F1650" s="2">
        <f>IFERROR(__xludf.DUMMYFUNCTION("""COMPUTED_VALUE"""),933348.0)</f>
        <v>933348</v>
      </c>
    </row>
    <row r="1651">
      <c r="A1651" s="3">
        <f>IFERROR(__xludf.DUMMYFUNCTION("""COMPUTED_VALUE"""),40665.645833333336)</f>
        <v>40665.64583</v>
      </c>
      <c r="B1651" s="2">
        <f>IFERROR(__xludf.DUMMYFUNCTION("""COMPUTED_VALUE"""),585.0)</f>
        <v>585</v>
      </c>
      <c r="C1651" s="2">
        <f>IFERROR(__xludf.DUMMYFUNCTION("""COMPUTED_VALUE"""),588.75)</f>
        <v>588.75</v>
      </c>
      <c r="D1651" s="2">
        <f>IFERROR(__xludf.DUMMYFUNCTION("""COMPUTED_VALUE"""),576.25)</f>
        <v>576.25</v>
      </c>
      <c r="E1651" s="2">
        <f>IFERROR(__xludf.DUMMYFUNCTION("""COMPUTED_VALUE"""),579.23)</f>
        <v>579.23</v>
      </c>
      <c r="F1651" s="2">
        <f>IFERROR(__xludf.DUMMYFUNCTION("""COMPUTED_VALUE"""),771535.0)</f>
        <v>771535</v>
      </c>
    </row>
    <row r="1652">
      <c r="A1652" s="3">
        <f>IFERROR(__xludf.DUMMYFUNCTION("""COMPUTED_VALUE"""),40666.645833333336)</f>
        <v>40666.64583</v>
      </c>
      <c r="B1652" s="2">
        <f>IFERROR(__xludf.DUMMYFUNCTION("""COMPUTED_VALUE"""),581.0)</f>
        <v>581</v>
      </c>
      <c r="C1652" s="2">
        <f>IFERROR(__xludf.DUMMYFUNCTION("""COMPUTED_VALUE"""),581.0)</f>
        <v>581</v>
      </c>
      <c r="D1652" s="2">
        <f>IFERROR(__xludf.DUMMYFUNCTION("""COMPUTED_VALUE"""),565.5)</f>
        <v>565.5</v>
      </c>
      <c r="E1652" s="2">
        <f>IFERROR(__xludf.DUMMYFUNCTION("""COMPUTED_VALUE"""),569.23)</f>
        <v>569.23</v>
      </c>
      <c r="F1652" s="2">
        <f>IFERROR(__xludf.DUMMYFUNCTION("""COMPUTED_VALUE"""),1060078.0)</f>
        <v>1060078</v>
      </c>
    </row>
    <row r="1653">
      <c r="A1653" s="3">
        <f>IFERROR(__xludf.DUMMYFUNCTION("""COMPUTED_VALUE"""),40667.645833333336)</f>
        <v>40667.64583</v>
      </c>
      <c r="B1653" s="2">
        <f>IFERROR(__xludf.DUMMYFUNCTION("""COMPUTED_VALUE"""),573.0)</f>
        <v>573</v>
      </c>
      <c r="C1653" s="2">
        <f>IFERROR(__xludf.DUMMYFUNCTION("""COMPUTED_VALUE"""),573.0)</f>
        <v>573</v>
      </c>
      <c r="D1653" s="2">
        <f>IFERROR(__xludf.DUMMYFUNCTION("""COMPUTED_VALUE"""),557.58)</f>
        <v>557.58</v>
      </c>
      <c r="E1653" s="2">
        <f>IFERROR(__xludf.DUMMYFUNCTION("""COMPUTED_VALUE"""),568.53)</f>
        <v>568.53</v>
      </c>
      <c r="F1653" s="2">
        <f>IFERROR(__xludf.DUMMYFUNCTION("""COMPUTED_VALUE"""),1361467.0)</f>
        <v>1361467</v>
      </c>
    </row>
    <row r="1654">
      <c r="A1654" s="3">
        <f>IFERROR(__xludf.DUMMYFUNCTION("""COMPUTED_VALUE"""),40668.645833333336)</f>
        <v>40668.64583</v>
      </c>
      <c r="B1654" s="2">
        <f>IFERROR(__xludf.DUMMYFUNCTION("""COMPUTED_VALUE"""),572.5)</f>
        <v>572.5</v>
      </c>
      <c r="C1654" s="2">
        <f>IFERROR(__xludf.DUMMYFUNCTION("""COMPUTED_VALUE"""),572.5)</f>
        <v>572.5</v>
      </c>
      <c r="D1654" s="2">
        <f>IFERROR(__xludf.DUMMYFUNCTION("""COMPUTED_VALUE"""),554.05)</f>
        <v>554.05</v>
      </c>
      <c r="E1654" s="2">
        <f>IFERROR(__xludf.DUMMYFUNCTION("""COMPUTED_VALUE"""),557.5)</f>
        <v>557.5</v>
      </c>
      <c r="F1654" s="2">
        <f>IFERROR(__xludf.DUMMYFUNCTION("""COMPUTED_VALUE"""),942798.0)</f>
        <v>942798</v>
      </c>
    </row>
    <row r="1655">
      <c r="A1655" s="3">
        <f>IFERROR(__xludf.DUMMYFUNCTION("""COMPUTED_VALUE"""),40669.645833333336)</f>
        <v>40669.64583</v>
      </c>
      <c r="B1655" s="2">
        <f>IFERROR(__xludf.DUMMYFUNCTION("""COMPUTED_VALUE"""),560.0)</f>
        <v>560</v>
      </c>
      <c r="C1655" s="2">
        <f>IFERROR(__xludf.DUMMYFUNCTION("""COMPUTED_VALUE"""),576.75)</f>
        <v>576.75</v>
      </c>
      <c r="D1655" s="2">
        <f>IFERROR(__xludf.DUMMYFUNCTION("""COMPUTED_VALUE"""),559.88)</f>
        <v>559.88</v>
      </c>
      <c r="E1655" s="2">
        <f>IFERROR(__xludf.DUMMYFUNCTION("""COMPUTED_VALUE"""),574.48)</f>
        <v>574.48</v>
      </c>
      <c r="F1655" s="2">
        <f>IFERROR(__xludf.DUMMYFUNCTION("""COMPUTED_VALUE"""),1202674.0)</f>
        <v>1202674</v>
      </c>
    </row>
    <row r="1656">
      <c r="A1656" s="3">
        <f>IFERROR(__xludf.DUMMYFUNCTION("""COMPUTED_VALUE"""),40672.645833333336)</f>
        <v>40672.64583</v>
      </c>
      <c r="B1656" s="2">
        <f>IFERROR(__xludf.DUMMYFUNCTION("""COMPUTED_VALUE"""),575.0)</f>
        <v>575</v>
      </c>
      <c r="C1656" s="2">
        <f>IFERROR(__xludf.DUMMYFUNCTION("""COMPUTED_VALUE"""),575.98)</f>
        <v>575.98</v>
      </c>
      <c r="D1656" s="2">
        <f>IFERROR(__xludf.DUMMYFUNCTION("""COMPUTED_VALUE"""),562.25)</f>
        <v>562.25</v>
      </c>
      <c r="E1656" s="2">
        <f>IFERROR(__xludf.DUMMYFUNCTION("""COMPUTED_VALUE"""),567.78)</f>
        <v>567.78</v>
      </c>
      <c r="F1656" s="2">
        <f>IFERROR(__xludf.DUMMYFUNCTION("""COMPUTED_VALUE"""),506116.0)</f>
        <v>506116</v>
      </c>
    </row>
    <row r="1657">
      <c r="A1657" s="3">
        <f>IFERROR(__xludf.DUMMYFUNCTION("""COMPUTED_VALUE"""),40673.645833333336)</f>
        <v>40673.64583</v>
      </c>
      <c r="B1657" s="2">
        <f>IFERROR(__xludf.DUMMYFUNCTION("""COMPUTED_VALUE"""),566.5)</f>
        <v>566.5</v>
      </c>
      <c r="C1657" s="2">
        <f>IFERROR(__xludf.DUMMYFUNCTION("""COMPUTED_VALUE"""),579.98)</f>
        <v>579.98</v>
      </c>
      <c r="D1657" s="2">
        <f>IFERROR(__xludf.DUMMYFUNCTION("""COMPUTED_VALUE"""),564.0)</f>
        <v>564</v>
      </c>
      <c r="E1657" s="2">
        <f>IFERROR(__xludf.DUMMYFUNCTION("""COMPUTED_VALUE"""),569.95)</f>
        <v>569.95</v>
      </c>
      <c r="F1657" s="2">
        <f>IFERROR(__xludf.DUMMYFUNCTION("""COMPUTED_VALUE"""),764579.0)</f>
        <v>764579</v>
      </c>
    </row>
    <row r="1658">
      <c r="A1658" s="3">
        <f>IFERROR(__xludf.DUMMYFUNCTION("""COMPUTED_VALUE"""),40674.645833333336)</f>
        <v>40674.64583</v>
      </c>
      <c r="B1658" s="2">
        <f>IFERROR(__xludf.DUMMYFUNCTION("""COMPUTED_VALUE"""),569.5)</f>
        <v>569.5</v>
      </c>
      <c r="C1658" s="2">
        <f>IFERROR(__xludf.DUMMYFUNCTION("""COMPUTED_VALUE"""),575.85)</f>
        <v>575.85</v>
      </c>
      <c r="D1658" s="2">
        <f>IFERROR(__xludf.DUMMYFUNCTION("""COMPUTED_VALUE"""),563.05)</f>
        <v>563.05</v>
      </c>
      <c r="E1658" s="2">
        <f>IFERROR(__xludf.DUMMYFUNCTION("""COMPUTED_VALUE"""),570.13)</f>
        <v>570.13</v>
      </c>
      <c r="F1658" s="2">
        <f>IFERROR(__xludf.DUMMYFUNCTION("""COMPUTED_VALUE"""),730335.0)</f>
        <v>730335</v>
      </c>
    </row>
    <row r="1659">
      <c r="A1659" s="3">
        <f>IFERROR(__xludf.DUMMYFUNCTION("""COMPUTED_VALUE"""),40675.645833333336)</f>
        <v>40675.64583</v>
      </c>
      <c r="B1659" s="2">
        <f>IFERROR(__xludf.DUMMYFUNCTION("""COMPUTED_VALUE"""),566.95)</f>
        <v>566.95</v>
      </c>
      <c r="C1659" s="2">
        <f>IFERROR(__xludf.DUMMYFUNCTION("""COMPUTED_VALUE"""),566.95)</f>
        <v>566.95</v>
      </c>
      <c r="D1659" s="2">
        <f>IFERROR(__xludf.DUMMYFUNCTION("""COMPUTED_VALUE"""),554.17)</f>
        <v>554.17</v>
      </c>
      <c r="E1659" s="2">
        <f>IFERROR(__xludf.DUMMYFUNCTION("""COMPUTED_VALUE"""),555.88)</f>
        <v>555.88</v>
      </c>
      <c r="F1659" s="2">
        <f>IFERROR(__xludf.DUMMYFUNCTION("""COMPUTED_VALUE"""),1270229.0)</f>
        <v>1270229</v>
      </c>
    </row>
    <row r="1660">
      <c r="A1660" s="3">
        <f>IFERROR(__xludf.DUMMYFUNCTION("""COMPUTED_VALUE"""),40676.645833333336)</f>
        <v>40676.64583</v>
      </c>
      <c r="B1660" s="2">
        <f>IFERROR(__xludf.DUMMYFUNCTION("""COMPUTED_VALUE"""),556.0)</f>
        <v>556</v>
      </c>
      <c r="C1660" s="2">
        <f>IFERROR(__xludf.DUMMYFUNCTION("""COMPUTED_VALUE"""),571.15)</f>
        <v>571.15</v>
      </c>
      <c r="D1660" s="2">
        <f>IFERROR(__xludf.DUMMYFUNCTION("""COMPUTED_VALUE"""),556.0)</f>
        <v>556</v>
      </c>
      <c r="E1660" s="2">
        <f>IFERROR(__xludf.DUMMYFUNCTION("""COMPUTED_VALUE"""),563.55)</f>
        <v>563.55</v>
      </c>
      <c r="F1660" s="2">
        <f>IFERROR(__xludf.DUMMYFUNCTION("""COMPUTED_VALUE"""),1182744.0)</f>
        <v>1182744</v>
      </c>
    </row>
    <row r="1661">
      <c r="A1661" s="3">
        <f>IFERROR(__xludf.DUMMYFUNCTION("""COMPUTED_VALUE"""),40679.645833333336)</f>
        <v>40679.64583</v>
      </c>
      <c r="B1661" s="2">
        <f>IFERROR(__xludf.DUMMYFUNCTION("""COMPUTED_VALUE"""),560.5)</f>
        <v>560.5</v>
      </c>
      <c r="C1661" s="2">
        <f>IFERROR(__xludf.DUMMYFUNCTION("""COMPUTED_VALUE"""),573.7)</f>
        <v>573.7</v>
      </c>
      <c r="D1661" s="2">
        <f>IFERROR(__xludf.DUMMYFUNCTION("""COMPUTED_VALUE"""),560.0)</f>
        <v>560</v>
      </c>
      <c r="E1661" s="2">
        <f>IFERROR(__xludf.DUMMYFUNCTION("""COMPUTED_VALUE"""),565.55)</f>
        <v>565.55</v>
      </c>
      <c r="F1661" s="2">
        <f>IFERROR(__xludf.DUMMYFUNCTION("""COMPUTED_VALUE"""),1113684.0)</f>
        <v>1113684</v>
      </c>
    </row>
    <row r="1662">
      <c r="A1662" s="3">
        <f>IFERROR(__xludf.DUMMYFUNCTION("""COMPUTED_VALUE"""),40680.645833333336)</f>
        <v>40680.64583</v>
      </c>
      <c r="B1662" s="2">
        <f>IFERROR(__xludf.DUMMYFUNCTION("""COMPUTED_VALUE"""),561.03)</f>
        <v>561.03</v>
      </c>
      <c r="C1662" s="2">
        <f>IFERROR(__xludf.DUMMYFUNCTION("""COMPUTED_VALUE"""),574.6)</f>
        <v>574.6</v>
      </c>
      <c r="D1662" s="2">
        <f>IFERROR(__xludf.DUMMYFUNCTION("""COMPUTED_VALUE"""),561.03)</f>
        <v>561.03</v>
      </c>
      <c r="E1662" s="2">
        <f>IFERROR(__xludf.DUMMYFUNCTION("""COMPUTED_VALUE"""),570.85)</f>
        <v>570.85</v>
      </c>
      <c r="F1662" s="2">
        <f>IFERROR(__xludf.DUMMYFUNCTION("""COMPUTED_VALUE"""),695707.0)</f>
        <v>695707</v>
      </c>
    </row>
    <row r="1663">
      <c r="A1663" s="3">
        <f>IFERROR(__xludf.DUMMYFUNCTION("""COMPUTED_VALUE"""),40681.645833333336)</f>
        <v>40681.64583</v>
      </c>
      <c r="B1663" s="2">
        <f>IFERROR(__xludf.DUMMYFUNCTION("""COMPUTED_VALUE"""),571.13)</f>
        <v>571.13</v>
      </c>
      <c r="C1663" s="2">
        <f>IFERROR(__xludf.DUMMYFUNCTION("""COMPUTED_VALUE"""),580.75)</f>
        <v>580.75</v>
      </c>
      <c r="D1663" s="2">
        <f>IFERROR(__xludf.DUMMYFUNCTION("""COMPUTED_VALUE"""),571.13)</f>
        <v>571.13</v>
      </c>
      <c r="E1663" s="2">
        <f>IFERROR(__xludf.DUMMYFUNCTION("""COMPUTED_VALUE"""),577.53)</f>
        <v>577.53</v>
      </c>
      <c r="F1663" s="2">
        <f>IFERROR(__xludf.DUMMYFUNCTION("""COMPUTED_VALUE"""),1112590.0)</f>
        <v>1112590</v>
      </c>
    </row>
    <row r="1664">
      <c r="A1664" s="3">
        <f>IFERROR(__xludf.DUMMYFUNCTION("""COMPUTED_VALUE"""),40682.645833333336)</f>
        <v>40682.64583</v>
      </c>
      <c r="B1664" s="2">
        <f>IFERROR(__xludf.DUMMYFUNCTION("""COMPUTED_VALUE"""),582.5)</f>
        <v>582.5</v>
      </c>
      <c r="C1664" s="2">
        <f>IFERROR(__xludf.DUMMYFUNCTION("""COMPUTED_VALUE"""),585.0)</f>
        <v>585</v>
      </c>
      <c r="D1664" s="2">
        <f>IFERROR(__xludf.DUMMYFUNCTION("""COMPUTED_VALUE"""),578.0)</f>
        <v>578</v>
      </c>
      <c r="E1664" s="2">
        <f>IFERROR(__xludf.DUMMYFUNCTION("""COMPUTED_VALUE"""),582.42)</f>
        <v>582.42</v>
      </c>
      <c r="F1664" s="2">
        <f>IFERROR(__xludf.DUMMYFUNCTION("""COMPUTED_VALUE"""),1025461.0)</f>
        <v>1025461</v>
      </c>
    </row>
    <row r="1665">
      <c r="A1665" s="3">
        <f>IFERROR(__xludf.DUMMYFUNCTION("""COMPUTED_VALUE"""),40683.645833333336)</f>
        <v>40683.64583</v>
      </c>
      <c r="B1665" s="2">
        <f>IFERROR(__xludf.DUMMYFUNCTION("""COMPUTED_VALUE"""),586.88)</f>
        <v>586.88</v>
      </c>
      <c r="C1665" s="2">
        <f>IFERROR(__xludf.DUMMYFUNCTION("""COMPUTED_VALUE"""),591.7)</f>
        <v>591.7</v>
      </c>
      <c r="D1665" s="2">
        <f>IFERROR(__xludf.DUMMYFUNCTION("""COMPUTED_VALUE"""),581.63)</f>
        <v>581.63</v>
      </c>
      <c r="E1665" s="2">
        <f>IFERROR(__xludf.DUMMYFUNCTION("""COMPUTED_VALUE"""),587.5)</f>
        <v>587.5</v>
      </c>
      <c r="F1665" s="2">
        <f>IFERROR(__xludf.DUMMYFUNCTION("""COMPUTED_VALUE"""),1025300.0)</f>
        <v>1025300</v>
      </c>
    </row>
    <row r="1666">
      <c r="A1666" s="3">
        <f>IFERROR(__xludf.DUMMYFUNCTION("""COMPUTED_VALUE"""),40686.645833333336)</f>
        <v>40686.64583</v>
      </c>
      <c r="B1666" s="2">
        <f>IFERROR(__xludf.DUMMYFUNCTION("""COMPUTED_VALUE"""),582.0)</f>
        <v>582</v>
      </c>
      <c r="C1666" s="2">
        <f>IFERROR(__xludf.DUMMYFUNCTION("""COMPUTED_VALUE"""),585.25)</f>
        <v>585.25</v>
      </c>
      <c r="D1666" s="2">
        <f>IFERROR(__xludf.DUMMYFUNCTION("""COMPUTED_VALUE"""),575.0)</f>
        <v>575</v>
      </c>
      <c r="E1666" s="2">
        <f>IFERROR(__xludf.DUMMYFUNCTION("""COMPUTED_VALUE"""),583.28)</f>
        <v>583.28</v>
      </c>
      <c r="F1666" s="2">
        <f>IFERROR(__xludf.DUMMYFUNCTION("""COMPUTED_VALUE"""),1008642.0)</f>
        <v>1008642</v>
      </c>
    </row>
    <row r="1667">
      <c r="A1667" s="3">
        <f>IFERROR(__xludf.DUMMYFUNCTION("""COMPUTED_VALUE"""),40687.645833333336)</f>
        <v>40687.64583</v>
      </c>
      <c r="B1667" s="2">
        <f>IFERROR(__xludf.DUMMYFUNCTION("""COMPUTED_VALUE"""),581.33)</f>
        <v>581.33</v>
      </c>
      <c r="C1667" s="2">
        <f>IFERROR(__xludf.DUMMYFUNCTION("""COMPUTED_VALUE"""),586.4)</f>
        <v>586.4</v>
      </c>
      <c r="D1667" s="2">
        <f>IFERROR(__xludf.DUMMYFUNCTION("""COMPUTED_VALUE"""),569.58)</f>
        <v>569.58</v>
      </c>
      <c r="E1667" s="2">
        <f>IFERROR(__xludf.DUMMYFUNCTION("""COMPUTED_VALUE"""),574.95)</f>
        <v>574.95</v>
      </c>
      <c r="F1667" s="2">
        <f>IFERROR(__xludf.DUMMYFUNCTION("""COMPUTED_VALUE"""),840997.0)</f>
        <v>840997</v>
      </c>
    </row>
    <row r="1668">
      <c r="A1668" s="3">
        <f>IFERROR(__xludf.DUMMYFUNCTION("""COMPUTED_VALUE"""),40688.645833333336)</f>
        <v>40688.64583</v>
      </c>
      <c r="B1668" s="2">
        <f>IFERROR(__xludf.DUMMYFUNCTION("""COMPUTED_VALUE"""),574.55)</f>
        <v>574.55</v>
      </c>
      <c r="C1668" s="2">
        <f>IFERROR(__xludf.DUMMYFUNCTION("""COMPUTED_VALUE"""),574.95)</f>
        <v>574.95</v>
      </c>
      <c r="D1668" s="2">
        <f>IFERROR(__xludf.DUMMYFUNCTION("""COMPUTED_VALUE"""),560.0)</f>
        <v>560</v>
      </c>
      <c r="E1668" s="2">
        <f>IFERROR(__xludf.DUMMYFUNCTION("""COMPUTED_VALUE"""),564.3)</f>
        <v>564.3</v>
      </c>
      <c r="F1668" s="2">
        <f>IFERROR(__xludf.DUMMYFUNCTION("""COMPUTED_VALUE"""),933735.0)</f>
        <v>933735</v>
      </c>
    </row>
    <row r="1669">
      <c r="A1669" s="3">
        <f>IFERROR(__xludf.DUMMYFUNCTION("""COMPUTED_VALUE"""),40689.645833333336)</f>
        <v>40689.64583</v>
      </c>
      <c r="B1669" s="2">
        <f>IFERROR(__xludf.DUMMYFUNCTION("""COMPUTED_VALUE"""),569.5)</f>
        <v>569.5</v>
      </c>
      <c r="C1669" s="2">
        <f>IFERROR(__xludf.DUMMYFUNCTION("""COMPUTED_VALUE"""),571.5)</f>
        <v>571.5</v>
      </c>
      <c r="D1669" s="2">
        <f>IFERROR(__xludf.DUMMYFUNCTION("""COMPUTED_VALUE"""),560.0)</f>
        <v>560</v>
      </c>
      <c r="E1669" s="2">
        <f>IFERROR(__xludf.DUMMYFUNCTION("""COMPUTED_VALUE"""),567.88)</f>
        <v>567.88</v>
      </c>
      <c r="F1669" s="2">
        <f>IFERROR(__xludf.DUMMYFUNCTION("""COMPUTED_VALUE"""),1030109.0)</f>
        <v>1030109</v>
      </c>
    </row>
    <row r="1670">
      <c r="A1670" s="3">
        <f>IFERROR(__xludf.DUMMYFUNCTION("""COMPUTED_VALUE"""),40690.645833333336)</f>
        <v>40690.64583</v>
      </c>
      <c r="B1670" s="2">
        <f>IFERROR(__xludf.DUMMYFUNCTION("""COMPUTED_VALUE"""),574.28)</f>
        <v>574.28</v>
      </c>
      <c r="C1670" s="2">
        <f>IFERROR(__xludf.DUMMYFUNCTION("""COMPUTED_VALUE"""),574.95)</f>
        <v>574.95</v>
      </c>
      <c r="D1670" s="2">
        <f>IFERROR(__xludf.DUMMYFUNCTION("""COMPUTED_VALUE"""),568.15)</f>
        <v>568.15</v>
      </c>
      <c r="E1670" s="2">
        <f>IFERROR(__xludf.DUMMYFUNCTION("""COMPUTED_VALUE"""),572.28)</f>
        <v>572.28</v>
      </c>
      <c r="F1670" s="2">
        <f>IFERROR(__xludf.DUMMYFUNCTION("""COMPUTED_VALUE"""),643352.0)</f>
        <v>643352</v>
      </c>
    </row>
    <row r="1671">
      <c r="A1671" s="3">
        <f>IFERROR(__xludf.DUMMYFUNCTION("""COMPUTED_VALUE"""),40693.645833333336)</f>
        <v>40693.64583</v>
      </c>
      <c r="B1671" s="2">
        <f>IFERROR(__xludf.DUMMYFUNCTION("""COMPUTED_VALUE"""),575.5)</f>
        <v>575.5</v>
      </c>
      <c r="C1671" s="2">
        <f>IFERROR(__xludf.DUMMYFUNCTION("""COMPUTED_VALUE"""),579.98)</f>
        <v>579.98</v>
      </c>
      <c r="D1671" s="2">
        <f>IFERROR(__xludf.DUMMYFUNCTION("""COMPUTED_VALUE"""),571.15)</f>
        <v>571.15</v>
      </c>
      <c r="E1671" s="2">
        <f>IFERROR(__xludf.DUMMYFUNCTION("""COMPUTED_VALUE"""),575.98)</f>
        <v>575.98</v>
      </c>
      <c r="F1671" s="2">
        <f>IFERROR(__xludf.DUMMYFUNCTION("""COMPUTED_VALUE"""),570434.0)</f>
        <v>570434</v>
      </c>
    </row>
    <row r="1672">
      <c r="A1672" s="3">
        <f>IFERROR(__xludf.DUMMYFUNCTION("""COMPUTED_VALUE"""),40694.645833333336)</f>
        <v>40694.64583</v>
      </c>
      <c r="B1672" s="2">
        <f>IFERROR(__xludf.DUMMYFUNCTION("""COMPUTED_VALUE"""),577.5)</f>
        <v>577.5</v>
      </c>
      <c r="C1672" s="2">
        <f>IFERROR(__xludf.DUMMYFUNCTION("""COMPUTED_VALUE"""),588.85)</f>
        <v>588.85</v>
      </c>
      <c r="D1672" s="2">
        <f>IFERROR(__xludf.DUMMYFUNCTION("""COMPUTED_VALUE"""),575.05)</f>
        <v>575.05</v>
      </c>
      <c r="E1672" s="2">
        <f>IFERROR(__xludf.DUMMYFUNCTION("""COMPUTED_VALUE"""),578.58)</f>
        <v>578.58</v>
      </c>
      <c r="F1672" s="2">
        <f>IFERROR(__xludf.DUMMYFUNCTION("""COMPUTED_VALUE"""),1322077.0)</f>
        <v>1322077</v>
      </c>
    </row>
    <row r="1673">
      <c r="A1673" s="3">
        <f>IFERROR(__xludf.DUMMYFUNCTION("""COMPUTED_VALUE"""),40695.645833333336)</f>
        <v>40695.64583</v>
      </c>
      <c r="B1673" s="2">
        <f>IFERROR(__xludf.DUMMYFUNCTION("""COMPUTED_VALUE"""),578.5)</f>
        <v>578.5</v>
      </c>
      <c r="C1673" s="2">
        <f>IFERROR(__xludf.DUMMYFUNCTION("""COMPUTED_VALUE"""),588.5)</f>
        <v>588.5</v>
      </c>
      <c r="D1673" s="2">
        <f>IFERROR(__xludf.DUMMYFUNCTION("""COMPUTED_VALUE"""),578.5)</f>
        <v>578.5</v>
      </c>
      <c r="E1673" s="2">
        <f>IFERROR(__xludf.DUMMYFUNCTION("""COMPUTED_VALUE"""),587.7)</f>
        <v>587.7</v>
      </c>
      <c r="F1673" s="2">
        <f>IFERROR(__xludf.DUMMYFUNCTION("""COMPUTED_VALUE"""),491193.0)</f>
        <v>491193</v>
      </c>
    </row>
    <row r="1674">
      <c r="A1674" s="3">
        <f>IFERROR(__xludf.DUMMYFUNCTION("""COMPUTED_VALUE"""),40696.645833333336)</f>
        <v>40696.64583</v>
      </c>
      <c r="B1674" s="2">
        <f>IFERROR(__xludf.DUMMYFUNCTION("""COMPUTED_VALUE"""),579.45)</f>
        <v>579.45</v>
      </c>
      <c r="C1674" s="2">
        <f>IFERROR(__xludf.DUMMYFUNCTION("""COMPUTED_VALUE"""),586.0)</f>
        <v>586</v>
      </c>
      <c r="D1674" s="2">
        <f>IFERROR(__xludf.DUMMYFUNCTION("""COMPUTED_VALUE"""),578.33)</f>
        <v>578.33</v>
      </c>
      <c r="E1674" s="2">
        <f>IFERROR(__xludf.DUMMYFUNCTION("""COMPUTED_VALUE"""),583.88)</f>
        <v>583.88</v>
      </c>
      <c r="F1674" s="2">
        <f>IFERROR(__xludf.DUMMYFUNCTION("""COMPUTED_VALUE"""),848827.0)</f>
        <v>848827</v>
      </c>
    </row>
    <row r="1675">
      <c r="A1675" s="3">
        <f>IFERROR(__xludf.DUMMYFUNCTION("""COMPUTED_VALUE"""),40697.645833333336)</f>
        <v>40697.64583</v>
      </c>
      <c r="B1675" s="2">
        <f>IFERROR(__xludf.DUMMYFUNCTION("""COMPUTED_VALUE"""),583.0)</f>
        <v>583</v>
      </c>
      <c r="C1675" s="2">
        <f>IFERROR(__xludf.DUMMYFUNCTION("""COMPUTED_VALUE"""),587.5)</f>
        <v>587.5</v>
      </c>
      <c r="D1675" s="2">
        <f>IFERROR(__xludf.DUMMYFUNCTION("""COMPUTED_VALUE"""),575.0)</f>
        <v>575</v>
      </c>
      <c r="E1675" s="2">
        <f>IFERROR(__xludf.DUMMYFUNCTION("""COMPUTED_VALUE"""),576.05)</f>
        <v>576.05</v>
      </c>
      <c r="F1675" s="2">
        <f>IFERROR(__xludf.DUMMYFUNCTION("""COMPUTED_VALUE"""),683904.0)</f>
        <v>683904</v>
      </c>
    </row>
    <row r="1676">
      <c r="A1676" s="3">
        <f>IFERROR(__xludf.DUMMYFUNCTION("""COMPUTED_VALUE"""),40700.645833333336)</f>
        <v>40700.64583</v>
      </c>
      <c r="B1676" s="2">
        <f>IFERROR(__xludf.DUMMYFUNCTION("""COMPUTED_VALUE"""),570.0)</f>
        <v>570</v>
      </c>
      <c r="C1676" s="2">
        <f>IFERROR(__xludf.DUMMYFUNCTION("""COMPUTED_VALUE"""),584.0)</f>
        <v>584</v>
      </c>
      <c r="D1676" s="2">
        <f>IFERROR(__xludf.DUMMYFUNCTION("""COMPUTED_VALUE"""),570.0)</f>
        <v>570</v>
      </c>
      <c r="E1676" s="2">
        <f>IFERROR(__xludf.DUMMYFUNCTION("""COMPUTED_VALUE"""),582.17)</f>
        <v>582.17</v>
      </c>
      <c r="F1676" s="2">
        <f>IFERROR(__xludf.DUMMYFUNCTION("""COMPUTED_VALUE"""),678537.0)</f>
        <v>678537</v>
      </c>
    </row>
    <row r="1677">
      <c r="A1677" s="3">
        <f>IFERROR(__xludf.DUMMYFUNCTION("""COMPUTED_VALUE"""),40701.645833333336)</f>
        <v>40701.64583</v>
      </c>
      <c r="B1677" s="2">
        <f>IFERROR(__xludf.DUMMYFUNCTION("""COMPUTED_VALUE"""),581.5)</f>
        <v>581.5</v>
      </c>
      <c r="C1677" s="2">
        <f>IFERROR(__xludf.DUMMYFUNCTION("""COMPUTED_VALUE"""),591.58)</f>
        <v>591.58</v>
      </c>
      <c r="D1677" s="2">
        <f>IFERROR(__xludf.DUMMYFUNCTION("""COMPUTED_VALUE"""),579.0)</f>
        <v>579</v>
      </c>
      <c r="E1677" s="2">
        <f>IFERROR(__xludf.DUMMYFUNCTION("""COMPUTED_VALUE"""),589.65)</f>
        <v>589.65</v>
      </c>
      <c r="F1677" s="2">
        <f>IFERROR(__xludf.DUMMYFUNCTION("""COMPUTED_VALUE"""),918721.0)</f>
        <v>918721</v>
      </c>
    </row>
    <row r="1678">
      <c r="A1678" s="3">
        <f>IFERROR(__xludf.DUMMYFUNCTION("""COMPUTED_VALUE"""),40702.645833333336)</f>
        <v>40702.64583</v>
      </c>
      <c r="B1678" s="2">
        <f>IFERROR(__xludf.DUMMYFUNCTION("""COMPUTED_VALUE"""),585.95)</f>
        <v>585.95</v>
      </c>
      <c r="C1678" s="2">
        <f>IFERROR(__xludf.DUMMYFUNCTION("""COMPUTED_VALUE"""),592.5)</f>
        <v>592.5</v>
      </c>
      <c r="D1678" s="2">
        <f>IFERROR(__xludf.DUMMYFUNCTION("""COMPUTED_VALUE"""),581.75)</f>
        <v>581.75</v>
      </c>
      <c r="E1678" s="2">
        <f>IFERROR(__xludf.DUMMYFUNCTION("""COMPUTED_VALUE"""),590.7)</f>
        <v>590.7</v>
      </c>
      <c r="F1678" s="2">
        <f>IFERROR(__xludf.DUMMYFUNCTION("""COMPUTED_VALUE"""),1063835.0)</f>
        <v>1063835</v>
      </c>
    </row>
    <row r="1679">
      <c r="A1679" s="3">
        <f>IFERROR(__xludf.DUMMYFUNCTION("""COMPUTED_VALUE"""),40703.645833333336)</f>
        <v>40703.64583</v>
      </c>
      <c r="B1679" s="2">
        <f>IFERROR(__xludf.DUMMYFUNCTION("""COMPUTED_VALUE"""),587.5)</f>
        <v>587.5</v>
      </c>
      <c r="C1679" s="2">
        <f>IFERROR(__xludf.DUMMYFUNCTION("""COMPUTED_VALUE"""),596.9)</f>
        <v>596.9</v>
      </c>
      <c r="D1679" s="2">
        <f>IFERROR(__xludf.DUMMYFUNCTION("""COMPUTED_VALUE"""),587.5)</f>
        <v>587.5</v>
      </c>
      <c r="E1679" s="2">
        <f>IFERROR(__xludf.DUMMYFUNCTION("""COMPUTED_VALUE"""),593.17)</f>
        <v>593.17</v>
      </c>
      <c r="F1679" s="2">
        <f>IFERROR(__xludf.DUMMYFUNCTION("""COMPUTED_VALUE"""),1346983.0)</f>
        <v>1346983</v>
      </c>
    </row>
    <row r="1680">
      <c r="A1680" s="3">
        <f>IFERROR(__xludf.DUMMYFUNCTION("""COMPUTED_VALUE"""),40704.645833333336)</f>
        <v>40704.64583</v>
      </c>
      <c r="B1680" s="2">
        <f>IFERROR(__xludf.DUMMYFUNCTION("""COMPUTED_VALUE"""),593.28)</f>
        <v>593.28</v>
      </c>
      <c r="C1680" s="2">
        <f>IFERROR(__xludf.DUMMYFUNCTION("""COMPUTED_VALUE"""),598.75)</f>
        <v>598.75</v>
      </c>
      <c r="D1680" s="2">
        <f>IFERROR(__xludf.DUMMYFUNCTION("""COMPUTED_VALUE"""),592.55)</f>
        <v>592.55</v>
      </c>
      <c r="E1680" s="2">
        <f>IFERROR(__xludf.DUMMYFUNCTION("""COMPUTED_VALUE"""),594.6)</f>
        <v>594.6</v>
      </c>
      <c r="F1680" s="2">
        <f>IFERROR(__xludf.DUMMYFUNCTION("""COMPUTED_VALUE"""),1887275.0)</f>
        <v>1887275</v>
      </c>
    </row>
    <row r="1681">
      <c r="A1681" s="3">
        <f>IFERROR(__xludf.DUMMYFUNCTION("""COMPUTED_VALUE"""),40707.645833333336)</f>
        <v>40707.64583</v>
      </c>
      <c r="B1681" s="2">
        <f>IFERROR(__xludf.DUMMYFUNCTION("""COMPUTED_VALUE"""),594.6)</f>
        <v>594.6</v>
      </c>
      <c r="C1681" s="2">
        <f>IFERROR(__xludf.DUMMYFUNCTION("""COMPUTED_VALUE"""),595.25)</f>
        <v>595.25</v>
      </c>
      <c r="D1681" s="2">
        <f>IFERROR(__xludf.DUMMYFUNCTION("""COMPUTED_VALUE"""),586.28)</f>
        <v>586.28</v>
      </c>
      <c r="E1681" s="2">
        <f>IFERROR(__xludf.DUMMYFUNCTION("""COMPUTED_VALUE"""),587.65)</f>
        <v>587.65</v>
      </c>
      <c r="F1681" s="2">
        <f>IFERROR(__xludf.DUMMYFUNCTION("""COMPUTED_VALUE"""),1614700.0)</f>
        <v>1614700</v>
      </c>
    </row>
    <row r="1682">
      <c r="A1682" s="3">
        <f>IFERROR(__xludf.DUMMYFUNCTION("""COMPUTED_VALUE"""),40708.645833333336)</f>
        <v>40708.64583</v>
      </c>
      <c r="B1682" s="2">
        <f>IFERROR(__xludf.DUMMYFUNCTION("""COMPUTED_VALUE"""),589.0)</f>
        <v>589</v>
      </c>
      <c r="C1682" s="2">
        <f>IFERROR(__xludf.DUMMYFUNCTION("""COMPUTED_VALUE"""),597.45)</f>
        <v>597.45</v>
      </c>
      <c r="D1682" s="2">
        <f>IFERROR(__xludf.DUMMYFUNCTION("""COMPUTED_VALUE"""),589.0)</f>
        <v>589</v>
      </c>
      <c r="E1682" s="2">
        <f>IFERROR(__xludf.DUMMYFUNCTION("""COMPUTED_VALUE"""),595.53)</f>
        <v>595.53</v>
      </c>
      <c r="F1682" s="2">
        <f>IFERROR(__xludf.DUMMYFUNCTION("""COMPUTED_VALUE"""),1062891.0)</f>
        <v>1062891</v>
      </c>
    </row>
    <row r="1683">
      <c r="A1683" s="3">
        <f>IFERROR(__xludf.DUMMYFUNCTION("""COMPUTED_VALUE"""),40709.645833333336)</f>
        <v>40709.64583</v>
      </c>
      <c r="B1683" s="2">
        <f>IFERROR(__xludf.DUMMYFUNCTION("""COMPUTED_VALUE"""),593.0)</f>
        <v>593</v>
      </c>
      <c r="C1683" s="2">
        <f>IFERROR(__xludf.DUMMYFUNCTION("""COMPUTED_VALUE"""),602.5)</f>
        <v>602.5</v>
      </c>
      <c r="D1683" s="2">
        <f>IFERROR(__xludf.DUMMYFUNCTION("""COMPUTED_VALUE"""),590.63)</f>
        <v>590.63</v>
      </c>
      <c r="E1683" s="2">
        <f>IFERROR(__xludf.DUMMYFUNCTION("""COMPUTED_VALUE"""),592.13)</f>
        <v>592.13</v>
      </c>
      <c r="F1683" s="2">
        <f>IFERROR(__xludf.DUMMYFUNCTION("""COMPUTED_VALUE"""),1406191.0)</f>
        <v>1406191</v>
      </c>
    </row>
    <row r="1684">
      <c r="A1684" s="3">
        <f>IFERROR(__xludf.DUMMYFUNCTION("""COMPUTED_VALUE"""),40710.645833333336)</f>
        <v>40710.64583</v>
      </c>
      <c r="B1684" s="2">
        <f>IFERROR(__xludf.DUMMYFUNCTION("""COMPUTED_VALUE"""),591.5)</f>
        <v>591.5</v>
      </c>
      <c r="C1684" s="2">
        <f>IFERROR(__xludf.DUMMYFUNCTION("""COMPUTED_VALUE"""),592.95)</f>
        <v>592.95</v>
      </c>
      <c r="D1684" s="2">
        <f>IFERROR(__xludf.DUMMYFUNCTION("""COMPUTED_VALUE"""),574.13)</f>
        <v>574.13</v>
      </c>
      <c r="E1684" s="2">
        <f>IFERROR(__xludf.DUMMYFUNCTION("""COMPUTED_VALUE"""),575.58)</f>
        <v>575.58</v>
      </c>
      <c r="F1684" s="2">
        <f>IFERROR(__xludf.DUMMYFUNCTION("""COMPUTED_VALUE"""),1168760.0)</f>
        <v>1168760</v>
      </c>
    </row>
    <row r="1685">
      <c r="A1685" s="3">
        <f>IFERROR(__xludf.DUMMYFUNCTION("""COMPUTED_VALUE"""),40711.645833333336)</f>
        <v>40711.64583</v>
      </c>
      <c r="B1685" s="2">
        <f>IFERROR(__xludf.DUMMYFUNCTION("""COMPUTED_VALUE"""),577.5)</f>
        <v>577.5</v>
      </c>
      <c r="C1685" s="2">
        <f>IFERROR(__xludf.DUMMYFUNCTION("""COMPUTED_VALUE"""),578.5)</f>
        <v>578.5</v>
      </c>
      <c r="D1685" s="2">
        <f>IFERROR(__xludf.DUMMYFUNCTION("""COMPUTED_VALUE"""),552.0)</f>
        <v>552</v>
      </c>
      <c r="E1685" s="2">
        <f>IFERROR(__xludf.DUMMYFUNCTION("""COMPUTED_VALUE"""),554.6)</f>
        <v>554.6</v>
      </c>
      <c r="F1685" s="2">
        <f>IFERROR(__xludf.DUMMYFUNCTION("""COMPUTED_VALUE"""),1894073.0)</f>
        <v>1894073</v>
      </c>
    </row>
    <row r="1686">
      <c r="A1686" s="3">
        <f>IFERROR(__xludf.DUMMYFUNCTION("""COMPUTED_VALUE"""),40714.645833333336)</f>
        <v>40714.64583</v>
      </c>
      <c r="B1686" s="2">
        <f>IFERROR(__xludf.DUMMYFUNCTION("""COMPUTED_VALUE"""),557.5)</f>
        <v>557.5</v>
      </c>
      <c r="C1686" s="2">
        <f>IFERROR(__xludf.DUMMYFUNCTION("""COMPUTED_VALUE"""),559.5)</f>
        <v>559.5</v>
      </c>
      <c r="D1686" s="2">
        <f>IFERROR(__xludf.DUMMYFUNCTION("""COMPUTED_VALUE"""),529.0)</f>
        <v>529</v>
      </c>
      <c r="E1686" s="2">
        <f>IFERROR(__xludf.DUMMYFUNCTION("""COMPUTED_VALUE"""),534.65)</f>
        <v>534.65</v>
      </c>
      <c r="F1686" s="2">
        <f>IFERROR(__xludf.DUMMYFUNCTION("""COMPUTED_VALUE"""),2655204.0)</f>
        <v>2655204</v>
      </c>
    </row>
    <row r="1687">
      <c r="A1687" s="3">
        <f>IFERROR(__xludf.DUMMYFUNCTION("""COMPUTED_VALUE"""),40715.645833333336)</f>
        <v>40715.64583</v>
      </c>
      <c r="B1687" s="2">
        <f>IFERROR(__xludf.DUMMYFUNCTION("""COMPUTED_VALUE"""),537.5)</f>
        <v>537.5</v>
      </c>
      <c r="C1687" s="2">
        <f>IFERROR(__xludf.DUMMYFUNCTION("""COMPUTED_VALUE"""),555.35)</f>
        <v>555.35</v>
      </c>
      <c r="D1687" s="2">
        <f>IFERROR(__xludf.DUMMYFUNCTION("""COMPUTED_VALUE"""),531.6)</f>
        <v>531.6</v>
      </c>
      <c r="E1687" s="2">
        <f>IFERROR(__xludf.DUMMYFUNCTION("""COMPUTED_VALUE"""),553.38)</f>
        <v>553.38</v>
      </c>
      <c r="F1687" s="2">
        <f>IFERROR(__xludf.DUMMYFUNCTION("""COMPUTED_VALUE"""),1712973.0)</f>
        <v>1712973</v>
      </c>
    </row>
    <row r="1688">
      <c r="A1688" s="3">
        <f>IFERROR(__xludf.DUMMYFUNCTION("""COMPUTED_VALUE"""),40716.645833333336)</f>
        <v>40716.64583</v>
      </c>
      <c r="B1688" s="2">
        <f>IFERROR(__xludf.DUMMYFUNCTION("""COMPUTED_VALUE"""),558.0)</f>
        <v>558</v>
      </c>
      <c r="C1688" s="2">
        <f>IFERROR(__xludf.DUMMYFUNCTION("""COMPUTED_VALUE"""),558.45)</f>
        <v>558.45</v>
      </c>
      <c r="D1688" s="2">
        <f>IFERROR(__xludf.DUMMYFUNCTION("""COMPUTED_VALUE"""),540.0)</f>
        <v>540</v>
      </c>
      <c r="E1688" s="2">
        <f>IFERROR(__xludf.DUMMYFUNCTION("""COMPUTED_VALUE"""),541.75)</f>
        <v>541.75</v>
      </c>
      <c r="F1688" s="2">
        <f>IFERROR(__xludf.DUMMYFUNCTION("""COMPUTED_VALUE"""),1785417.0)</f>
        <v>1785417</v>
      </c>
    </row>
    <row r="1689">
      <c r="A1689" s="3">
        <f>IFERROR(__xludf.DUMMYFUNCTION("""COMPUTED_VALUE"""),40717.645833333336)</f>
        <v>40717.64583</v>
      </c>
      <c r="B1689" s="2">
        <f>IFERROR(__xludf.DUMMYFUNCTION("""COMPUTED_VALUE"""),540.9)</f>
        <v>540.9</v>
      </c>
      <c r="C1689" s="2">
        <f>IFERROR(__xludf.DUMMYFUNCTION("""COMPUTED_VALUE"""),550.5)</f>
        <v>550.5</v>
      </c>
      <c r="D1689" s="2">
        <f>IFERROR(__xludf.DUMMYFUNCTION("""COMPUTED_VALUE"""),535.05)</f>
        <v>535.05</v>
      </c>
      <c r="E1689" s="2">
        <f>IFERROR(__xludf.DUMMYFUNCTION("""COMPUTED_VALUE"""),548.5)</f>
        <v>548.5</v>
      </c>
      <c r="F1689" s="2">
        <f>IFERROR(__xludf.DUMMYFUNCTION("""COMPUTED_VALUE"""),1214118.0)</f>
        <v>1214118</v>
      </c>
    </row>
    <row r="1690">
      <c r="A1690" s="3">
        <f>IFERROR(__xludf.DUMMYFUNCTION("""COMPUTED_VALUE"""),40718.645833333336)</f>
        <v>40718.64583</v>
      </c>
      <c r="B1690" s="2">
        <f>IFERROR(__xludf.DUMMYFUNCTION("""COMPUTED_VALUE"""),550.0)</f>
        <v>550</v>
      </c>
      <c r="C1690" s="2">
        <f>IFERROR(__xludf.DUMMYFUNCTION("""COMPUTED_VALUE"""),570.38)</f>
        <v>570.38</v>
      </c>
      <c r="D1690" s="2">
        <f>IFERROR(__xludf.DUMMYFUNCTION("""COMPUTED_VALUE"""),549.5)</f>
        <v>549.5</v>
      </c>
      <c r="E1690" s="2">
        <f>IFERROR(__xludf.DUMMYFUNCTION("""COMPUTED_VALUE"""),568.88)</f>
        <v>568.88</v>
      </c>
      <c r="F1690" s="2">
        <f>IFERROR(__xludf.DUMMYFUNCTION("""COMPUTED_VALUE"""),2075794.0)</f>
        <v>2075794</v>
      </c>
    </row>
    <row r="1691">
      <c r="A1691" s="3">
        <f>IFERROR(__xludf.DUMMYFUNCTION("""COMPUTED_VALUE"""),40721.645833333336)</f>
        <v>40721.64583</v>
      </c>
      <c r="B1691" s="2">
        <f>IFERROR(__xludf.DUMMYFUNCTION("""COMPUTED_VALUE"""),561.0)</f>
        <v>561</v>
      </c>
      <c r="C1691" s="2">
        <f>IFERROR(__xludf.DUMMYFUNCTION("""COMPUTED_VALUE"""),577.35)</f>
        <v>577.35</v>
      </c>
      <c r="D1691" s="2">
        <f>IFERROR(__xludf.DUMMYFUNCTION("""COMPUTED_VALUE"""),561.0)</f>
        <v>561</v>
      </c>
      <c r="E1691" s="2">
        <f>IFERROR(__xludf.DUMMYFUNCTION("""COMPUTED_VALUE"""),575.3)</f>
        <v>575.3</v>
      </c>
      <c r="F1691" s="2">
        <f>IFERROR(__xludf.DUMMYFUNCTION("""COMPUTED_VALUE"""),1562609.0)</f>
        <v>1562609</v>
      </c>
    </row>
    <row r="1692">
      <c r="A1692" s="3">
        <f>IFERROR(__xludf.DUMMYFUNCTION("""COMPUTED_VALUE"""),40722.645833333336)</f>
        <v>40722.64583</v>
      </c>
      <c r="B1692" s="2">
        <f>IFERROR(__xludf.DUMMYFUNCTION("""COMPUTED_VALUE"""),580.0)</f>
        <v>580</v>
      </c>
      <c r="C1692" s="2">
        <f>IFERROR(__xludf.DUMMYFUNCTION("""COMPUTED_VALUE"""),581.0)</f>
        <v>581</v>
      </c>
      <c r="D1692" s="2">
        <f>IFERROR(__xludf.DUMMYFUNCTION("""COMPUTED_VALUE"""),567.83)</f>
        <v>567.83</v>
      </c>
      <c r="E1692" s="2">
        <f>IFERROR(__xludf.DUMMYFUNCTION("""COMPUTED_VALUE"""),577.0)</f>
        <v>577</v>
      </c>
      <c r="F1692" s="2">
        <f>IFERROR(__xludf.DUMMYFUNCTION("""COMPUTED_VALUE"""),1066666.0)</f>
        <v>1066666</v>
      </c>
    </row>
    <row r="1693">
      <c r="A1693" s="3">
        <f>IFERROR(__xludf.DUMMYFUNCTION("""COMPUTED_VALUE"""),40723.645833333336)</f>
        <v>40723.64583</v>
      </c>
      <c r="B1693" s="2">
        <f>IFERROR(__xludf.DUMMYFUNCTION("""COMPUTED_VALUE"""),577.35)</f>
        <v>577.35</v>
      </c>
      <c r="C1693" s="2">
        <f>IFERROR(__xludf.DUMMYFUNCTION("""COMPUTED_VALUE"""),589.45)</f>
        <v>589.45</v>
      </c>
      <c r="D1693" s="2">
        <f>IFERROR(__xludf.DUMMYFUNCTION("""COMPUTED_VALUE"""),577.35)</f>
        <v>577.35</v>
      </c>
      <c r="E1693" s="2">
        <f>IFERROR(__xludf.DUMMYFUNCTION("""COMPUTED_VALUE"""),584.92)</f>
        <v>584.92</v>
      </c>
      <c r="F1693" s="2">
        <f>IFERROR(__xludf.DUMMYFUNCTION("""COMPUTED_VALUE"""),1479352.0)</f>
        <v>1479352</v>
      </c>
    </row>
    <row r="1694">
      <c r="A1694" s="3">
        <f>IFERROR(__xludf.DUMMYFUNCTION("""COMPUTED_VALUE"""),40724.645833333336)</f>
        <v>40724.64583</v>
      </c>
      <c r="B1694" s="2">
        <f>IFERROR(__xludf.DUMMYFUNCTION("""COMPUTED_VALUE"""),584.9)</f>
        <v>584.9</v>
      </c>
      <c r="C1694" s="2">
        <f>IFERROR(__xludf.DUMMYFUNCTION("""COMPUTED_VALUE"""),596.0)</f>
        <v>596</v>
      </c>
      <c r="D1694" s="2">
        <f>IFERROR(__xludf.DUMMYFUNCTION("""COMPUTED_VALUE"""),583.5)</f>
        <v>583.5</v>
      </c>
      <c r="E1694" s="2">
        <f>IFERROR(__xludf.DUMMYFUNCTION("""COMPUTED_VALUE"""),592.1)</f>
        <v>592.1</v>
      </c>
      <c r="F1694" s="2">
        <f>IFERROR(__xludf.DUMMYFUNCTION("""COMPUTED_VALUE"""),2586458.0)</f>
        <v>2586458</v>
      </c>
    </row>
    <row r="1695">
      <c r="A1695" s="3">
        <f>IFERROR(__xludf.DUMMYFUNCTION("""COMPUTED_VALUE"""),40725.645833333336)</f>
        <v>40725.64583</v>
      </c>
      <c r="B1695" s="2">
        <f>IFERROR(__xludf.DUMMYFUNCTION("""COMPUTED_VALUE"""),599.0)</f>
        <v>599</v>
      </c>
      <c r="C1695" s="2">
        <f>IFERROR(__xludf.DUMMYFUNCTION("""COMPUTED_VALUE"""),599.0)</f>
        <v>599</v>
      </c>
      <c r="D1695" s="2">
        <f>IFERROR(__xludf.DUMMYFUNCTION("""COMPUTED_VALUE"""),589.85)</f>
        <v>589.85</v>
      </c>
      <c r="E1695" s="2">
        <f>IFERROR(__xludf.DUMMYFUNCTION("""COMPUTED_VALUE"""),595.95)</f>
        <v>595.95</v>
      </c>
      <c r="F1695" s="2">
        <f>IFERROR(__xludf.DUMMYFUNCTION("""COMPUTED_VALUE"""),960420.0)</f>
        <v>960420</v>
      </c>
    </row>
    <row r="1696">
      <c r="A1696" s="3">
        <f>IFERROR(__xludf.DUMMYFUNCTION("""COMPUTED_VALUE"""),40728.645833333336)</f>
        <v>40728.64583</v>
      </c>
      <c r="B1696" s="2">
        <f>IFERROR(__xludf.DUMMYFUNCTION("""COMPUTED_VALUE"""),596.5)</f>
        <v>596.5</v>
      </c>
      <c r="C1696" s="2">
        <f>IFERROR(__xludf.DUMMYFUNCTION("""COMPUTED_VALUE"""),600.0)</f>
        <v>600</v>
      </c>
      <c r="D1696" s="2">
        <f>IFERROR(__xludf.DUMMYFUNCTION("""COMPUTED_VALUE"""),590.0)</f>
        <v>590</v>
      </c>
      <c r="E1696" s="2">
        <f>IFERROR(__xludf.DUMMYFUNCTION("""COMPUTED_VALUE"""),592.85)</f>
        <v>592.85</v>
      </c>
      <c r="F1696" s="2">
        <f>IFERROR(__xludf.DUMMYFUNCTION("""COMPUTED_VALUE"""),801867.0)</f>
        <v>801867</v>
      </c>
    </row>
    <row r="1697">
      <c r="A1697" s="3">
        <f>IFERROR(__xludf.DUMMYFUNCTION("""COMPUTED_VALUE"""),40729.645833333336)</f>
        <v>40729.64583</v>
      </c>
      <c r="B1697" s="2">
        <f>IFERROR(__xludf.DUMMYFUNCTION("""COMPUTED_VALUE"""),594.9)</f>
        <v>594.9</v>
      </c>
      <c r="C1697" s="2">
        <f>IFERROR(__xludf.DUMMYFUNCTION("""COMPUTED_VALUE"""),595.5)</f>
        <v>595.5</v>
      </c>
      <c r="D1697" s="2">
        <f>IFERROR(__xludf.DUMMYFUNCTION("""COMPUTED_VALUE"""),586.7)</f>
        <v>586.7</v>
      </c>
      <c r="E1697" s="2">
        <f>IFERROR(__xludf.DUMMYFUNCTION("""COMPUTED_VALUE"""),589.73)</f>
        <v>589.73</v>
      </c>
      <c r="F1697" s="2">
        <f>IFERROR(__xludf.DUMMYFUNCTION("""COMPUTED_VALUE"""),1030568.0)</f>
        <v>1030568</v>
      </c>
    </row>
    <row r="1698">
      <c r="A1698" s="3">
        <f>IFERROR(__xludf.DUMMYFUNCTION("""COMPUTED_VALUE"""),40730.645833333336)</f>
        <v>40730.64583</v>
      </c>
      <c r="B1698" s="2">
        <f>IFERROR(__xludf.DUMMYFUNCTION("""COMPUTED_VALUE"""),589.13)</f>
        <v>589.13</v>
      </c>
      <c r="C1698" s="2">
        <f>IFERROR(__xludf.DUMMYFUNCTION("""COMPUTED_VALUE"""),596.45)</f>
        <v>596.45</v>
      </c>
      <c r="D1698" s="2">
        <f>IFERROR(__xludf.DUMMYFUNCTION("""COMPUTED_VALUE"""),585.85)</f>
        <v>585.85</v>
      </c>
      <c r="E1698" s="2">
        <f>IFERROR(__xludf.DUMMYFUNCTION("""COMPUTED_VALUE"""),591.4)</f>
        <v>591.4</v>
      </c>
      <c r="F1698" s="2">
        <f>IFERROR(__xludf.DUMMYFUNCTION("""COMPUTED_VALUE"""),745089.0)</f>
        <v>745089</v>
      </c>
    </row>
    <row r="1699">
      <c r="A1699" s="3">
        <f>IFERROR(__xludf.DUMMYFUNCTION("""COMPUTED_VALUE"""),40731.645833333336)</f>
        <v>40731.64583</v>
      </c>
      <c r="B1699" s="2">
        <f>IFERROR(__xludf.DUMMYFUNCTION("""COMPUTED_VALUE"""),591.55)</f>
        <v>591.55</v>
      </c>
      <c r="C1699" s="2">
        <f>IFERROR(__xludf.DUMMYFUNCTION("""COMPUTED_VALUE"""),600.0)</f>
        <v>600</v>
      </c>
      <c r="D1699" s="2">
        <f>IFERROR(__xludf.DUMMYFUNCTION("""COMPUTED_VALUE"""),591.55)</f>
        <v>591.55</v>
      </c>
      <c r="E1699" s="2">
        <f>IFERROR(__xludf.DUMMYFUNCTION("""COMPUTED_VALUE"""),597.95)</f>
        <v>597.95</v>
      </c>
      <c r="F1699" s="2">
        <f>IFERROR(__xludf.DUMMYFUNCTION("""COMPUTED_VALUE"""),1301317.0)</f>
        <v>1301317</v>
      </c>
    </row>
    <row r="1700">
      <c r="A1700" s="3">
        <f>IFERROR(__xludf.DUMMYFUNCTION("""COMPUTED_VALUE"""),40732.645833333336)</f>
        <v>40732.64583</v>
      </c>
      <c r="B1700" s="2">
        <f>IFERROR(__xludf.DUMMYFUNCTION("""COMPUTED_VALUE"""),598.0)</f>
        <v>598</v>
      </c>
      <c r="C1700" s="2">
        <f>IFERROR(__xludf.DUMMYFUNCTION("""COMPUTED_VALUE"""),602.5)</f>
        <v>602.5</v>
      </c>
      <c r="D1700" s="2">
        <f>IFERROR(__xludf.DUMMYFUNCTION("""COMPUTED_VALUE"""),584.63)</f>
        <v>584.63</v>
      </c>
      <c r="E1700" s="2">
        <f>IFERROR(__xludf.DUMMYFUNCTION("""COMPUTED_VALUE"""),585.83)</f>
        <v>585.83</v>
      </c>
      <c r="F1700" s="2">
        <f>IFERROR(__xludf.DUMMYFUNCTION("""COMPUTED_VALUE"""),1706030.0)</f>
        <v>1706030</v>
      </c>
    </row>
    <row r="1701">
      <c r="A1701" s="3">
        <f>IFERROR(__xludf.DUMMYFUNCTION("""COMPUTED_VALUE"""),40735.645833333336)</f>
        <v>40735.64583</v>
      </c>
      <c r="B1701" s="2">
        <f>IFERROR(__xludf.DUMMYFUNCTION("""COMPUTED_VALUE"""),585.0)</f>
        <v>585</v>
      </c>
      <c r="C1701" s="2">
        <f>IFERROR(__xludf.DUMMYFUNCTION("""COMPUTED_VALUE"""),588.9)</f>
        <v>588.9</v>
      </c>
      <c r="D1701" s="2">
        <f>IFERROR(__xludf.DUMMYFUNCTION("""COMPUTED_VALUE"""),573.3)</f>
        <v>573.3</v>
      </c>
      <c r="E1701" s="2">
        <f>IFERROR(__xludf.DUMMYFUNCTION("""COMPUTED_VALUE"""),578.33)</f>
        <v>578.33</v>
      </c>
      <c r="F1701" s="2">
        <f>IFERROR(__xludf.DUMMYFUNCTION("""COMPUTED_VALUE"""),911252.0)</f>
        <v>911252</v>
      </c>
    </row>
    <row r="1702">
      <c r="A1702" s="3">
        <f>IFERROR(__xludf.DUMMYFUNCTION("""COMPUTED_VALUE"""),40736.645833333336)</f>
        <v>40736.64583</v>
      </c>
      <c r="B1702" s="2">
        <f>IFERROR(__xludf.DUMMYFUNCTION("""COMPUTED_VALUE"""),567.85)</f>
        <v>567.85</v>
      </c>
      <c r="C1702" s="2">
        <f>IFERROR(__xludf.DUMMYFUNCTION("""COMPUTED_VALUE"""),574.4)</f>
        <v>574.4</v>
      </c>
      <c r="D1702" s="2">
        <f>IFERROR(__xludf.DUMMYFUNCTION("""COMPUTED_VALUE"""),556.05)</f>
        <v>556.05</v>
      </c>
      <c r="E1702" s="2">
        <f>IFERROR(__xludf.DUMMYFUNCTION("""COMPUTED_VALUE"""),572.67)</f>
        <v>572.67</v>
      </c>
      <c r="F1702" s="2">
        <f>IFERROR(__xludf.DUMMYFUNCTION("""COMPUTED_VALUE"""),2039702.0)</f>
        <v>2039702</v>
      </c>
    </row>
    <row r="1703">
      <c r="A1703" s="3">
        <f>IFERROR(__xludf.DUMMYFUNCTION("""COMPUTED_VALUE"""),40737.645833333336)</f>
        <v>40737.64583</v>
      </c>
      <c r="B1703" s="2">
        <f>IFERROR(__xludf.DUMMYFUNCTION("""COMPUTED_VALUE"""),575.0)</f>
        <v>575</v>
      </c>
      <c r="C1703" s="2">
        <f>IFERROR(__xludf.DUMMYFUNCTION("""COMPUTED_VALUE"""),584.0)</f>
        <v>584</v>
      </c>
      <c r="D1703" s="2">
        <f>IFERROR(__xludf.DUMMYFUNCTION("""COMPUTED_VALUE"""),565.5)</f>
        <v>565.5</v>
      </c>
      <c r="E1703" s="2">
        <f>IFERROR(__xludf.DUMMYFUNCTION("""COMPUTED_VALUE"""),574.53)</f>
        <v>574.53</v>
      </c>
      <c r="F1703" s="2">
        <f>IFERROR(__xludf.DUMMYFUNCTION("""COMPUTED_VALUE"""),1976300.0)</f>
        <v>1976300</v>
      </c>
    </row>
    <row r="1704">
      <c r="A1704" s="3">
        <f>IFERROR(__xludf.DUMMYFUNCTION("""COMPUTED_VALUE"""),40738.645833333336)</f>
        <v>40738.64583</v>
      </c>
      <c r="B1704" s="2">
        <f>IFERROR(__xludf.DUMMYFUNCTION("""COMPUTED_VALUE"""),575.0)</f>
        <v>575</v>
      </c>
      <c r="C1704" s="2">
        <f>IFERROR(__xludf.DUMMYFUNCTION("""COMPUTED_VALUE"""),579.3)</f>
        <v>579.3</v>
      </c>
      <c r="D1704" s="2">
        <f>IFERROR(__xludf.DUMMYFUNCTION("""COMPUTED_VALUE"""),559.55)</f>
        <v>559.55</v>
      </c>
      <c r="E1704" s="2">
        <f>IFERROR(__xludf.DUMMYFUNCTION("""COMPUTED_VALUE"""),561.85)</f>
        <v>561.85</v>
      </c>
      <c r="F1704" s="2">
        <f>IFERROR(__xludf.DUMMYFUNCTION("""COMPUTED_VALUE"""),3468922.0)</f>
        <v>3468922</v>
      </c>
    </row>
    <row r="1705">
      <c r="A1705" s="3">
        <f>IFERROR(__xludf.DUMMYFUNCTION("""COMPUTED_VALUE"""),40739.645833333336)</f>
        <v>40739.64583</v>
      </c>
      <c r="B1705" s="2">
        <f>IFERROR(__xludf.DUMMYFUNCTION("""COMPUTED_VALUE"""),584.0)</f>
        <v>584</v>
      </c>
      <c r="C1705" s="2">
        <f>IFERROR(__xludf.DUMMYFUNCTION("""COMPUTED_VALUE"""),588.95)</f>
        <v>588.95</v>
      </c>
      <c r="D1705" s="2">
        <f>IFERROR(__xludf.DUMMYFUNCTION("""COMPUTED_VALUE"""),570.55)</f>
        <v>570.55</v>
      </c>
      <c r="E1705" s="2">
        <f>IFERROR(__xludf.DUMMYFUNCTION("""COMPUTED_VALUE"""),573.03)</f>
        <v>573.03</v>
      </c>
      <c r="F1705" s="2">
        <f>IFERROR(__xludf.DUMMYFUNCTION("""COMPUTED_VALUE"""),3639850.0)</f>
        <v>3639850</v>
      </c>
    </row>
    <row r="1706">
      <c r="A1706" s="3">
        <f>IFERROR(__xludf.DUMMYFUNCTION("""COMPUTED_VALUE"""),40742.645833333336)</f>
        <v>40742.64583</v>
      </c>
      <c r="B1706" s="2">
        <f>IFERROR(__xludf.DUMMYFUNCTION("""COMPUTED_VALUE"""),574.0)</f>
        <v>574</v>
      </c>
      <c r="C1706" s="2">
        <f>IFERROR(__xludf.DUMMYFUNCTION("""COMPUTED_VALUE"""),576.0)</f>
        <v>576</v>
      </c>
      <c r="D1706" s="2">
        <f>IFERROR(__xludf.DUMMYFUNCTION("""COMPUTED_VALUE"""),561.15)</f>
        <v>561.15</v>
      </c>
      <c r="E1706" s="2">
        <f>IFERROR(__xludf.DUMMYFUNCTION("""COMPUTED_VALUE"""),562.53)</f>
        <v>562.53</v>
      </c>
      <c r="F1706" s="2">
        <f>IFERROR(__xludf.DUMMYFUNCTION("""COMPUTED_VALUE"""),1562604.0)</f>
        <v>1562604</v>
      </c>
    </row>
    <row r="1707">
      <c r="A1707" s="3">
        <f>IFERROR(__xludf.DUMMYFUNCTION("""COMPUTED_VALUE"""),40743.645833333336)</f>
        <v>40743.64583</v>
      </c>
      <c r="B1707" s="2">
        <f>IFERROR(__xludf.DUMMYFUNCTION("""COMPUTED_VALUE"""),560.8)</f>
        <v>560.8</v>
      </c>
      <c r="C1707" s="2">
        <f>IFERROR(__xludf.DUMMYFUNCTION("""COMPUTED_VALUE"""),574.08)</f>
        <v>574.08</v>
      </c>
      <c r="D1707" s="2">
        <f>IFERROR(__xludf.DUMMYFUNCTION("""COMPUTED_VALUE"""),560.13)</f>
        <v>560.13</v>
      </c>
      <c r="E1707" s="2">
        <f>IFERROR(__xludf.DUMMYFUNCTION("""COMPUTED_VALUE"""),570.03)</f>
        <v>570.03</v>
      </c>
      <c r="F1707" s="2">
        <f>IFERROR(__xludf.DUMMYFUNCTION("""COMPUTED_VALUE"""),1097646.0)</f>
        <v>1097646</v>
      </c>
    </row>
    <row r="1708">
      <c r="A1708" s="3">
        <f>IFERROR(__xludf.DUMMYFUNCTION("""COMPUTED_VALUE"""),40744.645833333336)</f>
        <v>40744.64583</v>
      </c>
      <c r="B1708" s="2">
        <f>IFERROR(__xludf.DUMMYFUNCTION("""COMPUTED_VALUE"""),575.0)</f>
        <v>575</v>
      </c>
      <c r="C1708" s="2">
        <f>IFERROR(__xludf.DUMMYFUNCTION("""COMPUTED_VALUE"""),575.9)</f>
        <v>575.9</v>
      </c>
      <c r="D1708" s="2">
        <f>IFERROR(__xludf.DUMMYFUNCTION("""COMPUTED_VALUE"""),562.5)</f>
        <v>562.5</v>
      </c>
      <c r="E1708" s="2">
        <f>IFERROR(__xludf.DUMMYFUNCTION("""COMPUTED_VALUE"""),566.23)</f>
        <v>566.23</v>
      </c>
      <c r="F1708" s="2">
        <f>IFERROR(__xludf.DUMMYFUNCTION("""COMPUTED_VALUE"""),1403873.0)</f>
        <v>1403873</v>
      </c>
    </row>
    <row r="1709">
      <c r="A1709" s="3">
        <f>IFERROR(__xludf.DUMMYFUNCTION("""COMPUTED_VALUE"""),40745.645833333336)</f>
        <v>40745.64583</v>
      </c>
      <c r="B1709" s="2">
        <f>IFERROR(__xludf.DUMMYFUNCTION("""COMPUTED_VALUE"""),566.0)</f>
        <v>566</v>
      </c>
      <c r="C1709" s="2">
        <f>IFERROR(__xludf.DUMMYFUNCTION("""COMPUTED_VALUE"""),566.25)</f>
        <v>566.25</v>
      </c>
      <c r="D1709" s="2">
        <f>IFERROR(__xludf.DUMMYFUNCTION("""COMPUTED_VALUE"""),560.03)</f>
        <v>560.03</v>
      </c>
      <c r="E1709" s="2">
        <f>IFERROR(__xludf.DUMMYFUNCTION("""COMPUTED_VALUE"""),561.28)</f>
        <v>561.28</v>
      </c>
      <c r="F1709" s="2">
        <f>IFERROR(__xludf.DUMMYFUNCTION("""COMPUTED_VALUE"""),925312.0)</f>
        <v>925312</v>
      </c>
    </row>
    <row r="1710">
      <c r="A1710" s="3">
        <f>IFERROR(__xludf.DUMMYFUNCTION("""COMPUTED_VALUE"""),40746.645833333336)</f>
        <v>40746.64583</v>
      </c>
      <c r="B1710" s="2">
        <f>IFERROR(__xludf.DUMMYFUNCTION("""COMPUTED_VALUE"""),563.38)</f>
        <v>563.38</v>
      </c>
      <c r="C1710" s="2">
        <f>IFERROR(__xludf.DUMMYFUNCTION("""COMPUTED_VALUE"""),570.65)</f>
        <v>570.65</v>
      </c>
      <c r="D1710" s="2">
        <f>IFERROR(__xludf.DUMMYFUNCTION("""COMPUTED_VALUE"""),563.25)</f>
        <v>563.25</v>
      </c>
      <c r="E1710" s="2">
        <f>IFERROR(__xludf.DUMMYFUNCTION("""COMPUTED_VALUE"""),566.7)</f>
        <v>566.7</v>
      </c>
      <c r="F1710" s="2">
        <f>IFERROR(__xludf.DUMMYFUNCTION("""COMPUTED_VALUE"""),1045221.0)</f>
        <v>1045221</v>
      </c>
    </row>
    <row r="1711">
      <c r="A1711" s="3">
        <f>IFERROR(__xludf.DUMMYFUNCTION("""COMPUTED_VALUE"""),40749.645833333336)</f>
        <v>40749.64583</v>
      </c>
      <c r="B1711" s="2">
        <f>IFERROR(__xludf.DUMMYFUNCTION("""COMPUTED_VALUE"""),567.5)</f>
        <v>567.5</v>
      </c>
      <c r="C1711" s="2">
        <f>IFERROR(__xludf.DUMMYFUNCTION("""COMPUTED_VALUE"""),572.0)</f>
        <v>572</v>
      </c>
      <c r="D1711" s="2">
        <f>IFERROR(__xludf.DUMMYFUNCTION("""COMPUTED_VALUE"""),561.58)</f>
        <v>561.58</v>
      </c>
      <c r="E1711" s="2">
        <f>IFERROR(__xludf.DUMMYFUNCTION("""COMPUTED_VALUE"""),569.95)</f>
        <v>569.95</v>
      </c>
      <c r="F1711" s="2">
        <f>IFERROR(__xludf.DUMMYFUNCTION("""COMPUTED_VALUE"""),2370357.0)</f>
        <v>2370357</v>
      </c>
    </row>
    <row r="1712">
      <c r="A1712" s="3">
        <f>IFERROR(__xludf.DUMMYFUNCTION("""COMPUTED_VALUE"""),40750.645833333336)</f>
        <v>40750.64583</v>
      </c>
      <c r="B1712" s="2">
        <f>IFERROR(__xludf.DUMMYFUNCTION("""COMPUTED_VALUE"""),569.9)</f>
        <v>569.9</v>
      </c>
      <c r="C1712" s="2">
        <f>IFERROR(__xludf.DUMMYFUNCTION("""COMPUTED_VALUE"""),575.98)</f>
        <v>575.98</v>
      </c>
      <c r="D1712" s="2">
        <f>IFERROR(__xludf.DUMMYFUNCTION("""COMPUTED_VALUE"""),563.63)</f>
        <v>563.63</v>
      </c>
      <c r="E1712" s="2">
        <f>IFERROR(__xludf.DUMMYFUNCTION("""COMPUTED_VALUE"""),572.33)</f>
        <v>572.33</v>
      </c>
      <c r="F1712" s="2">
        <f>IFERROR(__xludf.DUMMYFUNCTION("""COMPUTED_VALUE"""),1984361.0)</f>
        <v>1984361</v>
      </c>
    </row>
    <row r="1713">
      <c r="A1713" s="3">
        <f>IFERROR(__xludf.DUMMYFUNCTION("""COMPUTED_VALUE"""),40751.645833333336)</f>
        <v>40751.64583</v>
      </c>
      <c r="B1713" s="2">
        <f>IFERROR(__xludf.DUMMYFUNCTION("""COMPUTED_VALUE"""),574.48)</f>
        <v>574.48</v>
      </c>
      <c r="C1713" s="2">
        <f>IFERROR(__xludf.DUMMYFUNCTION("""COMPUTED_VALUE"""),577.33)</f>
        <v>577.33</v>
      </c>
      <c r="D1713" s="2">
        <f>IFERROR(__xludf.DUMMYFUNCTION("""COMPUTED_VALUE"""),569.08)</f>
        <v>569.08</v>
      </c>
      <c r="E1713" s="2">
        <f>IFERROR(__xludf.DUMMYFUNCTION("""COMPUTED_VALUE"""),573.58)</f>
        <v>573.58</v>
      </c>
      <c r="F1713" s="2">
        <f>IFERROR(__xludf.DUMMYFUNCTION("""COMPUTED_VALUE"""),1012145.0)</f>
        <v>1012145</v>
      </c>
    </row>
    <row r="1714">
      <c r="A1714" s="3">
        <f>IFERROR(__xludf.DUMMYFUNCTION("""COMPUTED_VALUE"""),40752.645833333336)</f>
        <v>40752.64583</v>
      </c>
      <c r="B1714" s="2">
        <f>IFERROR(__xludf.DUMMYFUNCTION("""COMPUTED_VALUE"""),570.0)</f>
        <v>570</v>
      </c>
      <c r="C1714" s="2">
        <f>IFERROR(__xludf.DUMMYFUNCTION("""COMPUTED_VALUE"""),572.45)</f>
        <v>572.45</v>
      </c>
      <c r="D1714" s="2">
        <f>IFERROR(__xludf.DUMMYFUNCTION("""COMPUTED_VALUE"""),560.15)</f>
        <v>560.15</v>
      </c>
      <c r="E1714" s="2">
        <f>IFERROR(__xludf.DUMMYFUNCTION("""COMPUTED_VALUE"""),564.78)</f>
        <v>564.78</v>
      </c>
      <c r="F1714" s="2">
        <f>IFERROR(__xludf.DUMMYFUNCTION("""COMPUTED_VALUE"""),2046907.0)</f>
        <v>2046907</v>
      </c>
    </row>
    <row r="1715">
      <c r="A1715" s="3">
        <f>IFERROR(__xludf.DUMMYFUNCTION("""COMPUTED_VALUE"""),40753.645833333336)</f>
        <v>40753.64583</v>
      </c>
      <c r="B1715" s="2">
        <f>IFERROR(__xludf.DUMMYFUNCTION("""COMPUTED_VALUE"""),566.5)</f>
        <v>566.5</v>
      </c>
      <c r="C1715" s="2">
        <f>IFERROR(__xludf.DUMMYFUNCTION("""COMPUTED_VALUE"""),571.0)</f>
        <v>571</v>
      </c>
      <c r="D1715" s="2">
        <f>IFERROR(__xludf.DUMMYFUNCTION("""COMPUTED_VALUE"""),560.83)</f>
        <v>560.83</v>
      </c>
      <c r="E1715" s="2">
        <f>IFERROR(__xludf.DUMMYFUNCTION("""COMPUTED_VALUE"""),568.5)</f>
        <v>568.5</v>
      </c>
      <c r="F1715" s="2">
        <f>IFERROR(__xludf.DUMMYFUNCTION("""COMPUTED_VALUE"""),859569.0)</f>
        <v>859569</v>
      </c>
    </row>
    <row r="1716">
      <c r="A1716" s="3">
        <f>IFERROR(__xludf.DUMMYFUNCTION("""COMPUTED_VALUE"""),40756.645833333336)</f>
        <v>40756.64583</v>
      </c>
      <c r="B1716" s="2">
        <f>IFERROR(__xludf.DUMMYFUNCTION("""COMPUTED_VALUE"""),571.2)</f>
        <v>571.2</v>
      </c>
      <c r="C1716" s="2">
        <f>IFERROR(__xludf.DUMMYFUNCTION("""COMPUTED_VALUE"""),574.95)</f>
        <v>574.95</v>
      </c>
      <c r="D1716" s="2">
        <f>IFERROR(__xludf.DUMMYFUNCTION("""COMPUTED_VALUE"""),562.55)</f>
        <v>562.55</v>
      </c>
      <c r="E1716" s="2">
        <f>IFERROR(__xludf.DUMMYFUNCTION("""COMPUTED_VALUE"""),567.63)</f>
        <v>567.63</v>
      </c>
      <c r="F1716" s="2">
        <f>IFERROR(__xludf.DUMMYFUNCTION("""COMPUTED_VALUE"""),991173.0)</f>
        <v>991173</v>
      </c>
    </row>
    <row r="1717">
      <c r="A1717" s="3">
        <f>IFERROR(__xludf.DUMMYFUNCTION("""COMPUTED_VALUE"""),40757.645833333336)</f>
        <v>40757.64583</v>
      </c>
      <c r="B1717" s="2">
        <f>IFERROR(__xludf.DUMMYFUNCTION("""COMPUTED_VALUE"""),565.25)</f>
        <v>565.25</v>
      </c>
      <c r="C1717" s="2">
        <f>IFERROR(__xludf.DUMMYFUNCTION("""COMPUTED_VALUE"""),567.0)</f>
        <v>567</v>
      </c>
      <c r="D1717" s="2">
        <f>IFERROR(__xludf.DUMMYFUNCTION("""COMPUTED_VALUE"""),561.13)</f>
        <v>561.13</v>
      </c>
      <c r="E1717" s="2">
        <f>IFERROR(__xludf.DUMMYFUNCTION("""COMPUTED_VALUE"""),565.33)</f>
        <v>565.33</v>
      </c>
      <c r="F1717" s="2">
        <f>IFERROR(__xludf.DUMMYFUNCTION("""COMPUTED_VALUE"""),1012646.0)</f>
        <v>1012646</v>
      </c>
    </row>
    <row r="1718">
      <c r="A1718" s="3">
        <f>IFERROR(__xludf.DUMMYFUNCTION("""COMPUTED_VALUE"""),40758.645833333336)</f>
        <v>40758.64583</v>
      </c>
      <c r="B1718" s="2">
        <f>IFERROR(__xludf.DUMMYFUNCTION("""COMPUTED_VALUE"""),560.0)</f>
        <v>560</v>
      </c>
      <c r="C1718" s="2">
        <f>IFERROR(__xludf.DUMMYFUNCTION("""COMPUTED_VALUE"""),562.85)</f>
        <v>562.85</v>
      </c>
      <c r="D1718" s="2">
        <f>IFERROR(__xludf.DUMMYFUNCTION("""COMPUTED_VALUE"""),547.67)</f>
        <v>547.67</v>
      </c>
      <c r="E1718" s="2">
        <f>IFERROR(__xludf.DUMMYFUNCTION("""COMPUTED_VALUE"""),555.17)</f>
        <v>555.17</v>
      </c>
      <c r="F1718" s="2">
        <f>IFERROR(__xludf.DUMMYFUNCTION("""COMPUTED_VALUE"""),1532123.0)</f>
        <v>1532123</v>
      </c>
    </row>
    <row r="1719">
      <c r="A1719" s="3">
        <f>IFERROR(__xludf.DUMMYFUNCTION("""COMPUTED_VALUE"""),40759.645833333336)</f>
        <v>40759.64583</v>
      </c>
      <c r="B1719" s="2">
        <f>IFERROR(__xludf.DUMMYFUNCTION("""COMPUTED_VALUE"""),555.03)</f>
        <v>555.03</v>
      </c>
      <c r="C1719" s="2">
        <f>IFERROR(__xludf.DUMMYFUNCTION("""COMPUTED_VALUE"""),559.75)</f>
        <v>559.75</v>
      </c>
      <c r="D1719" s="2">
        <f>IFERROR(__xludf.DUMMYFUNCTION("""COMPUTED_VALUE"""),545.55)</f>
        <v>545.55</v>
      </c>
      <c r="E1719" s="2">
        <f>IFERROR(__xludf.DUMMYFUNCTION("""COMPUTED_VALUE"""),547.92)</f>
        <v>547.92</v>
      </c>
      <c r="F1719" s="2">
        <f>IFERROR(__xludf.DUMMYFUNCTION("""COMPUTED_VALUE"""),1524647.0)</f>
        <v>1524647</v>
      </c>
    </row>
    <row r="1720">
      <c r="A1720" s="3">
        <f>IFERROR(__xludf.DUMMYFUNCTION("""COMPUTED_VALUE"""),40760.645833333336)</f>
        <v>40760.64583</v>
      </c>
      <c r="B1720" s="2">
        <f>IFERROR(__xludf.DUMMYFUNCTION("""COMPUTED_VALUE"""),536.58)</f>
        <v>536.58</v>
      </c>
      <c r="C1720" s="2">
        <f>IFERROR(__xludf.DUMMYFUNCTION("""COMPUTED_VALUE"""),537.0)</f>
        <v>537</v>
      </c>
      <c r="D1720" s="2">
        <f>IFERROR(__xludf.DUMMYFUNCTION("""COMPUTED_VALUE"""),514.0)</f>
        <v>514</v>
      </c>
      <c r="E1720" s="2">
        <f>IFERROR(__xludf.DUMMYFUNCTION("""COMPUTED_VALUE"""),528.98)</f>
        <v>528.98</v>
      </c>
      <c r="F1720" s="2">
        <f>IFERROR(__xludf.DUMMYFUNCTION("""COMPUTED_VALUE"""),2634694.0)</f>
        <v>2634694</v>
      </c>
    </row>
    <row r="1721">
      <c r="A1721" s="3">
        <f>IFERROR(__xludf.DUMMYFUNCTION("""COMPUTED_VALUE"""),40763.645833333336)</f>
        <v>40763.64583</v>
      </c>
      <c r="B1721" s="2">
        <f>IFERROR(__xludf.DUMMYFUNCTION("""COMPUTED_VALUE"""),505.6)</f>
        <v>505.6</v>
      </c>
      <c r="C1721" s="2">
        <f>IFERROR(__xludf.DUMMYFUNCTION("""COMPUTED_VALUE"""),516.67)</f>
        <v>516.67</v>
      </c>
      <c r="D1721" s="2">
        <f>IFERROR(__xludf.DUMMYFUNCTION("""COMPUTED_VALUE"""),498.3)</f>
        <v>498.3</v>
      </c>
      <c r="E1721" s="2">
        <f>IFERROR(__xludf.DUMMYFUNCTION("""COMPUTED_VALUE"""),502.68)</f>
        <v>502.68</v>
      </c>
      <c r="F1721" s="2">
        <f>IFERROR(__xludf.DUMMYFUNCTION("""COMPUTED_VALUE"""),3274653.0)</f>
        <v>3274653</v>
      </c>
    </row>
    <row r="1722">
      <c r="A1722" s="3">
        <f>IFERROR(__xludf.DUMMYFUNCTION("""COMPUTED_VALUE"""),40764.645833333336)</f>
        <v>40764.64583</v>
      </c>
      <c r="B1722" s="2">
        <f>IFERROR(__xludf.DUMMYFUNCTION("""COMPUTED_VALUE"""),482.5)</f>
        <v>482.5</v>
      </c>
      <c r="C1722" s="2">
        <f>IFERROR(__xludf.DUMMYFUNCTION("""COMPUTED_VALUE"""),492.6)</f>
        <v>492.6</v>
      </c>
      <c r="D1722" s="2">
        <f>IFERROR(__xludf.DUMMYFUNCTION("""COMPUTED_VALUE"""),473.85)</f>
        <v>473.85</v>
      </c>
      <c r="E1722" s="2">
        <f>IFERROR(__xludf.DUMMYFUNCTION("""COMPUTED_VALUE"""),482.4)</f>
        <v>482.4</v>
      </c>
      <c r="F1722" s="2">
        <f>IFERROR(__xludf.DUMMYFUNCTION("""COMPUTED_VALUE"""),4079635.0)</f>
        <v>4079635</v>
      </c>
    </row>
    <row r="1723">
      <c r="A1723" s="3">
        <f>IFERROR(__xludf.DUMMYFUNCTION("""COMPUTED_VALUE"""),40765.645833333336)</f>
        <v>40765.64583</v>
      </c>
      <c r="B1723" s="2">
        <f>IFERROR(__xludf.DUMMYFUNCTION("""COMPUTED_VALUE"""),499.5)</f>
        <v>499.5</v>
      </c>
      <c r="C1723" s="2">
        <f>IFERROR(__xludf.DUMMYFUNCTION("""COMPUTED_VALUE"""),506.0)</f>
        <v>506</v>
      </c>
      <c r="D1723" s="2">
        <f>IFERROR(__xludf.DUMMYFUNCTION("""COMPUTED_VALUE"""),486.9)</f>
        <v>486.9</v>
      </c>
      <c r="E1723" s="2">
        <f>IFERROR(__xludf.DUMMYFUNCTION("""COMPUTED_VALUE"""),492.03)</f>
        <v>492.03</v>
      </c>
      <c r="F1723" s="2">
        <f>IFERROR(__xludf.DUMMYFUNCTION("""COMPUTED_VALUE"""),2974540.0)</f>
        <v>2974540</v>
      </c>
    </row>
    <row r="1724">
      <c r="A1724" s="3">
        <f>IFERROR(__xludf.DUMMYFUNCTION("""COMPUTED_VALUE"""),40766.645833333336)</f>
        <v>40766.64583</v>
      </c>
      <c r="B1724" s="2">
        <f>IFERROR(__xludf.DUMMYFUNCTION("""COMPUTED_VALUE"""),490.0)</f>
        <v>490</v>
      </c>
      <c r="C1724" s="2">
        <f>IFERROR(__xludf.DUMMYFUNCTION("""COMPUTED_VALUE"""),491.7)</f>
        <v>491.7</v>
      </c>
      <c r="D1724" s="2">
        <f>IFERROR(__xludf.DUMMYFUNCTION("""COMPUTED_VALUE"""),481.5)</f>
        <v>481.5</v>
      </c>
      <c r="E1724" s="2">
        <f>IFERROR(__xludf.DUMMYFUNCTION("""COMPUTED_VALUE"""),489.17)</f>
        <v>489.17</v>
      </c>
      <c r="F1724" s="2">
        <f>IFERROR(__xludf.DUMMYFUNCTION("""COMPUTED_VALUE"""),1450232.0)</f>
        <v>1450232</v>
      </c>
    </row>
    <row r="1725">
      <c r="A1725" s="3">
        <f>IFERROR(__xludf.DUMMYFUNCTION("""COMPUTED_VALUE"""),40767.645833333336)</f>
        <v>40767.64583</v>
      </c>
      <c r="B1725" s="2">
        <f>IFERROR(__xludf.DUMMYFUNCTION("""COMPUTED_VALUE"""),495.28)</f>
        <v>495.28</v>
      </c>
      <c r="C1725" s="2">
        <f>IFERROR(__xludf.DUMMYFUNCTION("""COMPUTED_VALUE"""),495.95)</f>
        <v>495.95</v>
      </c>
      <c r="D1725" s="2">
        <f>IFERROR(__xludf.DUMMYFUNCTION("""COMPUTED_VALUE"""),468.75)</f>
        <v>468.75</v>
      </c>
      <c r="E1725" s="2">
        <f>IFERROR(__xludf.DUMMYFUNCTION("""COMPUTED_VALUE"""),473.58)</f>
        <v>473.58</v>
      </c>
      <c r="F1725" s="2">
        <f>IFERROR(__xludf.DUMMYFUNCTION("""COMPUTED_VALUE"""),2084542.0)</f>
        <v>2084542</v>
      </c>
    </row>
    <row r="1726">
      <c r="A1726" s="3">
        <f>IFERROR(__xludf.DUMMYFUNCTION("""COMPUTED_VALUE"""),40771.645833333336)</f>
        <v>40771.64583</v>
      </c>
      <c r="B1726" s="2">
        <f>IFERROR(__xludf.DUMMYFUNCTION("""COMPUTED_VALUE"""),483.5)</f>
        <v>483.5</v>
      </c>
      <c r="C1726" s="2">
        <f>IFERROR(__xludf.DUMMYFUNCTION("""COMPUTED_VALUE"""),489.17)</f>
        <v>489.17</v>
      </c>
      <c r="D1726" s="2">
        <f>IFERROR(__xludf.DUMMYFUNCTION("""COMPUTED_VALUE"""),478.03)</f>
        <v>478.03</v>
      </c>
      <c r="E1726" s="2">
        <f>IFERROR(__xludf.DUMMYFUNCTION("""COMPUTED_VALUE"""),486.8)</f>
        <v>486.8</v>
      </c>
      <c r="F1726" s="2">
        <f>IFERROR(__xludf.DUMMYFUNCTION("""COMPUTED_VALUE"""),1491784.0)</f>
        <v>1491784</v>
      </c>
    </row>
    <row r="1727">
      <c r="A1727" s="3">
        <f>IFERROR(__xludf.DUMMYFUNCTION("""COMPUTED_VALUE"""),40772.645833333336)</f>
        <v>40772.64583</v>
      </c>
      <c r="B1727" s="2">
        <f>IFERROR(__xludf.DUMMYFUNCTION("""COMPUTED_VALUE"""),487.25)</f>
        <v>487.25</v>
      </c>
      <c r="C1727" s="2">
        <f>IFERROR(__xludf.DUMMYFUNCTION("""COMPUTED_VALUE"""),504.7)</f>
        <v>504.7</v>
      </c>
      <c r="D1727" s="2">
        <f>IFERROR(__xludf.DUMMYFUNCTION("""COMPUTED_VALUE"""),485.0)</f>
        <v>485</v>
      </c>
      <c r="E1727" s="2">
        <f>IFERROR(__xludf.DUMMYFUNCTION("""COMPUTED_VALUE"""),499.95)</f>
        <v>499.95</v>
      </c>
      <c r="F1727" s="2">
        <f>IFERROR(__xludf.DUMMYFUNCTION("""COMPUTED_VALUE"""),2278946.0)</f>
        <v>2278946</v>
      </c>
    </row>
    <row r="1728">
      <c r="A1728" s="3">
        <f>IFERROR(__xludf.DUMMYFUNCTION("""COMPUTED_VALUE"""),40774.645833333336)</f>
        <v>40774.64583</v>
      </c>
      <c r="B1728" s="2">
        <f>IFERROR(__xludf.DUMMYFUNCTION("""COMPUTED_VALUE"""),471.5)</f>
        <v>471.5</v>
      </c>
      <c r="C1728" s="2">
        <f>IFERROR(__xludf.DUMMYFUNCTION("""COMPUTED_VALUE"""),473.48)</f>
        <v>473.48</v>
      </c>
      <c r="D1728" s="2">
        <f>IFERROR(__xludf.DUMMYFUNCTION("""COMPUTED_VALUE"""),452.5)</f>
        <v>452.5</v>
      </c>
      <c r="E1728" s="2">
        <f>IFERROR(__xludf.DUMMYFUNCTION("""COMPUTED_VALUE"""),464.48)</f>
        <v>464.48</v>
      </c>
      <c r="F1728" s="2">
        <f>IFERROR(__xludf.DUMMYFUNCTION("""COMPUTED_VALUE"""),2721807.0)</f>
        <v>2721807</v>
      </c>
    </row>
    <row r="1729">
      <c r="A1729" s="3">
        <f>IFERROR(__xludf.DUMMYFUNCTION("""COMPUTED_VALUE"""),40777.645833333336)</f>
        <v>40777.64583</v>
      </c>
      <c r="B1729" s="2">
        <f>IFERROR(__xludf.DUMMYFUNCTION("""COMPUTED_VALUE"""),464.5)</f>
        <v>464.5</v>
      </c>
      <c r="C1729" s="2">
        <f>IFERROR(__xludf.DUMMYFUNCTION("""COMPUTED_VALUE"""),465.0)</f>
        <v>465</v>
      </c>
      <c r="D1729" s="2">
        <f>IFERROR(__xludf.DUMMYFUNCTION("""COMPUTED_VALUE"""),451.0)</f>
        <v>451</v>
      </c>
      <c r="E1729" s="2">
        <f>IFERROR(__xludf.DUMMYFUNCTION("""COMPUTED_VALUE"""),459.03)</f>
        <v>459.03</v>
      </c>
      <c r="F1729" s="2">
        <f>IFERROR(__xludf.DUMMYFUNCTION("""COMPUTED_VALUE"""),1764461.0)</f>
        <v>1764461</v>
      </c>
    </row>
    <row r="1730">
      <c r="A1730" s="3">
        <f>IFERROR(__xludf.DUMMYFUNCTION("""COMPUTED_VALUE"""),40778.645833333336)</f>
        <v>40778.64583</v>
      </c>
      <c r="B1730" s="2">
        <f>IFERROR(__xludf.DUMMYFUNCTION("""COMPUTED_VALUE"""),460.42)</f>
        <v>460.42</v>
      </c>
      <c r="C1730" s="2">
        <f>IFERROR(__xludf.DUMMYFUNCTION("""COMPUTED_VALUE"""),494.0)</f>
        <v>494</v>
      </c>
      <c r="D1730" s="2">
        <f>IFERROR(__xludf.DUMMYFUNCTION("""COMPUTED_VALUE"""),460.17)</f>
        <v>460.17</v>
      </c>
      <c r="E1730" s="2">
        <f>IFERROR(__xludf.DUMMYFUNCTION("""COMPUTED_VALUE"""),490.8)</f>
        <v>490.8</v>
      </c>
      <c r="F1730" s="2">
        <f>IFERROR(__xludf.DUMMYFUNCTION("""COMPUTED_VALUE"""),2437335.0)</f>
        <v>2437335</v>
      </c>
    </row>
    <row r="1731">
      <c r="A1731" s="3">
        <f>IFERROR(__xludf.DUMMYFUNCTION("""COMPUTED_VALUE"""),40779.645833333336)</f>
        <v>40779.64583</v>
      </c>
      <c r="B1731" s="2">
        <f>IFERROR(__xludf.DUMMYFUNCTION("""COMPUTED_VALUE"""),489.0)</f>
        <v>489</v>
      </c>
      <c r="C1731" s="2">
        <f>IFERROR(__xludf.DUMMYFUNCTION("""COMPUTED_VALUE"""),489.0)</f>
        <v>489</v>
      </c>
      <c r="D1731" s="2">
        <f>IFERROR(__xludf.DUMMYFUNCTION("""COMPUTED_VALUE"""),477.5)</f>
        <v>477.5</v>
      </c>
      <c r="E1731" s="2">
        <f>IFERROR(__xludf.DUMMYFUNCTION("""COMPUTED_VALUE"""),481.3)</f>
        <v>481.3</v>
      </c>
      <c r="F1731" s="2">
        <f>IFERROR(__xludf.DUMMYFUNCTION("""COMPUTED_VALUE"""),1597395.0)</f>
        <v>1597395</v>
      </c>
    </row>
    <row r="1732">
      <c r="A1732" s="3">
        <f>IFERROR(__xludf.DUMMYFUNCTION("""COMPUTED_VALUE"""),40780.645833333336)</f>
        <v>40780.64583</v>
      </c>
      <c r="B1732" s="2">
        <f>IFERROR(__xludf.DUMMYFUNCTION("""COMPUTED_VALUE"""),484.85)</f>
        <v>484.85</v>
      </c>
      <c r="C1732" s="2">
        <f>IFERROR(__xludf.DUMMYFUNCTION("""COMPUTED_VALUE"""),486.5)</f>
        <v>486.5</v>
      </c>
      <c r="D1732" s="2">
        <f>IFERROR(__xludf.DUMMYFUNCTION("""COMPUTED_VALUE"""),469.0)</f>
        <v>469</v>
      </c>
      <c r="E1732" s="2">
        <f>IFERROR(__xludf.DUMMYFUNCTION("""COMPUTED_VALUE"""),475.2)</f>
        <v>475.2</v>
      </c>
      <c r="F1732" s="2">
        <f>IFERROR(__xludf.DUMMYFUNCTION("""COMPUTED_VALUE"""),2222744.0)</f>
        <v>2222744</v>
      </c>
    </row>
    <row r="1733">
      <c r="A1733" s="3">
        <f>IFERROR(__xludf.DUMMYFUNCTION("""COMPUTED_VALUE"""),40781.645833333336)</f>
        <v>40781.64583</v>
      </c>
      <c r="B1733" s="2">
        <f>IFERROR(__xludf.DUMMYFUNCTION("""COMPUTED_VALUE"""),475.55)</f>
        <v>475.55</v>
      </c>
      <c r="C1733" s="2">
        <f>IFERROR(__xludf.DUMMYFUNCTION("""COMPUTED_VALUE"""),484.75)</f>
        <v>484.75</v>
      </c>
      <c r="D1733" s="2">
        <f>IFERROR(__xludf.DUMMYFUNCTION("""COMPUTED_VALUE"""),470.0)</f>
        <v>470</v>
      </c>
      <c r="E1733" s="2">
        <f>IFERROR(__xludf.DUMMYFUNCTION("""COMPUTED_VALUE"""),474.23)</f>
        <v>474.23</v>
      </c>
      <c r="F1733" s="2">
        <f>IFERROR(__xludf.DUMMYFUNCTION("""COMPUTED_VALUE"""),1792455.0)</f>
        <v>1792455</v>
      </c>
    </row>
    <row r="1734">
      <c r="A1734" s="3">
        <f>IFERROR(__xludf.DUMMYFUNCTION("""COMPUTED_VALUE"""),40784.645833333336)</f>
        <v>40784.64583</v>
      </c>
      <c r="B1734" s="2">
        <f>IFERROR(__xludf.DUMMYFUNCTION("""COMPUTED_VALUE"""),482.05)</f>
        <v>482.05</v>
      </c>
      <c r="C1734" s="2">
        <f>IFERROR(__xludf.DUMMYFUNCTION("""COMPUTED_VALUE"""),512.0)</f>
        <v>512</v>
      </c>
      <c r="D1734" s="2">
        <f>IFERROR(__xludf.DUMMYFUNCTION("""COMPUTED_VALUE"""),482.05)</f>
        <v>482.05</v>
      </c>
      <c r="E1734" s="2">
        <f>IFERROR(__xludf.DUMMYFUNCTION("""COMPUTED_VALUE"""),509.8)</f>
        <v>509.8</v>
      </c>
      <c r="F1734" s="2">
        <f>IFERROR(__xludf.DUMMYFUNCTION("""COMPUTED_VALUE"""),2795222.0)</f>
        <v>2795222</v>
      </c>
    </row>
    <row r="1735">
      <c r="A1735" s="3">
        <f>IFERROR(__xludf.DUMMYFUNCTION("""COMPUTED_VALUE"""),40785.645833333336)</f>
        <v>40785.64583</v>
      </c>
      <c r="B1735" s="2">
        <f>IFERROR(__xludf.DUMMYFUNCTION("""COMPUTED_VALUE"""),515.0)</f>
        <v>515</v>
      </c>
      <c r="C1735" s="2">
        <f>IFERROR(__xludf.DUMMYFUNCTION("""COMPUTED_VALUE"""),525.15)</f>
        <v>525.15</v>
      </c>
      <c r="D1735" s="2">
        <f>IFERROR(__xludf.DUMMYFUNCTION("""COMPUTED_VALUE"""),512.08)</f>
        <v>512.08</v>
      </c>
      <c r="E1735" s="2">
        <f>IFERROR(__xludf.DUMMYFUNCTION("""COMPUTED_VALUE"""),521.2)</f>
        <v>521.2</v>
      </c>
      <c r="F1735" s="2">
        <f>IFERROR(__xludf.DUMMYFUNCTION("""COMPUTED_VALUE"""),2983341.0)</f>
        <v>2983341</v>
      </c>
    </row>
    <row r="1736">
      <c r="A1736" s="3">
        <f>IFERROR(__xludf.DUMMYFUNCTION("""COMPUTED_VALUE"""),40788.645833333336)</f>
        <v>40788.64583</v>
      </c>
      <c r="B1736" s="2">
        <f>IFERROR(__xludf.DUMMYFUNCTION("""COMPUTED_VALUE"""),536.5)</f>
        <v>536.5</v>
      </c>
      <c r="C1736" s="2">
        <f>IFERROR(__xludf.DUMMYFUNCTION("""COMPUTED_VALUE"""),537.38)</f>
        <v>537.38</v>
      </c>
      <c r="D1736" s="2">
        <f>IFERROR(__xludf.DUMMYFUNCTION("""COMPUTED_VALUE"""),506.0)</f>
        <v>506</v>
      </c>
      <c r="E1736" s="2">
        <f>IFERROR(__xludf.DUMMYFUNCTION("""COMPUTED_VALUE"""),511.05)</f>
        <v>511.05</v>
      </c>
      <c r="F1736" s="2">
        <f>IFERROR(__xludf.DUMMYFUNCTION("""COMPUTED_VALUE"""),2206753.0)</f>
        <v>2206753</v>
      </c>
    </row>
    <row r="1737">
      <c r="A1737" s="3">
        <f>IFERROR(__xludf.DUMMYFUNCTION("""COMPUTED_VALUE"""),40791.645833333336)</f>
        <v>40791.64583</v>
      </c>
      <c r="B1737" s="2">
        <f>IFERROR(__xludf.DUMMYFUNCTION("""COMPUTED_VALUE"""),507.9)</f>
        <v>507.9</v>
      </c>
      <c r="C1737" s="2">
        <f>IFERROR(__xludf.DUMMYFUNCTION("""COMPUTED_VALUE"""),516.6)</f>
        <v>516.6</v>
      </c>
      <c r="D1737" s="2">
        <f>IFERROR(__xludf.DUMMYFUNCTION("""COMPUTED_VALUE"""),499.23)</f>
        <v>499.23</v>
      </c>
      <c r="E1737" s="2">
        <f>IFERROR(__xludf.DUMMYFUNCTION("""COMPUTED_VALUE"""),513.85)</f>
        <v>513.85</v>
      </c>
      <c r="F1737" s="2">
        <f>IFERROR(__xludf.DUMMYFUNCTION("""COMPUTED_VALUE"""),1894829.0)</f>
        <v>1894829</v>
      </c>
    </row>
    <row r="1738">
      <c r="A1738" s="3">
        <f>IFERROR(__xludf.DUMMYFUNCTION("""COMPUTED_VALUE"""),40792.645833333336)</f>
        <v>40792.64583</v>
      </c>
      <c r="B1738" s="2">
        <f>IFERROR(__xludf.DUMMYFUNCTION("""COMPUTED_VALUE"""),509.0)</f>
        <v>509</v>
      </c>
      <c r="C1738" s="2">
        <f>IFERROR(__xludf.DUMMYFUNCTION("""COMPUTED_VALUE"""),521.0)</f>
        <v>521</v>
      </c>
      <c r="D1738" s="2">
        <f>IFERROR(__xludf.DUMMYFUNCTION("""COMPUTED_VALUE"""),502.5)</f>
        <v>502.5</v>
      </c>
      <c r="E1738" s="2">
        <f>IFERROR(__xludf.DUMMYFUNCTION("""COMPUTED_VALUE"""),516.95)</f>
        <v>516.95</v>
      </c>
      <c r="F1738" s="2">
        <f>IFERROR(__xludf.DUMMYFUNCTION("""COMPUTED_VALUE"""),2381646.0)</f>
        <v>2381646</v>
      </c>
    </row>
    <row r="1739">
      <c r="A1739" s="3">
        <f>IFERROR(__xludf.DUMMYFUNCTION("""COMPUTED_VALUE"""),40793.645833333336)</f>
        <v>40793.64583</v>
      </c>
      <c r="B1739" s="2">
        <f>IFERROR(__xludf.DUMMYFUNCTION("""COMPUTED_VALUE"""),517.05)</f>
        <v>517.05</v>
      </c>
      <c r="C1739" s="2">
        <f>IFERROR(__xludf.DUMMYFUNCTION("""COMPUTED_VALUE"""),525.0)</f>
        <v>525</v>
      </c>
      <c r="D1739" s="2">
        <f>IFERROR(__xludf.DUMMYFUNCTION("""COMPUTED_VALUE"""),512.5)</f>
        <v>512.5</v>
      </c>
      <c r="E1739" s="2">
        <f>IFERROR(__xludf.DUMMYFUNCTION("""COMPUTED_VALUE"""),515.5)</f>
        <v>515.5</v>
      </c>
      <c r="F1739" s="2">
        <f>IFERROR(__xludf.DUMMYFUNCTION("""COMPUTED_VALUE"""),2216078.0)</f>
        <v>2216078</v>
      </c>
    </row>
    <row r="1740">
      <c r="A1740" s="3">
        <f>IFERROR(__xludf.DUMMYFUNCTION("""COMPUTED_VALUE"""),40794.645833333336)</f>
        <v>40794.64583</v>
      </c>
      <c r="B1740" s="2">
        <f>IFERROR(__xludf.DUMMYFUNCTION("""COMPUTED_VALUE"""),516.5)</f>
        <v>516.5</v>
      </c>
      <c r="C1740" s="2">
        <f>IFERROR(__xludf.DUMMYFUNCTION("""COMPUTED_VALUE"""),527.48)</f>
        <v>527.48</v>
      </c>
      <c r="D1740" s="2">
        <f>IFERROR(__xludf.DUMMYFUNCTION("""COMPUTED_VALUE"""),514.5)</f>
        <v>514.5</v>
      </c>
      <c r="E1740" s="2">
        <f>IFERROR(__xludf.DUMMYFUNCTION("""COMPUTED_VALUE"""),518.03)</f>
        <v>518.03</v>
      </c>
      <c r="F1740" s="2">
        <f>IFERROR(__xludf.DUMMYFUNCTION("""COMPUTED_VALUE"""),2446331.0)</f>
        <v>2446331</v>
      </c>
    </row>
    <row r="1741">
      <c r="A1741" s="3">
        <f>IFERROR(__xludf.DUMMYFUNCTION("""COMPUTED_VALUE"""),40795.645833333336)</f>
        <v>40795.64583</v>
      </c>
      <c r="B1741" s="2">
        <f>IFERROR(__xludf.DUMMYFUNCTION("""COMPUTED_VALUE"""),520.0)</f>
        <v>520</v>
      </c>
      <c r="C1741" s="2">
        <f>IFERROR(__xludf.DUMMYFUNCTION("""COMPUTED_VALUE"""),525.8)</f>
        <v>525.8</v>
      </c>
      <c r="D1741" s="2">
        <f>IFERROR(__xludf.DUMMYFUNCTION("""COMPUTED_VALUE"""),505.33)</f>
        <v>505.33</v>
      </c>
      <c r="E1741" s="2">
        <f>IFERROR(__xludf.DUMMYFUNCTION("""COMPUTED_VALUE"""),508.03)</f>
        <v>508.03</v>
      </c>
      <c r="F1741" s="2">
        <f>IFERROR(__xludf.DUMMYFUNCTION("""COMPUTED_VALUE"""),2531325.0)</f>
        <v>2531325</v>
      </c>
    </row>
    <row r="1742">
      <c r="A1742" s="3">
        <f>IFERROR(__xludf.DUMMYFUNCTION("""COMPUTED_VALUE"""),40798.645833333336)</f>
        <v>40798.64583</v>
      </c>
      <c r="B1742" s="2">
        <f>IFERROR(__xludf.DUMMYFUNCTION("""COMPUTED_VALUE"""),500.0)</f>
        <v>500</v>
      </c>
      <c r="C1742" s="2">
        <f>IFERROR(__xludf.DUMMYFUNCTION("""COMPUTED_VALUE"""),501.93)</f>
        <v>501.93</v>
      </c>
      <c r="D1742" s="2">
        <f>IFERROR(__xludf.DUMMYFUNCTION("""COMPUTED_VALUE"""),489.33)</f>
        <v>489.33</v>
      </c>
      <c r="E1742" s="2">
        <f>IFERROR(__xludf.DUMMYFUNCTION("""COMPUTED_VALUE"""),492.85)</f>
        <v>492.85</v>
      </c>
      <c r="F1742" s="2">
        <f>IFERROR(__xludf.DUMMYFUNCTION("""COMPUTED_VALUE"""),1648585.0)</f>
        <v>1648585</v>
      </c>
    </row>
    <row r="1743">
      <c r="A1743" s="3">
        <f>IFERROR(__xludf.DUMMYFUNCTION("""COMPUTED_VALUE"""),40799.645833333336)</f>
        <v>40799.64583</v>
      </c>
      <c r="B1743" s="2">
        <f>IFERROR(__xludf.DUMMYFUNCTION("""COMPUTED_VALUE"""),498.9)</f>
        <v>498.9</v>
      </c>
      <c r="C1743" s="2">
        <f>IFERROR(__xludf.DUMMYFUNCTION("""COMPUTED_VALUE"""),512.0)</f>
        <v>512</v>
      </c>
      <c r="D1743" s="2">
        <f>IFERROR(__xludf.DUMMYFUNCTION("""COMPUTED_VALUE"""),494.38)</f>
        <v>494.38</v>
      </c>
      <c r="E1743" s="2">
        <f>IFERROR(__xludf.DUMMYFUNCTION("""COMPUTED_VALUE"""),496.88)</f>
        <v>496.88</v>
      </c>
      <c r="F1743" s="2">
        <f>IFERROR(__xludf.DUMMYFUNCTION("""COMPUTED_VALUE"""),1899102.0)</f>
        <v>1899102</v>
      </c>
    </row>
    <row r="1744">
      <c r="A1744" s="3">
        <f>IFERROR(__xludf.DUMMYFUNCTION("""COMPUTED_VALUE"""),40800.645833333336)</f>
        <v>40800.64583</v>
      </c>
      <c r="B1744" s="2">
        <f>IFERROR(__xludf.DUMMYFUNCTION("""COMPUTED_VALUE"""),500.5)</f>
        <v>500.5</v>
      </c>
      <c r="C1744" s="2">
        <f>IFERROR(__xludf.DUMMYFUNCTION("""COMPUTED_VALUE"""),514.5)</f>
        <v>514.5</v>
      </c>
      <c r="D1744" s="2">
        <f>IFERROR(__xludf.DUMMYFUNCTION("""COMPUTED_VALUE"""),496.88)</f>
        <v>496.88</v>
      </c>
      <c r="E1744" s="2">
        <f>IFERROR(__xludf.DUMMYFUNCTION("""COMPUTED_VALUE"""),507.55)</f>
        <v>507.55</v>
      </c>
      <c r="F1744" s="2">
        <f>IFERROR(__xludf.DUMMYFUNCTION("""COMPUTED_VALUE"""),2372816.0)</f>
        <v>2372816</v>
      </c>
    </row>
    <row r="1745">
      <c r="A1745" s="3">
        <f>IFERROR(__xludf.DUMMYFUNCTION("""COMPUTED_VALUE"""),40801.645833333336)</f>
        <v>40801.64583</v>
      </c>
      <c r="B1745" s="2">
        <f>IFERROR(__xludf.DUMMYFUNCTION("""COMPUTED_VALUE"""),514.0)</f>
        <v>514</v>
      </c>
      <c r="C1745" s="2">
        <f>IFERROR(__xludf.DUMMYFUNCTION("""COMPUTED_VALUE"""),522.9)</f>
        <v>522.9</v>
      </c>
      <c r="D1745" s="2">
        <f>IFERROR(__xludf.DUMMYFUNCTION("""COMPUTED_VALUE"""),505.0)</f>
        <v>505</v>
      </c>
      <c r="E1745" s="2">
        <f>IFERROR(__xludf.DUMMYFUNCTION("""COMPUTED_VALUE"""),520.88)</f>
        <v>520.88</v>
      </c>
      <c r="F1745" s="2">
        <f>IFERROR(__xludf.DUMMYFUNCTION("""COMPUTED_VALUE"""),1926119.0)</f>
        <v>1926119</v>
      </c>
    </row>
    <row r="1746">
      <c r="A1746" s="3">
        <f>IFERROR(__xludf.DUMMYFUNCTION("""COMPUTED_VALUE"""),40802.645833333336)</f>
        <v>40802.64583</v>
      </c>
      <c r="B1746" s="2">
        <f>IFERROR(__xludf.DUMMYFUNCTION("""COMPUTED_VALUE"""),524.0)</f>
        <v>524</v>
      </c>
      <c r="C1746" s="2">
        <f>IFERROR(__xludf.DUMMYFUNCTION("""COMPUTED_VALUE"""),536.2)</f>
        <v>536.2</v>
      </c>
      <c r="D1746" s="2">
        <f>IFERROR(__xludf.DUMMYFUNCTION("""COMPUTED_VALUE"""),510.65)</f>
        <v>510.65</v>
      </c>
      <c r="E1746" s="2">
        <f>IFERROR(__xludf.DUMMYFUNCTION("""COMPUTED_VALUE"""),513.88)</f>
        <v>513.88</v>
      </c>
      <c r="F1746" s="2">
        <f>IFERROR(__xludf.DUMMYFUNCTION("""COMPUTED_VALUE"""),2328252.0)</f>
        <v>2328252</v>
      </c>
    </row>
    <row r="1747">
      <c r="A1747" s="3">
        <f>IFERROR(__xludf.DUMMYFUNCTION("""COMPUTED_VALUE"""),40805.645833333336)</f>
        <v>40805.64583</v>
      </c>
      <c r="B1747" s="2">
        <f>IFERROR(__xludf.DUMMYFUNCTION("""COMPUTED_VALUE"""),510.75)</f>
        <v>510.75</v>
      </c>
      <c r="C1747" s="2">
        <f>IFERROR(__xludf.DUMMYFUNCTION("""COMPUTED_VALUE"""),516.25)</f>
        <v>516.25</v>
      </c>
      <c r="D1747" s="2">
        <f>IFERROR(__xludf.DUMMYFUNCTION("""COMPUTED_VALUE"""),506.25)</f>
        <v>506.25</v>
      </c>
      <c r="E1747" s="2">
        <f>IFERROR(__xludf.DUMMYFUNCTION("""COMPUTED_VALUE"""),509.03)</f>
        <v>509.03</v>
      </c>
      <c r="F1747" s="2">
        <f>IFERROR(__xludf.DUMMYFUNCTION("""COMPUTED_VALUE"""),1120117.0)</f>
        <v>1120117</v>
      </c>
    </row>
    <row r="1748">
      <c r="A1748" s="3">
        <f>IFERROR(__xludf.DUMMYFUNCTION("""COMPUTED_VALUE"""),40806.645833333336)</f>
        <v>40806.64583</v>
      </c>
      <c r="B1748" s="2">
        <f>IFERROR(__xludf.DUMMYFUNCTION("""COMPUTED_VALUE"""),511.05)</f>
        <v>511.05</v>
      </c>
      <c r="C1748" s="2">
        <f>IFERROR(__xludf.DUMMYFUNCTION("""COMPUTED_VALUE"""),532.0)</f>
        <v>532</v>
      </c>
      <c r="D1748" s="2">
        <f>IFERROR(__xludf.DUMMYFUNCTION("""COMPUTED_VALUE"""),511.05)</f>
        <v>511.05</v>
      </c>
      <c r="E1748" s="2">
        <f>IFERROR(__xludf.DUMMYFUNCTION("""COMPUTED_VALUE"""),528.98)</f>
        <v>528.98</v>
      </c>
      <c r="F1748" s="2">
        <f>IFERROR(__xludf.DUMMYFUNCTION("""COMPUTED_VALUE"""),1743993.0)</f>
        <v>1743993</v>
      </c>
    </row>
    <row r="1749">
      <c r="A1749" s="3">
        <f>IFERROR(__xludf.DUMMYFUNCTION("""COMPUTED_VALUE"""),40807.645833333336)</f>
        <v>40807.64583</v>
      </c>
      <c r="B1749" s="2">
        <f>IFERROR(__xludf.DUMMYFUNCTION("""COMPUTED_VALUE"""),533.98)</f>
        <v>533.98</v>
      </c>
      <c r="C1749" s="2">
        <f>IFERROR(__xludf.DUMMYFUNCTION("""COMPUTED_VALUE"""),533.98)</f>
        <v>533.98</v>
      </c>
      <c r="D1749" s="2">
        <f>IFERROR(__xludf.DUMMYFUNCTION("""COMPUTED_VALUE"""),518.45)</f>
        <v>518.45</v>
      </c>
      <c r="E1749" s="2">
        <f>IFERROR(__xludf.DUMMYFUNCTION("""COMPUTED_VALUE"""),521.75)</f>
        <v>521.75</v>
      </c>
      <c r="F1749" s="2">
        <f>IFERROR(__xludf.DUMMYFUNCTION("""COMPUTED_VALUE"""),1370380.0)</f>
        <v>1370380</v>
      </c>
    </row>
    <row r="1750">
      <c r="A1750" s="3">
        <f>IFERROR(__xludf.DUMMYFUNCTION("""COMPUTED_VALUE"""),40808.645833333336)</f>
        <v>40808.64583</v>
      </c>
      <c r="B1750" s="2">
        <f>IFERROR(__xludf.DUMMYFUNCTION("""COMPUTED_VALUE"""),511.5)</f>
        <v>511.5</v>
      </c>
      <c r="C1750" s="2">
        <f>IFERROR(__xludf.DUMMYFUNCTION("""COMPUTED_VALUE"""),517.0)</f>
        <v>517</v>
      </c>
      <c r="D1750" s="2">
        <f>IFERROR(__xludf.DUMMYFUNCTION("""COMPUTED_VALUE"""),493.1)</f>
        <v>493.1</v>
      </c>
      <c r="E1750" s="2">
        <f>IFERROR(__xludf.DUMMYFUNCTION("""COMPUTED_VALUE"""),497.2)</f>
        <v>497.2</v>
      </c>
      <c r="F1750" s="2">
        <f>IFERROR(__xludf.DUMMYFUNCTION("""COMPUTED_VALUE"""),1570785.0)</f>
        <v>1570785</v>
      </c>
    </row>
    <row r="1751">
      <c r="A1751" s="3">
        <f>IFERROR(__xludf.DUMMYFUNCTION("""COMPUTED_VALUE"""),40809.645833333336)</f>
        <v>40809.64583</v>
      </c>
      <c r="B1751" s="2">
        <f>IFERROR(__xludf.DUMMYFUNCTION("""COMPUTED_VALUE"""),494.0)</f>
        <v>494</v>
      </c>
      <c r="C1751" s="2">
        <f>IFERROR(__xludf.DUMMYFUNCTION("""COMPUTED_VALUE"""),507.5)</f>
        <v>507.5</v>
      </c>
      <c r="D1751" s="2">
        <f>IFERROR(__xludf.DUMMYFUNCTION("""COMPUTED_VALUE"""),491.13)</f>
        <v>491.13</v>
      </c>
      <c r="E1751" s="2">
        <f>IFERROR(__xludf.DUMMYFUNCTION("""COMPUTED_VALUE"""),495.15)</f>
        <v>495.15</v>
      </c>
      <c r="F1751" s="2">
        <f>IFERROR(__xludf.DUMMYFUNCTION("""COMPUTED_VALUE"""),2282116.0)</f>
        <v>2282116</v>
      </c>
    </row>
    <row r="1752">
      <c r="A1752" s="3">
        <f>IFERROR(__xludf.DUMMYFUNCTION("""COMPUTED_VALUE"""),40812.645833333336)</f>
        <v>40812.64583</v>
      </c>
      <c r="B1752" s="2">
        <f>IFERROR(__xludf.DUMMYFUNCTION("""COMPUTED_VALUE"""),498.0)</f>
        <v>498</v>
      </c>
      <c r="C1752" s="2">
        <f>IFERROR(__xludf.DUMMYFUNCTION("""COMPUTED_VALUE"""),504.0)</f>
        <v>504</v>
      </c>
      <c r="D1752" s="2">
        <f>IFERROR(__xludf.DUMMYFUNCTION("""COMPUTED_VALUE"""),484.5)</f>
        <v>484.5</v>
      </c>
      <c r="E1752" s="2">
        <f>IFERROR(__xludf.DUMMYFUNCTION("""COMPUTED_VALUE"""),498.48)</f>
        <v>498.48</v>
      </c>
      <c r="F1752" s="2">
        <f>IFERROR(__xludf.DUMMYFUNCTION("""COMPUTED_VALUE"""),1694239.0)</f>
        <v>1694239</v>
      </c>
    </row>
    <row r="1753">
      <c r="A1753" s="3">
        <f>IFERROR(__xludf.DUMMYFUNCTION("""COMPUTED_VALUE"""),40813.645833333336)</f>
        <v>40813.64583</v>
      </c>
      <c r="B1753" s="2">
        <f>IFERROR(__xludf.DUMMYFUNCTION("""COMPUTED_VALUE"""),506.9)</f>
        <v>506.9</v>
      </c>
      <c r="C1753" s="2">
        <f>IFERROR(__xludf.DUMMYFUNCTION("""COMPUTED_VALUE"""),522.5)</f>
        <v>522.5</v>
      </c>
      <c r="D1753" s="2">
        <f>IFERROR(__xludf.DUMMYFUNCTION("""COMPUTED_VALUE"""),503.0)</f>
        <v>503</v>
      </c>
      <c r="E1753" s="2">
        <f>IFERROR(__xludf.DUMMYFUNCTION("""COMPUTED_VALUE"""),520.28)</f>
        <v>520.28</v>
      </c>
      <c r="F1753" s="2">
        <f>IFERROR(__xludf.DUMMYFUNCTION("""COMPUTED_VALUE"""),1982289.0)</f>
        <v>1982289</v>
      </c>
    </row>
    <row r="1754">
      <c r="A1754" s="3">
        <f>IFERROR(__xludf.DUMMYFUNCTION("""COMPUTED_VALUE"""),40814.645833333336)</f>
        <v>40814.64583</v>
      </c>
      <c r="B1754" s="2">
        <f>IFERROR(__xludf.DUMMYFUNCTION("""COMPUTED_VALUE"""),524.25)</f>
        <v>524.25</v>
      </c>
      <c r="C1754" s="2">
        <f>IFERROR(__xludf.DUMMYFUNCTION("""COMPUTED_VALUE"""),532.35)</f>
        <v>532.35</v>
      </c>
      <c r="D1754" s="2">
        <f>IFERROR(__xludf.DUMMYFUNCTION("""COMPUTED_VALUE"""),518.5)</f>
        <v>518.5</v>
      </c>
      <c r="E1754" s="2">
        <f>IFERROR(__xludf.DUMMYFUNCTION("""COMPUTED_VALUE"""),523.95)</f>
        <v>523.95</v>
      </c>
      <c r="F1754" s="2">
        <f>IFERROR(__xludf.DUMMYFUNCTION("""COMPUTED_VALUE"""),2212595.0)</f>
        <v>2212595</v>
      </c>
    </row>
    <row r="1755">
      <c r="A1755" s="3">
        <f>IFERROR(__xludf.DUMMYFUNCTION("""COMPUTED_VALUE"""),40815.645833333336)</f>
        <v>40815.64583</v>
      </c>
      <c r="B1755" s="2">
        <f>IFERROR(__xludf.DUMMYFUNCTION("""COMPUTED_VALUE"""),521.63)</f>
        <v>521.63</v>
      </c>
      <c r="C1755" s="2">
        <f>IFERROR(__xludf.DUMMYFUNCTION("""COMPUTED_VALUE"""),534.0)</f>
        <v>534</v>
      </c>
      <c r="D1755" s="2">
        <f>IFERROR(__xludf.DUMMYFUNCTION("""COMPUTED_VALUE"""),517.85)</f>
        <v>517.85</v>
      </c>
      <c r="E1755" s="2">
        <f>IFERROR(__xludf.DUMMYFUNCTION("""COMPUTED_VALUE"""),530.73)</f>
        <v>530.73</v>
      </c>
      <c r="F1755" s="2">
        <f>IFERROR(__xludf.DUMMYFUNCTION("""COMPUTED_VALUE"""),2690175.0)</f>
        <v>2690175</v>
      </c>
    </row>
    <row r="1756">
      <c r="A1756" s="3">
        <f>IFERROR(__xludf.DUMMYFUNCTION("""COMPUTED_VALUE"""),40816.645833333336)</f>
        <v>40816.64583</v>
      </c>
      <c r="B1756" s="2">
        <f>IFERROR(__xludf.DUMMYFUNCTION("""COMPUTED_VALUE"""),524.95)</f>
        <v>524.95</v>
      </c>
      <c r="C1756" s="2">
        <f>IFERROR(__xludf.DUMMYFUNCTION("""COMPUTED_VALUE"""),532.0)</f>
        <v>532</v>
      </c>
      <c r="D1756" s="2">
        <f>IFERROR(__xludf.DUMMYFUNCTION("""COMPUTED_VALUE"""),516.55)</f>
        <v>516.55</v>
      </c>
      <c r="E1756" s="2">
        <f>IFERROR(__xludf.DUMMYFUNCTION("""COMPUTED_VALUE"""),518.65)</f>
        <v>518.65</v>
      </c>
      <c r="F1756" s="2">
        <f>IFERROR(__xludf.DUMMYFUNCTION("""COMPUTED_VALUE"""),1345509.0)</f>
        <v>1345509</v>
      </c>
    </row>
    <row r="1757">
      <c r="A1757" s="3">
        <f>IFERROR(__xludf.DUMMYFUNCTION("""COMPUTED_VALUE"""),40819.645833333336)</f>
        <v>40819.64583</v>
      </c>
      <c r="B1757" s="2">
        <f>IFERROR(__xludf.DUMMYFUNCTION("""COMPUTED_VALUE"""),510.0)</f>
        <v>510</v>
      </c>
      <c r="C1757" s="2">
        <f>IFERROR(__xludf.DUMMYFUNCTION("""COMPUTED_VALUE"""),524.95)</f>
        <v>524.95</v>
      </c>
      <c r="D1757" s="2">
        <f>IFERROR(__xludf.DUMMYFUNCTION("""COMPUTED_VALUE"""),507.65)</f>
        <v>507.65</v>
      </c>
      <c r="E1757" s="2">
        <f>IFERROR(__xludf.DUMMYFUNCTION("""COMPUTED_VALUE"""),521.65)</f>
        <v>521.65</v>
      </c>
      <c r="F1757" s="2">
        <f>IFERROR(__xludf.DUMMYFUNCTION("""COMPUTED_VALUE"""),1974632.0)</f>
        <v>1974632</v>
      </c>
    </row>
    <row r="1758">
      <c r="A1758" s="3">
        <f>IFERROR(__xludf.DUMMYFUNCTION("""COMPUTED_VALUE"""),40820.645833333336)</f>
        <v>40820.64583</v>
      </c>
      <c r="B1758" s="2">
        <f>IFERROR(__xludf.DUMMYFUNCTION("""COMPUTED_VALUE"""),519.2)</f>
        <v>519.2</v>
      </c>
      <c r="C1758" s="2">
        <f>IFERROR(__xludf.DUMMYFUNCTION("""COMPUTED_VALUE"""),529.5)</f>
        <v>529.5</v>
      </c>
      <c r="D1758" s="2">
        <f>IFERROR(__xludf.DUMMYFUNCTION("""COMPUTED_VALUE"""),514.55)</f>
        <v>514.55</v>
      </c>
      <c r="E1758" s="2">
        <f>IFERROR(__xludf.DUMMYFUNCTION("""COMPUTED_VALUE"""),522.98)</f>
        <v>522.98</v>
      </c>
      <c r="F1758" s="2">
        <f>IFERROR(__xludf.DUMMYFUNCTION("""COMPUTED_VALUE"""),2359112.0)</f>
        <v>2359112</v>
      </c>
    </row>
    <row r="1759">
      <c r="A1759" s="3">
        <f>IFERROR(__xludf.DUMMYFUNCTION("""COMPUTED_VALUE"""),40821.645833333336)</f>
        <v>40821.64583</v>
      </c>
      <c r="B1759" s="2">
        <f>IFERROR(__xludf.DUMMYFUNCTION("""COMPUTED_VALUE"""),527.25)</f>
        <v>527.25</v>
      </c>
      <c r="C1759" s="2">
        <f>IFERROR(__xludf.DUMMYFUNCTION("""COMPUTED_VALUE"""),531.5)</f>
        <v>531.5</v>
      </c>
      <c r="D1759" s="2">
        <f>IFERROR(__xludf.DUMMYFUNCTION("""COMPUTED_VALUE"""),520.5)</f>
        <v>520.5</v>
      </c>
      <c r="E1759" s="2">
        <f>IFERROR(__xludf.DUMMYFUNCTION("""COMPUTED_VALUE"""),521.78)</f>
        <v>521.78</v>
      </c>
      <c r="F1759" s="2">
        <f>IFERROR(__xludf.DUMMYFUNCTION("""COMPUTED_VALUE"""),1707631.0)</f>
        <v>1707631</v>
      </c>
    </row>
    <row r="1760">
      <c r="A1760" s="3">
        <f>IFERROR(__xludf.DUMMYFUNCTION("""COMPUTED_VALUE"""),40823.645833333336)</f>
        <v>40823.64583</v>
      </c>
      <c r="B1760" s="2">
        <f>IFERROR(__xludf.DUMMYFUNCTION("""COMPUTED_VALUE"""),537.55)</f>
        <v>537.55</v>
      </c>
      <c r="C1760" s="2">
        <f>IFERROR(__xludf.DUMMYFUNCTION("""COMPUTED_VALUE"""),538.9)</f>
        <v>538.9</v>
      </c>
      <c r="D1760" s="2">
        <f>IFERROR(__xludf.DUMMYFUNCTION("""COMPUTED_VALUE"""),518.75)</f>
        <v>518.75</v>
      </c>
      <c r="E1760" s="2">
        <f>IFERROR(__xludf.DUMMYFUNCTION("""COMPUTED_VALUE"""),524.28)</f>
        <v>524.28</v>
      </c>
      <c r="F1760" s="2">
        <f>IFERROR(__xludf.DUMMYFUNCTION("""COMPUTED_VALUE"""),2542904.0)</f>
        <v>2542904</v>
      </c>
    </row>
    <row r="1761">
      <c r="A1761" s="3">
        <f>IFERROR(__xludf.DUMMYFUNCTION("""COMPUTED_VALUE"""),40826.645833333336)</f>
        <v>40826.64583</v>
      </c>
      <c r="B1761" s="2">
        <f>IFERROR(__xludf.DUMMYFUNCTION("""COMPUTED_VALUE"""),524.0)</f>
        <v>524</v>
      </c>
      <c r="C1761" s="2">
        <f>IFERROR(__xludf.DUMMYFUNCTION("""COMPUTED_VALUE"""),537.0)</f>
        <v>537</v>
      </c>
      <c r="D1761" s="2">
        <f>IFERROR(__xludf.DUMMYFUNCTION("""COMPUTED_VALUE"""),524.0)</f>
        <v>524</v>
      </c>
      <c r="E1761" s="2">
        <f>IFERROR(__xludf.DUMMYFUNCTION("""COMPUTED_VALUE"""),532.35)</f>
        <v>532.35</v>
      </c>
      <c r="F1761" s="2">
        <f>IFERROR(__xludf.DUMMYFUNCTION("""COMPUTED_VALUE"""),1927407.0)</f>
        <v>1927407</v>
      </c>
    </row>
    <row r="1762">
      <c r="A1762" s="3">
        <f>IFERROR(__xludf.DUMMYFUNCTION("""COMPUTED_VALUE"""),40827.645833333336)</f>
        <v>40827.64583</v>
      </c>
      <c r="B1762" s="2">
        <f>IFERROR(__xludf.DUMMYFUNCTION("""COMPUTED_VALUE"""),537.5)</f>
        <v>537.5</v>
      </c>
      <c r="C1762" s="2">
        <f>IFERROR(__xludf.DUMMYFUNCTION("""COMPUTED_VALUE"""),539.0)</f>
        <v>539</v>
      </c>
      <c r="D1762" s="2">
        <f>IFERROR(__xludf.DUMMYFUNCTION("""COMPUTED_VALUE"""),517.25)</f>
        <v>517.25</v>
      </c>
      <c r="E1762" s="2">
        <f>IFERROR(__xludf.DUMMYFUNCTION("""COMPUTED_VALUE"""),520.42)</f>
        <v>520.42</v>
      </c>
      <c r="F1762" s="2">
        <f>IFERROR(__xludf.DUMMYFUNCTION("""COMPUTED_VALUE"""),2238187.0)</f>
        <v>2238187</v>
      </c>
    </row>
    <row r="1763">
      <c r="A1763" s="3">
        <f>IFERROR(__xludf.DUMMYFUNCTION("""COMPUTED_VALUE"""),40828.645833333336)</f>
        <v>40828.64583</v>
      </c>
      <c r="B1763" s="2">
        <f>IFERROR(__xludf.DUMMYFUNCTION("""COMPUTED_VALUE"""),533.0)</f>
        <v>533</v>
      </c>
      <c r="C1763" s="2">
        <f>IFERROR(__xludf.DUMMYFUNCTION("""COMPUTED_VALUE"""),544.7)</f>
        <v>544.7</v>
      </c>
      <c r="D1763" s="2">
        <f>IFERROR(__xludf.DUMMYFUNCTION("""COMPUTED_VALUE"""),531.0)</f>
        <v>531</v>
      </c>
      <c r="E1763" s="2">
        <f>IFERROR(__xludf.DUMMYFUNCTION("""COMPUTED_VALUE"""),539.53)</f>
        <v>539.53</v>
      </c>
      <c r="F1763" s="2">
        <f>IFERROR(__xludf.DUMMYFUNCTION("""COMPUTED_VALUE"""),2935831.0)</f>
        <v>2935831</v>
      </c>
    </row>
    <row r="1764">
      <c r="A1764" s="3">
        <f>IFERROR(__xludf.DUMMYFUNCTION("""COMPUTED_VALUE"""),40829.645833333336)</f>
        <v>40829.64583</v>
      </c>
      <c r="B1764" s="2">
        <f>IFERROR(__xludf.DUMMYFUNCTION("""COMPUTED_VALUE"""),548.25)</f>
        <v>548.25</v>
      </c>
      <c r="C1764" s="2">
        <f>IFERROR(__xludf.DUMMYFUNCTION("""COMPUTED_VALUE"""),552.48)</f>
        <v>552.48</v>
      </c>
      <c r="D1764" s="2">
        <f>IFERROR(__xludf.DUMMYFUNCTION("""COMPUTED_VALUE"""),540.05)</f>
        <v>540.05</v>
      </c>
      <c r="E1764" s="2">
        <f>IFERROR(__xludf.DUMMYFUNCTION("""COMPUTED_VALUE"""),546.38)</f>
        <v>546.38</v>
      </c>
      <c r="F1764" s="2">
        <f>IFERROR(__xludf.DUMMYFUNCTION("""COMPUTED_VALUE"""),2704459.0)</f>
        <v>2704459</v>
      </c>
    </row>
    <row r="1765">
      <c r="A1765" s="3">
        <f>IFERROR(__xludf.DUMMYFUNCTION("""COMPUTED_VALUE"""),40830.645833333336)</f>
        <v>40830.64583</v>
      </c>
      <c r="B1765" s="2">
        <f>IFERROR(__xludf.DUMMYFUNCTION("""COMPUTED_VALUE"""),544.7)</f>
        <v>544.7</v>
      </c>
      <c r="C1765" s="2">
        <f>IFERROR(__xludf.DUMMYFUNCTION("""COMPUTED_VALUE"""),570.38)</f>
        <v>570.38</v>
      </c>
      <c r="D1765" s="2">
        <f>IFERROR(__xludf.DUMMYFUNCTION("""COMPUTED_VALUE"""),544.45)</f>
        <v>544.45</v>
      </c>
      <c r="E1765" s="2">
        <f>IFERROR(__xludf.DUMMYFUNCTION("""COMPUTED_VALUE"""),567.13)</f>
        <v>567.13</v>
      </c>
      <c r="F1765" s="2">
        <f>IFERROR(__xludf.DUMMYFUNCTION("""COMPUTED_VALUE"""),3355066.0)</f>
        <v>3355066</v>
      </c>
    </row>
    <row r="1766">
      <c r="A1766" s="3">
        <f>IFERROR(__xludf.DUMMYFUNCTION("""COMPUTED_VALUE"""),40833.645833333336)</f>
        <v>40833.64583</v>
      </c>
      <c r="B1766" s="2">
        <f>IFERROR(__xludf.DUMMYFUNCTION("""COMPUTED_VALUE"""),575.75)</f>
        <v>575.75</v>
      </c>
      <c r="C1766" s="2">
        <f>IFERROR(__xludf.DUMMYFUNCTION("""COMPUTED_VALUE"""),577.0)</f>
        <v>577</v>
      </c>
      <c r="D1766" s="2">
        <f>IFERROR(__xludf.DUMMYFUNCTION("""COMPUTED_VALUE"""),555.65)</f>
        <v>555.65</v>
      </c>
      <c r="E1766" s="2">
        <f>IFERROR(__xludf.DUMMYFUNCTION("""COMPUTED_VALUE"""),560.13)</f>
        <v>560.13</v>
      </c>
      <c r="F1766" s="2">
        <f>IFERROR(__xludf.DUMMYFUNCTION("""COMPUTED_VALUE"""),2179345.0)</f>
        <v>2179345</v>
      </c>
    </row>
    <row r="1767">
      <c r="A1767" s="3">
        <f>IFERROR(__xludf.DUMMYFUNCTION("""COMPUTED_VALUE"""),40834.645833333336)</f>
        <v>40834.64583</v>
      </c>
      <c r="B1767" s="2">
        <f>IFERROR(__xludf.DUMMYFUNCTION("""COMPUTED_VALUE"""),531.0)</f>
        <v>531</v>
      </c>
      <c r="C1767" s="2">
        <f>IFERROR(__xludf.DUMMYFUNCTION("""COMPUTED_VALUE"""),532.13)</f>
        <v>532.13</v>
      </c>
      <c r="D1767" s="2">
        <f>IFERROR(__xludf.DUMMYFUNCTION("""COMPUTED_VALUE"""),510.25)</f>
        <v>510.25</v>
      </c>
      <c r="E1767" s="2">
        <f>IFERROR(__xludf.DUMMYFUNCTION("""COMPUTED_VALUE"""),516.78)</f>
        <v>516.78</v>
      </c>
      <c r="F1767" s="2">
        <f>IFERROR(__xludf.DUMMYFUNCTION("""COMPUTED_VALUE"""),6003389.0)</f>
        <v>6003389</v>
      </c>
    </row>
    <row r="1768">
      <c r="A1768" s="3">
        <f>IFERROR(__xludf.DUMMYFUNCTION("""COMPUTED_VALUE"""),40835.645833333336)</f>
        <v>40835.64583</v>
      </c>
      <c r="B1768" s="2">
        <f>IFERROR(__xludf.DUMMYFUNCTION("""COMPUTED_VALUE"""),521.5)</f>
        <v>521.5</v>
      </c>
      <c r="C1768" s="2">
        <f>IFERROR(__xludf.DUMMYFUNCTION("""COMPUTED_VALUE"""),527.2)</f>
        <v>527.2</v>
      </c>
      <c r="D1768" s="2">
        <f>IFERROR(__xludf.DUMMYFUNCTION("""COMPUTED_VALUE"""),517.6)</f>
        <v>517.6</v>
      </c>
      <c r="E1768" s="2">
        <f>IFERROR(__xludf.DUMMYFUNCTION("""COMPUTED_VALUE"""),524.48)</f>
        <v>524.48</v>
      </c>
      <c r="F1768" s="2">
        <f>IFERROR(__xludf.DUMMYFUNCTION("""COMPUTED_VALUE"""),1913710.0)</f>
        <v>1913710</v>
      </c>
    </row>
    <row r="1769">
      <c r="A1769" s="3">
        <f>IFERROR(__xludf.DUMMYFUNCTION("""COMPUTED_VALUE"""),40836.645833333336)</f>
        <v>40836.64583</v>
      </c>
      <c r="B1769" s="2">
        <f>IFERROR(__xludf.DUMMYFUNCTION("""COMPUTED_VALUE"""),518.0)</f>
        <v>518</v>
      </c>
      <c r="C1769" s="2">
        <f>IFERROR(__xludf.DUMMYFUNCTION("""COMPUTED_VALUE"""),523.5)</f>
        <v>523.5</v>
      </c>
      <c r="D1769" s="2">
        <f>IFERROR(__xludf.DUMMYFUNCTION("""COMPUTED_VALUE"""),515.15)</f>
        <v>515.15</v>
      </c>
      <c r="E1769" s="2">
        <f>IFERROR(__xludf.DUMMYFUNCTION("""COMPUTED_VALUE"""),522.45)</f>
        <v>522.45</v>
      </c>
      <c r="F1769" s="2">
        <f>IFERROR(__xludf.DUMMYFUNCTION("""COMPUTED_VALUE"""),1122706.0)</f>
        <v>1122706</v>
      </c>
    </row>
    <row r="1770">
      <c r="A1770" s="3">
        <f>IFERROR(__xludf.DUMMYFUNCTION("""COMPUTED_VALUE"""),40837.645833333336)</f>
        <v>40837.64583</v>
      </c>
      <c r="B1770" s="2">
        <f>IFERROR(__xludf.DUMMYFUNCTION("""COMPUTED_VALUE"""),527.45)</f>
        <v>527.45</v>
      </c>
      <c r="C1770" s="2">
        <f>IFERROR(__xludf.DUMMYFUNCTION("""COMPUTED_VALUE"""),530.0)</f>
        <v>530</v>
      </c>
      <c r="D1770" s="2">
        <f>IFERROR(__xludf.DUMMYFUNCTION("""COMPUTED_VALUE"""),521.5)</f>
        <v>521.5</v>
      </c>
      <c r="E1770" s="2">
        <f>IFERROR(__xludf.DUMMYFUNCTION("""COMPUTED_VALUE"""),524.92)</f>
        <v>524.92</v>
      </c>
      <c r="F1770" s="2">
        <f>IFERROR(__xludf.DUMMYFUNCTION("""COMPUTED_VALUE"""),1230565.0)</f>
        <v>1230565</v>
      </c>
    </row>
    <row r="1771">
      <c r="A1771" s="3">
        <f>IFERROR(__xludf.DUMMYFUNCTION("""COMPUTED_VALUE"""),40840.645833333336)</f>
        <v>40840.64583</v>
      </c>
      <c r="B1771" s="2">
        <f>IFERROR(__xludf.DUMMYFUNCTION("""COMPUTED_VALUE"""),530.0)</f>
        <v>530</v>
      </c>
      <c r="C1771" s="2">
        <f>IFERROR(__xludf.DUMMYFUNCTION("""COMPUTED_VALUE"""),546.15)</f>
        <v>546.15</v>
      </c>
      <c r="D1771" s="2">
        <f>IFERROR(__xludf.DUMMYFUNCTION("""COMPUTED_VALUE"""),529.75)</f>
        <v>529.75</v>
      </c>
      <c r="E1771" s="2">
        <f>IFERROR(__xludf.DUMMYFUNCTION("""COMPUTED_VALUE"""),539.88)</f>
        <v>539.88</v>
      </c>
      <c r="F1771" s="2">
        <f>IFERROR(__xludf.DUMMYFUNCTION("""COMPUTED_VALUE"""),1635860.0)</f>
        <v>1635860</v>
      </c>
    </row>
    <row r="1772">
      <c r="A1772" s="3">
        <f>IFERROR(__xludf.DUMMYFUNCTION("""COMPUTED_VALUE"""),40841.645833333336)</f>
        <v>40841.64583</v>
      </c>
      <c r="B1772" s="2">
        <f>IFERROR(__xludf.DUMMYFUNCTION("""COMPUTED_VALUE"""),544.5)</f>
        <v>544.5</v>
      </c>
      <c r="C1772" s="2">
        <f>IFERROR(__xludf.DUMMYFUNCTION("""COMPUTED_VALUE"""),553.5)</f>
        <v>553.5</v>
      </c>
      <c r="D1772" s="2">
        <f>IFERROR(__xludf.DUMMYFUNCTION("""COMPUTED_VALUE"""),535.73)</f>
        <v>535.73</v>
      </c>
      <c r="E1772" s="2">
        <f>IFERROR(__xludf.DUMMYFUNCTION("""COMPUTED_VALUE"""),549.33)</f>
        <v>549.33</v>
      </c>
      <c r="F1772" s="2">
        <f>IFERROR(__xludf.DUMMYFUNCTION("""COMPUTED_VALUE"""),2079373.0)</f>
        <v>2079373</v>
      </c>
    </row>
    <row r="1773">
      <c r="A1773" s="3">
        <f>IFERROR(__xludf.DUMMYFUNCTION("""COMPUTED_VALUE"""),40842.645833333336)</f>
        <v>40842.64583</v>
      </c>
      <c r="B1773" s="2">
        <f>IFERROR(__xludf.DUMMYFUNCTION("""COMPUTED_VALUE"""),552.5)</f>
        <v>552.5</v>
      </c>
      <c r="C1773" s="2">
        <f>IFERROR(__xludf.DUMMYFUNCTION("""COMPUTED_VALUE"""),555.0)</f>
        <v>555</v>
      </c>
      <c r="D1773" s="2">
        <f>IFERROR(__xludf.DUMMYFUNCTION("""COMPUTED_VALUE"""),546.67)</f>
        <v>546.67</v>
      </c>
      <c r="E1773" s="2">
        <f>IFERROR(__xludf.DUMMYFUNCTION("""COMPUTED_VALUE"""),547.95)</f>
        <v>547.95</v>
      </c>
      <c r="F1773" s="2">
        <f>IFERROR(__xludf.DUMMYFUNCTION("""COMPUTED_VALUE"""),205962.0)</f>
        <v>205962</v>
      </c>
    </row>
    <row r="1774">
      <c r="A1774" s="3">
        <f>IFERROR(__xludf.DUMMYFUNCTION("""COMPUTED_VALUE"""),40844.645833333336)</f>
        <v>40844.64583</v>
      </c>
      <c r="B1774" s="2">
        <f>IFERROR(__xludf.DUMMYFUNCTION("""COMPUTED_VALUE"""),564.5)</f>
        <v>564.5</v>
      </c>
      <c r="C1774" s="2">
        <f>IFERROR(__xludf.DUMMYFUNCTION("""COMPUTED_VALUE"""),569.55)</f>
        <v>569.55</v>
      </c>
      <c r="D1774" s="2">
        <f>IFERROR(__xludf.DUMMYFUNCTION("""COMPUTED_VALUE"""),555.5)</f>
        <v>555.5</v>
      </c>
      <c r="E1774" s="2">
        <f>IFERROR(__xludf.DUMMYFUNCTION("""COMPUTED_VALUE"""),560.75)</f>
        <v>560.75</v>
      </c>
      <c r="F1774" s="2">
        <f>IFERROR(__xludf.DUMMYFUNCTION("""COMPUTED_VALUE"""),1629558.0)</f>
        <v>1629558</v>
      </c>
    </row>
    <row r="1775">
      <c r="A1775" s="3">
        <f>IFERROR(__xludf.DUMMYFUNCTION("""COMPUTED_VALUE"""),40847.645833333336)</f>
        <v>40847.64583</v>
      </c>
      <c r="B1775" s="2">
        <f>IFERROR(__xludf.DUMMYFUNCTION("""COMPUTED_VALUE"""),560.0)</f>
        <v>560</v>
      </c>
      <c r="C1775" s="2">
        <f>IFERROR(__xludf.DUMMYFUNCTION("""COMPUTED_VALUE"""),566.0)</f>
        <v>566</v>
      </c>
      <c r="D1775" s="2">
        <f>IFERROR(__xludf.DUMMYFUNCTION("""COMPUTED_VALUE"""),556.0)</f>
        <v>556</v>
      </c>
      <c r="E1775" s="2">
        <f>IFERROR(__xludf.DUMMYFUNCTION("""COMPUTED_VALUE"""),557.9)</f>
        <v>557.9</v>
      </c>
      <c r="F1775" s="2">
        <f>IFERROR(__xludf.DUMMYFUNCTION("""COMPUTED_VALUE"""),889370.0)</f>
        <v>889370</v>
      </c>
    </row>
    <row r="1776">
      <c r="A1776" s="3">
        <f>IFERROR(__xludf.DUMMYFUNCTION("""COMPUTED_VALUE"""),40848.645833333336)</f>
        <v>40848.64583</v>
      </c>
      <c r="B1776" s="2">
        <f>IFERROR(__xludf.DUMMYFUNCTION("""COMPUTED_VALUE"""),554.0)</f>
        <v>554</v>
      </c>
      <c r="C1776" s="2">
        <f>IFERROR(__xludf.DUMMYFUNCTION("""COMPUTED_VALUE"""),561.5)</f>
        <v>561.5</v>
      </c>
      <c r="D1776" s="2">
        <f>IFERROR(__xludf.DUMMYFUNCTION("""COMPUTED_VALUE"""),548.13)</f>
        <v>548.13</v>
      </c>
      <c r="E1776" s="2">
        <f>IFERROR(__xludf.DUMMYFUNCTION("""COMPUTED_VALUE"""),554.23)</f>
        <v>554.23</v>
      </c>
      <c r="F1776" s="2">
        <f>IFERROR(__xludf.DUMMYFUNCTION("""COMPUTED_VALUE"""),729105.0)</f>
        <v>729105</v>
      </c>
    </row>
    <row r="1777">
      <c r="A1777" s="3">
        <f>IFERROR(__xludf.DUMMYFUNCTION("""COMPUTED_VALUE"""),40849.645833333336)</f>
        <v>40849.64583</v>
      </c>
      <c r="B1777" s="2">
        <f>IFERROR(__xludf.DUMMYFUNCTION("""COMPUTED_VALUE"""),550.63)</f>
        <v>550.63</v>
      </c>
      <c r="C1777" s="2">
        <f>IFERROR(__xludf.DUMMYFUNCTION("""COMPUTED_VALUE"""),560.92)</f>
        <v>560.92</v>
      </c>
      <c r="D1777" s="2">
        <f>IFERROR(__xludf.DUMMYFUNCTION("""COMPUTED_VALUE"""),550.0)</f>
        <v>550</v>
      </c>
      <c r="E1777" s="2">
        <f>IFERROR(__xludf.DUMMYFUNCTION("""COMPUTED_VALUE"""),553.42)</f>
        <v>553.42</v>
      </c>
      <c r="F1777" s="2">
        <f>IFERROR(__xludf.DUMMYFUNCTION("""COMPUTED_VALUE"""),775422.0)</f>
        <v>775422</v>
      </c>
    </row>
    <row r="1778">
      <c r="A1778" s="3">
        <f>IFERROR(__xludf.DUMMYFUNCTION("""COMPUTED_VALUE"""),40850.645833333336)</f>
        <v>40850.64583</v>
      </c>
      <c r="B1778" s="2">
        <f>IFERROR(__xludf.DUMMYFUNCTION("""COMPUTED_VALUE"""),548.9)</f>
        <v>548.9</v>
      </c>
      <c r="C1778" s="2">
        <f>IFERROR(__xludf.DUMMYFUNCTION("""COMPUTED_VALUE"""),554.7)</f>
        <v>554.7</v>
      </c>
      <c r="D1778" s="2">
        <f>IFERROR(__xludf.DUMMYFUNCTION("""COMPUTED_VALUE"""),543.5)</f>
        <v>543.5</v>
      </c>
      <c r="E1778" s="2">
        <f>IFERROR(__xludf.DUMMYFUNCTION("""COMPUTED_VALUE"""),552.5)</f>
        <v>552.5</v>
      </c>
      <c r="F1778" s="2">
        <f>IFERROR(__xludf.DUMMYFUNCTION("""COMPUTED_VALUE"""),945634.0)</f>
        <v>945634</v>
      </c>
    </row>
    <row r="1779">
      <c r="A1779" s="3">
        <f>IFERROR(__xludf.DUMMYFUNCTION("""COMPUTED_VALUE"""),40851.645833333336)</f>
        <v>40851.64583</v>
      </c>
      <c r="B1779" s="2">
        <f>IFERROR(__xludf.DUMMYFUNCTION("""COMPUTED_VALUE"""),560.5)</f>
        <v>560.5</v>
      </c>
      <c r="C1779" s="2">
        <f>IFERROR(__xludf.DUMMYFUNCTION("""COMPUTED_VALUE"""),562.5)</f>
        <v>562.5</v>
      </c>
      <c r="D1779" s="2">
        <f>IFERROR(__xludf.DUMMYFUNCTION("""COMPUTED_VALUE"""),543.6)</f>
        <v>543.6</v>
      </c>
      <c r="E1779" s="2">
        <f>IFERROR(__xludf.DUMMYFUNCTION("""COMPUTED_VALUE"""),549.9)</f>
        <v>549.9</v>
      </c>
      <c r="F1779" s="2">
        <f>IFERROR(__xludf.DUMMYFUNCTION("""COMPUTED_VALUE"""),1358004.0)</f>
        <v>1358004</v>
      </c>
    </row>
    <row r="1780">
      <c r="A1780" s="3">
        <f>IFERROR(__xludf.DUMMYFUNCTION("""COMPUTED_VALUE"""),40855.645833333336)</f>
        <v>40855.64583</v>
      </c>
      <c r="B1780" s="2">
        <f>IFERROR(__xludf.DUMMYFUNCTION("""COMPUTED_VALUE"""),548.0)</f>
        <v>548</v>
      </c>
      <c r="C1780" s="2">
        <f>IFERROR(__xludf.DUMMYFUNCTION("""COMPUTED_VALUE"""),557.4)</f>
        <v>557.4</v>
      </c>
      <c r="D1780" s="2">
        <f>IFERROR(__xludf.DUMMYFUNCTION("""COMPUTED_VALUE"""),548.0)</f>
        <v>548</v>
      </c>
      <c r="E1780" s="2">
        <f>IFERROR(__xludf.DUMMYFUNCTION("""COMPUTED_VALUE"""),552.63)</f>
        <v>552.63</v>
      </c>
      <c r="F1780" s="2">
        <f>IFERROR(__xludf.DUMMYFUNCTION("""COMPUTED_VALUE"""),846052.0)</f>
        <v>846052</v>
      </c>
    </row>
    <row r="1781">
      <c r="A1781" s="3">
        <f>IFERROR(__xludf.DUMMYFUNCTION("""COMPUTED_VALUE"""),40856.645833333336)</f>
        <v>40856.64583</v>
      </c>
      <c r="B1781" s="2">
        <f>IFERROR(__xludf.DUMMYFUNCTION("""COMPUTED_VALUE"""),555.0)</f>
        <v>555</v>
      </c>
      <c r="C1781" s="2">
        <f>IFERROR(__xludf.DUMMYFUNCTION("""COMPUTED_VALUE"""),573.0)</f>
        <v>573</v>
      </c>
      <c r="D1781" s="2">
        <f>IFERROR(__xludf.DUMMYFUNCTION("""COMPUTED_VALUE"""),553.15)</f>
        <v>553.15</v>
      </c>
      <c r="E1781" s="2">
        <f>IFERROR(__xludf.DUMMYFUNCTION("""COMPUTED_VALUE"""),561.48)</f>
        <v>561.48</v>
      </c>
      <c r="F1781" s="2">
        <f>IFERROR(__xludf.DUMMYFUNCTION("""COMPUTED_VALUE"""),1960990.0)</f>
        <v>1960990</v>
      </c>
    </row>
    <row r="1782">
      <c r="A1782" s="3">
        <f>IFERROR(__xludf.DUMMYFUNCTION("""COMPUTED_VALUE"""),40858.645833333336)</f>
        <v>40858.64583</v>
      </c>
      <c r="B1782" s="2">
        <f>IFERROR(__xludf.DUMMYFUNCTION("""COMPUTED_VALUE"""),555.0)</f>
        <v>555</v>
      </c>
      <c r="C1782" s="2">
        <f>IFERROR(__xludf.DUMMYFUNCTION("""COMPUTED_VALUE"""),570.5)</f>
        <v>570.5</v>
      </c>
      <c r="D1782" s="2">
        <f>IFERROR(__xludf.DUMMYFUNCTION("""COMPUTED_VALUE"""),553.63)</f>
        <v>553.63</v>
      </c>
      <c r="E1782" s="2">
        <f>IFERROR(__xludf.DUMMYFUNCTION("""COMPUTED_VALUE"""),565.5)</f>
        <v>565.5</v>
      </c>
      <c r="F1782" s="2">
        <f>IFERROR(__xludf.DUMMYFUNCTION("""COMPUTED_VALUE"""),1814795.0)</f>
        <v>1814795</v>
      </c>
    </row>
    <row r="1783">
      <c r="A1783" s="3">
        <f>IFERROR(__xludf.DUMMYFUNCTION("""COMPUTED_VALUE"""),40861.645833333336)</f>
        <v>40861.64583</v>
      </c>
      <c r="B1783" s="2">
        <f>IFERROR(__xludf.DUMMYFUNCTION("""COMPUTED_VALUE"""),570.0)</f>
        <v>570</v>
      </c>
      <c r="C1783" s="2">
        <f>IFERROR(__xludf.DUMMYFUNCTION("""COMPUTED_VALUE"""),578.0)</f>
        <v>578</v>
      </c>
      <c r="D1783" s="2">
        <f>IFERROR(__xludf.DUMMYFUNCTION("""COMPUTED_VALUE"""),562.25)</f>
        <v>562.25</v>
      </c>
      <c r="E1783" s="2">
        <f>IFERROR(__xludf.DUMMYFUNCTION("""COMPUTED_VALUE"""),564.2)</f>
        <v>564.2</v>
      </c>
      <c r="F1783" s="2">
        <f>IFERROR(__xludf.DUMMYFUNCTION("""COMPUTED_VALUE"""),1164575.0)</f>
        <v>1164575</v>
      </c>
    </row>
    <row r="1784">
      <c r="A1784" s="3">
        <f>IFERROR(__xludf.DUMMYFUNCTION("""COMPUTED_VALUE"""),40862.645833333336)</f>
        <v>40862.64583</v>
      </c>
      <c r="B1784" s="2">
        <f>IFERROR(__xludf.DUMMYFUNCTION("""COMPUTED_VALUE"""),562.53)</f>
        <v>562.53</v>
      </c>
      <c r="C1784" s="2">
        <f>IFERROR(__xludf.DUMMYFUNCTION("""COMPUTED_VALUE"""),569.48)</f>
        <v>569.48</v>
      </c>
      <c r="D1784" s="2">
        <f>IFERROR(__xludf.DUMMYFUNCTION("""COMPUTED_VALUE"""),560.0)</f>
        <v>560</v>
      </c>
      <c r="E1784" s="2">
        <f>IFERROR(__xludf.DUMMYFUNCTION("""COMPUTED_VALUE"""),562.2)</f>
        <v>562.2</v>
      </c>
      <c r="F1784" s="2">
        <f>IFERROR(__xludf.DUMMYFUNCTION("""COMPUTED_VALUE"""),734239.0)</f>
        <v>734239</v>
      </c>
    </row>
    <row r="1785">
      <c r="A1785" s="3">
        <f>IFERROR(__xludf.DUMMYFUNCTION("""COMPUTED_VALUE"""),40863.645833333336)</f>
        <v>40863.64583</v>
      </c>
      <c r="B1785" s="2">
        <f>IFERROR(__xludf.DUMMYFUNCTION("""COMPUTED_VALUE"""),563.0)</f>
        <v>563</v>
      </c>
      <c r="C1785" s="2">
        <f>IFERROR(__xludf.DUMMYFUNCTION("""COMPUTED_VALUE"""),566.4)</f>
        <v>566.4</v>
      </c>
      <c r="D1785" s="2">
        <f>IFERROR(__xludf.DUMMYFUNCTION("""COMPUTED_VALUE"""),552.6)</f>
        <v>552.6</v>
      </c>
      <c r="E1785" s="2">
        <f>IFERROR(__xludf.DUMMYFUNCTION("""COMPUTED_VALUE"""),558.63)</f>
        <v>558.63</v>
      </c>
      <c r="F1785" s="2">
        <f>IFERROR(__xludf.DUMMYFUNCTION("""COMPUTED_VALUE"""),935801.0)</f>
        <v>935801</v>
      </c>
    </row>
    <row r="1786">
      <c r="A1786" s="3">
        <f>IFERROR(__xludf.DUMMYFUNCTION("""COMPUTED_VALUE"""),40864.645833333336)</f>
        <v>40864.64583</v>
      </c>
      <c r="B1786" s="2">
        <f>IFERROR(__xludf.DUMMYFUNCTION("""COMPUTED_VALUE"""),557.5)</f>
        <v>557.5</v>
      </c>
      <c r="C1786" s="2">
        <f>IFERROR(__xludf.DUMMYFUNCTION("""COMPUTED_VALUE"""),561.75)</f>
        <v>561.75</v>
      </c>
      <c r="D1786" s="2">
        <f>IFERROR(__xludf.DUMMYFUNCTION("""COMPUTED_VALUE"""),553.8)</f>
        <v>553.8</v>
      </c>
      <c r="E1786" s="2">
        <f>IFERROR(__xludf.DUMMYFUNCTION("""COMPUTED_VALUE"""),557.58)</f>
        <v>557.58</v>
      </c>
      <c r="F1786" s="2">
        <f>IFERROR(__xludf.DUMMYFUNCTION("""COMPUTED_VALUE"""),695994.0)</f>
        <v>695994</v>
      </c>
    </row>
    <row r="1787">
      <c r="A1787" s="3">
        <f>IFERROR(__xludf.DUMMYFUNCTION("""COMPUTED_VALUE"""),40865.645833333336)</f>
        <v>40865.64583</v>
      </c>
      <c r="B1787" s="2">
        <f>IFERROR(__xludf.DUMMYFUNCTION("""COMPUTED_VALUE"""),552.88)</f>
        <v>552.88</v>
      </c>
      <c r="C1787" s="2">
        <f>IFERROR(__xludf.DUMMYFUNCTION("""COMPUTED_VALUE"""),554.9)</f>
        <v>554.9</v>
      </c>
      <c r="D1787" s="2">
        <f>IFERROR(__xludf.DUMMYFUNCTION("""COMPUTED_VALUE"""),538.15)</f>
        <v>538.15</v>
      </c>
      <c r="E1787" s="2">
        <f>IFERROR(__xludf.DUMMYFUNCTION("""COMPUTED_VALUE"""),543.3)</f>
        <v>543.3</v>
      </c>
      <c r="F1787" s="2">
        <f>IFERROR(__xludf.DUMMYFUNCTION("""COMPUTED_VALUE"""),1394721.0)</f>
        <v>1394721</v>
      </c>
    </row>
    <row r="1788">
      <c r="A1788" s="3">
        <f>IFERROR(__xludf.DUMMYFUNCTION("""COMPUTED_VALUE"""),40868.645833333336)</f>
        <v>40868.64583</v>
      </c>
      <c r="B1788" s="2">
        <f>IFERROR(__xludf.DUMMYFUNCTION("""COMPUTED_VALUE"""),542.5)</f>
        <v>542.5</v>
      </c>
      <c r="C1788" s="2">
        <f>IFERROR(__xludf.DUMMYFUNCTION("""COMPUTED_VALUE"""),544.15)</f>
        <v>544.15</v>
      </c>
      <c r="D1788" s="2">
        <f>IFERROR(__xludf.DUMMYFUNCTION("""COMPUTED_VALUE"""),530.05)</f>
        <v>530.05</v>
      </c>
      <c r="E1788" s="2">
        <f>IFERROR(__xludf.DUMMYFUNCTION("""COMPUTED_VALUE"""),533.6)</f>
        <v>533.6</v>
      </c>
      <c r="F1788" s="2">
        <f>IFERROR(__xludf.DUMMYFUNCTION("""COMPUTED_VALUE"""),1435852.0)</f>
        <v>1435852</v>
      </c>
    </row>
    <row r="1789">
      <c r="A1789" s="3">
        <f>IFERROR(__xludf.DUMMYFUNCTION("""COMPUTED_VALUE"""),40869.645833333336)</f>
        <v>40869.64583</v>
      </c>
      <c r="B1789" s="2">
        <f>IFERROR(__xludf.DUMMYFUNCTION("""COMPUTED_VALUE"""),534.45)</f>
        <v>534.45</v>
      </c>
      <c r="C1789" s="2">
        <f>IFERROR(__xludf.DUMMYFUNCTION("""COMPUTED_VALUE"""),547.5)</f>
        <v>547.5</v>
      </c>
      <c r="D1789" s="2">
        <f>IFERROR(__xludf.DUMMYFUNCTION("""COMPUTED_VALUE"""),528.5)</f>
        <v>528.5</v>
      </c>
      <c r="E1789" s="2">
        <f>IFERROR(__xludf.DUMMYFUNCTION("""COMPUTED_VALUE"""),540.92)</f>
        <v>540.92</v>
      </c>
      <c r="F1789" s="2">
        <f>IFERROR(__xludf.DUMMYFUNCTION("""COMPUTED_VALUE"""),1861791.0)</f>
        <v>1861791</v>
      </c>
    </row>
    <row r="1790">
      <c r="A1790" s="3">
        <f>IFERROR(__xludf.DUMMYFUNCTION("""COMPUTED_VALUE"""),40870.645833333336)</f>
        <v>40870.64583</v>
      </c>
      <c r="B1790" s="2">
        <f>IFERROR(__xludf.DUMMYFUNCTION("""COMPUTED_VALUE"""),540.98)</f>
        <v>540.98</v>
      </c>
      <c r="C1790" s="2">
        <f>IFERROR(__xludf.DUMMYFUNCTION("""COMPUTED_VALUE"""),540.98)</f>
        <v>540.98</v>
      </c>
      <c r="D1790" s="2">
        <f>IFERROR(__xludf.DUMMYFUNCTION("""COMPUTED_VALUE"""),520.5)</f>
        <v>520.5</v>
      </c>
      <c r="E1790" s="2">
        <f>IFERROR(__xludf.DUMMYFUNCTION("""COMPUTED_VALUE"""),531.15)</f>
        <v>531.15</v>
      </c>
      <c r="F1790" s="2">
        <f>IFERROR(__xludf.DUMMYFUNCTION("""COMPUTED_VALUE"""),1177875.0)</f>
        <v>1177875</v>
      </c>
    </row>
    <row r="1791">
      <c r="A1791" s="3">
        <f>IFERROR(__xludf.DUMMYFUNCTION("""COMPUTED_VALUE"""),40871.645833333336)</f>
        <v>40871.64583</v>
      </c>
      <c r="B1791" s="2">
        <f>IFERROR(__xludf.DUMMYFUNCTION("""COMPUTED_VALUE"""),531.0)</f>
        <v>531</v>
      </c>
      <c r="C1791" s="2">
        <f>IFERROR(__xludf.DUMMYFUNCTION("""COMPUTED_VALUE"""),548.2)</f>
        <v>548.2</v>
      </c>
      <c r="D1791" s="2">
        <f>IFERROR(__xludf.DUMMYFUNCTION("""COMPUTED_VALUE"""),522.5)</f>
        <v>522.5</v>
      </c>
      <c r="E1791" s="2">
        <f>IFERROR(__xludf.DUMMYFUNCTION("""COMPUTED_VALUE"""),545.9)</f>
        <v>545.9</v>
      </c>
      <c r="F1791" s="2">
        <f>IFERROR(__xludf.DUMMYFUNCTION("""COMPUTED_VALUE"""),1883422.0)</f>
        <v>1883422</v>
      </c>
    </row>
    <row r="1792">
      <c r="A1792" s="3">
        <f>IFERROR(__xludf.DUMMYFUNCTION("""COMPUTED_VALUE"""),40872.645833333336)</f>
        <v>40872.64583</v>
      </c>
      <c r="B1792" s="2">
        <f>IFERROR(__xludf.DUMMYFUNCTION("""COMPUTED_VALUE"""),542.5)</f>
        <v>542.5</v>
      </c>
      <c r="C1792" s="2">
        <f>IFERROR(__xludf.DUMMYFUNCTION("""COMPUTED_VALUE"""),543.95)</f>
        <v>543.95</v>
      </c>
      <c r="D1792" s="2">
        <f>IFERROR(__xludf.DUMMYFUNCTION("""COMPUTED_VALUE"""),528.55)</f>
        <v>528.55</v>
      </c>
      <c r="E1792" s="2">
        <f>IFERROR(__xludf.DUMMYFUNCTION("""COMPUTED_VALUE"""),531.95)</f>
        <v>531.95</v>
      </c>
      <c r="F1792" s="2">
        <f>IFERROR(__xludf.DUMMYFUNCTION("""COMPUTED_VALUE"""),1070302.0)</f>
        <v>1070302</v>
      </c>
    </row>
    <row r="1793">
      <c r="A1793" s="3">
        <f>IFERROR(__xludf.DUMMYFUNCTION("""COMPUTED_VALUE"""),40875.645833333336)</f>
        <v>40875.64583</v>
      </c>
      <c r="B1793" s="2">
        <f>IFERROR(__xludf.DUMMYFUNCTION("""COMPUTED_VALUE"""),538.98)</f>
        <v>538.98</v>
      </c>
      <c r="C1793" s="2">
        <f>IFERROR(__xludf.DUMMYFUNCTION("""COMPUTED_VALUE"""),548.0)</f>
        <v>548</v>
      </c>
      <c r="D1793" s="2">
        <f>IFERROR(__xludf.DUMMYFUNCTION("""COMPUTED_VALUE"""),537.0)</f>
        <v>537</v>
      </c>
      <c r="E1793" s="2">
        <f>IFERROR(__xludf.DUMMYFUNCTION("""COMPUTED_VALUE"""),544.25)</f>
        <v>544.25</v>
      </c>
      <c r="F1793" s="2">
        <f>IFERROR(__xludf.DUMMYFUNCTION("""COMPUTED_VALUE"""),752243.0)</f>
        <v>752243</v>
      </c>
    </row>
    <row r="1794">
      <c r="A1794" s="3">
        <f>IFERROR(__xludf.DUMMYFUNCTION("""COMPUTED_VALUE"""),40876.645833333336)</f>
        <v>40876.64583</v>
      </c>
      <c r="B1794" s="2">
        <f>IFERROR(__xludf.DUMMYFUNCTION("""COMPUTED_VALUE"""),546.5)</f>
        <v>546.5</v>
      </c>
      <c r="C1794" s="2">
        <f>IFERROR(__xludf.DUMMYFUNCTION("""COMPUTED_VALUE"""),552.95)</f>
        <v>552.95</v>
      </c>
      <c r="D1794" s="2">
        <f>IFERROR(__xludf.DUMMYFUNCTION("""COMPUTED_VALUE"""),543.1)</f>
        <v>543.1</v>
      </c>
      <c r="E1794" s="2">
        <f>IFERROR(__xludf.DUMMYFUNCTION("""COMPUTED_VALUE"""),546.65)</f>
        <v>546.65</v>
      </c>
      <c r="F1794" s="2">
        <f>IFERROR(__xludf.DUMMYFUNCTION("""COMPUTED_VALUE"""),1277348.0)</f>
        <v>1277348</v>
      </c>
    </row>
    <row r="1795">
      <c r="A1795" s="3">
        <f>IFERROR(__xludf.DUMMYFUNCTION("""COMPUTED_VALUE"""),40877.645833333336)</f>
        <v>40877.64583</v>
      </c>
      <c r="B1795" s="2">
        <f>IFERROR(__xludf.DUMMYFUNCTION("""COMPUTED_VALUE"""),540.58)</f>
        <v>540.58</v>
      </c>
      <c r="C1795" s="2">
        <f>IFERROR(__xludf.DUMMYFUNCTION("""COMPUTED_VALUE"""),561.48)</f>
        <v>561.48</v>
      </c>
      <c r="D1795" s="2">
        <f>IFERROR(__xludf.DUMMYFUNCTION("""COMPUTED_VALUE"""),540.58)</f>
        <v>540.58</v>
      </c>
      <c r="E1795" s="2">
        <f>IFERROR(__xludf.DUMMYFUNCTION("""COMPUTED_VALUE"""),557.78)</f>
        <v>557.78</v>
      </c>
      <c r="F1795" s="2">
        <f>IFERROR(__xludf.DUMMYFUNCTION("""COMPUTED_VALUE"""),1740849.0)</f>
        <v>1740849</v>
      </c>
    </row>
    <row r="1796">
      <c r="A1796" s="3">
        <f>IFERROR(__xludf.DUMMYFUNCTION("""COMPUTED_VALUE"""),40878.645833333336)</f>
        <v>40878.64583</v>
      </c>
      <c r="B1796" s="2">
        <f>IFERROR(__xludf.DUMMYFUNCTION("""COMPUTED_VALUE"""),570.0)</f>
        <v>570</v>
      </c>
      <c r="C1796" s="2">
        <f>IFERROR(__xludf.DUMMYFUNCTION("""COMPUTED_VALUE"""),574.28)</f>
        <v>574.28</v>
      </c>
      <c r="D1796" s="2">
        <f>IFERROR(__xludf.DUMMYFUNCTION("""COMPUTED_VALUE"""),563.1)</f>
        <v>563.1</v>
      </c>
      <c r="E1796" s="2">
        <f>IFERROR(__xludf.DUMMYFUNCTION("""COMPUTED_VALUE"""),567.4)</f>
        <v>567.4</v>
      </c>
      <c r="F1796" s="2">
        <f>IFERROR(__xludf.DUMMYFUNCTION("""COMPUTED_VALUE"""),1240724.0)</f>
        <v>1240724</v>
      </c>
    </row>
    <row r="1797">
      <c r="A1797" s="3">
        <f>IFERROR(__xludf.DUMMYFUNCTION("""COMPUTED_VALUE"""),40879.645833333336)</f>
        <v>40879.64583</v>
      </c>
      <c r="B1797" s="2">
        <f>IFERROR(__xludf.DUMMYFUNCTION("""COMPUTED_VALUE"""),567.42)</f>
        <v>567.42</v>
      </c>
      <c r="C1797" s="2">
        <f>IFERROR(__xludf.DUMMYFUNCTION("""COMPUTED_VALUE"""),592.5)</f>
        <v>592.5</v>
      </c>
      <c r="D1797" s="2">
        <f>IFERROR(__xludf.DUMMYFUNCTION("""COMPUTED_VALUE"""),564.8)</f>
        <v>564.8</v>
      </c>
      <c r="E1797" s="2">
        <f>IFERROR(__xludf.DUMMYFUNCTION("""COMPUTED_VALUE"""),589.0)</f>
        <v>589</v>
      </c>
      <c r="F1797" s="2">
        <f>IFERROR(__xludf.DUMMYFUNCTION("""COMPUTED_VALUE"""),1984433.0)</f>
        <v>1984433</v>
      </c>
    </row>
    <row r="1798">
      <c r="A1798" s="3">
        <f>IFERROR(__xludf.DUMMYFUNCTION("""COMPUTED_VALUE"""),40882.645833333336)</f>
        <v>40882.64583</v>
      </c>
      <c r="B1798" s="2">
        <f>IFERROR(__xludf.DUMMYFUNCTION("""COMPUTED_VALUE"""),586.25)</f>
        <v>586.25</v>
      </c>
      <c r="C1798" s="2">
        <f>IFERROR(__xludf.DUMMYFUNCTION("""COMPUTED_VALUE"""),591.95)</f>
        <v>591.95</v>
      </c>
      <c r="D1798" s="2">
        <f>IFERROR(__xludf.DUMMYFUNCTION("""COMPUTED_VALUE"""),581.28)</f>
        <v>581.28</v>
      </c>
      <c r="E1798" s="2">
        <f>IFERROR(__xludf.DUMMYFUNCTION("""COMPUTED_VALUE"""),590.48)</f>
        <v>590.48</v>
      </c>
      <c r="F1798" s="2">
        <f>IFERROR(__xludf.DUMMYFUNCTION("""COMPUTED_VALUE"""),765238.0)</f>
        <v>765238</v>
      </c>
    </row>
    <row r="1799">
      <c r="A1799" s="3">
        <f>IFERROR(__xludf.DUMMYFUNCTION("""COMPUTED_VALUE"""),40884.645833333336)</f>
        <v>40884.64583</v>
      </c>
      <c r="B1799" s="2">
        <f>IFERROR(__xludf.DUMMYFUNCTION("""COMPUTED_VALUE"""),590.0)</f>
        <v>590</v>
      </c>
      <c r="C1799" s="2">
        <f>IFERROR(__xludf.DUMMYFUNCTION("""COMPUTED_VALUE"""),596.45)</f>
        <v>596.45</v>
      </c>
      <c r="D1799" s="2">
        <f>IFERROR(__xludf.DUMMYFUNCTION("""COMPUTED_VALUE"""),586.8)</f>
        <v>586.8</v>
      </c>
      <c r="E1799" s="2">
        <f>IFERROR(__xludf.DUMMYFUNCTION("""COMPUTED_VALUE"""),589.78)</f>
        <v>589.78</v>
      </c>
      <c r="F1799" s="2">
        <f>IFERROR(__xludf.DUMMYFUNCTION("""COMPUTED_VALUE"""),1318711.0)</f>
        <v>1318711</v>
      </c>
    </row>
    <row r="1800">
      <c r="A1800" s="3">
        <f>IFERROR(__xludf.DUMMYFUNCTION("""COMPUTED_VALUE"""),40885.645833333336)</f>
        <v>40885.64583</v>
      </c>
      <c r="B1800" s="2">
        <f>IFERROR(__xludf.DUMMYFUNCTION("""COMPUTED_VALUE"""),585.0)</f>
        <v>585</v>
      </c>
      <c r="C1800" s="2">
        <f>IFERROR(__xludf.DUMMYFUNCTION("""COMPUTED_VALUE"""),594.5)</f>
        <v>594.5</v>
      </c>
      <c r="D1800" s="2">
        <f>IFERROR(__xludf.DUMMYFUNCTION("""COMPUTED_VALUE"""),583.58)</f>
        <v>583.58</v>
      </c>
      <c r="E1800" s="2">
        <f>IFERROR(__xludf.DUMMYFUNCTION("""COMPUTED_VALUE"""),588.8)</f>
        <v>588.8</v>
      </c>
      <c r="F1800" s="2">
        <f>IFERROR(__xludf.DUMMYFUNCTION("""COMPUTED_VALUE"""),1663222.0)</f>
        <v>1663222</v>
      </c>
    </row>
    <row r="1801">
      <c r="A1801" s="3">
        <f>IFERROR(__xludf.DUMMYFUNCTION("""COMPUTED_VALUE"""),40886.645833333336)</f>
        <v>40886.64583</v>
      </c>
      <c r="B1801" s="2">
        <f>IFERROR(__xludf.DUMMYFUNCTION("""COMPUTED_VALUE"""),580.5)</f>
        <v>580.5</v>
      </c>
      <c r="C1801" s="2">
        <f>IFERROR(__xludf.DUMMYFUNCTION("""COMPUTED_VALUE"""),591.4)</f>
        <v>591.4</v>
      </c>
      <c r="D1801" s="2">
        <f>IFERROR(__xludf.DUMMYFUNCTION("""COMPUTED_VALUE"""),580.5)</f>
        <v>580.5</v>
      </c>
      <c r="E1801" s="2">
        <f>IFERROR(__xludf.DUMMYFUNCTION("""COMPUTED_VALUE"""),586.2)</f>
        <v>586.2</v>
      </c>
      <c r="F1801" s="2">
        <f>IFERROR(__xludf.DUMMYFUNCTION("""COMPUTED_VALUE"""),1381615.0)</f>
        <v>1381615</v>
      </c>
    </row>
    <row r="1802">
      <c r="A1802" s="3">
        <f>IFERROR(__xludf.DUMMYFUNCTION("""COMPUTED_VALUE"""),40889.645833333336)</f>
        <v>40889.64583</v>
      </c>
      <c r="B1802" s="2">
        <f>IFERROR(__xludf.DUMMYFUNCTION("""COMPUTED_VALUE"""),588.0)</f>
        <v>588</v>
      </c>
      <c r="C1802" s="2">
        <f>IFERROR(__xludf.DUMMYFUNCTION("""COMPUTED_VALUE"""),595.0)</f>
        <v>595</v>
      </c>
      <c r="D1802" s="2">
        <f>IFERROR(__xludf.DUMMYFUNCTION("""COMPUTED_VALUE"""),577.55)</f>
        <v>577.55</v>
      </c>
      <c r="E1802" s="2">
        <f>IFERROR(__xludf.DUMMYFUNCTION("""COMPUTED_VALUE"""),590.17)</f>
        <v>590.17</v>
      </c>
      <c r="F1802" s="2">
        <f>IFERROR(__xludf.DUMMYFUNCTION("""COMPUTED_VALUE"""),1586085.0)</f>
        <v>1586085</v>
      </c>
    </row>
    <row r="1803">
      <c r="A1803" s="3">
        <f>IFERROR(__xludf.DUMMYFUNCTION("""COMPUTED_VALUE"""),40890.645833333336)</f>
        <v>40890.64583</v>
      </c>
      <c r="B1803" s="2">
        <f>IFERROR(__xludf.DUMMYFUNCTION("""COMPUTED_VALUE"""),587.5)</f>
        <v>587.5</v>
      </c>
      <c r="C1803" s="2">
        <f>IFERROR(__xludf.DUMMYFUNCTION("""COMPUTED_VALUE"""),598.45)</f>
        <v>598.45</v>
      </c>
      <c r="D1803" s="2">
        <f>IFERROR(__xludf.DUMMYFUNCTION("""COMPUTED_VALUE"""),583.33)</f>
        <v>583.33</v>
      </c>
      <c r="E1803" s="2">
        <f>IFERROR(__xludf.DUMMYFUNCTION("""COMPUTED_VALUE"""),589.35)</f>
        <v>589.35</v>
      </c>
      <c r="F1803" s="2">
        <f>IFERROR(__xludf.DUMMYFUNCTION("""COMPUTED_VALUE"""),1637279.0)</f>
        <v>1637279</v>
      </c>
    </row>
    <row r="1804">
      <c r="A1804" s="3">
        <f>IFERROR(__xludf.DUMMYFUNCTION("""COMPUTED_VALUE"""),40891.645833333336)</f>
        <v>40891.64583</v>
      </c>
      <c r="B1804" s="2">
        <f>IFERROR(__xludf.DUMMYFUNCTION("""COMPUTED_VALUE"""),590.25)</f>
        <v>590.25</v>
      </c>
      <c r="C1804" s="2">
        <f>IFERROR(__xludf.DUMMYFUNCTION("""COMPUTED_VALUE"""),594.5)</f>
        <v>594.5</v>
      </c>
      <c r="D1804" s="2">
        <f>IFERROR(__xludf.DUMMYFUNCTION("""COMPUTED_VALUE"""),585.0)</f>
        <v>585</v>
      </c>
      <c r="E1804" s="2">
        <f>IFERROR(__xludf.DUMMYFUNCTION("""COMPUTED_VALUE"""),591.23)</f>
        <v>591.23</v>
      </c>
      <c r="F1804" s="2">
        <f>IFERROR(__xludf.DUMMYFUNCTION("""COMPUTED_VALUE"""),1673088.0)</f>
        <v>1673088</v>
      </c>
    </row>
    <row r="1805">
      <c r="A1805" s="3">
        <f>IFERROR(__xludf.DUMMYFUNCTION("""COMPUTED_VALUE"""),40892.645833333336)</f>
        <v>40892.64583</v>
      </c>
      <c r="B1805" s="2">
        <f>IFERROR(__xludf.DUMMYFUNCTION("""COMPUTED_VALUE"""),589.85)</f>
        <v>589.85</v>
      </c>
      <c r="C1805" s="2">
        <f>IFERROR(__xludf.DUMMYFUNCTION("""COMPUTED_VALUE"""),594.95)</f>
        <v>594.95</v>
      </c>
      <c r="D1805" s="2">
        <f>IFERROR(__xludf.DUMMYFUNCTION("""COMPUTED_VALUE"""),577.3)</f>
        <v>577.3</v>
      </c>
      <c r="E1805" s="2">
        <f>IFERROR(__xludf.DUMMYFUNCTION("""COMPUTED_VALUE"""),591.25)</f>
        <v>591.25</v>
      </c>
      <c r="F1805" s="2">
        <f>IFERROR(__xludf.DUMMYFUNCTION("""COMPUTED_VALUE"""),1834686.0)</f>
        <v>1834686</v>
      </c>
    </row>
    <row r="1806">
      <c r="A1806" s="3">
        <f>IFERROR(__xludf.DUMMYFUNCTION("""COMPUTED_VALUE"""),40893.645833333336)</f>
        <v>40893.64583</v>
      </c>
      <c r="B1806" s="2">
        <f>IFERROR(__xludf.DUMMYFUNCTION("""COMPUTED_VALUE"""),588.28)</f>
        <v>588.28</v>
      </c>
      <c r="C1806" s="2">
        <f>IFERROR(__xludf.DUMMYFUNCTION("""COMPUTED_VALUE"""),591.28)</f>
        <v>591.28</v>
      </c>
      <c r="D1806" s="2">
        <f>IFERROR(__xludf.DUMMYFUNCTION("""COMPUTED_VALUE"""),566.15)</f>
        <v>566.15</v>
      </c>
      <c r="E1806" s="2">
        <f>IFERROR(__xludf.DUMMYFUNCTION("""COMPUTED_VALUE"""),573.15)</f>
        <v>573.15</v>
      </c>
      <c r="F1806" s="2">
        <f>IFERROR(__xludf.DUMMYFUNCTION("""COMPUTED_VALUE"""),1775448.0)</f>
        <v>1775448</v>
      </c>
    </row>
    <row r="1807">
      <c r="A1807" s="3">
        <f>IFERROR(__xludf.DUMMYFUNCTION("""COMPUTED_VALUE"""),40896.645833333336)</f>
        <v>40896.64583</v>
      </c>
      <c r="B1807" s="2">
        <f>IFERROR(__xludf.DUMMYFUNCTION("""COMPUTED_VALUE"""),569.5)</f>
        <v>569.5</v>
      </c>
      <c r="C1807" s="2">
        <f>IFERROR(__xludf.DUMMYFUNCTION("""COMPUTED_VALUE"""),578.7)</f>
        <v>578.7</v>
      </c>
      <c r="D1807" s="2">
        <f>IFERROR(__xludf.DUMMYFUNCTION("""COMPUTED_VALUE"""),557.2)</f>
        <v>557.2</v>
      </c>
      <c r="E1807" s="2">
        <f>IFERROR(__xludf.DUMMYFUNCTION("""COMPUTED_VALUE"""),571.83)</f>
        <v>571.83</v>
      </c>
      <c r="F1807" s="2">
        <f>IFERROR(__xludf.DUMMYFUNCTION("""COMPUTED_VALUE"""),1833862.0)</f>
        <v>1833862</v>
      </c>
    </row>
    <row r="1808">
      <c r="A1808" s="3">
        <f>IFERROR(__xludf.DUMMYFUNCTION("""COMPUTED_VALUE"""),40897.645833333336)</f>
        <v>40897.64583</v>
      </c>
      <c r="B1808" s="2">
        <f>IFERROR(__xludf.DUMMYFUNCTION("""COMPUTED_VALUE"""),572.67)</f>
        <v>572.67</v>
      </c>
      <c r="C1808" s="2">
        <f>IFERROR(__xludf.DUMMYFUNCTION("""COMPUTED_VALUE"""),575.55)</f>
        <v>575.55</v>
      </c>
      <c r="D1808" s="2">
        <f>IFERROR(__xludf.DUMMYFUNCTION("""COMPUTED_VALUE"""),564.13)</f>
        <v>564.13</v>
      </c>
      <c r="E1808" s="2">
        <f>IFERROR(__xludf.DUMMYFUNCTION("""COMPUTED_VALUE"""),566.67)</f>
        <v>566.67</v>
      </c>
      <c r="F1808" s="2">
        <f>IFERROR(__xludf.DUMMYFUNCTION("""COMPUTED_VALUE"""),904698.0)</f>
        <v>904698</v>
      </c>
    </row>
    <row r="1809">
      <c r="A1809" s="3">
        <f>IFERROR(__xludf.DUMMYFUNCTION("""COMPUTED_VALUE"""),40898.645833333336)</f>
        <v>40898.64583</v>
      </c>
      <c r="B1809" s="2">
        <f>IFERROR(__xludf.DUMMYFUNCTION("""COMPUTED_VALUE"""),575.0)</f>
        <v>575</v>
      </c>
      <c r="C1809" s="2">
        <f>IFERROR(__xludf.DUMMYFUNCTION("""COMPUTED_VALUE"""),583.0)</f>
        <v>583</v>
      </c>
      <c r="D1809" s="2">
        <f>IFERROR(__xludf.DUMMYFUNCTION("""COMPUTED_VALUE"""),561.23)</f>
        <v>561.23</v>
      </c>
      <c r="E1809" s="2">
        <f>IFERROR(__xludf.DUMMYFUNCTION("""COMPUTED_VALUE"""),579.35)</f>
        <v>579.35</v>
      </c>
      <c r="F1809" s="2">
        <f>IFERROR(__xludf.DUMMYFUNCTION("""COMPUTED_VALUE"""),1558488.0)</f>
        <v>1558488</v>
      </c>
    </row>
    <row r="1810">
      <c r="A1810" s="3">
        <f>IFERROR(__xludf.DUMMYFUNCTION("""COMPUTED_VALUE"""),40899.645833333336)</f>
        <v>40899.64583</v>
      </c>
      <c r="B1810" s="2">
        <f>IFERROR(__xludf.DUMMYFUNCTION("""COMPUTED_VALUE"""),576.0)</f>
        <v>576</v>
      </c>
      <c r="C1810" s="2">
        <f>IFERROR(__xludf.DUMMYFUNCTION("""COMPUTED_VALUE"""),581.92)</f>
        <v>581.92</v>
      </c>
      <c r="D1810" s="2">
        <f>IFERROR(__xludf.DUMMYFUNCTION("""COMPUTED_VALUE"""),567.13)</f>
        <v>567.13</v>
      </c>
      <c r="E1810" s="2">
        <f>IFERROR(__xludf.DUMMYFUNCTION("""COMPUTED_VALUE"""),575.85)</f>
        <v>575.85</v>
      </c>
      <c r="F1810" s="2">
        <f>IFERROR(__xludf.DUMMYFUNCTION("""COMPUTED_VALUE"""),1043134.0)</f>
        <v>1043134</v>
      </c>
    </row>
    <row r="1811">
      <c r="A1811" s="3">
        <f>IFERROR(__xludf.DUMMYFUNCTION("""COMPUTED_VALUE"""),40900.645833333336)</f>
        <v>40900.64583</v>
      </c>
      <c r="B1811" s="2">
        <f>IFERROR(__xludf.DUMMYFUNCTION("""COMPUTED_VALUE"""),575.5)</f>
        <v>575.5</v>
      </c>
      <c r="C1811" s="2">
        <f>IFERROR(__xludf.DUMMYFUNCTION("""COMPUTED_VALUE"""),581.0)</f>
        <v>581</v>
      </c>
      <c r="D1811" s="2">
        <f>IFERROR(__xludf.DUMMYFUNCTION("""COMPUTED_VALUE"""),569.55)</f>
        <v>569.55</v>
      </c>
      <c r="E1811" s="2">
        <f>IFERROR(__xludf.DUMMYFUNCTION("""COMPUTED_VALUE"""),578.58)</f>
        <v>578.58</v>
      </c>
      <c r="F1811" s="2">
        <f>IFERROR(__xludf.DUMMYFUNCTION("""COMPUTED_VALUE"""),789295.0)</f>
        <v>789295</v>
      </c>
    </row>
    <row r="1812">
      <c r="A1812" s="3">
        <f>IFERROR(__xludf.DUMMYFUNCTION("""COMPUTED_VALUE"""),40903.645833333336)</f>
        <v>40903.64583</v>
      </c>
      <c r="B1812" s="2">
        <f>IFERROR(__xludf.DUMMYFUNCTION("""COMPUTED_VALUE"""),578.58)</f>
        <v>578.58</v>
      </c>
      <c r="C1812" s="2">
        <f>IFERROR(__xludf.DUMMYFUNCTION("""COMPUTED_VALUE"""),595.1)</f>
        <v>595.1</v>
      </c>
      <c r="D1812" s="2">
        <f>IFERROR(__xludf.DUMMYFUNCTION("""COMPUTED_VALUE"""),576.75)</f>
        <v>576.75</v>
      </c>
      <c r="E1812" s="2">
        <f>IFERROR(__xludf.DUMMYFUNCTION("""COMPUTED_VALUE"""),594.2)</f>
        <v>594.2</v>
      </c>
      <c r="F1812" s="2">
        <f>IFERROR(__xludf.DUMMYFUNCTION("""COMPUTED_VALUE"""),1114676.0)</f>
        <v>1114676</v>
      </c>
    </row>
    <row r="1813">
      <c r="A1813" s="3">
        <f>IFERROR(__xludf.DUMMYFUNCTION("""COMPUTED_VALUE"""),40904.645833333336)</f>
        <v>40904.64583</v>
      </c>
      <c r="B1813" s="2">
        <f>IFERROR(__xludf.DUMMYFUNCTION("""COMPUTED_VALUE"""),592.7)</f>
        <v>592.7</v>
      </c>
      <c r="C1813" s="2">
        <f>IFERROR(__xludf.DUMMYFUNCTION("""COMPUTED_VALUE"""),595.0)</f>
        <v>595</v>
      </c>
      <c r="D1813" s="2">
        <f>IFERROR(__xludf.DUMMYFUNCTION("""COMPUTED_VALUE"""),585.0)</f>
        <v>585</v>
      </c>
      <c r="E1813" s="2">
        <f>IFERROR(__xludf.DUMMYFUNCTION("""COMPUTED_VALUE"""),589.73)</f>
        <v>589.73</v>
      </c>
      <c r="F1813" s="2">
        <f>IFERROR(__xludf.DUMMYFUNCTION("""COMPUTED_VALUE"""),491951.0)</f>
        <v>491951</v>
      </c>
    </row>
    <row r="1814">
      <c r="A1814" s="3">
        <f>IFERROR(__xludf.DUMMYFUNCTION("""COMPUTED_VALUE"""),40905.645833333336)</f>
        <v>40905.64583</v>
      </c>
      <c r="B1814" s="2">
        <f>IFERROR(__xludf.DUMMYFUNCTION("""COMPUTED_VALUE"""),589.35)</f>
        <v>589.35</v>
      </c>
      <c r="C1814" s="2">
        <f>IFERROR(__xludf.DUMMYFUNCTION("""COMPUTED_VALUE"""),591.78)</f>
        <v>591.78</v>
      </c>
      <c r="D1814" s="2">
        <f>IFERROR(__xludf.DUMMYFUNCTION("""COMPUTED_VALUE"""),582.95)</f>
        <v>582.95</v>
      </c>
      <c r="E1814" s="2">
        <f>IFERROR(__xludf.DUMMYFUNCTION("""COMPUTED_VALUE"""),584.6)</f>
        <v>584.6</v>
      </c>
      <c r="F1814" s="2">
        <f>IFERROR(__xludf.DUMMYFUNCTION("""COMPUTED_VALUE"""),598955.0)</f>
        <v>598955</v>
      </c>
    </row>
    <row r="1815">
      <c r="A1815" s="3">
        <f>IFERROR(__xludf.DUMMYFUNCTION("""COMPUTED_VALUE"""),40906.645833333336)</f>
        <v>40906.64583</v>
      </c>
      <c r="B1815" s="2">
        <f>IFERROR(__xludf.DUMMYFUNCTION("""COMPUTED_VALUE"""),581.75)</f>
        <v>581.75</v>
      </c>
      <c r="C1815" s="2">
        <f>IFERROR(__xludf.DUMMYFUNCTION("""COMPUTED_VALUE"""),589.05)</f>
        <v>589.05</v>
      </c>
      <c r="D1815" s="2">
        <f>IFERROR(__xludf.DUMMYFUNCTION("""COMPUTED_VALUE"""),579.75)</f>
        <v>579.75</v>
      </c>
      <c r="E1815" s="2">
        <f>IFERROR(__xludf.DUMMYFUNCTION("""COMPUTED_VALUE"""),582.85)</f>
        <v>582.85</v>
      </c>
      <c r="F1815" s="2">
        <f>IFERROR(__xludf.DUMMYFUNCTION("""COMPUTED_VALUE"""),792864.0)</f>
        <v>792864</v>
      </c>
    </row>
    <row r="1816">
      <c r="A1816" s="3">
        <f>IFERROR(__xludf.DUMMYFUNCTION("""COMPUTED_VALUE"""),40907.645833333336)</f>
        <v>40907.64583</v>
      </c>
      <c r="B1816" s="2">
        <f>IFERROR(__xludf.DUMMYFUNCTION("""COMPUTED_VALUE"""),589.0)</f>
        <v>589</v>
      </c>
      <c r="C1816" s="2">
        <f>IFERROR(__xludf.DUMMYFUNCTION("""COMPUTED_VALUE"""),591.25)</f>
        <v>591.25</v>
      </c>
      <c r="D1816" s="2">
        <f>IFERROR(__xludf.DUMMYFUNCTION("""COMPUTED_VALUE"""),578.25)</f>
        <v>578.25</v>
      </c>
      <c r="E1816" s="2">
        <f>IFERROR(__xludf.DUMMYFUNCTION("""COMPUTED_VALUE"""),580.33)</f>
        <v>580.33</v>
      </c>
      <c r="F1816" s="2">
        <f>IFERROR(__xludf.DUMMYFUNCTION("""COMPUTED_VALUE"""),772705.0)</f>
        <v>772705</v>
      </c>
    </row>
    <row r="1817">
      <c r="A1817" s="3">
        <f>IFERROR(__xludf.DUMMYFUNCTION("""COMPUTED_VALUE"""),40910.645833333336)</f>
        <v>40910.64583</v>
      </c>
      <c r="B1817" s="2">
        <f>IFERROR(__xludf.DUMMYFUNCTION("""COMPUTED_VALUE"""),580.5)</f>
        <v>580.5</v>
      </c>
      <c r="C1817" s="2">
        <f>IFERROR(__xludf.DUMMYFUNCTION("""COMPUTED_VALUE"""),592.98)</f>
        <v>592.98</v>
      </c>
      <c r="D1817" s="2">
        <f>IFERROR(__xludf.DUMMYFUNCTION("""COMPUTED_VALUE"""),576.5)</f>
        <v>576.5</v>
      </c>
      <c r="E1817" s="2">
        <f>IFERROR(__xludf.DUMMYFUNCTION("""COMPUTED_VALUE"""),589.3)</f>
        <v>589.3</v>
      </c>
      <c r="F1817" s="2">
        <f>IFERROR(__xludf.DUMMYFUNCTION("""COMPUTED_VALUE"""),1124271.0)</f>
        <v>1124271</v>
      </c>
    </row>
    <row r="1818">
      <c r="A1818" s="3">
        <f>IFERROR(__xludf.DUMMYFUNCTION("""COMPUTED_VALUE"""),40911.645833333336)</f>
        <v>40911.64583</v>
      </c>
      <c r="B1818" s="2">
        <f>IFERROR(__xludf.DUMMYFUNCTION("""COMPUTED_VALUE"""),591.63)</f>
        <v>591.63</v>
      </c>
      <c r="C1818" s="2">
        <f>IFERROR(__xludf.DUMMYFUNCTION("""COMPUTED_VALUE"""),604.95)</f>
        <v>604.95</v>
      </c>
      <c r="D1818" s="2">
        <f>IFERROR(__xludf.DUMMYFUNCTION("""COMPUTED_VALUE"""),590.0)</f>
        <v>590</v>
      </c>
      <c r="E1818" s="2">
        <f>IFERROR(__xludf.DUMMYFUNCTION("""COMPUTED_VALUE"""),598.8)</f>
        <v>598.8</v>
      </c>
      <c r="F1818" s="2">
        <f>IFERROR(__xludf.DUMMYFUNCTION("""COMPUTED_VALUE"""),1354442.0)</f>
        <v>1354442</v>
      </c>
    </row>
    <row r="1819">
      <c r="A1819" s="3">
        <f>IFERROR(__xludf.DUMMYFUNCTION("""COMPUTED_VALUE"""),40912.645833333336)</f>
        <v>40912.64583</v>
      </c>
      <c r="B1819" s="2">
        <f>IFERROR(__xludf.DUMMYFUNCTION("""COMPUTED_VALUE"""),602.45)</f>
        <v>602.45</v>
      </c>
      <c r="C1819" s="2">
        <f>IFERROR(__xludf.DUMMYFUNCTION("""COMPUTED_VALUE"""),602.5)</f>
        <v>602.5</v>
      </c>
      <c r="D1819" s="2">
        <f>IFERROR(__xludf.DUMMYFUNCTION("""COMPUTED_VALUE"""),584.65)</f>
        <v>584.65</v>
      </c>
      <c r="E1819" s="2">
        <f>IFERROR(__xludf.DUMMYFUNCTION("""COMPUTED_VALUE"""),586.5)</f>
        <v>586.5</v>
      </c>
      <c r="F1819" s="2">
        <f>IFERROR(__xludf.DUMMYFUNCTION("""COMPUTED_VALUE"""),1193385.0)</f>
        <v>1193385</v>
      </c>
    </row>
    <row r="1820">
      <c r="A1820" s="3">
        <f>IFERROR(__xludf.DUMMYFUNCTION("""COMPUTED_VALUE"""),40913.645833333336)</f>
        <v>40913.64583</v>
      </c>
      <c r="B1820" s="2">
        <f>IFERROR(__xludf.DUMMYFUNCTION("""COMPUTED_VALUE"""),586.4)</f>
        <v>586.4</v>
      </c>
      <c r="C1820" s="2">
        <f>IFERROR(__xludf.DUMMYFUNCTION("""COMPUTED_VALUE"""),592.5)</f>
        <v>592.5</v>
      </c>
      <c r="D1820" s="2">
        <f>IFERROR(__xludf.DUMMYFUNCTION("""COMPUTED_VALUE"""),583.67)</f>
        <v>583.67</v>
      </c>
      <c r="E1820" s="2">
        <f>IFERROR(__xludf.DUMMYFUNCTION("""COMPUTED_VALUE"""),586.0)</f>
        <v>586</v>
      </c>
      <c r="F1820" s="2">
        <f>IFERROR(__xludf.DUMMYFUNCTION("""COMPUTED_VALUE"""),1273656.0)</f>
        <v>1273656</v>
      </c>
    </row>
    <row r="1821">
      <c r="A1821" s="3">
        <f>IFERROR(__xludf.DUMMYFUNCTION("""COMPUTED_VALUE"""),40914.645833333336)</f>
        <v>40914.64583</v>
      </c>
      <c r="B1821" s="2">
        <f>IFERROR(__xludf.DUMMYFUNCTION("""COMPUTED_VALUE"""),583.0)</f>
        <v>583</v>
      </c>
      <c r="C1821" s="2">
        <f>IFERROR(__xludf.DUMMYFUNCTION("""COMPUTED_VALUE"""),594.17)</f>
        <v>594.17</v>
      </c>
      <c r="D1821" s="2">
        <f>IFERROR(__xludf.DUMMYFUNCTION("""COMPUTED_VALUE"""),578.4)</f>
        <v>578.4</v>
      </c>
      <c r="E1821" s="2">
        <f>IFERROR(__xludf.DUMMYFUNCTION("""COMPUTED_VALUE"""),584.7)</f>
        <v>584.7</v>
      </c>
      <c r="F1821" s="2">
        <f>IFERROR(__xludf.DUMMYFUNCTION("""COMPUTED_VALUE"""),1059864.0)</f>
        <v>1059864</v>
      </c>
    </row>
    <row r="1822">
      <c r="A1822" s="3">
        <f>IFERROR(__xludf.DUMMYFUNCTION("""COMPUTED_VALUE"""),40917.645833333336)</f>
        <v>40917.64583</v>
      </c>
      <c r="B1822" s="2">
        <f>IFERROR(__xludf.DUMMYFUNCTION("""COMPUTED_VALUE"""),585.5)</f>
        <v>585.5</v>
      </c>
      <c r="C1822" s="2">
        <f>IFERROR(__xludf.DUMMYFUNCTION("""COMPUTED_VALUE"""),589.85)</f>
        <v>589.85</v>
      </c>
      <c r="D1822" s="2">
        <f>IFERROR(__xludf.DUMMYFUNCTION("""COMPUTED_VALUE"""),582.63)</f>
        <v>582.63</v>
      </c>
      <c r="E1822" s="2">
        <f>IFERROR(__xludf.DUMMYFUNCTION("""COMPUTED_VALUE"""),585.67)</f>
        <v>585.67</v>
      </c>
      <c r="F1822" s="2">
        <f>IFERROR(__xludf.DUMMYFUNCTION("""COMPUTED_VALUE"""),754514.0)</f>
        <v>754514</v>
      </c>
    </row>
    <row r="1823">
      <c r="A1823" s="3">
        <f>IFERROR(__xludf.DUMMYFUNCTION("""COMPUTED_VALUE"""),40918.645833333336)</f>
        <v>40918.64583</v>
      </c>
      <c r="B1823" s="2">
        <f>IFERROR(__xludf.DUMMYFUNCTION("""COMPUTED_VALUE"""),587.5)</f>
        <v>587.5</v>
      </c>
      <c r="C1823" s="2">
        <f>IFERROR(__xludf.DUMMYFUNCTION("""COMPUTED_VALUE"""),592.75)</f>
        <v>592.75</v>
      </c>
      <c r="D1823" s="2">
        <f>IFERROR(__xludf.DUMMYFUNCTION("""COMPUTED_VALUE"""),579.25)</f>
        <v>579.25</v>
      </c>
      <c r="E1823" s="2">
        <f>IFERROR(__xludf.DUMMYFUNCTION("""COMPUTED_VALUE"""),582.7)</f>
        <v>582.7</v>
      </c>
      <c r="F1823" s="2">
        <f>IFERROR(__xludf.DUMMYFUNCTION("""COMPUTED_VALUE"""),1795895.0)</f>
        <v>1795895</v>
      </c>
    </row>
    <row r="1824">
      <c r="A1824" s="3">
        <f>IFERROR(__xludf.DUMMYFUNCTION("""COMPUTED_VALUE"""),40919.645833333336)</f>
        <v>40919.64583</v>
      </c>
      <c r="B1824" s="2">
        <f>IFERROR(__xludf.DUMMYFUNCTION("""COMPUTED_VALUE"""),585.7)</f>
        <v>585.7</v>
      </c>
      <c r="C1824" s="2">
        <f>IFERROR(__xludf.DUMMYFUNCTION("""COMPUTED_VALUE"""),587.5)</f>
        <v>587.5</v>
      </c>
      <c r="D1824" s="2">
        <f>IFERROR(__xludf.DUMMYFUNCTION("""COMPUTED_VALUE"""),566.58)</f>
        <v>566.58</v>
      </c>
      <c r="E1824" s="2">
        <f>IFERROR(__xludf.DUMMYFUNCTION("""COMPUTED_VALUE"""),568.5)</f>
        <v>568.5</v>
      </c>
      <c r="F1824" s="2">
        <f>IFERROR(__xludf.DUMMYFUNCTION("""COMPUTED_VALUE"""),2837690.0)</f>
        <v>2837690</v>
      </c>
    </row>
    <row r="1825">
      <c r="A1825" s="3">
        <f>IFERROR(__xludf.DUMMYFUNCTION("""COMPUTED_VALUE"""),40920.645833333336)</f>
        <v>40920.64583</v>
      </c>
      <c r="B1825" s="2">
        <f>IFERROR(__xludf.DUMMYFUNCTION("""COMPUTED_VALUE"""),550.5)</f>
        <v>550.5</v>
      </c>
      <c r="C1825" s="2">
        <f>IFERROR(__xludf.DUMMYFUNCTION("""COMPUTED_VALUE"""),557.5)</f>
        <v>557.5</v>
      </c>
      <c r="D1825" s="2">
        <f>IFERROR(__xludf.DUMMYFUNCTION("""COMPUTED_VALUE"""),534.33)</f>
        <v>534.33</v>
      </c>
      <c r="E1825" s="2">
        <f>IFERROR(__xludf.DUMMYFUNCTION("""COMPUTED_VALUE"""),544.75)</f>
        <v>544.75</v>
      </c>
      <c r="F1825" s="2">
        <f>IFERROR(__xludf.DUMMYFUNCTION("""COMPUTED_VALUE"""),4764342.0)</f>
        <v>4764342</v>
      </c>
    </row>
    <row r="1826">
      <c r="A1826" s="3">
        <f>IFERROR(__xludf.DUMMYFUNCTION("""COMPUTED_VALUE"""),40921.645833333336)</f>
        <v>40921.64583</v>
      </c>
      <c r="B1826" s="2">
        <f>IFERROR(__xludf.DUMMYFUNCTION("""COMPUTED_VALUE"""),548.58)</f>
        <v>548.58</v>
      </c>
      <c r="C1826" s="2">
        <f>IFERROR(__xludf.DUMMYFUNCTION("""COMPUTED_VALUE"""),551.67)</f>
        <v>551.67</v>
      </c>
      <c r="D1826" s="2">
        <f>IFERROR(__xludf.DUMMYFUNCTION("""COMPUTED_VALUE"""),536.5)</f>
        <v>536.5</v>
      </c>
      <c r="E1826" s="2">
        <f>IFERROR(__xludf.DUMMYFUNCTION("""COMPUTED_VALUE"""),542.88)</f>
        <v>542.88</v>
      </c>
      <c r="F1826" s="2">
        <f>IFERROR(__xludf.DUMMYFUNCTION("""COMPUTED_VALUE"""),2009914.0)</f>
        <v>2009914</v>
      </c>
    </row>
    <row r="1827">
      <c r="A1827" s="3">
        <f>IFERROR(__xludf.DUMMYFUNCTION("""COMPUTED_VALUE"""),40924.645833333336)</f>
        <v>40924.64583</v>
      </c>
      <c r="B1827" s="2">
        <f>IFERROR(__xludf.DUMMYFUNCTION("""COMPUTED_VALUE"""),542.0)</f>
        <v>542</v>
      </c>
      <c r="C1827" s="2">
        <f>IFERROR(__xludf.DUMMYFUNCTION("""COMPUTED_VALUE"""),557.0)</f>
        <v>557</v>
      </c>
      <c r="D1827" s="2">
        <f>IFERROR(__xludf.DUMMYFUNCTION("""COMPUTED_VALUE"""),539.45)</f>
        <v>539.45</v>
      </c>
      <c r="E1827" s="2">
        <f>IFERROR(__xludf.DUMMYFUNCTION("""COMPUTED_VALUE"""),554.7)</f>
        <v>554.7</v>
      </c>
      <c r="F1827" s="2">
        <f>IFERROR(__xludf.DUMMYFUNCTION("""COMPUTED_VALUE"""),1523601.0)</f>
        <v>1523601</v>
      </c>
    </row>
    <row r="1828">
      <c r="A1828" s="3">
        <f>IFERROR(__xludf.DUMMYFUNCTION("""COMPUTED_VALUE"""),40925.645833333336)</f>
        <v>40925.64583</v>
      </c>
      <c r="B1828" s="2">
        <f>IFERROR(__xludf.DUMMYFUNCTION("""COMPUTED_VALUE"""),559.95)</f>
        <v>559.95</v>
      </c>
      <c r="C1828" s="2">
        <f>IFERROR(__xludf.DUMMYFUNCTION("""COMPUTED_VALUE"""),562.35)</f>
        <v>562.35</v>
      </c>
      <c r="D1828" s="2">
        <f>IFERROR(__xludf.DUMMYFUNCTION("""COMPUTED_VALUE"""),547.0)</f>
        <v>547</v>
      </c>
      <c r="E1828" s="2">
        <f>IFERROR(__xludf.DUMMYFUNCTION("""COMPUTED_VALUE"""),551.98)</f>
        <v>551.98</v>
      </c>
      <c r="F1828" s="2">
        <f>IFERROR(__xludf.DUMMYFUNCTION("""COMPUTED_VALUE"""),1852109.0)</f>
        <v>1852109</v>
      </c>
    </row>
    <row r="1829">
      <c r="A1829" s="3">
        <f>IFERROR(__xludf.DUMMYFUNCTION("""COMPUTED_VALUE"""),40926.645833333336)</f>
        <v>40926.64583</v>
      </c>
      <c r="B1829" s="2">
        <f>IFERROR(__xludf.DUMMYFUNCTION("""COMPUTED_VALUE"""),540.0)</f>
        <v>540</v>
      </c>
      <c r="C1829" s="2">
        <f>IFERROR(__xludf.DUMMYFUNCTION("""COMPUTED_VALUE"""),548.15)</f>
        <v>548.15</v>
      </c>
      <c r="D1829" s="2">
        <f>IFERROR(__xludf.DUMMYFUNCTION("""COMPUTED_VALUE"""),522.65)</f>
        <v>522.65</v>
      </c>
      <c r="E1829" s="2">
        <f>IFERROR(__xludf.DUMMYFUNCTION("""COMPUTED_VALUE"""),538.08)</f>
        <v>538.08</v>
      </c>
      <c r="F1829" s="2">
        <f>IFERROR(__xludf.DUMMYFUNCTION("""COMPUTED_VALUE"""),5832766.0)</f>
        <v>5832766</v>
      </c>
    </row>
    <row r="1830">
      <c r="A1830" s="3">
        <f>IFERROR(__xludf.DUMMYFUNCTION("""COMPUTED_VALUE"""),40927.645833333336)</f>
        <v>40927.64583</v>
      </c>
      <c r="B1830" s="2">
        <f>IFERROR(__xludf.DUMMYFUNCTION("""COMPUTED_VALUE"""),543.5)</f>
        <v>543.5</v>
      </c>
      <c r="C1830" s="2">
        <f>IFERROR(__xludf.DUMMYFUNCTION("""COMPUTED_VALUE"""),544.45)</f>
        <v>544.45</v>
      </c>
      <c r="D1830" s="2">
        <f>IFERROR(__xludf.DUMMYFUNCTION("""COMPUTED_VALUE"""),532.7)</f>
        <v>532.7</v>
      </c>
      <c r="E1830" s="2">
        <f>IFERROR(__xludf.DUMMYFUNCTION("""COMPUTED_VALUE"""),537.78)</f>
        <v>537.78</v>
      </c>
      <c r="F1830" s="2">
        <f>IFERROR(__xludf.DUMMYFUNCTION("""COMPUTED_VALUE"""),2081646.0)</f>
        <v>2081646</v>
      </c>
    </row>
    <row r="1831">
      <c r="A1831" s="3">
        <f>IFERROR(__xludf.DUMMYFUNCTION("""COMPUTED_VALUE"""),40928.645833333336)</f>
        <v>40928.64583</v>
      </c>
      <c r="B1831" s="2">
        <f>IFERROR(__xludf.DUMMYFUNCTION("""COMPUTED_VALUE"""),539.98)</f>
        <v>539.98</v>
      </c>
      <c r="C1831" s="2">
        <f>IFERROR(__xludf.DUMMYFUNCTION("""COMPUTED_VALUE"""),545.48)</f>
        <v>545.48</v>
      </c>
      <c r="D1831" s="2">
        <f>IFERROR(__xludf.DUMMYFUNCTION("""COMPUTED_VALUE"""),536.5)</f>
        <v>536.5</v>
      </c>
      <c r="E1831" s="2">
        <f>IFERROR(__xludf.DUMMYFUNCTION("""COMPUTED_VALUE"""),539.75)</f>
        <v>539.75</v>
      </c>
      <c r="F1831" s="2">
        <f>IFERROR(__xludf.DUMMYFUNCTION("""COMPUTED_VALUE"""),1286347.0)</f>
        <v>1286347</v>
      </c>
    </row>
    <row r="1832">
      <c r="A1832" s="3">
        <f>IFERROR(__xludf.DUMMYFUNCTION("""COMPUTED_VALUE"""),40931.645833333336)</f>
        <v>40931.64583</v>
      </c>
      <c r="B1832" s="2">
        <f>IFERROR(__xludf.DUMMYFUNCTION("""COMPUTED_VALUE"""),543.0)</f>
        <v>543</v>
      </c>
      <c r="C1832" s="2">
        <f>IFERROR(__xludf.DUMMYFUNCTION("""COMPUTED_VALUE"""),545.73)</f>
        <v>545.73</v>
      </c>
      <c r="D1832" s="2">
        <f>IFERROR(__xludf.DUMMYFUNCTION("""COMPUTED_VALUE"""),537.08)</f>
        <v>537.08</v>
      </c>
      <c r="E1832" s="2">
        <f>IFERROR(__xludf.DUMMYFUNCTION("""COMPUTED_VALUE"""),538.85)</f>
        <v>538.85</v>
      </c>
      <c r="F1832" s="2">
        <f>IFERROR(__xludf.DUMMYFUNCTION("""COMPUTED_VALUE"""),1065248.0)</f>
        <v>1065248</v>
      </c>
    </row>
    <row r="1833">
      <c r="A1833" s="3">
        <f>IFERROR(__xludf.DUMMYFUNCTION("""COMPUTED_VALUE"""),40932.645833333336)</f>
        <v>40932.64583</v>
      </c>
      <c r="B1833" s="2">
        <f>IFERROR(__xludf.DUMMYFUNCTION("""COMPUTED_VALUE"""),544.0)</f>
        <v>544</v>
      </c>
      <c r="C1833" s="2">
        <f>IFERROR(__xludf.DUMMYFUNCTION("""COMPUTED_VALUE"""),547.5)</f>
        <v>547.5</v>
      </c>
      <c r="D1833" s="2">
        <f>IFERROR(__xludf.DUMMYFUNCTION("""COMPUTED_VALUE"""),539.0)</f>
        <v>539</v>
      </c>
      <c r="E1833" s="2">
        <f>IFERROR(__xludf.DUMMYFUNCTION("""COMPUTED_VALUE"""),544.35)</f>
        <v>544.35</v>
      </c>
      <c r="F1833" s="2">
        <f>IFERROR(__xludf.DUMMYFUNCTION("""COMPUTED_VALUE"""),1320655.0)</f>
        <v>1320655</v>
      </c>
    </row>
    <row r="1834">
      <c r="A1834" s="3">
        <f>IFERROR(__xludf.DUMMYFUNCTION("""COMPUTED_VALUE"""),40933.645833333336)</f>
        <v>40933.64583</v>
      </c>
      <c r="B1834" s="2">
        <f>IFERROR(__xludf.DUMMYFUNCTION("""COMPUTED_VALUE"""),547.45)</f>
        <v>547.45</v>
      </c>
      <c r="C1834" s="2">
        <f>IFERROR(__xludf.DUMMYFUNCTION("""COMPUTED_VALUE"""),554.98)</f>
        <v>554.98</v>
      </c>
      <c r="D1834" s="2">
        <f>IFERROR(__xludf.DUMMYFUNCTION("""COMPUTED_VALUE"""),545.53)</f>
        <v>545.53</v>
      </c>
      <c r="E1834" s="2">
        <f>IFERROR(__xludf.DUMMYFUNCTION("""COMPUTED_VALUE"""),549.0)</f>
        <v>549</v>
      </c>
      <c r="F1834" s="2">
        <f>IFERROR(__xludf.DUMMYFUNCTION("""COMPUTED_VALUE"""),2922619.0)</f>
        <v>2922619</v>
      </c>
    </row>
    <row r="1835">
      <c r="A1835" s="3">
        <f>IFERROR(__xludf.DUMMYFUNCTION("""COMPUTED_VALUE"""),40935.645833333336)</f>
        <v>40935.64583</v>
      </c>
      <c r="B1835" s="2">
        <f>IFERROR(__xludf.DUMMYFUNCTION("""COMPUTED_VALUE"""),552.5)</f>
        <v>552.5</v>
      </c>
      <c r="C1835" s="2">
        <f>IFERROR(__xludf.DUMMYFUNCTION("""COMPUTED_VALUE"""),560.28)</f>
        <v>560.28</v>
      </c>
      <c r="D1835" s="2">
        <f>IFERROR(__xludf.DUMMYFUNCTION("""COMPUTED_VALUE"""),550.05)</f>
        <v>550.05</v>
      </c>
      <c r="E1835" s="2">
        <f>IFERROR(__xludf.DUMMYFUNCTION("""COMPUTED_VALUE"""),554.38)</f>
        <v>554.38</v>
      </c>
      <c r="F1835" s="2">
        <f>IFERROR(__xludf.DUMMYFUNCTION("""COMPUTED_VALUE"""),2604859.0)</f>
        <v>2604859</v>
      </c>
    </row>
    <row r="1836">
      <c r="A1836" s="3">
        <f>IFERROR(__xludf.DUMMYFUNCTION("""COMPUTED_VALUE"""),40938.645833333336)</f>
        <v>40938.64583</v>
      </c>
      <c r="B1836" s="2">
        <f>IFERROR(__xludf.DUMMYFUNCTION("""COMPUTED_VALUE"""),551.25)</f>
        <v>551.25</v>
      </c>
      <c r="C1836" s="2">
        <f>IFERROR(__xludf.DUMMYFUNCTION("""COMPUTED_VALUE"""),559.48)</f>
        <v>559.48</v>
      </c>
      <c r="D1836" s="2">
        <f>IFERROR(__xludf.DUMMYFUNCTION("""COMPUTED_VALUE"""),550.38)</f>
        <v>550.38</v>
      </c>
      <c r="E1836" s="2">
        <f>IFERROR(__xludf.DUMMYFUNCTION("""COMPUTED_VALUE"""),555.88)</f>
        <v>555.88</v>
      </c>
      <c r="F1836" s="2">
        <f>IFERROR(__xludf.DUMMYFUNCTION("""COMPUTED_VALUE"""),1297779.0)</f>
        <v>1297779</v>
      </c>
    </row>
    <row r="1837">
      <c r="A1837" s="3">
        <f>IFERROR(__xludf.DUMMYFUNCTION("""COMPUTED_VALUE"""),40939.645833333336)</f>
        <v>40939.64583</v>
      </c>
      <c r="B1837" s="2">
        <f>IFERROR(__xludf.DUMMYFUNCTION("""COMPUTED_VALUE"""),556.5)</f>
        <v>556.5</v>
      </c>
      <c r="C1837" s="2">
        <f>IFERROR(__xludf.DUMMYFUNCTION("""COMPUTED_VALUE"""),567.95)</f>
        <v>567.95</v>
      </c>
      <c r="D1837" s="2">
        <f>IFERROR(__xludf.DUMMYFUNCTION("""COMPUTED_VALUE"""),556.5)</f>
        <v>556.5</v>
      </c>
      <c r="E1837" s="2">
        <f>IFERROR(__xludf.DUMMYFUNCTION("""COMPUTED_VALUE"""),566.2)</f>
        <v>566.2</v>
      </c>
      <c r="F1837" s="2">
        <f>IFERROR(__xludf.DUMMYFUNCTION("""COMPUTED_VALUE"""),1769060.0)</f>
        <v>1769060</v>
      </c>
    </row>
    <row r="1838">
      <c r="A1838" s="3">
        <f>IFERROR(__xludf.DUMMYFUNCTION("""COMPUTED_VALUE"""),40940.645833333336)</f>
        <v>40940.64583</v>
      </c>
      <c r="B1838" s="2">
        <f>IFERROR(__xludf.DUMMYFUNCTION("""COMPUTED_VALUE"""),564.7)</f>
        <v>564.7</v>
      </c>
      <c r="C1838" s="2">
        <f>IFERROR(__xludf.DUMMYFUNCTION("""COMPUTED_VALUE"""),567.5)</f>
        <v>567.5</v>
      </c>
      <c r="D1838" s="2">
        <f>IFERROR(__xludf.DUMMYFUNCTION("""COMPUTED_VALUE"""),554.13)</f>
        <v>554.13</v>
      </c>
      <c r="E1838" s="2">
        <f>IFERROR(__xludf.DUMMYFUNCTION("""COMPUTED_VALUE"""),564.35)</f>
        <v>564.35</v>
      </c>
      <c r="F1838" s="2">
        <f>IFERROR(__xludf.DUMMYFUNCTION("""COMPUTED_VALUE"""),1144402.0)</f>
        <v>1144402</v>
      </c>
    </row>
    <row r="1839">
      <c r="A1839" s="3">
        <f>IFERROR(__xludf.DUMMYFUNCTION("""COMPUTED_VALUE"""),40941.645833333336)</f>
        <v>40941.64583</v>
      </c>
      <c r="B1839" s="2">
        <f>IFERROR(__xludf.DUMMYFUNCTION("""COMPUTED_VALUE"""),568.0)</f>
        <v>568</v>
      </c>
      <c r="C1839" s="2">
        <f>IFERROR(__xludf.DUMMYFUNCTION("""COMPUTED_VALUE"""),576.33)</f>
        <v>576.33</v>
      </c>
      <c r="D1839" s="2">
        <f>IFERROR(__xludf.DUMMYFUNCTION("""COMPUTED_VALUE"""),565.15)</f>
        <v>565.15</v>
      </c>
      <c r="E1839" s="2">
        <f>IFERROR(__xludf.DUMMYFUNCTION("""COMPUTED_VALUE"""),574.0)</f>
        <v>574</v>
      </c>
      <c r="F1839" s="2">
        <f>IFERROR(__xludf.DUMMYFUNCTION("""COMPUTED_VALUE"""),1693070.0)</f>
        <v>1693070</v>
      </c>
    </row>
    <row r="1840">
      <c r="A1840" s="3">
        <f>IFERROR(__xludf.DUMMYFUNCTION("""COMPUTED_VALUE"""),40942.645833333336)</f>
        <v>40942.64583</v>
      </c>
      <c r="B1840" s="2">
        <f>IFERROR(__xludf.DUMMYFUNCTION("""COMPUTED_VALUE"""),572.5)</f>
        <v>572.5</v>
      </c>
      <c r="C1840" s="2">
        <f>IFERROR(__xludf.DUMMYFUNCTION("""COMPUTED_VALUE"""),588.0)</f>
        <v>588</v>
      </c>
      <c r="D1840" s="2">
        <f>IFERROR(__xludf.DUMMYFUNCTION("""COMPUTED_VALUE"""),570.5)</f>
        <v>570.5</v>
      </c>
      <c r="E1840" s="2">
        <f>IFERROR(__xludf.DUMMYFUNCTION("""COMPUTED_VALUE"""),585.78)</f>
        <v>585.78</v>
      </c>
      <c r="F1840" s="2">
        <f>IFERROR(__xludf.DUMMYFUNCTION("""COMPUTED_VALUE"""),1388779.0)</f>
        <v>1388779</v>
      </c>
    </row>
    <row r="1841">
      <c r="A1841" s="3">
        <f>IFERROR(__xludf.DUMMYFUNCTION("""COMPUTED_VALUE"""),40945.645833333336)</f>
        <v>40945.64583</v>
      </c>
      <c r="B1841" s="2">
        <f>IFERROR(__xludf.DUMMYFUNCTION("""COMPUTED_VALUE"""),591.85)</f>
        <v>591.85</v>
      </c>
      <c r="C1841" s="2">
        <f>IFERROR(__xludf.DUMMYFUNCTION("""COMPUTED_VALUE"""),600.03)</f>
        <v>600.03</v>
      </c>
      <c r="D1841" s="2">
        <f>IFERROR(__xludf.DUMMYFUNCTION("""COMPUTED_VALUE"""),586.67)</f>
        <v>586.67</v>
      </c>
      <c r="E1841" s="2">
        <f>IFERROR(__xludf.DUMMYFUNCTION("""COMPUTED_VALUE"""),596.92)</f>
        <v>596.92</v>
      </c>
      <c r="F1841" s="2">
        <f>IFERROR(__xludf.DUMMYFUNCTION("""COMPUTED_VALUE"""),1713598.0)</f>
        <v>1713598</v>
      </c>
    </row>
    <row r="1842">
      <c r="A1842" s="3">
        <f>IFERROR(__xludf.DUMMYFUNCTION("""COMPUTED_VALUE"""),40946.645833333336)</f>
        <v>40946.64583</v>
      </c>
      <c r="B1842" s="2">
        <f>IFERROR(__xludf.DUMMYFUNCTION("""COMPUTED_VALUE"""),604.85)</f>
        <v>604.85</v>
      </c>
      <c r="C1842" s="2">
        <f>IFERROR(__xludf.DUMMYFUNCTION("""COMPUTED_VALUE"""),604.85)</f>
        <v>604.85</v>
      </c>
      <c r="D1842" s="2">
        <f>IFERROR(__xludf.DUMMYFUNCTION("""COMPUTED_VALUE"""),595.95)</f>
        <v>595.95</v>
      </c>
      <c r="E1842" s="2">
        <f>IFERROR(__xludf.DUMMYFUNCTION("""COMPUTED_VALUE"""),599.0)</f>
        <v>599</v>
      </c>
      <c r="F1842" s="2">
        <f>IFERROR(__xludf.DUMMYFUNCTION("""COMPUTED_VALUE"""),1703828.0)</f>
        <v>1703828</v>
      </c>
    </row>
    <row r="1843">
      <c r="A1843" s="3">
        <f>IFERROR(__xludf.DUMMYFUNCTION("""COMPUTED_VALUE"""),40947.645833333336)</f>
        <v>40947.64583</v>
      </c>
      <c r="B1843" s="2">
        <f>IFERROR(__xludf.DUMMYFUNCTION("""COMPUTED_VALUE"""),608.2)</f>
        <v>608.2</v>
      </c>
      <c r="C1843" s="2">
        <f>IFERROR(__xludf.DUMMYFUNCTION("""COMPUTED_VALUE"""),613.42)</f>
        <v>613.42</v>
      </c>
      <c r="D1843" s="2">
        <f>IFERROR(__xludf.DUMMYFUNCTION("""COMPUTED_VALUE"""),605.5)</f>
        <v>605.5</v>
      </c>
      <c r="E1843" s="2">
        <f>IFERROR(__xludf.DUMMYFUNCTION("""COMPUTED_VALUE"""),609.83)</f>
        <v>609.83</v>
      </c>
      <c r="F1843" s="2">
        <f>IFERROR(__xludf.DUMMYFUNCTION("""COMPUTED_VALUE"""),1813592.0)</f>
        <v>1813592</v>
      </c>
    </row>
    <row r="1844">
      <c r="A1844" s="3">
        <f>IFERROR(__xludf.DUMMYFUNCTION("""COMPUTED_VALUE"""),40948.645833333336)</f>
        <v>40948.64583</v>
      </c>
      <c r="B1844" s="2">
        <f>IFERROR(__xludf.DUMMYFUNCTION("""COMPUTED_VALUE"""),605.55)</f>
        <v>605.55</v>
      </c>
      <c r="C1844" s="2">
        <f>IFERROR(__xludf.DUMMYFUNCTION("""COMPUTED_VALUE"""),616.0)</f>
        <v>616</v>
      </c>
      <c r="D1844" s="2">
        <f>IFERROR(__xludf.DUMMYFUNCTION("""COMPUTED_VALUE"""),594.0)</f>
        <v>594</v>
      </c>
      <c r="E1844" s="2">
        <f>IFERROR(__xludf.DUMMYFUNCTION("""COMPUTED_VALUE"""),614.3)</f>
        <v>614.3</v>
      </c>
      <c r="F1844" s="2">
        <f>IFERROR(__xludf.DUMMYFUNCTION("""COMPUTED_VALUE"""),1519031.0)</f>
        <v>1519031</v>
      </c>
    </row>
    <row r="1845">
      <c r="A1845" s="3">
        <f>IFERROR(__xludf.DUMMYFUNCTION("""COMPUTED_VALUE"""),40949.645833333336)</f>
        <v>40949.64583</v>
      </c>
      <c r="B1845" s="2">
        <f>IFERROR(__xludf.DUMMYFUNCTION("""COMPUTED_VALUE"""),614.0)</f>
        <v>614</v>
      </c>
      <c r="C1845" s="2">
        <f>IFERROR(__xludf.DUMMYFUNCTION("""COMPUTED_VALUE"""),619.0)</f>
        <v>619</v>
      </c>
      <c r="D1845" s="2">
        <f>IFERROR(__xludf.DUMMYFUNCTION("""COMPUTED_VALUE"""),606.0)</f>
        <v>606</v>
      </c>
      <c r="E1845" s="2">
        <f>IFERROR(__xludf.DUMMYFUNCTION("""COMPUTED_VALUE"""),616.7)</f>
        <v>616.7</v>
      </c>
      <c r="F1845" s="2">
        <f>IFERROR(__xludf.DUMMYFUNCTION("""COMPUTED_VALUE"""),1162151.0)</f>
        <v>1162151</v>
      </c>
    </row>
    <row r="1846">
      <c r="A1846" s="3">
        <f>IFERROR(__xludf.DUMMYFUNCTION("""COMPUTED_VALUE"""),40952.645833333336)</f>
        <v>40952.64583</v>
      </c>
      <c r="B1846" s="2">
        <f>IFERROR(__xludf.DUMMYFUNCTION("""COMPUTED_VALUE"""),611.1)</f>
        <v>611.1</v>
      </c>
      <c r="C1846" s="2">
        <f>IFERROR(__xludf.DUMMYFUNCTION("""COMPUTED_VALUE"""),618.98)</f>
        <v>618.98</v>
      </c>
      <c r="D1846" s="2">
        <f>IFERROR(__xludf.DUMMYFUNCTION("""COMPUTED_VALUE"""),607.0)</f>
        <v>607</v>
      </c>
      <c r="E1846" s="2">
        <f>IFERROR(__xludf.DUMMYFUNCTION("""COMPUTED_VALUE"""),612.85)</f>
        <v>612.85</v>
      </c>
      <c r="F1846" s="2">
        <f>IFERROR(__xludf.DUMMYFUNCTION("""COMPUTED_VALUE"""),815885.0)</f>
        <v>815885</v>
      </c>
    </row>
    <row r="1847">
      <c r="A1847" s="3">
        <f>IFERROR(__xludf.DUMMYFUNCTION("""COMPUTED_VALUE"""),40953.645833333336)</f>
        <v>40953.64583</v>
      </c>
      <c r="B1847" s="2">
        <f>IFERROR(__xludf.DUMMYFUNCTION("""COMPUTED_VALUE"""),612.5)</f>
        <v>612.5</v>
      </c>
      <c r="C1847" s="2">
        <f>IFERROR(__xludf.DUMMYFUNCTION("""COMPUTED_VALUE"""),614.78)</f>
        <v>614.78</v>
      </c>
      <c r="D1847" s="2">
        <f>IFERROR(__xludf.DUMMYFUNCTION("""COMPUTED_VALUE"""),607.5)</f>
        <v>607.5</v>
      </c>
      <c r="E1847" s="2">
        <f>IFERROR(__xludf.DUMMYFUNCTION("""COMPUTED_VALUE"""),610.0)</f>
        <v>610</v>
      </c>
      <c r="F1847" s="2">
        <f>IFERROR(__xludf.DUMMYFUNCTION("""COMPUTED_VALUE"""),913323.0)</f>
        <v>913323</v>
      </c>
    </row>
    <row r="1848">
      <c r="A1848" s="3">
        <f>IFERROR(__xludf.DUMMYFUNCTION("""COMPUTED_VALUE"""),40954.645833333336)</f>
        <v>40954.64583</v>
      </c>
      <c r="B1848" s="2">
        <f>IFERROR(__xludf.DUMMYFUNCTION("""COMPUTED_VALUE"""),613.58)</f>
        <v>613.58</v>
      </c>
      <c r="C1848" s="2">
        <f>IFERROR(__xludf.DUMMYFUNCTION("""COMPUTED_VALUE"""),624.4)</f>
        <v>624.4</v>
      </c>
      <c r="D1848" s="2">
        <f>IFERROR(__xludf.DUMMYFUNCTION("""COMPUTED_VALUE"""),609.75)</f>
        <v>609.75</v>
      </c>
      <c r="E1848" s="2">
        <f>IFERROR(__xludf.DUMMYFUNCTION("""COMPUTED_VALUE"""),620.8)</f>
        <v>620.8</v>
      </c>
      <c r="F1848" s="2">
        <f>IFERROR(__xludf.DUMMYFUNCTION("""COMPUTED_VALUE"""),1083583.0)</f>
        <v>1083583</v>
      </c>
    </row>
    <row r="1849">
      <c r="A1849" s="3">
        <f>IFERROR(__xludf.DUMMYFUNCTION("""COMPUTED_VALUE"""),40955.645833333336)</f>
        <v>40955.64583</v>
      </c>
      <c r="B1849" s="2">
        <f>IFERROR(__xludf.DUMMYFUNCTION("""COMPUTED_VALUE"""),619.0)</f>
        <v>619</v>
      </c>
      <c r="C1849" s="2">
        <f>IFERROR(__xludf.DUMMYFUNCTION("""COMPUTED_VALUE"""),621.0)</f>
        <v>621</v>
      </c>
      <c r="D1849" s="2">
        <f>IFERROR(__xludf.DUMMYFUNCTION("""COMPUTED_VALUE"""),609.0)</f>
        <v>609</v>
      </c>
      <c r="E1849" s="2">
        <f>IFERROR(__xludf.DUMMYFUNCTION("""COMPUTED_VALUE"""),612.67)</f>
        <v>612.67</v>
      </c>
      <c r="F1849" s="2">
        <f>IFERROR(__xludf.DUMMYFUNCTION("""COMPUTED_VALUE"""),943330.0)</f>
        <v>943330</v>
      </c>
    </row>
    <row r="1850">
      <c r="A1850" s="3">
        <f>IFERROR(__xludf.DUMMYFUNCTION("""COMPUTED_VALUE"""),40956.645833333336)</f>
        <v>40956.64583</v>
      </c>
      <c r="B1850" s="2">
        <f>IFERROR(__xludf.DUMMYFUNCTION("""COMPUTED_VALUE"""),617.42)</f>
        <v>617.42</v>
      </c>
      <c r="C1850" s="2">
        <f>IFERROR(__xludf.DUMMYFUNCTION("""COMPUTED_VALUE"""),627.0)</f>
        <v>627</v>
      </c>
      <c r="D1850" s="2">
        <f>IFERROR(__xludf.DUMMYFUNCTION("""COMPUTED_VALUE"""),610.5)</f>
        <v>610.5</v>
      </c>
      <c r="E1850" s="2">
        <f>IFERROR(__xludf.DUMMYFUNCTION("""COMPUTED_VALUE"""),614.38)</f>
        <v>614.38</v>
      </c>
      <c r="F1850" s="2">
        <f>IFERROR(__xludf.DUMMYFUNCTION("""COMPUTED_VALUE"""),2048284.0)</f>
        <v>2048284</v>
      </c>
    </row>
    <row r="1851">
      <c r="A1851" s="3">
        <f>IFERROR(__xludf.DUMMYFUNCTION("""COMPUTED_VALUE"""),40960.645833333336)</f>
        <v>40960.64583</v>
      </c>
      <c r="B1851" s="2">
        <f>IFERROR(__xludf.DUMMYFUNCTION("""COMPUTED_VALUE"""),611.78)</f>
        <v>611.78</v>
      </c>
      <c r="C1851" s="2">
        <f>IFERROR(__xludf.DUMMYFUNCTION("""COMPUTED_VALUE"""),620.0)</f>
        <v>620</v>
      </c>
      <c r="D1851" s="2">
        <f>IFERROR(__xludf.DUMMYFUNCTION("""COMPUTED_VALUE"""),602.38)</f>
        <v>602.38</v>
      </c>
      <c r="E1851" s="2">
        <f>IFERROR(__xludf.DUMMYFUNCTION("""COMPUTED_VALUE"""),618.53)</f>
        <v>618.53</v>
      </c>
      <c r="F1851" s="2">
        <f>IFERROR(__xludf.DUMMYFUNCTION("""COMPUTED_VALUE"""),1244752.0)</f>
        <v>1244752</v>
      </c>
    </row>
    <row r="1852">
      <c r="A1852" s="3">
        <f>IFERROR(__xludf.DUMMYFUNCTION("""COMPUTED_VALUE"""),40961.645833333336)</f>
        <v>40961.64583</v>
      </c>
      <c r="B1852" s="2">
        <f>IFERROR(__xludf.DUMMYFUNCTION("""COMPUTED_VALUE"""),617.5)</f>
        <v>617.5</v>
      </c>
      <c r="C1852" s="2">
        <f>IFERROR(__xludf.DUMMYFUNCTION("""COMPUTED_VALUE"""),633.42)</f>
        <v>633.42</v>
      </c>
      <c r="D1852" s="2">
        <f>IFERROR(__xludf.DUMMYFUNCTION("""COMPUTED_VALUE"""),614.5)</f>
        <v>614.5</v>
      </c>
      <c r="E1852" s="2">
        <f>IFERROR(__xludf.DUMMYFUNCTION("""COMPUTED_VALUE"""),626.17)</f>
        <v>626.17</v>
      </c>
      <c r="F1852" s="2">
        <f>IFERROR(__xludf.DUMMYFUNCTION("""COMPUTED_VALUE"""),1570913.0)</f>
        <v>1570913</v>
      </c>
    </row>
    <row r="1853">
      <c r="A1853" s="3">
        <f>IFERROR(__xludf.DUMMYFUNCTION("""COMPUTED_VALUE"""),40962.645833333336)</f>
        <v>40962.64583</v>
      </c>
      <c r="B1853" s="2">
        <f>IFERROR(__xludf.DUMMYFUNCTION("""COMPUTED_VALUE"""),624.53)</f>
        <v>624.53</v>
      </c>
      <c r="C1853" s="2">
        <f>IFERROR(__xludf.DUMMYFUNCTION("""COMPUTED_VALUE"""),637.45)</f>
        <v>637.45</v>
      </c>
      <c r="D1853" s="2">
        <f>IFERROR(__xludf.DUMMYFUNCTION("""COMPUTED_VALUE"""),622.0)</f>
        <v>622</v>
      </c>
      <c r="E1853" s="2">
        <f>IFERROR(__xludf.DUMMYFUNCTION("""COMPUTED_VALUE"""),629.9)</f>
        <v>629.9</v>
      </c>
      <c r="F1853" s="2">
        <f>IFERROR(__xludf.DUMMYFUNCTION("""COMPUTED_VALUE"""),2043440.0)</f>
        <v>2043440</v>
      </c>
    </row>
    <row r="1854">
      <c r="A1854" s="3">
        <f>IFERROR(__xludf.DUMMYFUNCTION("""COMPUTED_VALUE"""),40963.645833333336)</f>
        <v>40963.64583</v>
      </c>
      <c r="B1854" s="2">
        <f>IFERROR(__xludf.DUMMYFUNCTION("""COMPUTED_VALUE"""),629.5)</f>
        <v>629.5</v>
      </c>
      <c r="C1854" s="2">
        <f>IFERROR(__xludf.DUMMYFUNCTION("""COMPUTED_VALUE"""),640.42)</f>
        <v>640.42</v>
      </c>
      <c r="D1854" s="2">
        <f>IFERROR(__xludf.DUMMYFUNCTION("""COMPUTED_VALUE"""),628.63)</f>
        <v>628.63</v>
      </c>
      <c r="E1854" s="2">
        <f>IFERROR(__xludf.DUMMYFUNCTION("""COMPUTED_VALUE"""),635.0)</f>
        <v>635</v>
      </c>
      <c r="F1854" s="2">
        <f>IFERROR(__xludf.DUMMYFUNCTION("""COMPUTED_VALUE"""),1173200.0)</f>
        <v>1173200</v>
      </c>
    </row>
    <row r="1855">
      <c r="A1855" s="3">
        <f>IFERROR(__xludf.DUMMYFUNCTION("""COMPUTED_VALUE"""),40966.645833333336)</f>
        <v>40966.64583</v>
      </c>
      <c r="B1855" s="2">
        <f>IFERROR(__xludf.DUMMYFUNCTION("""COMPUTED_VALUE"""),639.5)</f>
        <v>639.5</v>
      </c>
      <c r="C1855" s="2">
        <f>IFERROR(__xludf.DUMMYFUNCTION("""COMPUTED_VALUE"""),639.98)</f>
        <v>639.98</v>
      </c>
      <c r="D1855" s="2">
        <f>IFERROR(__xludf.DUMMYFUNCTION("""COMPUTED_VALUE"""),622.8)</f>
        <v>622.8</v>
      </c>
      <c r="E1855" s="2">
        <f>IFERROR(__xludf.DUMMYFUNCTION("""COMPUTED_VALUE"""),626.03)</f>
        <v>626.03</v>
      </c>
      <c r="F1855" s="2">
        <f>IFERROR(__xludf.DUMMYFUNCTION("""COMPUTED_VALUE"""),930685.0)</f>
        <v>930685</v>
      </c>
    </row>
    <row r="1856">
      <c r="A1856" s="3">
        <f>IFERROR(__xludf.DUMMYFUNCTION("""COMPUTED_VALUE"""),40967.645833333336)</f>
        <v>40967.64583</v>
      </c>
      <c r="B1856" s="2">
        <f>IFERROR(__xludf.DUMMYFUNCTION("""COMPUTED_VALUE"""),627.63)</f>
        <v>627.63</v>
      </c>
      <c r="C1856" s="2">
        <f>IFERROR(__xludf.DUMMYFUNCTION("""COMPUTED_VALUE"""),630.2)</f>
        <v>630.2</v>
      </c>
      <c r="D1856" s="2">
        <f>IFERROR(__xludf.DUMMYFUNCTION("""COMPUTED_VALUE"""),609.55)</f>
        <v>609.55</v>
      </c>
      <c r="E1856" s="2">
        <f>IFERROR(__xludf.DUMMYFUNCTION("""COMPUTED_VALUE"""),613.28)</f>
        <v>613.28</v>
      </c>
      <c r="F1856" s="2">
        <f>IFERROR(__xludf.DUMMYFUNCTION("""COMPUTED_VALUE"""),1986745.0)</f>
        <v>1986745</v>
      </c>
    </row>
    <row r="1857">
      <c r="A1857" s="3">
        <f>IFERROR(__xludf.DUMMYFUNCTION("""COMPUTED_VALUE"""),40968.645833333336)</f>
        <v>40968.64583</v>
      </c>
      <c r="B1857" s="2">
        <f>IFERROR(__xludf.DUMMYFUNCTION("""COMPUTED_VALUE"""),620.0)</f>
        <v>620</v>
      </c>
      <c r="C1857" s="2">
        <f>IFERROR(__xludf.DUMMYFUNCTION("""COMPUTED_VALUE"""),620.0)</f>
        <v>620</v>
      </c>
      <c r="D1857" s="2">
        <f>IFERROR(__xludf.DUMMYFUNCTION("""COMPUTED_VALUE"""),606.13)</f>
        <v>606.13</v>
      </c>
      <c r="E1857" s="2">
        <f>IFERROR(__xludf.DUMMYFUNCTION("""COMPUTED_VALUE"""),610.98)</f>
        <v>610.98</v>
      </c>
      <c r="F1857" s="2">
        <f>IFERROR(__xludf.DUMMYFUNCTION("""COMPUTED_VALUE"""),1530108.0)</f>
        <v>1530108</v>
      </c>
    </row>
    <row r="1858">
      <c r="A1858" s="3">
        <f>IFERROR(__xludf.DUMMYFUNCTION("""COMPUTED_VALUE"""),40969.645833333336)</f>
        <v>40969.64583</v>
      </c>
      <c r="B1858" s="2">
        <f>IFERROR(__xludf.DUMMYFUNCTION("""COMPUTED_VALUE"""),611.5)</f>
        <v>611.5</v>
      </c>
      <c r="C1858" s="2">
        <f>IFERROR(__xludf.DUMMYFUNCTION("""COMPUTED_VALUE"""),613.48)</f>
        <v>613.48</v>
      </c>
      <c r="D1858" s="2">
        <f>IFERROR(__xludf.DUMMYFUNCTION("""COMPUTED_VALUE"""),605.03)</f>
        <v>605.03</v>
      </c>
      <c r="E1858" s="2">
        <f>IFERROR(__xludf.DUMMYFUNCTION("""COMPUTED_VALUE"""),609.8)</f>
        <v>609.8</v>
      </c>
      <c r="F1858" s="2">
        <f>IFERROR(__xludf.DUMMYFUNCTION("""COMPUTED_VALUE"""),784297.0)</f>
        <v>784297</v>
      </c>
    </row>
    <row r="1859">
      <c r="A1859" s="3">
        <f>IFERROR(__xludf.DUMMYFUNCTION("""COMPUTED_VALUE"""),40970.645833333336)</f>
        <v>40970.64583</v>
      </c>
      <c r="B1859" s="2">
        <f>IFERROR(__xludf.DUMMYFUNCTION("""COMPUTED_VALUE"""),613.0)</f>
        <v>613</v>
      </c>
      <c r="C1859" s="2">
        <f>IFERROR(__xludf.DUMMYFUNCTION("""COMPUTED_VALUE"""),613.5)</f>
        <v>613.5</v>
      </c>
      <c r="D1859" s="2">
        <f>IFERROR(__xludf.DUMMYFUNCTION("""COMPUTED_VALUE"""),603.5)</f>
        <v>603.5</v>
      </c>
      <c r="E1859" s="2">
        <f>IFERROR(__xludf.DUMMYFUNCTION("""COMPUTED_VALUE"""),608.63)</f>
        <v>608.63</v>
      </c>
      <c r="F1859" s="2">
        <f>IFERROR(__xludf.DUMMYFUNCTION("""COMPUTED_VALUE"""),1154616.0)</f>
        <v>1154616</v>
      </c>
    </row>
    <row r="1860">
      <c r="A1860" s="3">
        <f>IFERROR(__xludf.DUMMYFUNCTION("""COMPUTED_VALUE"""),40973.645833333336)</f>
        <v>40973.64583</v>
      </c>
      <c r="B1860" s="2">
        <f>IFERROR(__xludf.DUMMYFUNCTION("""COMPUTED_VALUE"""),607.0)</f>
        <v>607</v>
      </c>
      <c r="C1860" s="2">
        <f>IFERROR(__xludf.DUMMYFUNCTION("""COMPUTED_VALUE"""),611.23)</f>
        <v>611.23</v>
      </c>
      <c r="D1860" s="2">
        <f>IFERROR(__xludf.DUMMYFUNCTION("""COMPUTED_VALUE"""),600.5)</f>
        <v>600.5</v>
      </c>
      <c r="E1860" s="2">
        <f>IFERROR(__xludf.DUMMYFUNCTION("""COMPUTED_VALUE"""),603.65)</f>
        <v>603.65</v>
      </c>
      <c r="F1860" s="2">
        <f>IFERROR(__xludf.DUMMYFUNCTION("""COMPUTED_VALUE"""),770439.0)</f>
        <v>770439</v>
      </c>
    </row>
    <row r="1861">
      <c r="A1861" s="3">
        <f>IFERROR(__xludf.DUMMYFUNCTION("""COMPUTED_VALUE"""),40974.645833333336)</f>
        <v>40974.64583</v>
      </c>
      <c r="B1861" s="2">
        <f>IFERROR(__xludf.DUMMYFUNCTION("""COMPUTED_VALUE"""),601.5)</f>
        <v>601.5</v>
      </c>
      <c r="C1861" s="2">
        <f>IFERROR(__xludf.DUMMYFUNCTION("""COMPUTED_VALUE"""),610.65)</f>
        <v>610.65</v>
      </c>
      <c r="D1861" s="2">
        <f>IFERROR(__xludf.DUMMYFUNCTION("""COMPUTED_VALUE"""),594.5)</f>
        <v>594.5</v>
      </c>
      <c r="E1861" s="2">
        <f>IFERROR(__xludf.DUMMYFUNCTION("""COMPUTED_VALUE"""),601.0)</f>
        <v>601</v>
      </c>
      <c r="F1861" s="2">
        <f>IFERROR(__xludf.DUMMYFUNCTION("""COMPUTED_VALUE"""),858861.0)</f>
        <v>858861</v>
      </c>
    </row>
    <row r="1862">
      <c r="A1862" s="3">
        <f>IFERROR(__xludf.DUMMYFUNCTION("""COMPUTED_VALUE"""),40975.645833333336)</f>
        <v>40975.64583</v>
      </c>
      <c r="B1862" s="2">
        <f>IFERROR(__xludf.DUMMYFUNCTION("""COMPUTED_VALUE"""),597.5)</f>
        <v>597.5</v>
      </c>
      <c r="C1862" s="2">
        <f>IFERROR(__xludf.DUMMYFUNCTION("""COMPUTED_VALUE"""),603.0)</f>
        <v>603</v>
      </c>
      <c r="D1862" s="2">
        <f>IFERROR(__xludf.DUMMYFUNCTION("""COMPUTED_VALUE"""),593.28)</f>
        <v>593.28</v>
      </c>
      <c r="E1862" s="2">
        <f>IFERROR(__xludf.DUMMYFUNCTION("""COMPUTED_VALUE"""),596.42)</f>
        <v>596.42</v>
      </c>
      <c r="F1862" s="2">
        <f>IFERROR(__xludf.DUMMYFUNCTION("""COMPUTED_VALUE"""),972833.0)</f>
        <v>972833</v>
      </c>
    </row>
    <row r="1863">
      <c r="A1863" s="3">
        <f>IFERROR(__xludf.DUMMYFUNCTION("""COMPUTED_VALUE"""),40977.645833333336)</f>
        <v>40977.64583</v>
      </c>
      <c r="B1863" s="2">
        <f>IFERROR(__xludf.DUMMYFUNCTION("""COMPUTED_VALUE"""),613.5)</f>
        <v>613.5</v>
      </c>
      <c r="C1863" s="2">
        <f>IFERROR(__xludf.DUMMYFUNCTION("""COMPUTED_VALUE"""),613.5)</f>
        <v>613.5</v>
      </c>
      <c r="D1863" s="2">
        <f>IFERROR(__xludf.DUMMYFUNCTION("""COMPUTED_VALUE"""),601.48)</f>
        <v>601.48</v>
      </c>
      <c r="E1863" s="2">
        <f>IFERROR(__xludf.DUMMYFUNCTION("""COMPUTED_VALUE"""),604.28)</f>
        <v>604.28</v>
      </c>
      <c r="F1863" s="2">
        <f>IFERROR(__xludf.DUMMYFUNCTION("""COMPUTED_VALUE"""),1112879.0)</f>
        <v>1112879</v>
      </c>
    </row>
    <row r="1864">
      <c r="A1864" s="3">
        <f>IFERROR(__xludf.DUMMYFUNCTION("""COMPUTED_VALUE"""),40980.645833333336)</f>
        <v>40980.64583</v>
      </c>
      <c r="B1864" s="2">
        <f>IFERROR(__xludf.DUMMYFUNCTION("""COMPUTED_VALUE"""),607.95)</f>
        <v>607.95</v>
      </c>
      <c r="C1864" s="2">
        <f>IFERROR(__xludf.DUMMYFUNCTION("""COMPUTED_VALUE"""),609.42)</f>
        <v>609.42</v>
      </c>
      <c r="D1864" s="2">
        <f>IFERROR(__xludf.DUMMYFUNCTION("""COMPUTED_VALUE"""),591.6)</f>
        <v>591.6</v>
      </c>
      <c r="E1864" s="2">
        <f>IFERROR(__xludf.DUMMYFUNCTION("""COMPUTED_VALUE"""),594.53)</f>
        <v>594.53</v>
      </c>
      <c r="F1864" s="2">
        <f>IFERROR(__xludf.DUMMYFUNCTION("""COMPUTED_VALUE"""),1120139.0)</f>
        <v>1120139</v>
      </c>
    </row>
    <row r="1865">
      <c r="A1865" s="3">
        <f>IFERROR(__xludf.DUMMYFUNCTION("""COMPUTED_VALUE"""),40981.645833333336)</f>
        <v>40981.64583</v>
      </c>
      <c r="B1865" s="2">
        <f>IFERROR(__xludf.DUMMYFUNCTION("""COMPUTED_VALUE"""),595.0)</f>
        <v>595</v>
      </c>
      <c r="C1865" s="2">
        <f>IFERROR(__xludf.DUMMYFUNCTION("""COMPUTED_VALUE"""),607.48)</f>
        <v>607.48</v>
      </c>
      <c r="D1865" s="2">
        <f>IFERROR(__xludf.DUMMYFUNCTION("""COMPUTED_VALUE"""),595.0)</f>
        <v>595</v>
      </c>
      <c r="E1865" s="2">
        <f>IFERROR(__xludf.DUMMYFUNCTION("""COMPUTED_VALUE"""),598.5)</f>
        <v>598.5</v>
      </c>
      <c r="F1865" s="2">
        <f>IFERROR(__xludf.DUMMYFUNCTION("""COMPUTED_VALUE"""),1246232.0)</f>
        <v>1246232</v>
      </c>
    </row>
    <row r="1866">
      <c r="A1866" s="3">
        <f>IFERROR(__xludf.DUMMYFUNCTION("""COMPUTED_VALUE"""),40982.645833333336)</f>
        <v>40982.64583</v>
      </c>
      <c r="B1866" s="2">
        <f>IFERROR(__xludf.DUMMYFUNCTION("""COMPUTED_VALUE"""),605.05)</f>
        <v>605.05</v>
      </c>
      <c r="C1866" s="2">
        <f>IFERROR(__xludf.DUMMYFUNCTION("""COMPUTED_VALUE"""),607.0)</f>
        <v>607</v>
      </c>
      <c r="D1866" s="2">
        <f>IFERROR(__xludf.DUMMYFUNCTION("""COMPUTED_VALUE"""),575.5)</f>
        <v>575.5</v>
      </c>
      <c r="E1866" s="2">
        <f>IFERROR(__xludf.DUMMYFUNCTION("""COMPUTED_VALUE"""),577.28)</f>
        <v>577.28</v>
      </c>
      <c r="F1866" s="2">
        <f>IFERROR(__xludf.DUMMYFUNCTION("""COMPUTED_VALUE"""),4032657.0)</f>
        <v>4032657</v>
      </c>
    </row>
    <row r="1867">
      <c r="A1867" s="3">
        <f>IFERROR(__xludf.DUMMYFUNCTION("""COMPUTED_VALUE"""),40983.645833333336)</f>
        <v>40983.64583</v>
      </c>
      <c r="B1867" s="2">
        <f>IFERROR(__xludf.DUMMYFUNCTION("""COMPUTED_VALUE"""),579.5)</f>
        <v>579.5</v>
      </c>
      <c r="C1867" s="2">
        <f>IFERROR(__xludf.DUMMYFUNCTION("""COMPUTED_VALUE"""),585.48)</f>
        <v>585.48</v>
      </c>
      <c r="D1867" s="2">
        <f>IFERROR(__xludf.DUMMYFUNCTION("""COMPUTED_VALUE"""),572.5)</f>
        <v>572.5</v>
      </c>
      <c r="E1867" s="2">
        <f>IFERROR(__xludf.DUMMYFUNCTION("""COMPUTED_VALUE"""),581.85)</f>
        <v>581.85</v>
      </c>
      <c r="F1867" s="2">
        <f>IFERROR(__xludf.DUMMYFUNCTION("""COMPUTED_VALUE"""),2142118.0)</f>
        <v>2142118</v>
      </c>
    </row>
    <row r="1868">
      <c r="A1868" s="3">
        <f>IFERROR(__xludf.DUMMYFUNCTION("""COMPUTED_VALUE"""),40984.645833333336)</f>
        <v>40984.64583</v>
      </c>
      <c r="B1868" s="2">
        <f>IFERROR(__xludf.DUMMYFUNCTION("""COMPUTED_VALUE"""),584.98)</f>
        <v>584.98</v>
      </c>
      <c r="C1868" s="2">
        <f>IFERROR(__xludf.DUMMYFUNCTION("""COMPUTED_VALUE"""),590.0)</f>
        <v>590</v>
      </c>
      <c r="D1868" s="2">
        <f>IFERROR(__xludf.DUMMYFUNCTION("""COMPUTED_VALUE"""),579.0)</f>
        <v>579</v>
      </c>
      <c r="E1868" s="2">
        <f>IFERROR(__xludf.DUMMYFUNCTION("""COMPUTED_VALUE"""),584.78)</f>
        <v>584.78</v>
      </c>
      <c r="F1868" s="2">
        <f>IFERROR(__xludf.DUMMYFUNCTION("""COMPUTED_VALUE"""),1027362.0)</f>
        <v>1027362</v>
      </c>
    </row>
    <row r="1869">
      <c r="A1869" s="3">
        <f>IFERROR(__xludf.DUMMYFUNCTION("""COMPUTED_VALUE"""),40987.645833333336)</f>
        <v>40987.64583</v>
      </c>
      <c r="B1869" s="2">
        <f>IFERROR(__xludf.DUMMYFUNCTION("""COMPUTED_VALUE"""),584.78)</f>
        <v>584.78</v>
      </c>
      <c r="C1869" s="2">
        <f>IFERROR(__xludf.DUMMYFUNCTION("""COMPUTED_VALUE"""),584.78)</f>
        <v>584.78</v>
      </c>
      <c r="D1869" s="2">
        <f>IFERROR(__xludf.DUMMYFUNCTION("""COMPUTED_VALUE"""),555.9)</f>
        <v>555.9</v>
      </c>
      <c r="E1869" s="2">
        <f>IFERROR(__xludf.DUMMYFUNCTION("""COMPUTED_VALUE"""),561.0)</f>
        <v>561</v>
      </c>
      <c r="F1869" s="2">
        <f>IFERROR(__xludf.DUMMYFUNCTION("""COMPUTED_VALUE"""),2566432.0)</f>
        <v>2566432</v>
      </c>
    </row>
    <row r="1870">
      <c r="A1870" s="3">
        <f>IFERROR(__xludf.DUMMYFUNCTION("""COMPUTED_VALUE"""),40988.645833333336)</f>
        <v>40988.64583</v>
      </c>
      <c r="B1870" s="2">
        <f>IFERROR(__xludf.DUMMYFUNCTION("""COMPUTED_VALUE"""),564.5)</f>
        <v>564.5</v>
      </c>
      <c r="C1870" s="2">
        <f>IFERROR(__xludf.DUMMYFUNCTION("""COMPUTED_VALUE"""),572.5)</f>
        <v>572.5</v>
      </c>
      <c r="D1870" s="2">
        <f>IFERROR(__xludf.DUMMYFUNCTION("""COMPUTED_VALUE"""),560.0)</f>
        <v>560</v>
      </c>
      <c r="E1870" s="2">
        <f>IFERROR(__xludf.DUMMYFUNCTION("""COMPUTED_VALUE"""),567.42)</f>
        <v>567.42</v>
      </c>
      <c r="F1870" s="2">
        <f>IFERROR(__xludf.DUMMYFUNCTION("""COMPUTED_VALUE"""),1841602.0)</f>
        <v>1841602</v>
      </c>
    </row>
    <row r="1871">
      <c r="A1871" s="3">
        <f>IFERROR(__xludf.DUMMYFUNCTION("""COMPUTED_VALUE"""),40989.645833333336)</f>
        <v>40989.64583</v>
      </c>
      <c r="B1871" s="2">
        <f>IFERROR(__xludf.DUMMYFUNCTION("""COMPUTED_VALUE"""),568.48)</f>
        <v>568.48</v>
      </c>
      <c r="C1871" s="2">
        <f>IFERROR(__xludf.DUMMYFUNCTION("""COMPUTED_VALUE"""),589.9)</f>
        <v>589.9</v>
      </c>
      <c r="D1871" s="2">
        <f>IFERROR(__xludf.DUMMYFUNCTION("""COMPUTED_VALUE"""),568.28)</f>
        <v>568.28</v>
      </c>
      <c r="E1871" s="2">
        <f>IFERROR(__xludf.DUMMYFUNCTION("""COMPUTED_VALUE"""),587.88)</f>
        <v>587.88</v>
      </c>
      <c r="F1871" s="2">
        <f>IFERROR(__xludf.DUMMYFUNCTION("""COMPUTED_VALUE"""),2276621.0)</f>
        <v>2276621</v>
      </c>
    </row>
    <row r="1872">
      <c r="A1872" s="3">
        <f>IFERROR(__xludf.DUMMYFUNCTION("""COMPUTED_VALUE"""),40990.645833333336)</f>
        <v>40990.64583</v>
      </c>
      <c r="B1872" s="2">
        <f>IFERROR(__xludf.DUMMYFUNCTION("""COMPUTED_VALUE"""),587.35)</f>
        <v>587.35</v>
      </c>
      <c r="C1872" s="2">
        <f>IFERROR(__xludf.DUMMYFUNCTION("""COMPUTED_VALUE"""),594.85)</f>
        <v>594.85</v>
      </c>
      <c r="D1872" s="2">
        <f>IFERROR(__xludf.DUMMYFUNCTION("""COMPUTED_VALUE"""),580.0)</f>
        <v>580</v>
      </c>
      <c r="E1872" s="2">
        <f>IFERROR(__xludf.DUMMYFUNCTION("""COMPUTED_VALUE"""),583.88)</f>
        <v>583.88</v>
      </c>
      <c r="F1872" s="2">
        <f>IFERROR(__xludf.DUMMYFUNCTION("""COMPUTED_VALUE"""),1710847.0)</f>
        <v>1710847</v>
      </c>
    </row>
    <row r="1873">
      <c r="A1873" s="3">
        <f>IFERROR(__xludf.DUMMYFUNCTION("""COMPUTED_VALUE"""),40991.645833333336)</f>
        <v>40991.64583</v>
      </c>
      <c r="B1873" s="2">
        <f>IFERROR(__xludf.DUMMYFUNCTION("""COMPUTED_VALUE"""),587.5)</f>
        <v>587.5</v>
      </c>
      <c r="C1873" s="2">
        <f>IFERROR(__xludf.DUMMYFUNCTION("""COMPUTED_VALUE"""),595.95)</f>
        <v>595.95</v>
      </c>
      <c r="D1873" s="2">
        <f>IFERROR(__xludf.DUMMYFUNCTION("""COMPUTED_VALUE"""),582.4)</f>
        <v>582.4</v>
      </c>
      <c r="E1873" s="2">
        <f>IFERROR(__xludf.DUMMYFUNCTION("""COMPUTED_VALUE"""),592.33)</f>
        <v>592.33</v>
      </c>
      <c r="F1873" s="2">
        <f>IFERROR(__xludf.DUMMYFUNCTION("""COMPUTED_VALUE"""),1579218.0)</f>
        <v>1579218</v>
      </c>
    </row>
    <row r="1874">
      <c r="A1874" s="3">
        <f>IFERROR(__xludf.DUMMYFUNCTION("""COMPUTED_VALUE"""),40994.645833333336)</f>
        <v>40994.64583</v>
      </c>
      <c r="B1874" s="2">
        <f>IFERROR(__xludf.DUMMYFUNCTION("""COMPUTED_VALUE"""),588.5)</f>
        <v>588.5</v>
      </c>
      <c r="C1874" s="2">
        <f>IFERROR(__xludf.DUMMYFUNCTION("""COMPUTED_VALUE"""),592.5)</f>
        <v>592.5</v>
      </c>
      <c r="D1874" s="2">
        <f>IFERROR(__xludf.DUMMYFUNCTION("""COMPUTED_VALUE"""),577.0)</f>
        <v>577</v>
      </c>
      <c r="E1874" s="2">
        <f>IFERROR(__xludf.DUMMYFUNCTION("""COMPUTED_VALUE"""),580.8)</f>
        <v>580.8</v>
      </c>
      <c r="F1874" s="2">
        <f>IFERROR(__xludf.DUMMYFUNCTION("""COMPUTED_VALUE"""),1526692.0)</f>
        <v>1526692</v>
      </c>
    </row>
    <row r="1875">
      <c r="A1875" s="3">
        <f>IFERROR(__xludf.DUMMYFUNCTION("""COMPUTED_VALUE"""),40995.645833333336)</f>
        <v>40995.64583</v>
      </c>
      <c r="B1875" s="2">
        <f>IFERROR(__xludf.DUMMYFUNCTION("""COMPUTED_VALUE"""),586.5)</f>
        <v>586.5</v>
      </c>
      <c r="C1875" s="2">
        <f>IFERROR(__xludf.DUMMYFUNCTION("""COMPUTED_VALUE"""),589.83)</f>
        <v>589.83</v>
      </c>
      <c r="D1875" s="2">
        <f>IFERROR(__xludf.DUMMYFUNCTION("""COMPUTED_VALUE"""),575.98)</f>
        <v>575.98</v>
      </c>
      <c r="E1875" s="2">
        <f>IFERROR(__xludf.DUMMYFUNCTION("""COMPUTED_VALUE"""),587.38)</f>
        <v>587.38</v>
      </c>
      <c r="F1875" s="2">
        <f>IFERROR(__xludf.DUMMYFUNCTION("""COMPUTED_VALUE"""),794123.0)</f>
        <v>794123</v>
      </c>
    </row>
    <row r="1876">
      <c r="A1876" s="3">
        <f>IFERROR(__xludf.DUMMYFUNCTION("""COMPUTED_VALUE"""),40996.645833333336)</f>
        <v>40996.64583</v>
      </c>
      <c r="B1876" s="2">
        <f>IFERROR(__xludf.DUMMYFUNCTION("""COMPUTED_VALUE"""),587.0)</f>
        <v>587</v>
      </c>
      <c r="C1876" s="2">
        <f>IFERROR(__xludf.DUMMYFUNCTION("""COMPUTED_VALUE"""),587.33)</f>
        <v>587.33</v>
      </c>
      <c r="D1876" s="2">
        <f>IFERROR(__xludf.DUMMYFUNCTION("""COMPUTED_VALUE"""),577.23)</f>
        <v>577.23</v>
      </c>
      <c r="E1876" s="2">
        <f>IFERROR(__xludf.DUMMYFUNCTION("""COMPUTED_VALUE"""),582.55)</f>
        <v>582.55</v>
      </c>
      <c r="F1876" s="2">
        <f>IFERROR(__xludf.DUMMYFUNCTION("""COMPUTED_VALUE"""),1025548.0)</f>
        <v>1025548</v>
      </c>
    </row>
    <row r="1877">
      <c r="A1877" s="3">
        <f>IFERROR(__xludf.DUMMYFUNCTION("""COMPUTED_VALUE"""),40997.645833333336)</f>
        <v>40997.64583</v>
      </c>
      <c r="B1877" s="2">
        <f>IFERROR(__xludf.DUMMYFUNCTION("""COMPUTED_VALUE"""),575.5)</f>
        <v>575.5</v>
      </c>
      <c r="C1877" s="2">
        <f>IFERROR(__xludf.DUMMYFUNCTION("""COMPUTED_VALUE"""),582.0)</f>
        <v>582</v>
      </c>
      <c r="D1877" s="2">
        <f>IFERROR(__xludf.DUMMYFUNCTION("""COMPUTED_VALUE"""),566.2)</f>
        <v>566.2</v>
      </c>
      <c r="E1877" s="2">
        <f>IFERROR(__xludf.DUMMYFUNCTION("""COMPUTED_VALUE"""),570.6)</f>
        <v>570.6</v>
      </c>
      <c r="F1877" s="2">
        <f>IFERROR(__xludf.DUMMYFUNCTION("""COMPUTED_VALUE"""),1340607.0)</f>
        <v>1340607</v>
      </c>
    </row>
    <row r="1878">
      <c r="A1878" s="3">
        <f>IFERROR(__xludf.DUMMYFUNCTION("""COMPUTED_VALUE"""),40998.645833333336)</f>
        <v>40998.64583</v>
      </c>
      <c r="B1878" s="2">
        <f>IFERROR(__xludf.DUMMYFUNCTION("""COMPUTED_VALUE"""),572.75)</f>
        <v>572.75</v>
      </c>
      <c r="C1878" s="2">
        <f>IFERROR(__xludf.DUMMYFUNCTION("""COMPUTED_VALUE"""),587.88)</f>
        <v>587.88</v>
      </c>
      <c r="D1878" s="2">
        <f>IFERROR(__xludf.DUMMYFUNCTION("""COMPUTED_VALUE"""),572.75)</f>
        <v>572.75</v>
      </c>
      <c r="E1878" s="2">
        <f>IFERROR(__xludf.DUMMYFUNCTION("""COMPUTED_VALUE"""),584.4)</f>
        <v>584.4</v>
      </c>
      <c r="F1878" s="2">
        <f>IFERROR(__xludf.DUMMYFUNCTION("""COMPUTED_VALUE"""),1271671.0)</f>
        <v>1271671</v>
      </c>
    </row>
    <row r="1879">
      <c r="A1879" s="3">
        <f>IFERROR(__xludf.DUMMYFUNCTION("""COMPUTED_VALUE"""),41001.645833333336)</f>
        <v>41001.64583</v>
      </c>
      <c r="B1879" s="2">
        <f>IFERROR(__xludf.DUMMYFUNCTION("""COMPUTED_VALUE"""),585.0)</f>
        <v>585</v>
      </c>
      <c r="C1879" s="2">
        <f>IFERROR(__xludf.DUMMYFUNCTION("""COMPUTED_VALUE"""),599.5)</f>
        <v>599.5</v>
      </c>
      <c r="D1879" s="2">
        <f>IFERROR(__xludf.DUMMYFUNCTION("""COMPUTED_VALUE"""),585.0)</f>
        <v>585</v>
      </c>
      <c r="E1879" s="2">
        <f>IFERROR(__xludf.DUMMYFUNCTION("""COMPUTED_VALUE"""),597.13)</f>
        <v>597.13</v>
      </c>
      <c r="F1879" s="2">
        <f>IFERROR(__xludf.DUMMYFUNCTION("""COMPUTED_VALUE"""),1163494.0)</f>
        <v>1163494</v>
      </c>
    </row>
    <row r="1880">
      <c r="A1880" s="3">
        <f>IFERROR(__xludf.DUMMYFUNCTION("""COMPUTED_VALUE"""),41002.645833333336)</f>
        <v>41002.64583</v>
      </c>
      <c r="B1880" s="2">
        <f>IFERROR(__xludf.DUMMYFUNCTION("""COMPUTED_VALUE"""),600.1)</f>
        <v>600.1</v>
      </c>
      <c r="C1880" s="2">
        <f>IFERROR(__xludf.DUMMYFUNCTION("""COMPUTED_VALUE"""),603.67)</f>
        <v>603.67</v>
      </c>
      <c r="D1880" s="2">
        <f>IFERROR(__xludf.DUMMYFUNCTION("""COMPUTED_VALUE"""),587.65)</f>
        <v>587.65</v>
      </c>
      <c r="E1880" s="2">
        <f>IFERROR(__xludf.DUMMYFUNCTION("""COMPUTED_VALUE"""),589.0)</f>
        <v>589</v>
      </c>
      <c r="F1880" s="2">
        <f>IFERROR(__xludf.DUMMYFUNCTION("""COMPUTED_VALUE"""),1134577.0)</f>
        <v>1134577</v>
      </c>
    </row>
    <row r="1881">
      <c r="A1881" s="3">
        <f>IFERROR(__xludf.DUMMYFUNCTION("""COMPUTED_VALUE"""),41003.645833333336)</f>
        <v>41003.64583</v>
      </c>
      <c r="B1881" s="2">
        <f>IFERROR(__xludf.DUMMYFUNCTION("""COMPUTED_VALUE"""),584.5)</f>
        <v>584.5</v>
      </c>
      <c r="C1881" s="2">
        <f>IFERROR(__xludf.DUMMYFUNCTION("""COMPUTED_VALUE"""),594.9)</f>
        <v>594.9</v>
      </c>
      <c r="D1881" s="2">
        <f>IFERROR(__xludf.DUMMYFUNCTION("""COMPUTED_VALUE"""),583.5)</f>
        <v>583.5</v>
      </c>
      <c r="E1881" s="2">
        <f>IFERROR(__xludf.DUMMYFUNCTION("""COMPUTED_VALUE"""),589.23)</f>
        <v>589.23</v>
      </c>
      <c r="F1881" s="2">
        <f>IFERROR(__xludf.DUMMYFUNCTION("""COMPUTED_VALUE"""),1082527.0)</f>
        <v>1082527</v>
      </c>
    </row>
    <row r="1882">
      <c r="A1882" s="3">
        <f>IFERROR(__xludf.DUMMYFUNCTION("""COMPUTED_VALUE"""),41008.645833333336)</f>
        <v>41008.64583</v>
      </c>
      <c r="B1882" s="2">
        <f>IFERROR(__xludf.DUMMYFUNCTION("""COMPUTED_VALUE"""),585.0)</f>
        <v>585</v>
      </c>
      <c r="C1882" s="2">
        <f>IFERROR(__xludf.DUMMYFUNCTION("""COMPUTED_VALUE"""),594.0)</f>
        <v>594</v>
      </c>
      <c r="D1882" s="2">
        <f>IFERROR(__xludf.DUMMYFUNCTION("""COMPUTED_VALUE"""),579.13)</f>
        <v>579.13</v>
      </c>
      <c r="E1882" s="2">
        <f>IFERROR(__xludf.DUMMYFUNCTION("""COMPUTED_VALUE"""),582.05)</f>
        <v>582.05</v>
      </c>
      <c r="F1882" s="2">
        <f>IFERROR(__xludf.DUMMYFUNCTION("""COMPUTED_VALUE"""),788314.0)</f>
        <v>788314</v>
      </c>
    </row>
    <row r="1883">
      <c r="A1883" s="3">
        <f>IFERROR(__xludf.DUMMYFUNCTION("""COMPUTED_VALUE"""),41009.645833333336)</f>
        <v>41009.64583</v>
      </c>
      <c r="B1883" s="2">
        <f>IFERROR(__xludf.DUMMYFUNCTION("""COMPUTED_VALUE"""),583.15)</f>
        <v>583.15</v>
      </c>
      <c r="C1883" s="2">
        <f>IFERROR(__xludf.DUMMYFUNCTION("""COMPUTED_VALUE"""),587.83)</f>
        <v>587.83</v>
      </c>
      <c r="D1883" s="2">
        <f>IFERROR(__xludf.DUMMYFUNCTION("""COMPUTED_VALUE"""),576.13)</f>
        <v>576.13</v>
      </c>
      <c r="E1883" s="2">
        <f>IFERROR(__xludf.DUMMYFUNCTION("""COMPUTED_VALUE"""),578.1)</f>
        <v>578.1</v>
      </c>
      <c r="F1883" s="2">
        <f>IFERROR(__xludf.DUMMYFUNCTION("""COMPUTED_VALUE"""),766496.0)</f>
        <v>766496</v>
      </c>
    </row>
    <row r="1884">
      <c r="A1884" s="3">
        <f>IFERROR(__xludf.DUMMYFUNCTION("""COMPUTED_VALUE"""),41010.645833333336)</f>
        <v>41010.64583</v>
      </c>
      <c r="B1884" s="2">
        <f>IFERROR(__xludf.DUMMYFUNCTION("""COMPUTED_VALUE"""),574.85)</f>
        <v>574.85</v>
      </c>
      <c r="C1884" s="2">
        <f>IFERROR(__xludf.DUMMYFUNCTION("""COMPUTED_VALUE"""),577.5)</f>
        <v>577.5</v>
      </c>
      <c r="D1884" s="2">
        <f>IFERROR(__xludf.DUMMYFUNCTION("""COMPUTED_VALUE"""),567.6)</f>
        <v>567.6</v>
      </c>
      <c r="E1884" s="2">
        <f>IFERROR(__xludf.DUMMYFUNCTION("""COMPUTED_VALUE"""),569.05)</f>
        <v>569.05</v>
      </c>
      <c r="F1884" s="2">
        <f>IFERROR(__xludf.DUMMYFUNCTION("""COMPUTED_VALUE"""),890793.0)</f>
        <v>890793</v>
      </c>
    </row>
    <row r="1885">
      <c r="A1885" s="3">
        <f>IFERROR(__xludf.DUMMYFUNCTION("""COMPUTED_VALUE"""),41011.645833333336)</f>
        <v>41011.64583</v>
      </c>
      <c r="B1885" s="2">
        <f>IFERROR(__xludf.DUMMYFUNCTION("""COMPUTED_VALUE"""),570.13)</f>
        <v>570.13</v>
      </c>
      <c r="C1885" s="2">
        <f>IFERROR(__xludf.DUMMYFUNCTION("""COMPUTED_VALUE"""),574.0)</f>
        <v>574</v>
      </c>
      <c r="D1885" s="2">
        <f>IFERROR(__xludf.DUMMYFUNCTION("""COMPUTED_VALUE"""),564.55)</f>
        <v>564.55</v>
      </c>
      <c r="E1885" s="2">
        <f>IFERROR(__xludf.DUMMYFUNCTION("""COMPUTED_VALUE"""),565.83)</f>
        <v>565.83</v>
      </c>
      <c r="F1885" s="2">
        <f>IFERROR(__xludf.DUMMYFUNCTION("""COMPUTED_VALUE"""),1057343.0)</f>
        <v>1057343</v>
      </c>
    </row>
    <row r="1886">
      <c r="A1886" s="3">
        <f>IFERROR(__xludf.DUMMYFUNCTION("""COMPUTED_VALUE"""),41012.645833333336)</f>
        <v>41012.64583</v>
      </c>
      <c r="B1886" s="2">
        <f>IFERROR(__xludf.DUMMYFUNCTION("""COMPUTED_VALUE"""),545.67)</f>
        <v>545.67</v>
      </c>
      <c r="C1886" s="2">
        <f>IFERROR(__xludf.DUMMYFUNCTION("""COMPUTED_VALUE"""),552.35)</f>
        <v>552.35</v>
      </c>
      <c r="D1886" s="2">
        <f>IFERROR(__xludf.DUMMYFUNCTION("""COMPUTED_VALUE"""),530.63)</f>
        <v>530.63</v>
      </c>
      <c r="E1886" s="2">
        <f>IFERROR(__xludf.DUMMYFUNCTION("""COMPUTED_VALUE"""),534.17)</f>
        <v>534.17</v>
      </c>
      <c r="F1886" s="2">
        <f>IFERROR(__xludf.DUMMYFUNCTION("""COMPUTED_VALUE"""),4497340.0)</f>
        <v>4497340</v>
      </c>
    </row>
    <row r="1887">
      <c r="A1887" s="3">
        <f>IFERROR(__xludf.DUMMYFUNCTION("""COMPUTED_VALUE"""),41015.645833333336)</f>
        <v>41015.64583</v>
      </c>
      <c r="B1887" s="2">
        <f>IFERROR(__xludf.DUMMYFUNCTION("""COMPUTED_VALUE"""),532.63)</f>
        <v>532.63</v>
      </c>
      <c r="C1887" s="2">
        <f>IFERROR(__xludf.DUMMYFUNCTION("""COMPUTED_VALUE"""),537.15)</f>
        <v>537.15</v>
      </c>
      <c r="D1887" s="2">
        <f>IFERROR(__xludf.DUMMYFUNCTION("""COMPUTED_VALUE"""),526.65)</f>
        <v>526.65</v>
      </c>
      <c r="E1887" s="2">
        <f>IFERROR(__xludf.DUMMYFUNCTION("""COMPUTED_VALUE"""),534.88)</f>
        <v>534.88</v>
      </c>
      <c r="F1887" s="2">
        <f>IFERROR(__xludf.DUMMYFUNCTION("""COMPUTED_VALUE"""),2508055.0)</f>
        <v>2508055</v>
      </c>
    </row>
    <row r="1888">
      <c r="A1888" s="3">
        <f>IFERROR(__xludf.DUMMYFUNCTION("""COMPUTED_VALUE"""),41016.645833333336)</f>
        <v>41016.64583</v>
      </c>
      <c r="B1888" s="2">
        <f>IFERROR(__xludf.DUMMYFUNCTION("""COMPUTED_VALUE"""),542.5)</f>
        <v>542.5</v>
      </c>
      <c r="C1888" s="2">
        <f>IFERROR(__xludf.DUMMYFUNCTION("""COMPUTED_VALUE"""),547.48)</f>
        <v>547.48</v>
      </c>
      <c r="D1888" s="2">
        <f>IFERROR(__xludf.DUMMYFUNCTION("""COMPUTED_VALUE"""),536.9)</f>
        <v>536.9</v>
      </c>
      <c r="E1888" s="2">
        <f>IFERROR(__xludf.DUMMYFUNCTION("""COMPUTED_VALUE"""),545.42)</f>
        <v>545.42</v>
      </c>
      <c r="F1888" s="2">
        <f>IFERROR(__xludf.DUMMYFUNCTION("""COMPUTED_VALUE"""),1236832.0)</f>
        <v>1236832</v>
      </c>
    </row>
    <row r="1889">
      <c r="A1889" s="3">
        <f>IFERROR(__xludf.DUMMYFUNCTION("""COMPUTED_VALUE"""),41017.645833333336)</f>
        <v>41017.64583</v>
      </c>
      <c r="B1889" s="2">
        <f>IFERROR(__xludf.DUMMYFUNCTION("""COMPUTED_VALUE"""),550.0)</f>
        <v>550</v>
      </c>
      <c r="C1889" s="2">
        <f>IFERROR(__xludf.DUMMYFUNCTION("""COMPUTED_VALUE"""),557.35)</f>
        <v>557.35</v>
      </c>
      <c r="D1889" s="2">
        <f>IFERROR(__xludf.DUMMYFUNCTION("""COMPUTED_VALUE"""),546.92)</f>
        <v>546.92</v>
      </c>
      <c r="E1889" s="2">
        <f>IFERROR(__xludf.DUMMYFUNCTION("""COMPUTED_VALUE"""),548.78)</f>
        <v>548.78</v>
      </c>
      <c r="F1889" s="2">
        <f>IFERROR(__xludf.DUMMYFUNCTION("""COMPUTED_VALUE"""),1441132.0)</f>
        <v>1441132</v>
      </c>
    </row>
    <row r="1890">
      <c r="A1890" s="3">
        <f>IFERROR(__xludf.DUMMYFUNCTION("""COMPUTED_VALUE"""),41018.645833333336)</f>
        <v>41018.64583</v>
      </c>
      <c r="B1890" s="2">
        <f>IFERROR(__xludf.DUMMYFUNCTION("""COMPUTED_VALUE"""),550.45)</f>
        <v>550.45</v>
      </c>
      <c r="C1890" s="2">
        <f>IFERROR(__xludf.DUMMYFUNCTION("""COMPUTED_VALUE"""),553.4)</f>
        <v>553.4</v>
      </c>
      <c r="D1890" s="2">
        <f>IFERROR(__xludf.DUMMYFUNCTION("""COMPUTED_VALUE"""),545.55)</f>
        <v>545.55</v>
      </c>
      <c r="E1890" s="2">
        <f>IFERROR(__xludf.DUMMYFUNCTION("""COMPUTED_VALUE"""),551.48)</f>
        <v>551.48</v>
      </c>
      <c r="F1890" s="2">
        <f>IFERROR(__xludf.DUMMYFUNCTION("""COMPUTED_VALUE"""),883708.0)</f>
        <v>883708</v>
      </c>
    </row>
    <row r="1891">
      <c r="A1891" s="3">
        <f>IFERROR(__xludf.DUMMYFUNCTION("""COMPUTED_VALUE"""),41019.645833333336)</f>
        <v>41019.64583</v>
      </c>
      <c r="B1891" s="2">
        <f>IFERROR(__xludf.DUMMYFUNCTION("""COMPUTED_VALUE"""),546.63)</f>
        <v>546.63</v>
      </c>
      <c r="C1891" s="2">
        <f>IFERROR(__xludf.DUMMYFUNCTION("""COMPUTED_VALUE"""),553.98)</f>
        <v>553.98</v>
      </c>
      <c r="D1891" s="2">
        <f>IFERROR(__xludf.DUMMYFUNCTION("""COMPUTED_VALUE"""),538.7)</f>
        <v>538.7</v>
      </c>
      <c r="E1891" s="2">
        <f>IFERROR(__xludf.DUMMYFUNCTION("""COMPUTED_VALUE"""),544.23)</f>
        <v>544.23</v>
      </c>
      <c r="F1891" s="2">
        <f>IFERROR(__xludf.DUMMYFUNCTION("""COMPUTED_VALUE"""),1225012.0)</f>
        <v>1225012</v>
      </c>
    </row>
    <row r="1892">
      <c r="A1892" s="3">
        <f>IFERROR(__xludf.DUMMYFUNCTION("""COMPUTED_VALUE"""),41022.645833333336)</f>
        <v>41022.64583</v>
      </c>
      <c r="B1892" s="2">
        <f>IFERROR(__xludf.DUMMYFUNCTION("""COMPUTED_VALUE"""),546.98)</f>
        <v>546.98</v>
      </c>
      <c r="C1892" s="2">
        <f>IFERROR(__xludf.DUMMYFUNCTION("""COMPUTED_VALUE"""),551.2)</f>
        <v>551.2</v>
      </c>
      <c r="D1892" s="2">
        <f>IFERROR(__xludf.DUMMYFUNCTION("""COMPUTED_VALUE"""),523.83)</f>
        <v>523.83</v>
      </c>
      <c r="E1892" s="2">
        <f>IFERROR(__xludf.DUMMYFUNCTION("""COMPUTED_VALUE"""),532.13)</f>
        <v>532.13</v>
      </c>
      <c r="F1892" s="2">
        <f>IFERROR(__xludf.DUMMYFUNCTION("""COMPUTED_VALUE"""),1421934.0)</f>
        <v>1421934</v>
      </c>
    </row>
    <row r="1893">
      <c r="A1893" s="3">
        <f>IFERROR(__xludf.DUMMYFUNCTION("""COMPUTED_VALUE"""),41023.645833333336)</f>
        <v>41023.64583</v>
      </c>
      <c r="B1893" s="2">
        <f>IFERROR(__xludf.DUMMYFUNCTION("""COMPUTED_VALUE"""),561.0)</f>
        <v>561</v>
      </c>
      <c r="C1893" s="2">
        <f>IFERROR(__xludf.DUMMYFUNCTION("""COMPUTED_VALUE"""),602.5)</f>
        <v>602.5</v>
      </c>
      <c r="D1893" s="2">
        <f>IFERROR(__xludf.DUMMYFUNCTION("""COMPUTED_VALUE"""),558.65)</f>
        <v>558.65</v>
      </c>
      <c r="E1893" s="2">
        <f>IFERROR(__xludf.DUMMYFUNCTION("""COMPUTED_VALUE"""),597.1)</f>
        <v>597.1</v>
      </c>
      <c r="F1893" s="2">
        <f>IFERROR(__xludf.DUMMYFUNCTION("""COMPUTED_VALUE"""),9056891.0)</f>
        <v>9056891</v>
      </c>
    </row>
    <row r="1894">
      <c r="A1894" s="3">
        <f>IFERROR(__xludf.DUMMYFUNCTION("""COMPUTED_VALUE"""),41024.645833333336)</f>
        <v>41024.64583</v>
      </c>
      <c r="B1894" s="2">
        <f>IFERROR(__xludf.DUMMYFUNCTION("""COMPUTED_VALUE"""),594.5)</f>
        <v>594.5</v>
      </c>
      <c r="C1894" s="2">
        <f>IFERROR(__xludf.DUMMYFUNCTION("""COMPUTED_VALUE"""),595.0)</f>
        <v>595</v>
      </c>
      <c r="D1894" s="2">
        <f>IFERROR(__xludf.DUMMYFUNCTION("""COMPUTED_VALUE"""),583.75)</f>
        <v>583.75</v>
      </c>
      <c r="E1894" s="2">
        <f>IFERROR(__xludf.DUMMYFUNCTION("""COMPUTED_VALUE"""),585.53)</f>
        <v>585.53</v>
      </c>
      <c r="F1894" s="2">
        <f>IFERROR(__xludf.DUMMYFUNCTION("""COMPUTED_VALUE"""),2708949.0)</f>
        <v>2708949</v>
      </c>
    </row>
    <row r="1895">
      <c r="A1895" s="3">
        <f>IFERROR(__xludf.DUMMYFUNCTION("""COMPUTED_VALUE"""),41025.645833333336)</f>
        <v>41025.64583</v>
      </c>
      <c r="B1895" s="2">
        <f>IFERROR(__xludf.DUMMYFUNCTION("""COMPUTED_VALUE"""),585.0)</f>
        <v>585</v>
      </c>
      <c r="C1895" s="2">
        <f>IFERROR(__xludf.DUMMYFUNCTION("""COMPUTED_VALUE"""),600.95)</f>
        <v>600.95</v>
      </c>
      <c r="D1895" s="2">
        <f>IFERROR(__xludf.DUMMYFUNCTION("""COMPUTED_VALUE"""),582.25)</f>
        <v>582.25</v>
      </c>
      <c r="E1895" s="2">
        <f>IFERROR(__xludf.DUMMYFUNCTION("""COMPUTED_VALUE"""),597.33)</f>
        <v>597.33</v>
      </c>
      <c r="F1895" s="2">
        <f>IFERROR(__xludf.DUMMYFUNCTION("""COMPUTED_VALUE"""),2738146.0)</f>
        <v>2738146</v>
      </c>
    </row>
    <row r="1896">
      <c r="A1896" s="3">
        <f>IFERROR(__xludf.DUMMYFUNCTION("""COMPUTED_VALUE"""),41026.645833333336)</f>
        <v>41026.64583</v>
      </c>
      <c r="B1896" s="2">
        <f>IFERROR(__xludf.DUMMYFUNCTION("""COMPUTED_VALUE"""),595.0)</f>
        <v>595</v>
      </c>
      <c r="C1896" s="2">
        <f>IFERROR(__xludf.DUMMYFUNCTION("""COMPUTED_VALUE"""),606.0)</f>
        <v>606</v>
      </c>
      <c r="D1896" s="2">
        <f>IFERROR(__xludf.DUMMYFUNCTION("""COMPUTED_VALUE"""),595.0)</f>
        <v>595</v>
      </c>
      <c r="E1896" s="2">
        <f>IFERROR(__xludf.DUMMYFUNCTION("""COMPUTED_VALUE"""),602.0)</f>
        <v>602</v>
      </c>
      <c r="F1896" s="2">
        <f>IFERROR(__xludf.DUMMYFUNCTION("""COMPUTED_VALUE"""),1855573.0)</f>
        <v>1855573</v>
      </c>
    </row>
    <row r="1897">
      <c r="A1897" s="3">
        <f>IFERROR(__xludf.DUMMYFUNCTION("""COMPUTED_VALUE"""),41029.645833333336)</f>
        <v>41029.64583</v>
      </c>
      <c r="B1897" s="2">
        <f>IFERROR(__xludf.DUMMYFUNCTION("""COMPUTED_VALUE"""),602.0)</f>
        <v>602</v>
      </c>
      <c r="C1897" s="2">
        <f>IFERROR(__xludf.DUMMYFUNCTION("""COMPUTED_VALUE"""),625.0)</f>
        <v>625</v>
      </c>
      <c r="D1897" s="2">
        <f>IFERROR(__xludf.DUMMYFUNCTION("""COMPUTED_VALUE"""),602.0)</f>
        <v>602</v>
      </c>
      <c r="E1897" s="2">
        <f>IFERROR(__xludf.DUMMYFUNCTION("""COMPUTED_VALUE"""),623.3)</f>
        <v>623.3</v>
      </c>
      <c r="F1897" s="2">
        <f>IFERROR(__xludf.DUMMYFUNCTION("""COMPUTED_VALUE"""),2302411.0)</f>
        <v>2302411</v>
      </c>
    </row>
    <row r="1898">
      <c r="A1898" s="3">
        <f>IFERROR(__xludf.DUMMYFUNCTION("""COMPUTED_VALUE"""),41031.645833333336)</f>
        <v>41031.64583</v>
      </c>
      <c r="B1898" s="2">
        <f>IFERROR(__xludf.DUMMYFUNCTION("""COMPUTED_VALUE"""),621.05)</f>
        <v>621.05</v>
      </c>
      <c r="C1898" s="2">
        <f>IFERROR(__xludf.DUMMYFUNCTION("""COMPUTED_VALUE"""),637.2)</f>
        <v>637.2</v>
      </c>
      <c r="D1898" s="2">
        <f>IFERROR(__xludf.DUMMYFUNCTION("""COMPUTED_VALUE"""),621.05)</f>
        <v>621.05</v>
      </c>
      <c r="E1898" s="2">
        <f>IFERROR(__xludf.DUMMYFUNCTION("""COMPUTED_VALUE"""),633.63)</f>
        <v>633.63</v>
      </c>
      <c r="F1898" s="2">
        <f>IFERROR(__xludf.DUMMYFUNCTION("""COMPUTED_VALUE"""),1990724.0)</f>
        <v>1990724</v>
      </c>
    </row>
    <row r="1899">
      <c r="A1899" s="3">
        <f>IFERROR(__xludf.DUMMYFUNCTION("""COMPUTED_VALUE"""),41032.645833333336)</f>
        <v>41032.64583</v>
      </c>
      <c r="B1899" s="2">
        <f>IFERROR(__xludf.DUMMYFUNCTION("""COMPUTED_VALUE"""),631.35)</f>
        <v>631.35</v>
      </c>
      <c r="C1899" s="2">
        <f>IFERROR(__xludf.DUMMYFUNCTION("""COMPUTED_VALUE"""),642.05)</f>
        <v>642.05</v>
      </c>
      <c r="D1899" s="2">
        <f>IFERROR(__xludf.DUMMYFUNCTION("""COMPUTED_VALUE"""),629.28)</f>
        <v>629.28</v>
      </c>
      <c r="E1899" s="2">
        <f>IFERROR(__xludf.DUMMYFUNCTION("""COMPUTED_VALUE"""),639.75)</f>
        <v>639.75</v>
      </c>
      <c r="F1899" s="2">
        <f>IFERROR(__xludf.DUMMYFUNCTION("""COMPUTED_VALUE"""),1679461.0)</f>
        <v>1679461</v>
      </c>
    </row>
    <row r="1900">
      <c r="A1900" s="3">
        <f>IFERROR(__xludf.DUMMYFUNCTION("""COMPUTED_VALUE"""),41033.645833333336)</f>
        <v>41033.64583</v>
      </c>
      <c r="B1900" s="2">
        <f>IFERROR(__xludf.DUMMYFUNCTION("""COMPUTED_VALUE"""),640.0)</f>
        <v>640</v>
      </c>
      <c r="C1900" s="2">
        <f>IFERROR(__xludf.DUMMYFUNCTION("""COMPUTED_VALUE"""),647.63)</f>
        <v>647.63</v>
      </c>
      <c r="D1900" s="2">
        <f>IFERROR(__xludf.DUMMYFUNCTION("""COMPUTED_VALUE"""),631.53)</f>
        <v>631.53</v>
      </c>
      <c r="E1900" s="2">
        <f>IFERROR(__xludf.DUMMYFUNCTION("""COMPUTED_VALUE"""),638.4)</f>
        <v>638.4</v>
      </c>
      <c r="F1900" s="2">
        <f>IFERROR(__xludf.DUMMYFUNCTION("""COMPUTED_VALUE"""),1785859.0)</f>
        <v>1785859</v>
      </c>
    </row>
    <row r="1901">
      <c r="A1901" s="3">
        <f>IFERROR(__xludf.DUMMYFUNCTION("""COMPUTED_VALUE"""),41036.645833333336)</f>
        <v>41036.64583</v>
      </c>
      <c r="B1901" s="2">
        <f>IFERROR(__xludf.DUMMYFUNCTION("""COMPUTED_VALUE"""),630.0)</f>
        <v>630</v>
      </c>
      <c r="C1901" s="2">
        <f>IFERROR(__xludf.DUMMYFUNCTION("""COMPUTED_VALUE"""),639.25)</f>
        <v>639.25</v>
      </c>
      <c r="D1901" s="2">
        <f>IFERROR(__xludf.DUMMYFUNCTION("""COMPUTED_VALUE"""),624.2)</f>
        <v>624.2</v>
      </c>
      <c r="E1901" s="2">
        <f>IFERROR(__xludf.DUMMYFUNCTION("""COMPUTED_VALUE"""),636.63)</f>
        <v>636.63</v>
      </c>
      <c r="F1901" s="2">
        <f>IFERROR(__xludf.DUMMYFUNCTION("""COMPUTED_VALUE"""),1313881.0)</f>
        <v>1313881</v>
      </c>
    </row>
    <row r="1902">
      <c r="A1902" s="3">
        <f>IFERROR(__xludf.DUMMYFUNCTION("""COMPUTED_VALUE"""),41037.645833333336)</f>
        <v>41037.64583</v>
      </c>
      <c r="B1902" s="2">
        <f>IFERROR(__xludf.DUMMYFUNCTION("""COMPUTED_VALUE"""),612.5)</f>
        <v>612.5</v>
      </c>
      <c r="C1902" s="2">
        <f>IFERROR(__xludf.DUMMYFUNCTION("""COMPUTED_VALUE"""),617.35)</f>
        <v>617.35</v>
      </c>
      <c r="D1902" s="2">
        <f>IFERROR(__xludf.DUMMYFUNCTION("""COMPUTED_VALUE"""),597.83)</f>
        <v>597.83</v>
      </c>
      <c r="E1902" s="2">
        <f>IFERROR(__xludf.DUMMYFUNCTION("""COMPUTED_VALUE"""),600.35)</f>
        <v>600.35</v>
      </c>
      <c r="F1902" s="2">
        <f>IFERROR(__xludf.DUMMYFUNCTION("""COMPUTED_VALUE"""),4815789.0)</f>
        <v>4815789</v>
      </c>
    </row>
    <row r="1903">
      <c r="A1903" s="3">
        <f>IFERROR(__xludf.DUMMYFUNCTION("""COMPUTED_VALUE"""),41038.645833333336)</f>
        <v>41038.64583</v>
      </c>
      <c r="B1903" s="2">
        <f>IFERROR(__xludf.DUMMYFUNCTION("""COMPUTED_VALUE"""),597.5)</f>
        <v>597.5</v>
      </c>
      <c r="C1903" s="2">
        <f>IFERROR(__xludf.DUMMYFUNCTION("""COMPUTED_VALUE"""),617.3)</f>
        <v>617.3</v>
      </c>
      <c r="D1903" s="2">
        <f>IFERROR(__xludf.DUMMYFUNCTION("""COMPUTED_VALUE"""),597.05)</f>
        <v>597.05</v>
      </c>
      <c r="E1903" s="2">
        <f>IFERROR(__xludf.DUMMYFUNCTION("""COMPUTED_VALUE"""),612.78)</f>
        <v>612.78</v>
      </c>
      <c r="F1903" s="2">
        <f>IFERROR(__xludf.DUMMYFUNCTION("""COMPUTED_VALUE"""),4635772.0)</f>
        <v>4635772</v>
      </c>
    </row>
    <row r="1904">
      <c r="A1904" s="3">
        <f>IFERROR(__xludf.DUMMYFUNCTION("""COMPUTED_VALUE"""),41039.645833333336)</f>
        <v>41039.64583</v>
      </c>
      <c r="B1904" s="2">
        <f>IFERROR(__xludf.DUMMYFUNCTION("""COMPUTED_VALUE"""),612.78)</f>
        <v>612.78</v>
      </c>
      <c r="C1904" s="2">
        <f>IFERROR(__xludf.DUMMYFUNCTION("""COMPUTED_VALUE"""),620.9)</f>
        <v>620.9</v>
      </c>
      <c r="D1904" s="2">
        <f>IFERROR(__xludf.DUMMYFUNCTION("""COMPUTED_VALUE"""),612.5)</f>
        <v>612.5</v>
      </c>
      <c r="E1904" s="2">
        <f>IFERROR(__xludf.DUMMYFUNCTION("""COMPUTED_VALUE"""),616.28)</f>
        <v>616.28</v>
      </c>
      <c r="F1904" s="2">
        <f>IFERROR(__xludf.DUMMYFUNCTION("""COMPUTED_VALUE"""),1496310.0)</f>
        <v>1496310</v>
      </c>
    </row>
    <row r="1905">
      <c r="A1905" s="3">
        <f>IFERROR(__xludf.DUMMYFUNCTION("""COMPUTED_VALUE"""),41040.645833333336)</f>
        <v>41040.64583</v>
      </c>
      <c r="B1905" s="2">
        <f>IFERROR(__xludf.DUMMYFUNCTION("""COMPUTED_VALUE"""),612.0)</f>
        <v>612</v>
      </c>
      <c r="C1905" s="2">
        <f>IFERROR(__xludf.DUMMYFUNCTION("""COMPUTED_VALUE"""),618.45)</f>
        <v>618.45</v>
      </c>
      <c r="D1905" s="2">
        <f>IFERROR(__xludf.DUMMYFUNCTION("""COMPUTED_VALUE"""),610.6)</f>
        <v>610.6</v>
      </c>
      <c r="E1905" s="2">
        <f>IFERROR(__xludf.DUMMYFUNCTION("""COMPUTED_VALUE"""),615.38)</f>
        <v>615.38</v>
      </c>
      <c r="F1905" s="2">
        <f>IFERROR(__xludf.DUMMYFUNCTION("""COMPUTED_VALUE"""),1372595.0)</f>
        <v>1372595</v>
      </c>
    </row>
    <row r="1906">
      <c r="A1906" s="3">
        <f>IFERROR(__xludf.DUMMYFUNCTION("""COMPUTED_VALUE"""),41043.645833333336)</f>
        <v>41043.64583</v>
      </c>
      <c r="B1906" s="2">
        <f>IFERROR(__xludf.DUMMYFUNCTION("""COMPUTED_VALUE"""),613.65)</f>
        <v>613.65</v>
      </c>
      <c r="C1906" s="2">
        <f>IFERROR(__xludf.DUMMYFUNCTION("""COMPUTED_VALUE"""),617.0)</f>
        <v>617</v>
      </c>
      <c r="D1906" s="2">
        <f>IFERROR(__xludf.DUMMYFUNCTION("""COMPUTED_VALUE"""),610.0)</f>
        <v>610</v>
      </c>
      <c r="E1906" s="2">
        <f>IFERROR(__xludf.DUMMYFUNCTION("""COMPUTED_VALUE"""),612.98)</f>
        <v>612.98</v>
      </c>
      <c r="F1906" s="2">
        <f>IFERROR(__xludf.DUMMYFUNCTION("""COMPUTED_VALUE"""),1286876.0)</f>
        <v>1286876</v>
      </c>
    </row>
    <row r="1907">
      <c r="A1907" s="3">
        <f>IFERROR(__xludf.DUMMYFUNCTION("""COMPUTED_VALUE"""),41044.645833333336)</f>
        <v>41044.64583</v>
      </c>
      <c r="B1907" s="2">
        <f>IFERROR(__xludf.DUMMYFUNCTION("""COMPUTED_VALUE"""),612.0)</f>
        <v>612</v>
      </c>
      <c r="C1907" s="2">
        <f>IFERROR(__xludf.DUMMYFUNCTION("""COMPUTED_VALUE"""),616.5)</f>
        <v>616.5</v>
      </c>
      <c r="D1907" s="2">
        <f>IFERROR(__xludf.DUMMYFUNCTION("""COMPUTED_VALUE"""),609.9)</f>
        <v>609.9</v>
      </c>
      <c r="E1907" s="2">
        <f>IFERROR(__xludf.DUMMYFUNCTION("""COMPUTED_VALUE"""),613.15)</f>
        <v>613.15</v>
      </c>
      <c r="F1907" s="2">
        <f>IFERROR(__xludf.DUMMYFUNCTION("""COMPUTED_VALUE"""),937755.0)</f>
        <v>937755</v>
      </c>
    </row>
    <row r="1908">
      <c r="A1908" s="3">
        <f>IFERROR(__xludf.DUMMYFUNCTION("""COMPUTED_VALUE"""),41045.645833333336)</f>
        <v>41045.64583</v>
      </c>
      <c r="B1908" s="2">
        <f>IFERROR(__xludf.DUMMYFUNCTION("""COMPUTED_VALUE"""),610.0)</f>
        <v>610</v>
      </c>
      <c r="C1908" s="2">
        <f>IFERROR(__xludf.DUMMYFUNCTION("""COMPUTED_VALUE"""),620.95)</f>
        <v>620.95</v>
      </c>
      <c r="D1908" s="2">
        <f>IFERROR(__xludf.DUMMYFUNCTION("""COMPUTED_VALUE"""),603.38)</f>
        <v>603.38</v>
      </c>
      <c r="E1908" s="2">
        <f>IFERROR(__xludf.DUMMYFUNCTION("""COMPUTED_VALUE"""),611.7)</f>
        <v>611.7</v>
      </c>
      <c r="F1908" s="2">
        <f>IFERROR(__xludf.DUMMYFUNCTION("""COMPUTED_VALUE"""),2283968.0)</f>
        <v>2283968</v>
      </c>
    </row>
    <row r="1909">
      <c r="A1909" s="3">
        <f>IFERROR(__xludf.DUMMYFUNCTION("""COMPUTED_VALUE"""),41046.645833333336)</f>
        <v>41046.64583</v>
      </c>
      <c r="B1909" s="2">
        <f>IFERROR(__xludf.DUMMYFUNCTION("""COMPUTED_VALUE"""),611.0)</f>
        <v>611</v>
      </c>
      <c r="C1909" s="2">
        <f>IFERROR(__xludf.DUMMYFUNCTION("""COMPUTED_VALUE"""),617.5)</f>
        <v>617.5</v>
      </c>
      <c r="D1909" s="2">
        <f>IFERROR(__xludf.DUMMYFUNCTION("""COMPUTED_VALUE"""),599.53)</f>
        <v>599.53</v>
      </c>
      <c r="E1909" s="2">
        <f>IFERROR(__xludf.DUMMYFUNCTION("""COMPUTED_VALUE"""),611.0)</f>
        <v>611</v>
      </c>
      <c r="F1909" s="2">
        <f>IFERROR(__xludf.DUMMYFUNCTION("""COMPUTED_VALUE"""),2068762.0)</f>
        <v>2068762</v>
      </c>
    </row>
    <row r="1910">
      <c r="A1910" s="3">
        <f>IFERROR(__xludf.DUMMYFUNCTION("""COMPUTED_VALUE"""),41047.645833333336)</f>
        <v>41047.64583</v>
      </c>
      <c r="B1910" s="2">
        <f>IFERROR(__xludf.DUMMYFUNCTION("""COMPUTED_VALUE"""),602.4)</f>
        <v>602.4</v>
      </c>
      <c r="C1910" s="2">
        <f>IFERROR(__xludf.DUMMYFUNCTION("""COMPUTED_VALUE"""),612.45)</f>
        <v>612.45</v>
      </c>
      <c r="D1910" s="2">
        <f>IFERROR(__xludf.DUMMYFUNCTION("""COMPUTED_VALUE"""),601.33)</f>
        <v>601.33</v>
      </c>
      <c r="E1910" s="2">
        <f>IFERROR(__xludf.DUMMYFUNCTION("""COMPUTED_VALUE"""),605.33)</f>
        <v>605.33</v>
      </c>
      <c r="F1910" s="2">
        <f>IFERROR(__xludf.DUMMYFUNCTION("""COMPUTED_VALUE"""),1328335.0)</f>
        <v>1328335</v>
      </c>
    </row>
    <row r="1911">
      <c r="A1911" s="3">
        <f>IFERROR(__xludf.DUMMYFUNCTION("""COMPUTED_VALUE"""),41050.645833333336)</f>
        <v>41050.64583</v>
      </c>
      <c r="B1911" s="2">
        <f>IFERROR(__xludf.DUMMYFUNCTION("""COMPUTED_VALUE"""),605.5)</f>
        <v>605.5</v>
      </c>
      <c r="C1911" s="2">
        <f>IFERROR(__xludf.DUMMYFUNCTION("""COMPUTED_VALUE"""),612.5)</f>
        <v>612.5</v>
      </c>
      <c r="D1911" s="2">
        <f>IFERROR(__xludf.DUMMYFUNCTION("""COMPUTED_VALUE"""),602.03)</f>
        <v>602.03</v>
      </c>
      <c r="E1911" s="2">
        <f>IFERROR(__xludf.DUMMYFUNCTION("""COMPUTED_VALUE"""),604.6)</f>
        <v>604.6</v>
      </c>
      <c r="F1911" s="2">
        <f>IFERROR(__xludf.DUMMYFUNCTION("""COMPUTED_VALUE"""),1113544.0)</f>
        <v>1113544</v>
      </c>
    </row>
    <row r="1912">
      <c r="A1912" s="3">
        <f>IFERROR(__xludf.DUMMYFUNCTION("""COMPUTED_VALUE"""),41051.645833333336)</f>
        <v>41051.64583</v>
      </c>
      <c r="B1912" s="2">
        <f>IFERROR(__xludf.DUMMYFUNCTION("""COMPUTED_VALUE"""),610.5)</f>
        <v>610.5</v>
      </c>
      <c r="C1912" s="2">
        <f>IFERROR(__xludf.DUMMYFUNCTION("""COMPUTED_VALUE"""),620.0)</f>
        <v>620</v>
      </c>
      <c r="D1912" s="2">
        <f>IFERROR(__xludf.DUMMYFUNCTION("""COMPUTED_VALUE"""),606.5)</f>
        <v>606.5</v>
      </c>
      <c r="E1912" s="2">
        <f>IFERROR(__xludf.DUMMYFUNCTION("""COMPUTED_VALUE"""),612.03)</f>
        <v>612.03</v>
      </c>
      <c r="F1912" s="2">
        <f>IFERROR(__xludf.DUMMYFUNCTION("""COMPUTED_VALUE"""),1180458.0)</f>
        <v>1180458</v>
      </c>
    </row>
    <row r="1913">
      <c r="A1913" s="3">
        <f>IFERROR(__xludf.DUMMYFUNCTION("""COMPUTED_VALUE"""),41052.645833333336)</f>
        <v>41052.64583</v>
      </c>
      <c r="B1913" s="2">
        <f>IFERROR(__xludf.DUMMYFUNCTION("""COMPUTED_VALUE"""),616.5)</f>
        <v>616.5</v>
      </c>
      <c r="C1913" s="2">
        <f>IFERROR(__xludf.DUMMYFUNCTION("""COMPUTED_VALUE"""),617.78)</f>
        <v>617.78</v>
      </c>
      <c r="D1913" s="2">
        <f>IFERROR(__xludf.DUMMYFUNCTION("""COMPUTED_VALUE"""),607.05)</f>
        <v>607.05</v>
      </c>
      <c r="E1913" s="2">
        <f>IFERROR(__xludf.DUMMYFUNCTION("""COMPUTED_VALUE"""),612.58)</f>
        <v>612.58</v>
      </c>
      <c r="F1913" s="2">
        <f>IFERROR(__xludf.DUMMYFUNCTION("""COMPUTED_VALUE"""),1081403.0)</f>
        <v>1081403</v>
      </c>
    </row>
    <row r="1914">
      <c r="A1914" s="3">
        <f>IFERROR(__xludf.DUMMYFUNCTION("""COMPUTED_VALUE"""),41053.645833333336)</f>
        <v>41053.64583</v>
      </c>
      <c r="B1914" s="2">
        <f>IFERROR(__xludf.DUMMYFUNCTION("""COMPUTED_VALUE"""),612.5)</f>
        <v>612.5</v>
      </c>
      <c r="C1914" s="2">
        <f>IFERROR(__xludf.DUMMYFUNCTION("""COMPUTED_VALUE"""),614.48)</f>
        <v>614.48</v>
      </c>
      <c r="D1914" s="2">
        <f>IFERROR(__xludf.DUMMYFUNCTION("""COMPUTED_VALUE"""),603.55)</f>
        <v>603.55</v>
      </c>
      <c r="E1914" s="2">
        <f>IFERROR(__xludf.DUMMYFUNCTION("""COMPUTED_VALUE"""),610.73)</f>
        <v>610.73</v>
      </c>
      <c r="F1914" s="2">
        <f>IFERROR(__xludf.DUMMYFUNCTION("""COMPUTED_VALUE"""),602837.0)</f>
        <v>602837</v>
      </c>
    </row>
    <row r="1915">
      <c r="A1915" s="3">
        <f>IFERROR(__xludf.DUMMYFUNCTION("""COMPUTED_VALUE"""),41054.645833333336)</f>
        <v>41054.64583</v>
      </c>
      <c r="B1915" s="2">
        <f>IFERROR(__xludf.DUMMYFUNCTION("""COMPUTED_VALUE"""),606.05)</f>
        <v>606.05</v>
      </c>
      <c r="C1915" s="2">
        <f>IFERROR(__xludf.DUMMYFUNCTION("""COMPUTED_VALUE"""),612.5)</f>
        <v>612.5</v>
      </c>
      <c r="D1915" s="2">
        <f>IFERROR(__xludf.DUMMYFUNCTION("""COMPUTED_VALUE"""),604.55)</f>
        <v>604.55</v>
      </c>
      <c r="E1915" s="2">
        <f>IFERROR(__xludf.DUMMYFUNCTION("""COMPUTED_VALUE"""),610.4)</f>
        <v>610.4</v>
      </c>
      <c r="F1915" s="2">
        <f>IFERROR(__xludf.DUMMYFUNCTION("""COMPUTED_VALUE"""),457523.0)</f>
        <v>457523</v>
      </c>
    </row>
    <row r="1916">
      <c r="A1916" s="3">
        <f>IFERROR(__xludf.DUMMYFUNCTION("""COMPUTED_VALUE"""),41057.645833333336)</f>
        <v>41057.64583</v>
      </c>
      <c r="B1916" s="2">
        <f>IFERROR(__xludf.DUMMYFUNCTION("""COMPUTED_VALUE"""),612.0)</f>
        <v>612</v>
      </c>
      <c r="C1916" s="2">
        <f>IFERROR(__xludf.DUMMYFUNCTION("""COMPUTED_VALUE"""),615.0)</f>
        <v>615</v>
      </c>
      <c r="D1916" s="2">
        <f>IFERROR(__xludf.DUMMYFUNCTION("""COMPUTED_VALUE"""),607.53)</f>
        <v>607.53</v>
      </c>
      <c r="E1916" s="2">
        <f>IFERROR(__xludf.DUMMYFUNCTION("""COMPUTED_VALUE"""),612.35)</f>
        <v>612.35</v>
      </c>
      <c r="F1916" s="2">
        <f>IFERROR(__xludf.DUMMYFUNCTION("""COMPUTED_VALUE"""),395097.0)</f>
        <v>395097</v>
      </c>
    </row>
    <row r="1917">
      <c r="A1917" s="3">
        <f>IFERROR(__xludf.DUMMYFUNCTION("""COMPUTED_VALUE"""),41058.645833333336)</f>
        <v>41058.64583</v>
      </c>
      <c r="B1917" s="2">
        <f>IFERROR(__xludf.DUMMYFUNCTION("""COMPUTED_VALUE"""),614.0)</f>
        <v>614</v>
      </c>
      <c r="C1917" s="2">
        <f>IFERROR(__xludf.DUMMYFUNCTION("""COMPUTED_VALUE"""),624.0)</f>
        <v>624</v>
      </c>
      <c r="D1917" s="2">
        <f>IFERROR(__xludf.DUMMYFUNCTION("""COMPUTED_VALUE"""),609.2)</f>
        <v>609.2</v>
      </c>
      <c r="E1917" s="2">
        <f>IFERROR(__xludf.DUMMYFUNCTION("""COMPUTED_VALUE"""),620.17)</f>
        <v>620.17</v>
      </c>
      <c r="F1917" s="2">
        <f>IFERROR(__xludf.DUMMYFUNCTION("""COMPUTED_VALUE"""),787516.0)</f>
        <v>787516</v>
      </c>
    </row>
    <row r="1918">
      <c r="A1918" s="3">
        <f>IFERROR(__xludf.DUMMYFUNCTION("""COMPUTED_VALUE"""),41059.645833333336)</f>
        <v>41059.64583</v>
      </c>
      <c r="B1918" s="2">
        <f>IFERROR(__xludf.DUMMYFUNCTION("""COMPUTED_VALUE"""),615.63)</f>
        <v>615.63</v>
      </c>
      <c r="C1918" s="2">
        <f>IFERROR(__xludf.DUMMYFUNCTION("""COMPUTED_VALUE"""),628.5)</f>
        <v>628.5</v>
      </c>
      <c r="D1918" s="2">
        <f>IFERROR(__xludf.DUMMYFUNCTION("""COMPUTED_VALUE"""),615.63)</f>
        <v>615.63</v>
      </c>
      <c r="E1918" s="2">
        <f>IFERROR(__xludf.DUMMYFUNCTION("""COMPUTED_VALUE"""),620.28)</f>
        <v>620.28</v>
      </c>
      <c r="F1918" s="2">
        <f>IFERROR(__xludf.DUMMYFUNCTION("""COMPUTED_VALUE"""),790757.0)</f>
        <v>790757</v>
      </c>
    </row>
    <row r="1919">
      <c r="A1919" s="3">
        <f>IFERROR(__xludf.DUMMYFUNCTION("""COMPUTED_VALUE"""),41060.645833333336)</f>
        <v>41060.64583</v>
      </c>
      <c r="B1919" s="2">
        <f>IFERROR(__xludf.DUMMYFUNCTION("""COMPUTED_VALUE"""),610.5)</f>
        <v>610.5</v>
      </c>
      <c r="C1919" s="2">
        <f>IFERROR(__xludf.DUMMYFUNCTION("""COMPUTED_VALUE"""),627.95)</f>
        <v>627.95</v>
      </c>
      <c r="D1919" s="2">
        <f>IFERROR(__xludf.DUMMYFUNCTION("""COMPUTED_VALUE"""),610.5)</f>
        <v>610.5</v>
      </c>
      <c r="E1919" s="2">
        <f>IFERROR(__xludf.DUMMYFUNCTION("""COMPUTED_VALUE"""),622.67)</f>
        <v>622.67</v>
      </c>
      <c r="F1919" s="2">
        <f>IFERROR(__xludf.DUMMYFUNCTION("""COMPUTED_VALUE"""),2205801.0)</f>
        <v>2205801</v>
      </c>
    </row>
    <row r="1920">
      <c r="A1920" s="3">
        <f>IFERROR(__xludf.DUMMYFUNCTION("""COMPUTED_VALUE"""),41061.645833333336)</f>
        <v>41061.64583</v>
      </c>
      <c r="B1920" s="2">
        <f>IFERROR(__xludf.DUMMYFUNCTION("""COMPUTED_VALUE"""),620.0)</f>
        <v>620</v>
      </c>
      <c r="C1920" s="2">
        <f>IFERROR(__xludf.DUMMYFUNCTION("""COMPUTED_VALUE"""),622.5)</f>
        <v>622.5</v>
      </c>
      <c r="D1920" s="2">
        <f>IFERROR(__xludf.DUMMYFUNCTION("""COMPUTED_VALUE"""),609.25)</f>
        <v>609.25</v>
      </c>
      <c r="E1920" s="2">
        <f>IFERROR(__xludf.DUMMYFUNCTION("""COMPUTED_VALUE"""),612.3)</f>
        <v>612.3</v>
      </c>
      <c r="F1920" s="2">
        <f>IFERROR(__xludf.DUMMYFUNCTION("""COMPUTED_VALUE"""),739764.0)</f>
        <v>739764</v>
      </c>
    </row>
    <row r="1921">
      <c r="A1921" s="3">
        <f>IFERROR(__xludf.DUMMYFUNCTION("""COMPUTED_VALUE"""),41064.645833333336)</f>
        <v>41064.64583</v>
      </c>
      <c r="B1921" s="2">
        <f>IFERROR(__xludf.DUMMYFUNCTION("""COMPUTED_VALUE"""),605.0)</f>
        <v>605</v>
      </c>
      <c r="C1921" s="2">
        <f>IFERROR(__xludf.DUMMYFUNCTION("""COMPUTED_VALUE"""),608.0)</f>
        <v>608</v>
      </c>
      <c r="D1921" s="2">
        <f>IFERROR(__xludf.DUMMYFUNCTION("""COMPUTED_VALUE"""),598.1)</f>
        <v>598.1</v>
      </c>
      <c r="E1921" s="2">
        <f>IFERROR(__xludf.DUMMYFUNCTION("""COMPUTED_VALUE"""),606.63)</f>
        <v>606.63</v>
      </c>
      <c r="F1921" s="2">
        <f>IFERROR(__xludf.DUMMYFUNCTION("""COMPUTED_VALUE"""),602215.0)</f>
        <v>602215</v>
      </c>
    </row>
    <row r="1922">
      <c r="A1922" s="3">
        <f>IFERROR(__xludf.DUMMYFUNCTION("""COMPUTED_VALUE"""),41065.645833333336)</f>
        <v>41065.64583</v>
      </c>
      <c r="B1922" s="2">
        <f>IFERROR(__xludf.DUMMYFUNCTION("""COMPUTED_VALUE"""),607.0)</f>
        <v>607</v>
      </c>
      <c r="C1922" s="2">
        <f>IFERROR(__xludf.DUMMYFUNCTION("""COMPUTED_VALUE"""),615.45)</f>
        <v>615.45</v>
      </c>
      <c r="D1922" s="2">
        <f>IFERROR(__xludf.DUMMYFUNCTION("""COMPUTED_VALUE"""),607.0)</f>
        <v>607</v>
      </c>
      <c r="E1922" s="2">
        <f>IFERROR(__xludf.DUMMYFUNCTION("""COMPUTED_VALUE"""),613.25)</f>
        <v>613.25</v>
      </c>
      <c r="F1922" s="2">
        <f>IFERROR(__xludf.DUMMYFUNCTION("""COMPUTED_VALUE"""),1031699.0)</f>
        <v>1031699</v>
      </c>
    </row>
    <row r="1923">
      <c r="A1923" s="3">
        <f>IFERROR(__xludf.DUMMYFUNCTION("""COMPUTED_VALUE"""),41066.645833333336)</f>
        <v>41066.64583</v>
      </c>
      <c r="B1923" s="2">
        <f>IFERROR(__xludf.DUMMYFUNCTION("""COMPUTED_VALUE"""),615.0)</f>
        <v>615</v>
      </c>
      <c r="C1923" s="2">
        <f>IFERROR(__xludf.DUMMYFUNCTION("""COMPUTED_VALUE"""),631.88)</f>
        <v>631.88</v>
      </c>
      <c r="D1923" s="2">
        <f>IFERROR(__xludf.DUMMYFUNCTION("""COMPUTED_VALUE"""),614.55)</f>
        <v>614.55</v>
      </c>
      <c r="E1923" s="2">
        <f>IFERROR(__xludf.DUMMYFUNCTION("""COMPUTED_VALUE"""),625.58)</f>
        <v>625.58</v>
      </c>
      <c r="F1923" s="2">
        <f>IFERROR(__xludf.DUMMYFUNCTION("""COMPUTED_VALUE"""),1645954.0)</f>
        <v>1645954</v>
      </c>
    </row>
    <row r="1924">
      <c r="A1924" s="3">
        <f>IFERROR(__xludf.DUMMYFUNCTION("""COMPUTED_VALUE"""),41067.645833333336)</f>
        <v>41067.64583</v>
      </c>
      <c r="B1924" s="2">
        <f>IFERROR(__xludf.DUMMYFUNCTION("""COMPUTED_VALUE"""),623.5)</f>
        <v>623.5</v>
      </c>
      <c r="C1924" s="2">
        <f>IFERROR(__xludf.DUMMYFUNCTION("""COMPUTED_VALUE"""),624.95)</f>
        <v>624.95</v>
      </c>
      <c r="D1924" s="2">
        <f>IFERROR(__xludf.DUMMYFUNCTION("""COMPUTED_VALUE"""),615.78)</f>
        <v>615.78</v>
      </c>
      <c r="E1924" s="2">
        <f>IFERROR(__xludf.DUMMYFUNCTION("""COMPUTED_VALUE"""),620.1)</f>
        <v>620.1</v>
      </c>
      <c r="F1924" s="2">
        <f>IFERROR(__xludf.DUMMYFUNCTION("""COMPUTED_VALUE"""),1074864.0)</f>
        <v>1074864</v>
      </c>
    </row>
    <row r="1925">
      <c r="A1925" s="3">
        <f>IFERROR(__xludf.DUMMYFUNCTION("""COMPUTED_VALUE"""),41068.645833333336)</f>
        <v>41068.64583</v>
      </c>
      <c r="B1925" s="2">
        <f>IFERROR(__xludf.DUMMYFUNCTION("""COMPUTED_VALUE"""),615.6)</f>
        <v>615.6</v>
      </c>
      <c r="C1925" s="2">
        <f>IFERROR(__xludf.DUMMYFUNCTION("""COMPUTED_VALUE"""),621.3)</f>
        <v>621.3</v>
      </c>
      <c r="D1925" s="2">
        <f>IFERROR(__xludf.DUMMYFUNCTION("""COMPUTED_VALUE"""),612.08)</f>
        <v>612.08</v>
      </c>
      <c r="E1925" s="2">
        <f>IFERROR(__xludf.DUMMYFUNCTION("""COMPUTED_VALUE"""),615.45)</f>
        <v>615.45</v>
      </c>
      <c r="F1925" s="2">
        <f>IFERROR(__xludf.DUMMYFUNCTION("""COMPUTED_VALUE"""),1200122.0)</f>
        <v>1200122</v>
      </c>
    </row>
    <row r="1926">
      <c r="A1926" s="3">
        <f>IFERROR(__xludf.DUMMYFUNCTION("""COMPUTED_VALUE"""),41071.645833333336)</f>
        <v>41071.64583</v>
      </c>
      <c r="B1926" s="2">
        <f>IFERROR(__xludf.DUMMYFUNCTION("""COMPUTED_VALUE"""),616.5)</f>
        <v>616.5</v>
      </c>
      <c r="C1926" s="2">
        <f>IFERROR(__xludf.DUMMYFUNCTION("""COMPUTED_VALUE"""),623.03)</f>
        <v>623.03</v>
      </c>
      <c r="D1926" s="2">
        <f>IFERROR(__xludf.DUMMYFUNCTION("""COMPUTED_VALUE"""),613.55)</f>
        <v>613.55</v>
      </c>
      <c r="E1926" s="2">
        <f>IFERROR(__xludf.DUMMYFUNCTION("""COMPUTED_VALUE"""),616.78)</f>
        <v>616.78</v>
      </c>
      <c r="F1926" s="2">
        <f>IFERROR(__xludf.DUMMYFUNCTION("""COMPUTED_VALUE"""),772524.0)</f>
        <v>772524</v>
      </c>
    </row>
    <row r="1927">
      <c r="A1927" s="3">
        <f>IFERROR(__xludf.DUMMYFUNCTION("""COMPUTED_VALUE"""),41072.645833333336)</f>
        <v>41072.64583</v>
      </c>
      <c r="B1927" s="2">
        <f>IFERROR(__xludf.DUMMYFUNCTION("""COMPUTED_VALUE"""),610.55)</f>
        <v>610.55</v>
      </c>
      <c r="C1927" s="2">
        <f>IFERROR(__xludf.DUMMYFUNCTION("""COMPUTED_VALUE"""),626.5)</f>
        <v>626.5</v>
      </c>
      <c r="D1927" s="2">
        <f>IFERROR(__xludf.DUMMYFUNCTION("""COMPUTED_VALUE"""),610.55)</f>
        <v>610.55</v>
      </c>
      <c r="E1927" s="2">
        <f>IFERROR(__xludf.DUMMYFUNCTION("""COMPUTED_VALUE"""),624.05)</f>
        <v>624.05</v>
      </c>
      <c r="F1927" s="2">
        <f>IFERROR(__xludf.DUMMYFUNCTION("""COMPUTED_VALUE"""),546071.0)</f>
        <v>546071</v>
      </c>
    </row>
    <row r="1928">
      <c r="A1928" s="3">
        <f>IFERROR(__xludf.DUMMYFUNCTION("""COMPUTED_VALUE"""),41073.645833333336)</f>
        <v>41073.64583</v>
      </c>
      <c r="B1928" s="2">
        <f>IFERROR(__xludf.DUMMYFUNCTION("""COMPUTED_VALUE"""),624.5)</f>
        <v>624.5</v>
      </c>
      <c r="C1928" s="2">
        <f>IFERROR(__xludf.DUMMYFUNCTION("""COMPUTED_VALUE"""),630.0)</f>
        <v>630</v>
      </c>
      <c r="D1928" s="2">
        <f>IFERROR(__xludf.DUMMYFUNCTION("""COMPUTED_VALUE"""),621.3)</f>
        <v>621.3</v>
      </c>
      <c r="E1928" s="2">
        <f>IFERROR(__xludf.DUMMYFUNCTION("""COMPUTED_VALUE"""),625.2)</f>
        <v>625.2</v>
      </c>
      <c r="F1928" s="2">
        <f>IFERROR(__xludf.DUMMYFUNCTION("""COMPUTED_VALUE"""),725429.0)</f>
        <v>725429</v>
      </c>
    </row>
    <row r="1929">
      <c r="A1929" s="3">
        <f>IFERROR(__xludf.DUMMYFUNCTION("""COMPUTED_VALUE"""),41074.645833333336)</f>
        <v>41074.64583</v>
      </c>
      <c r="B1929" s="2">
        <f>IFERROR(__xludf.DUMMYFUNCTION("""COMPUTED_VALUE"""),624.5)</f>
        <v>624.5</v>
      </c>
      <c r="C1929" s="2">
        <f>IFERROR(__xludf.DUMMYFUNCTION("""COMPUTED_VALUE"""),630.75)</f>
        <v>630.75</v>
      </c>
      <c r="D1929" s="2">
        <f>IFERROR(__xludf.DUMMYFUNCTION("""COMPUTED_VALUE"""),622.5)</f>
        <v>622.5</v>
      </c>
      <c r="E1929" s="2">
        <f>IFERROR(__xludf.DUMMYFUNCTION("""COMPUTED_VALUE"""),627.0)</f>
        <v>627</v>
      </c>
      <c r="F1929" s="2">
        <f>IFERROR(__xludf.DUMMYFUNCTION("""COMPUTED_VALUE"""),735562.0)</f>
        <v>735562</v>
      </c>
    </row>
    <row r="1930">
      <c r="A1930" s="3">
        <f>IFERROR(__xludf.DUMMYFUNCTION("""COMPUTED_VALUE"""),41075.645833333336)</f>
        <v>41075.64583</v>
      </c>
      <c r="B1930" s="2">
        <f>IFERROR(__xludf.DUMMYFUNCTION("""COMPUTED_VALUE"""),627.03)</f>
        <v>627.03</v>
      </c>
      <c r="C1930" s="2">
        <f>IFERROR(__xludf.DUMMYFUNCTION("""COMPUTED_VALUE"""),640.0)</f>
        <v>640</v>
      </c>
      <c r="D1930" s="2">
        <f>IFERROR(__xludf.DUMMYFUNCTION("""COMPUTED_VALUE"""),624.5)</f>
        <v>624.5</v>
      </c>
      <c r="E1930" s="2">
        <f>IFERROR(__xludf.DUMMYFUNCTION("""COMPUTED_VALUE"""),636.23)</f>
        <v>636.23</v>
      </c>
      <c r="F1930" s="2">
        <f>IFERROR(__xludf.DUMMYFUNCTION("""COMPUTED_VALUE"""),993020.0)</f>
        <v>993020</v>
      </c>
    </row>
    <row r="1931">
      <c r="A1931" s="3">
        <f>IFERROR(__xludf.DUMMYFUNCTION("""COMPUTED_VALUE"""),41078.645833333336)</f>
        <v>41078.64583</v>
      </c>
      <c r="B1931" s="2">
        <f>IFERROR(__xludf.DUMMYFUNCTION("""COMPUTED_VALUE"""),638.0)</f>
        <v>638</v>
      </c>
      <c r="C1931" s="2">
        <f>IFERROR(__xludf.DUMMYFUNCTION("""COMPUTED_VALUE"""),643.17)</f>
        <v>643.17</v>
      </c>
      <c r="D1931" s="2">
        <f>IFERROR(__xludf.DUMMYFUNCTION("""COMPUTED_VALUE"""),625.0)</f>
        <v>625</v>
      </c>
      <c r="E1931" s="2">
        <f>IFERROR(__xludf.DUMMYFUNCTION("""COMPUTED_VALUE"""),628.58)</f>
        <v>628.58</v>
      </c>
      <c r="F1931" s="2">
        <f>IFERROR(__xludf.DUMMYFUNCTION("""COMPUTED_VALUE"""),747694.0)</f>
        <v>747694</v>
      </c>
    </row>
    <row r="1932">
      <c r="A1932" s="3">
        <f>IFERROR(__xludf.DUMMYFUNCTION("""COMPUTED_VALUE"""),41079.645833333336)</f>
        <v>41079.64583</v>
      </c>
      <c r="B1932" s="2">
        <f>IFERROR(__xludf.DUMMYFUNCTION("""COMPUTED_VALUE"""),628.45)</f>
        <v>628.45</v>
      </c>
      <c r="C1932" s="2">
        <f>IFERROR(__xludf.DUMMYFUNCTION("""COMPUTED_VALUE"""),639.63)</f>
        <v>639.63</v>
      </c>
      <c r="D1932" s="2">
        <f>IFERROR(__xludf.DUMMYFUNCTION("""COMPUTED_VALUE"""),627.55)</f>
        <v>627.55</v>
      </c>
      <c r="E1932" s="2">
        <f>IFERROR(__xludf.DUMMYFUNCTION("""COMPUTED_VALUE"""),636.98)</f>
        <v>636.98</v>
      </c>
      <c r="F1932" s="2">
        <f>IFERROR(__xludf.DUMMYFUNCTION("""COMPUTED_VALUE"""),884529.0)</f>
        <v>884529</v>
      </c>
    </row>
    <row r="1933">
      <c r="A1933" s="3">
        <f>IFERROR(__xludf.DUMMYFUNCTION("""COMPUTED_VALUE"""),41080.645833333336)</f>
        <v>41080.64583</v>
      </c>
      <c r="B1933" s="2">
        <f>IFERROR(__xludf.DUMMYFUNCTION("""COMPUTED_VALUE"""),637.0)</f>
        <v>637</v>
      </c>
      <c r="C1933" s="2">
        <f>IFERROR(__xludf.DUMMYFUNCTION("""COMPUTED_VALUE"""),637.0)</f>
        <v>637</v>
      </c>
      <c r="D1933" s="2">
        <f>IFERROR(__xludf.DUMMYFUNCTION("""COMPUTED_VALUE"""),621.65)</f>
        <v>621.65</v>
      </c>
      <c r="E1933" s="2">
        <f>IFERROR(__xludf.DUMMYFUNCTION("""COMPUTED_VALUE"""),626.4)</f>
        <v>626.4</v>
      </c>
      <c r="F1933" s="2">
        <f>IFERROR(__xludf.DUMMYFUNCTION("""COMPUTED_VALUE"""),876870.0)</f>
        <v>876870</v>
      </c>
    </row>
    <row r="1934">
      <c r="A1934" s="3">
        <f>IFERROR(__xludf.DUMMYFUNCTION("""COMPUTED_VALUE"""),41081.645833333336)</f>
        <v>41081.64583</v>
      </c>
      <c r="B1934" s="2">
        <f>IFERROR(__xludf.DUMMYFUNCTION("""COMPUTED_VALUE"""),622.53)</f>
        <v>622.53</v>
      </c>
      <c r="C1934" s="2">
        <f>IFERROR(__xludf.DUMMYFUNCTION("""COMPUTED_VALUE"""),626.0)</f>
        <v>626</v>
      </c>
      <c r="D1934" s="2">
        <f>IFERROR(__xludf.DUMMYFUNCTION("""COMPUTED_VALUE"""),604.5)</f>
        <v>604.5</v>
      </c>
      <c r="E1934" s="2">
        <f>IFERROR(__xludf.DUMMYFUNCTION("""COMPUTED_VALUE"""),612.03)</f>
        <v>612.03</v>
      </c>
      <c r="F1934" s="2">
        <f>IFERROR(__xludf.DUMMYFUNCTION("""COMPUTED_VALUE"""),2077990.0)</f>
        <v>2077990</v>
      </c>
    </row>
    <row r="1935">
      <c r="A1935" s="3">
        <f>IFERROR(__xludf.DUMMYFUNCTION("""COMPUTED_VALUE"""),41082.645833333336)</f>
        <v>41082.64583</v>
      </c>
      <c r="B1935" s="2">
        <f>IFERROR(__xludf.DUMMYFUNCTION("""COMPUTED_VALUE"""),607.13)</f>
        <v>607.13</v>
      </c>
      <c r="C1935" s="2">
        <f>IFERROR(__xludf.DUMMYFUNCTION("""COMPUTED_VALUE"""),619.95)</f>
        <v>619.95</v>
      </c>
      <c r="D1935" s="2">
        <f>IFERROR(__xludf.DUMMYFUNCTION("""COMPUTED_VALUE"""),607.13)</f>
        <v>607.13</v>
      </c>
      <c r="E1935" s="2">
        <f>IFERROR(__xludf.DUMMYFUNCTION("""COMPUTED_VALUE"""),616.73)</f>
        <v>616.73</v>
      </c>
      <c r="F1935" s="2">
        <f>IFERROR(__xludf.DUMMYFUNCTION("""COMPUTED_VALUE"""),959780.0)</f>
        <v>959780</v>
      </c>
    </row>
    <row r="1936">
      <c r="A1936" s="3">
        <f>IFERROR(__xludf.DUMMYFUNCTION("""COMPUTED_VALUE"""),41085.645833333336)</f>
        <v>41085.64583</v>
      </c>
      <c r="B1936" s="2">
        <f>IFERROR(__xludf.DUMMYFUNCTION("""COMPUTED_VALUE"""),618.5)</f>
        <v>618.5</v>
      </c>
      <c r="C1936" s="2">
        <f>IFERROR(__xludf.DUMMYFUNCTION("""COMPUTED_VALUE"""),619.25)</f>
        <v>619.25</v>
      </c>
      <c r="D1936" s="2">
        <f>IFERROR(__xludf.DUMMYFUNCTION("""COMPUTED_VALUE"""),605.5)</f>
        <v>605.5</v>
      </c>
      <c r="E1936" s="2">
        <f>IFERROR(__xludf.DUMMYFUNCTION("""COMPUTED_VALUE"""),608.38)</f>
        <v>608.38</v>
      </c>
      <c r="F1936" s="2">
        <f>IFERROR(__xludf.DUMMYFUNCTION("""COMPUTED_VALUE"""),794379.0)</f>
        <v>794379</v>
      </c>
    </row>
    <row r="1937">
      <c r="A1937" s="3">
        <f>IFERROR(__xludf.DUMMYFUNCTION("""COMPUTED_VALUE"""),41086.645833333336)</f>
        <v>41086.64583</v>
      </c>
      <c r="B1937" s="2">
        <f>IFERROR(__xludf.DUMMYFUNCTION("""COMPUTED_VALUE"""),608.75)</f>
        <v>608.75</v>
      </c>
      <c r="C1937" s="2">
        <f>IFERROR(__xludf.DUMMYFUNCTION("""COMPUTED_VALUE"""),618.5)</f>
        <v>618.5</v>
      </c>
      <c r="D1937" s="2">
        <f>IFERROR(__xludf.DUMMYFUNCTION("""COMPUTED_VALUE"""),608.53)</f>
        <v>608.53</v>
      </c>
      <c r="E1937" s="2">
        <f>IFERROR(__xludf.DUMMYFUNCTION("""COMPUTED_VALUE"""),617.55)</f>
        <v>617.55</v>
      </c>
      <c r="F1937" s="2">
        <f>IFERROR(__xludf.DUMMYFUNCTION("""COMPUTED_VALUE"""),554857.0)</f>
        <v>554857</v>
      </c>
    </row>
    <row r="1938">
      <c r="A1938" s="3">
        <f>IFERROR(__xludf.DUMMYFUNCTION("""COMPUTED_VALUE"""),41087.645833333336)</f>
        <v>41087.64583</v>
      </c>
      <c r="B1938" s="2">
        <f>IFERROR(__xludf.DUMMYFUNCTION("""COMPUTED_VALUE"""),618.13)</f>
        <v>618.13</v>
      </c>
      <c r="C1938" s="2">
        <f>IFERROR(__xludf.DUMMYFUNCTION("""COMPUTED_VALUE"""),629.4)</f>
        <v>629.4</v>
      </c>
      <c r="D1938" s="2">
        <f>IFERROR(__xludf.DUMMYFUNCTION("""COMPUTED_VALUE"""),618.13)</f>
        <v>618.13</v>
      </c>
      <c r="E1938" s="2">
        <f>IFERROR(__xludf.DUMMYFUNCTION("""COMPUTED_VALUE"""),623.35)</f>
        <v>623.35</v>
      </c>
      <c r="F1938" s="2">
        <f>IFERROR(__xludf.DUMMYFUNCTION("""COMPUTED_VALUE"""),1152931.0)</f>
        <v>1152931</v>
      </c>
    </row>
    <row r="1939">
      <c r="A1939" s="3">
        <f>IFERROR(__xludf.DUMMYFUNCTION("""COMPUTED_VALUE"""),41088.645833333336)</f>
        <v>41088.64583</v>
      </c>
      <c r="B1939" s="2">
        <f>IFERROR(__xludf.DUMMYFUNCTION("""COMPUTED_VALUE"""),623.48)</f>
        <v>623.48</v>
      </c>
      <c r="C1939" s="2">
        <f>IFERROR(__xludf.DUMMYFUNCTION("""COMPUTED_VALUE"""),631.95)</f>
        <v>631.95</v>
      </c>
      <c r="D1939" s="2">
        <f>IFERROR(__xludf.DUMMYFUNCTION("""COMPUTED_VALUE"""),618.13)</f>
        <v>618.13</v>
      </c>
      <c r="E1939" s="2">
        <f>IFERROR(__xludf.DUMMYFUNCTION("""COMPUTED_VALUE"""),629.42)</f>
        <v>629.42</v>
      </c>
      <c r="F1939" s="2">
        <f>IFERROR(__xludf.DUMMYFUNCTION("""COMPUTED_VALUE"""),947114.0)</f>
        <v>947114</v>
      </c>
    </row>
    <row r="1940">
      <c r="A1940" s="3">
        <f>IFERROR(__xludf.DUMMYFUNCTION("""COMPUTED_VALUE"""),41089.645833333336)</f>
        <v>41089.64583</v>
      </c>
      <c r="B1940" s="2">
        <f>IFERROR(__xludf.DUMMYFUNCTION("""COMPUTED_VALUE"""),631.67)</f>
        <v>631.67</v>
      </c>
      <c r="C1940" s="2">
        <f>IFERROR(__xludf.DUMMYFUNCTION("""COMPUTED_VALUE"""),643.5)</f>
        <v>643.5</v>
      </c>
      <c r="D1940" s="2">
        <f>IFERROR(__xludf.DUMMYFUNCTION("""COMPUTED_VALUE"""),631.45)</f>
        <v>631.45</v>
      </c>
      <c r="E1940" s="2">
        <f>IFERROR(__xludf.DUMMYFUNCTION("""COMPUTED_VALUE"""),638.73)</f>
        <v>638.73</v>
      </c>
      <c r="F1940" s="2">
        <f>IFERROR(__xludf.DUMMYFUNCTION("""COMPUTED_VALUE"""),995075.0)</f>
        <v>995075</v>
      </c>
    </row>
    <row r="1941">
      <c r="A1941" s="3">
        <f>IFERROR(__xludf.DUMMYFUNCTION("""COMPUTED_VALUE"""),41092.645833333336)</f>
        <v>41092.64583</v>
      </c>
      <c r="B1941" s="2">
        <f>IFERROR(__xludf.DUMMYFUNCTION("""COMPUTED_VALUE"""),639.5)</f>
        <v>639.5</v>
      </c>
      <c r="C1941" s="2">
        <f>IFERROR(__xludf.DUMMYFUNCTION("""COMPUTED_VALUE"""),639.5)</f>
        <v>639.5</v>
      </c>
      <c r="D1941" s="2">
        <f>IFERROR(__xludf.DUMMYFUNCTION("""COMPUTED_VALUE"""),628.23)</f>
        <v>628.23</v>
      </c>
      <c r="E1941" s="2">
        <f>IFERROR(__xludf.DUMMYFUNCTION("""COMPUTED_VALUE"""),629.73)</f>
        <v>629.73</v>
      </c>
      <c r="F1941" s="2">
        <f>IFERROR(__xludf.DUMMYFUNCTION("""COMPUTED_VALUE"""),1055550.0)</f>
        <v>1055550</v>
      </c>
    </row>
    <row r="1942">
      <c r="A1942" s="3">
        <f>IFERROR(__xludf.DUMMYFUNCTION("""COMPUTED_VALUE"""),41093.645833333336)</f>
        <v>41093.64583</v>
      </c>
      <c r="B1942" s="2">
        <f>IFERROR(__xludf.DUMMYFUNCTION("""COMPUTED_VALUE"""),632.5)</f>
        <v>632.5</v>
      </c>
      <c r="C1942" s="2">
        <f>IFERROR(__xludf.DUMMYFUNCTION("""COMPUTED_VALUE"""),634.9)</f>
        <v>634.9</v>
      </c>
      <c r="D1942" s="2">
        <f>IFERROR(__xludf.DUMMYFUNCTION("""COMPUTED_VALUE"""),615.15)</f>
        <v>615.15</v>
      </c>
      <c r="E1942" s="2">
        <f>IFERROR(__xludf.DUMMYFUNCTION("""COMPUTED_VALUE"""),619.7)</f>
        <v>619.7</v>
      </c>
      <c r="F1942" s="2">
        <f>IFERROR(__xludf.DUMMYFUNCTION("""COMPUTED_VALUE"""),1113646.0)</f>
        <v>1113646</v>
      </c>
    </row>
    <row r="1943">
      <c r="A1943" s="3">
        <f>IFERROR(__xludf.DUMMYFUNCTION("""COMPUTED_VALUE"""),41094.645833333336)</f>
        <v>41094.64583</v>
      </c>
      <c r="B1943" s="2">
        <f>IFERROR(__xludf.DUMMYFUNCTION("""COMPUTED_VALUE"""),621.75)</f>
        <v>621.75</v>
      </c>
      <c r="C1943" s="2">
        <f>IFERROR(__xludf.DUMMYFUNCTION("""COMPUTED_VALUE"""),624.75)</f>
        <v>624.75</v>
      </c>
      <c r="D1943" s="2">
        <f>IFERROR(__xludf.DUMMYFUNCTION("""COMPUTED_VALUE"""),615.78)</f>
        <v>615.78</v>
      </c>
      <c r="E1943" s="2">
        <f>IFERROR(__xludf.DUMMYFUNCTION("""COMPUTED_VALUE"""),623.92)</f>
        <v>623.92</v>
      </c>
      <c r="F1943" s="2">
        <f>IFERROR(__xludf.DUMMYFUNCTION("""COMPUTED_VALUE"""),650903.0)</f>
        <v>650903</v>
      </c>
    </row>
    <row r="1944">
      <c r="A1944" s="3">
        <f>IFERROR(__xludf.DUMMYFUNCTION("""COMPUTED_VALUE"""),41095.645833333336)</f>
        <v>41095.64583</v>
      </c>
      <c r="B1944" s="2">
        <f>IFERROR(__xludf.DUMMYFUNCTION("""COMPUTED_VALUE"""),623.92)</f>
        <v>623.92</v>
      </c>
      <c r="C1944" s="2">
        <f>IFERROR(__xludf.DUMMYFUNCTION("""COMPUTED_VALUE"""),623.92)</f>
        <v>623.92</v>
      </c>
      <c r="D1944" s="2">
        <f>IFERROR(__xludf.DUMMYFUNCTION("""COMPUTED_VALUE"""),617.6)</f>
        <v>617.6</v>
      </c>
      <c r="E1944" s="2">
        <f>IFERROR(__xludf.DUMMYFUNCTION("""COMPUTED_VALUE"""),620.3)</f>
        <v>620.3</v>
      </c>
      <c r="F1944" s="2">
        <f>IFERROR(__xludf.DUMMYFUNCTION("""COMPUTED_VALUE"""),760438.0)</f>
        <v>760438</v>
      </c>
    </row>
    <row r="1945">
      <c r="A1945" s="3">
        <f>IFERROR(__xludf.DUMMYFUNCTION("""COMPUTED_VALUE"""),41096.645833333336)</f>
        <v>41096.64583</v>
      </c>
      <c r="B1945" s="2">
        <f>IFERROR(__xludf.DUMMYFUNCTION("""COMPUTED_VALUE"""),620.0)</f>
        <v>620</v>
      </c>
      <c r="C1945" s="2">
        <f>IFERROR(__xludf.DUMMYFUNCTION("""COMPUTED_VALUE"""),626.4)</f>
        <v>626.4</v>
      </c>
      <c r="D1945" s="2">
        <f>IFERROR(__xludf.DUMMYFUNCTION("""COMPUTED_VALUE"""),613.5)</f>
        <v>613.5</v>
      </c>
      <c r="E1945" s="2">
        <f>IFERROR(__xludf.DUMMYFUNCTION("""COMPUTED_VALUE"""),623.88)</f>
        <v>623.88</v>
      </c>
      <c r="F1945" s="2">
        <f>IFERROR(__xludf.DUMMYFUNCTION("""COMPUTED_VALUE"""),964964.0)</f>
        <v>964964</v>
      </c>
    </row>
    <row r="1946">
      <c r="A1946" s="3">
        <f>IFERROR(__xludf.DUMMYFUNCTION("""COMPUTED_VALUE"""),41099.645833333336)</f>
        <v>41099.64583</v>
      </c>
      <c r="B1946" s="2">
        <f>IFERROR(__xludf.DUMMYFUNCTION("""COMPUTED_VALUE"""),622.5)</f>
        <v>622.5</v>
      </c>
      <c r="C1946" s="2">
        <f>IFERROR(__xludf.DUMMYFUNCTION("""COMPUTED_VALUE"""),632.28)</f>
        <v>632.28</v>
      </c>
      <c r="D1946" s="2">
        <f>IFERROR(__xludf.DUMMYFUNCTION("""COMPUTED_VALUE"""),621.67)</f>
        <v>621.67</v>
      </c>
      <c r="E1946" s="2">
        <f>IFERROR(__xludf.DUMMYFUNCTION("""COMPUTED_VALUE"""),629.7)</f>
        <v>629.7</v>
      </c>
      <c r="F1946" s="2">
        <f>IFERROR(__xludf.DUMMYFUNCTION("""COMPUTED_VALUE"""),956384.0)</f>
        <v>956384</v>
      </c>
    </row>
    <row r="1947">
      <c r="A1947" s="3">
        <f>IFERROR(__xludf.DUMMYFUNCTION("""COMPUTED_VALUE"""),41100.645833333336)</f>
        <v>41100.64583</v>
      </c>
      <c r="B1947" s="2">
        <f>IFERROR(__xludf.DUMMYFUNCTION("""COMPUTED_VALUE"""),632.5)</f>
        <v>632.5</v>
      </c>
      <c r="C1947" s="2">
        <f>IFERROR(__xludf.DUMMYFUNCTION("""COMPUTED_VALUE"""),635.13)</f>
        <v>635.13</v>
      </c>
      <c r="D1947" s="2">
        <f>IFERROR(__xludf.DUMMYFUNCTION("""COMPUTED_VALUE"""),624.78)</f>
        <v>624.78</v>
      </c>
      <c r="E1947" s="2">
        <f>IFERROR(__xludf.DUMMYFUNCTION("""COMPUTED_VALUE"""),630.85)</f>
        <v>630.85</v>
      </c>
      <c r="F1947" s="2">
        <f>IFERROR(__xludf.DUMMYFUNCTION("""COMPUTED_VALUE"""),1258799.0)</f>
        <v>1258799</v>
      </c>
    </row>
    <row r="1948">
      <c r="A1948" s="3">
        <f>IFERROR(__xludf.DUMMYFUNCTION("""COMPUTED_VALUE"""),41101.645833333336)</f>
        <v>41101.64583</v>
      </c>
      <c r="B1948" s="2">
        <f>IFERROR(__xludf.DUMMYFUNCTION("""COMPUTED_VALUE"""),626.63)</f>
        <v>626.63</v>
      </c>
      <c r="C1948" s="2">
        <f>IFERROR(__xludf.DUMMYFUNCTION("""COMPUTED_VALUE"""),637.25)</f>
        <v>637.25</v>
      </c>
      <c r="D1948" s="2">
        <f>IFERROR(__xludf.DUMMYFUNCTION("""COMPUTED_VALUE"""),626.63)</f>
        <v>626.63</v>
      </c>
      <c r="E1948" s="2">
        <f>IFERROR(__xludf.DUMMYFUNCTION("""COMPUTED_VALUE"""),629.15)</f>
        <v>629.15</v>
      </c>
      <c r="F1948" s="2">
        <f>IFERROR(__xludf.DUMMYFUNCTION("""COMPUTED_VALUE"""),1017269.0)</f>
        <v>1017269</v>
      </c>
    </row>
    <row r="1949">
      <c r="A1949" s="3">
        <f>IFERROR(__xludf.DUMMYFUNCTION("""COMPUTED_VALUE"""),41102.645833333336)</f>
        <v>41102.64583</v>
      </c>
      <c r="B1949" s="2">
        <f>IFERROR(__xludf.DUMMYFUNCTION("""COMPUTED_VALUE"""),612.5)</f>
        <v>612.5</v>
      </c>
      <c r="C1949" s="2">
        <f>IFERROR(__xludf.DUMMYFUNCTION("""COMPUTED_VALUE"""),625.0)</f>
        <v>625</v>
      </c>
      <c r="D1949" s="2">
        <f>IFERROR(__xludf.DUMMYFUNCTION("""COMPUTED_VALUE"""),609.65)</f>
        <v>609.65</v>
      </c>
      <c r="E1949" s="2">
        <f>IFERROR(__xludf.DUMMYFUNCTION("""COMPUTED_VALUE"""),618.0)</f>
        <v>618</v>
      </c>
      <c r="F1949" s="2">
        <f>IFERROR(__xludf.DUMMYFUNCTION("""COMPUTED_VALUE"""),3929540.0)</f>
        <v>3929540</v>
      </c>
    </row>
    <row r="1950">
      <c r="A1950" s="3">
        <f>IFERROR(__xludf.DUMMYFUNCTION("""COMPUTED_VALUE"""),41103.645833333336)</f>
        <v>41103.64583</v>
      </c>
      <c r="B1950" s="2">
        <f>IFERROR(__xludf.DUMMYFUNCTION("""COMPUTED_VALUE"""),636.9)</f>
        <v>636.9</v>
      </c>
      <c r="C1950" s="2">
        <f>IFERROR(__xludf.DUMMYFUNCTION("""COMPUTED_VALUE"""),642.0)</f>
        <v>642</v>
      </c>
      <c r="D1950" s="2">
        <f>IFERROR(__xludf.DUMMYFUNCTION("""COMPUTED_VALUE"""),621.5)</f>
        <v>621.5</v>
      </c>
      <c r="E1950" s="2">
        <f>IFERROR(__xludf.DUMMYFUNCTION("""COMPUTED_VALUE"""),624.7)</f>
        <v>624.7</v>
      </c>
      <c r="F1950" s="2">
        <f>IFERROR(__xludf.DUMMYFUNCTION("""COMPUTED_VALUE"""),3608577.0)</f>
        <v>3608577</v>
      </c>
    </row>
    <row r="1951">
      <c r="A1951" s="3">
        <f>IFERROR(__xludf.DUMMYFUNCTION("""COMPUTED_VALUE"""),41106.645833333336)</f>
        <v>41106.64583</v>
      </c>
      <c r="B1951" s="2">
        <f>IFERROR(__xludf.DUMMYFUNCTION("""COMPUTED_VALUE"""),624.5)</f>
        <v>624.5</v>
      </c>
      <c r="C1951" s="2">
        <f>IFERROR(__xludf.DUMMYFUNCTION("""COMPUTED_VALUE"""),629.63)</f>
        <v>629.63</v>
      </c>
      <c r="D1951" s="2">
        <f>IFERROR(__xludf.DUMMYFUNCTION("""COMPUTED_VALUE"""),601.45)</f>
        <v>601.45</v>
      </c>
      <c r="E1951" s="2">
        <f>IFERROR(__xludf.DUMMYFUNCTION("""COMPUTED_VALUE"""),603.67)</f>
        <v>603.67</v>
      </c>
      <c r="F1951" s="2">
        <f>IFERROR(__xludf.DUMMYFUNCTION("""COMPUTED_VALUE"""),1810313.0)</f>
        <v>1810313</v>
      </c>
    </row>
    <row r="1952">
      <c r="A1952" s="3">
        <f>IFERROR(__xludf.DUMMYFUNCTION("""COMPUTED_VALUE"""),41107.645833333336)</f>
        <v>41107.64583</v>
      </c>
      <c r="B1952" s="2">
        <f>IFERROR(__xludf.DUMMYFUNCTION("""COMPUTED_VALUE"""),609.0)</f>
        <v>609</v>
      </c>
      <c r="C1952" s="2">
        <f>IFERROR(__xludf.DUMMYFUNCTION("""COMPUTED_VALUE"""),612.0)</f>
        <v>612</v>
      </c>
      <c r="D1952" s="2">
        <f>IFERROR(__xludf.DUMMYFUNCTION("""COMPUTED_VALUE"""),587.6)</f>
        <v>587.6</v>
      </c>
      <c r="E1952" s="2">
        <f>IFERROR(__xludf.DUMMYFUNCTION("""COMPUTED_VALUE"""),592.95)</f>
        <v>592.95</v>
      </c>
      <c r="F1952" s="2">
        <f>IFERROR(__xludf.DUMMYFUNCTION("""COMPUTED_VALUE"""),3191908.0)</f>
        <v>3191908</v>
      </c>
    </row>
    <row r="1953">
      <c r="A1953" s="3">
        <f>IFERROR(__xludf.DUMMYFUNCTION("""COMPUTED_VALUE"""),41108.645833333336)</f>
        <v>41108.64583</v>
      </c>
      <c r="B1953" s="2">
        <f>IFERROR(__xludf.DUMMYFUNCTION("""COMPUTED_VALUE"""),597.5)</f>
        <v>597.5</v>
      </c>
      <c r="C1953" s="2">
        <f>IFERROR(__xludf.DUMMYFUNCTION("""COMPUTED_VALUE"""),602.2)</f>
        <v>602.2</v>
      </c>
      <c r="D1953" s="2">
        <f>IFERROR(__xludf.DUMMYFUNCTION("""COMPUTED_VALUE"""),589.25)</f>
        <v>589.25</v>
      </c>
      <c r="E1953" s="2">
        <f>IFERROR(__xludf.DUMMYFUNCTION("""COMPUTED_VALUE"""),597.65)</f>
        <v>597.65</v>
      </c>
      <c r="F1953" s="2">
        <f>IFERROR(__xludf.DUMMYFUNCTION("""COMPUTED_VALUE"""),1487643.0)</f>
        <v>1487643</v>
      </c>
    </row>
    <row r="1954">
      <c r="A1954" s="3">
        <f>IFERROR(__xludf.DUMMYFUNCTION("""COMPUTED_VALUE"""),41109.645833333336)</f>
        <v>41109.64583</v>
      </c>
      <c r="B1954" s="2">
        <f>IFERROR(__xludf.DUMMYFUNCTION("""COMPUTED_VALUE"""),601.5)</f>
        <v>601.5</v>
      </c>
      <c r="C1954" s="2">
        <f>IFERROR(__xludf.DUMMYFUNCTION("""COMPUTED_VALUE"""),605.0)</f>
        <v>605</v>
      </c>
      <c r="D1954" s="2">
        <f>IFERROR(__xludf.DUMMYFUNCTION("""COMPUTED_VALUE"""),597.63)</f>
        <v>597.63</v>
      </c>
      <c r="E1954" s="2">
        <f>IFERROR(__xludf.DUMMYFUNCTION("""COMPUTED_VALUE"""),600.5)</f>
        <v>600.5</v>
      </c>
      <c r="F1954" s="2">
        <f>IFERROR(__xludf.DUMMYFUNCTION("""COMPUTED_VALUE"""),667676.0)</f>
        <v>667676</v>
      </c>
    </row>
    <row r="1955">
      <c r="A1955" s="3">
        <f>IFERROR(__xludf.DUMMYFUNCTION("""COMPUTED_VALUE"""),41110.645833333336)</f>
        <v>41110.64583</v>
      </c>
      <c r="B1955" s="2">
        <f>IFERROR(__xludf.DUMMYFUNCTION("""COMPUTED_VALUE"""),600.5)</f>
        <v>600.5</v>
      </c>
      <c r="C1955" s="2">
        <f>IFERROR(__xludf.DUMMYFUNCTION("""COMPUTED_VALUE"""),614.0)</f>
        <v>614</v>
      </c>
      <c r="D1955" s="2">
        <f>IFERROR(__xludf.DUMMYFUNCTION("""COMPUTED_VALUE"""),600.15)</f>
        <v>600.15</v>
      </c>
      <c r="E1955" s="2">
        <f>IFERROR(__xludf.DUMMYFUNCTION("""COMPUTED_VALUE"""),611.53)</f>
        <v>611.53</v>
      </c>
      <c r="F1955" s="2">
        <f>IFERROR(__xludf.DUMMYFUNCTION("""COMPUTED_VALUE"""),1689113.0)</f>
        <v>1689113</v>
      </c>
    </row>
    <row r="1956">
      <c r="A1956" s="3">
        <f>IFERROR(__xludf.DUMMYFUNCTION("""COMPUTED_VALUE"""),41113.645833333336)</f>
        <v>41113.64583</v>
      </c>
      <c r="B1956" s="2">
        <f>IFERROR(__xludf.DUMMYFUNCTION("""COMPUTED_VALUE"""),604.0)</f>
        <v>604</v>
      </c>
      <c r="C1956" s="2">
        <f>IFERROR(__xludf.DUMMYFUNCTION("""COMPUTED_VALUE"""),613.6)</f>
        <v>613.6</v>
      </c>
      <c r="D1956" s="2">
        <f>IFERROR(__xludf.DUMMYFUNCTION("""COMPUTED_VALUE"""),600.5)</f>
        <v>600.5</v>
      </c>
      <c r="E1956" s="2">
        <f>IFERROR(__xludf.DUMMYFUNCTION("""COMPUTED_VALUE"""),607.13)</f>
        <v>607.13</v>
      </c>
      <c r="F1956" s="2">
        <f>IFERROR(__xludf.DUMMYFUNCTION("""COMPUTED_VALUE"""),1451599.0)</f>
        <v>1451599</v>
      </c>
    </row>
    <row r="1957">
      <c r="A1957" s="3">
        <f>IFERROR(__xludf.DUMMYFUNCTION("""COMPUTED_VALUE"""),41114.645833333336)</f>
        <v>41114.64583</v>
      </c>
      <c r="B1957" s="2">
        <f>IFERROR(__xludf.DUMMYFUNCTION("""COMPUTED_VALUE"""),604.05)</f>
        <v>604.05</v>
      </c>
      <c r="C1957" s="2">
        <f>IFERROR(__xludf.DUMMYFUNCTION("""COMPUTED_VALUE"""),609.33)</f>
        <v>609.33</v>
      </c>
      <c r="D1957" s="2">
        <f>IFERROR(__xludf.DUMMYFUNCTION("""COMPUTED_VALUE"""),598.55)</f>
        <v>598.55</v>
      </c>
      <c r="E1957" s="2">
        <f>IFERROR(__xludf.DUMMYFUNCTION("""COMPUTED_VALUE"""),604.58)</f>
        <v>604.58</v>
      </c>
      <c r="F1957" s="2">
        <f>IFERROR(__xludf.DUMMYFUNCTION("""COMPUTED_VALUE"""),824046.0)</f>
        <v>824046</v>
      </c>
    </row>
    <row r="1958">
      <c r="A1958" s="3">
        <f>IFERROR(__xludf.DUMMYFUNCTION("""COMPUTED_VALUE"""),41115.645833333336)</f>
        <v>41115.64583</v>
      </c>
      <c r="B1958" s="2">
        <f>IFERROR(__xludf.DUMMYFUNCTION("""COMPUTED_VALUE"""),602.0)</f>
        <v>602</v>
      </c>
      <c r="C1958" s="2">
        <f>IFERROR(__xludf.DUMMYFUNCTION("""COMPUTED_VALUE"""),608.5)</f>
        <v>608.5</v>
      </c>
      <c r="D1958" s="2">
        <f>IFERROR(__xludf.DUMMYFUNCTION("""COMPUTED_VALUE"""),598.45)</f>
        <v>598.45</v>
      </c>
      <c r="E1958" s="2">
        <f>IFERROR(__xludf.DUMMYFUNCTION("""COMPUTED_VALUE"""),606.58)</f>
        <v>606.58</v>
      </c>
      <c r="F1958" s="2">
        <f>IFERROR(__xludf.DUMMYFUNCTION("""COMPUTED_VALUE"""),833015.0)</f>
        <v>833015</v>
      </c>
    </row>
    <row r="1959">
      <c r="A1959" s="3">
        <f>IFERROR(__xludf.DUMMYFUNCTION("""COMPUTED_VALUE"""),41116.645833333336)</f>
        <v>41116.64583</v>
      </c>
      <c r="B1959" s="2">
        <f>IFERROR(__xludf.DUMMYFUNCTION("""COMPUTED_VALUE"""),606.5)</f>
        <v>606.5</v>
      </c>
      <c r="C1959" s="2">
        <f>IFERROR(__xludf.DUMMYFUNCTION("""COMPUTED_VALUE"""),610.5)</f>
        <v>610.5</v>
      </c>
      <c r="D1959" s="2">
        <f>IFERROR(__xludf.DUMMYFUNCTION("""COMPUTED_VALUE"""),595.1)</f>
        <v>595.1</v>
      </c>
      <c r="E1959" s="2">
        <f>IFERROR(__xludf.DUMMYFUNCTION("""COMPUTED_VALUE"""),599.23)</f>
        <v>599.23</v>
      </c>
      <c r="F1959" s="2">
        <f>IFERROR(__xludf.DUMMYFUNCTION("""COMPUTED_VALUE"""),1472873.0)</f>
        <v>1472873</v>
      </c>
    </row>
    <row r="1960">
      <c r="A1960" s="3">
        <f>IFERROR(__xludf.DUMMYFUNCTION("""COMPUTED_VALUE"""),41117.645833333336)</f>
        <v>41117.64583</v>
      </c>
      <c r="B1960" s="2">
        <f>IFERROR(__xludf.DUMMYFUNCTION("""COMPUTED_VALUE"""),607.5)</f>
        <v>607.5</v>
      </c>
      <c r="C1960" s="2">
        <f>IFERROR(__xludf.DUMMYFUNCTION("""COMPUTED_VALUE"""),615.1)</f>
        <v>615.1</v>
      </c>
      <c r="D1960" s="2">
        <f>IFERROR(__xludf.DUMMYFUNCTION("""COMPUTED_VALUE"""),601.63)</f>
        <v>601.63</v>
      </c>
      <c r="E1960" s="2">
        <f>IFERROR(__xludf.DUMMYFUNCTION("""COMPUTED_VALUE"""),612.65)</f>
        <v>612.65</v>
      </c>
      <c r="F1960" s="2">
        <f>IFERROR(__xludf.DUMMYFUNCTION("""COMPUTED_VALUE"""),921488.0)</f>
        <v>921488</v>
      </c>
    </row>
    <row r="1961">
      <c r="A1961" s="3">
        <f>IFERROR(__xludf.DUMMYFUNCTION("""COMPUTED_VALUE"""),41120.645833333336)</f>
        <v>41120.64583</v>
      </c>
      <c r="B1961" s="2">
        <f>IFERROR(__xludf.DUMMYFUNCTION("""COMPUTED_VALUE"""),617.45)</f>
        <v>617.45</v>
      </c>
      <c r="C1961" s="2">
        <f>IFERROR(__xludf.DUMMYFUNCTION("""COMPUTED_VALUE"""),621.42)</f>
        <v>621.42</v>
      </c>
      <c r="D1961" s="2">
        <f>IFERROR(__xludf.DUMMYFUNCTION("""COMPUTED_VALUE"""),607.28)</f>
        <v>607.28</v>
      </c>
      <c r="E1961" s="2">
        <f>IFERROR(__xludf.DUMMYFUNCTION("""COMPUTED_VALUE"""),615.5)</f>
        <v>615.5</v>
      </c>
      <c r="F1961" s="2">
        <f>IFERROR(__xludf.DUMMYFUNCTION("""COMPUTED_VALUE"""),1312856.0)</f>
        <v>1312856</v>
      </c>
    </row>
    <row r="1962">
      <c r="A1962" s="3">
        <f>IFERROR(__xludf.DUMMYFUNCTION("""COMPUTED_VALUE"""),41121.645833333336)</f>
        <v>41121.64583</v>
      </c>
      <c r="B1962" s="2">
        <f>IFERROR(__xludf.DUMMYFUNCTION("""COMPUTED_VALUE"""),617.5)</f>
        <v>617.5</v>
      </c>
      <c r="C1962" s="2">
        <f>IFERROR(__xludf.DUMMYFUNCTION("""COMPUTED_VALUE"""),624.63)</f>
        <v>624.63</v>
      </c>
      <c r="D1962" s="2">
        <f>IFERROR(__xludf.DUMMYFUNCTION("""COMPUTED_VALUE"""),613.13)</f>
        <v>613.13</v>
      </c>
      <c r="E1962" s="2">
        <f>IFERROR(__xludf.DUMMYFUNCTION("""COMPUTED_VALUE"""),621.83)</f>
        <v>621.83</v>
      </c>
      <c r="F1962" s="2">
        <f>IFERROR(__xludf.DUMMYFUNCTION("""COMPUTED_VALUE"""),989982.0)</f>
        <v>989982</v>
      </c>
    </row>
    <row r="1963">
      <c r="A1963" s="3">
        <f>IFERROR(__xludf.DUMMYFUNCTION("""COMPUTED_VALUE"""),41122.645833333336)</f>
        <v>41122.64583</v>
      </c>
      <c r="B1963" s="2">
        <f>IFERROR(__xludf.DUMMYFUNCTION("""COMPUTED_VALUE"""),619.05)</f>
        <v>619.05</v>
      </c>
      <c r="C1963" s="2">
        <f>IFERROR(__xludf.DUMMYFUNCTION("""COMPUTED_VALUE"""),622.4)</f>
        <v>622.4</v>
      </c>
      <c r="D1963" s="2">
        <f>IFERROR(__xludf.DUMMYFUNCTION("""COMPUTED_VALUE"""),611.05)</f>
        <v>611.05</v>
      </c>
      <c r="E1963" s="2">
        <f>IFERROR(__xludf.DUMMYFUNCTION("""COMPUTED_VALUE"""),612.33)</f>
        <v>612.33</v>
      </c>
      <c r="F1963" s="2">
        <f>IFERROR(__xludf.DUMMYFUNCTION("""COMPUTED_VALUE"""),647875.0)</f>
        <v>647875</v>
      </c>
    </row>
    <row r="1964">
      <c r="A1964" s="3">
        <f>IFERROR(__xludf.DUMMYFUNCTION("""COMPUTED_VALUE"""),41123.645833333336)</f>
        <v>41123.64583</v>
      </c>
      <c r="B1964" s="2">
        <f>IFERROR(__xludf.DUMMYFUNCTION("""COMPUTED_VALUE"""),614.98)</f>
        <v>614.98</v>
      </c>
      <c r="C1964" s="2">
        <f>IFERROR(__xludf.DUMMYFUNCTION("""COMPUTED_VALUE"""),618.35)</f>
        <v>618.35</v>
      </c>
      <c r="D1964" s="2">
        <f>IFERROR(__xludf.DUMMYFUNCTION("""COMPUTED_VALUE"""),611.0)</f>
        <v>611</v>
      </c>
      <c r="E1964" s="2">
        <f>IFERROR(__xludf.DUMMYFUNCTION("""COMPUTED_VALUE"""),616.4)</f>
        <v>616.4</v>
      </c>
      <c r="F1964" s="2">
        <f>IFERROR(__xludf.DUMMYFUNCTION("""COMPUTED_VALUE"""),475529.0)</f>
        <v>475529</v>
      </c>
    </row>
    <row r="1965">
      <c r="A1965" s="3">
        <f>IFERROR(__xludf.DUMMYFUNCTION("""COMPUTED_VALUE"""),41124.645833333336)</f>
        <v>41124.64583</v>
      </c>
      <c r="B1965" s="2">
        <f>IFERROR(__xludf.DUMMYFUNCTION("""COMPUTED_VALUE"""),614.0)</f>
        <v>614</v>
      </c>
      <c r="C1965" s="2">
        <f>IFERROR(__xludf.DUMMYFUNCTION("""COMPUTED_VALUE"""),620.13)</f>
        <v>620.13</v>
      </c>
      <c r="D1965" s="2">
        <f>IFERROR(__xludf.DUMMYFUNCTION("""COMPUTED_VALUE"""),609.05)</f>
        <v>609.05</v>
      </c>
      <c r="E1965" s="2">
        <f>IFERROR(__xludf.DUMMYFUNCTION("""COMPUTED_VALUE"""),618.45)</f>
        <v>618.45</v>
      </c>
      <c r="F1965" s="2">
        <f>IFERROR(__xludf.DUMMYFUNCTION("""COMPUTED_VALUE"""),488868.0)</f>
        <v>488868</v>
      </c>
    </row>
    <row r="1966">
      <c r="A1966" s="3">
        <f>IFERROR(__xludf.DUMMYFUNCTION("""COMPUTED_VALUE"""),41127.645833333336)</f>
        <v>41127.64583</v>
      </c>
      <c r="B1966" s="2">
        <f>IFERROR(__xludf.DUMMYFUNCTION("""COMPUTED_VALUE"""),622.5)</f>
        <v>622.5</v>
      </c>
      <c r="C1966" s="2">
        <f>IFERROR(__xludf.DUMMYFUNCTION("""COMPUTED_VALUE"""),624.0)</f>
        <v>624</v>
      </c>
      <c r="D1966" s="2">
        <f>IFERROR(__xludf.DUMMYFUNCTION("""COMPUTED_VALUE"""),612.6)</f>
        <v>612.6</v>
      </c>
      <c r="E1966" s="2">
        <f>IFERROR(__xludf.DUMMYFUNCTION("""COMPUTED_VALUE"""),614.45)</f>
        <v>614.45</v>
      </c>
      <c r="F1966" s="2">
        <f>IFERROR(__xludf.DUMMYFUNCTION("""COMPUTED_VALUE"""),507770.0)</f>
        <v>507770</v>
      </c>
    </row>
    <row r="1967">
      <c r="A1967" s="3">
        <f>IFERROR(__xludf.DUMMYFUNCTION("""COMPUTED_VALUE"""),41128.645833333336)</f>
        <v>41128.64583</v>
      </c>
      <c r="B1967" s="2">
        <f>IFERROR(__xludf.DUMMYFUNCTION("""COMPUTED_VALUE"""),619.5)</f>
        <v>619.5</v>
      </c>
      <c r="C1967" s="2">
        <f>IFERROR(__xludf.DUMMYFUNCTION("""COMPUTED_VALUE"""),633.1)</f>
        <v>633.1</v>
      </c>
      <c r="D1967" s="2">
        <f>IFERROR(__xludf.DUMMYFUNCTION("""COMPUTED_VALUE"""),617.33)</f>
        <v>617.33</v>
      </c>
      <c r="E1967" s="2">
        <f>IFERROR(__xludf.DUMMYFUNCTION("""COMPUTED_VALUE"""),632.03)</f>
        <v>632.03</v>
      </c>
      <c r="F1967" s="2">
        <f>IFERROR(__xludf.DUMMYFUNCTION("""COMPUTED_VALUE"""),1049577.0)</f>
        <v>1049577</v>
      </c>
    </row>
    <row r="1968">
      <c r="A1968" s="3">
        <f>IFERROR(__xludf.DUMMYFUNCTION("""COMPUTED_VALUE"""),41129.645833333336)</f>
        <v>41129.64583</v>
      </c>
      <c r="B1968" s="2">
        <f>IFERROR(__xludf.DUMMYFUNCTION("""COMPUTED_VALUE"""),632.5)</f>
        <v>632.5</v>
      </c>
      <c r="C1968" s="2">
        <f>IFERROR(__xludf.DUMMYFUNCTION("""COMPUTED_VALUE"""),633.33)</f>
        <v>633.33</v>
      </c>
      <c r="D1968" s="2">
        <f>IFERROR(__xludf.DUMMYFUNCTION("""COMPUTED_VALUE"""),623.2)</f>
        <v>623.2</v>
      </c>
      <c r="E1968" s="2">
        <f>IFERROR(__xludf.DUMMYFUNCTION("""COMPUTED_VALUE"""),624.6)</f>
        <v>624.6</v>
      </c>
      <c r="F1968" s="2">
        <f>IFERROR(__xludf.DUMMYFUNCTION("""COMPUTED_VALUE"""),821500.0)</f>
        <v>821500</v>
      </c>
    </row>
    <row r="1969">
      <c r="A1969" s="3">
        <f>IFERROR(__xludf.DUMMYFUNCTION("""COMPUTED_VALUE"""),41130.645833333336)</f>
        <v>41130.64583</v>
      </c>
      <c r="B1969" s="2">
        <f>IFERROR(__xludf.DUMMYFUNCTION("""COMPUTED_VALUE"""),625.13)</f>
        <v>625.13</v>
      </c>
      <c r="C1969" s="2">
        <f>IFERROR(__xludf.DUMMYFUNCTION("""COMPUTED_VALUE"""),633.92)</f>
        <v>633.92</v>
      </c>
      <c r="D1969" s="2">
        <f>IFERROR(__xludf.DUMMYFUNCTION("""COMPUTED_VALUE"""),625.13)</f>
        <v>625.13</v>
      </c>
      <c r="E1969" s="2">
        <f>IFERROR(__xludf.DUMMYFUNCTION("""COMPUTED_VALUE"""),629.08)</f>
        <v>629.08</v>
      </c>
      <c r="F1969" s="2">
        <f>IFERROR(__xludf.DUMMYFUNCTION("""COMPUTED_VALUE"""),564737.0)</f>
        <v>564737</v>
      </c>
    </row>
    <row r="1970">
      <c r="A1970" s="3">
        <f>IFERROR(__xludf.DUMMYFUNCTION("""COMPUTED_VALUE"""),41131.645833333336)</f>
        <v>41131.64583</v>
      </c>
      <c r="B1970" s="2">
        <f>IFERROR(__xludf.DUMMYFUNCTION("""COMPUTED_VALUE"""),628.0)</f>
        <v>628</v>
      </c>
      <c r="C1970" s="2">
        <f>IFERROR(__xludf.DUMMYFUNCTION("""COMPUTED_VALUE"""),642.5)</f>
        <v>642.5</v>
      </c>
      <c r="D1970" s="2">
        <f>IFERROR(__xludf.DUMMYFUNCTION("""COMPUTED_VALUE"""),627.88)</f>
        <v>627.88</v>
      </c>
      <c r="E1970" s="2">
        <f>IFERROR(__xludf.DUMMYFUNCTION("""COMPUTED_VALUE"""),640.03)</f>
        <v>640.03</v>
      </c>
      <c r="F1970" s="2">
        <f>IFERROR(__xludf.DUMMYFUNCTION("""COMPUTED_VALUE"""),1541178.0)</f>
        <v>1541178</v>
      </c>
    </row>
    <row r="1971">
      <c r="A1971" s="3">
        <f>IFERROR(__xludf.DUMMYFUNCTION("""COMPUTED_VALUE"""),41134.645833333336)</f>
        <v>41134.64583</v>
      </c>
      <c r="B1971" s="2">
        <f>IFERROR(__xludf.DUMMYFUNCTION("""COMPUTED_VALUE"""),639.55)</f>
        <v>639.55</v>
      </c>
      <c r="C1971" s="2">
        <f>IFERROR(__xludf.DUMMYFUNCTION("""COMPUTED_VALUE"""),639.55)</f>
        <v>639.55</v>
      </c>
      <c r="D1971" s="2">
        <f>IFERROR(__xludf.DUMMYFUNCTION("""COMPUTED_VALUE"""),628.63)</f>
        <v>628.63</v>
      </c>
      <c r="E1971" s="2">
        <f>IFERROR(__xludf.DUMMYFUNCTION("""COMPUTED_VALUE"""),633.15)</f>
        <v>633.15</v>
      </c>
      <c r="F1971" s="2">
        <f>IFERROR(__xludf.DUMMYFUNCTION("""COMPUTED_VALUE"""),714019.0)</f>
        <v>714019</v>
      </c>
    </row>
    <row r="1972">
      <c r="A1972" s="3">
        <f>IFERROR(__xludf.DUMMYFUNCTION("""COMPUTED_VALUE"""),41135.645833333336)</f>
        <v>41135.64583</v>
      </c>
      <c r="B1972" s="2">
        <f>IFERROR(__xludf.DUMMYFUNCTION("""COMPUTED_VALUE"""),630.0)</f>
        <v>630</v>
      </c>
      <c r="C1972" s="2">
        <f>IFERROR(__xludf.DUMMYFUNCTION("""COMPUTED_VALUE"""),636.63)</f>
        <v>636.63</v>
      </c>
      <c r="D1972" s="2">
        <f>IFERROR(__xludf.DUMMYFUNCTION("""COMPUTED_VALUE"""),629.63)</f>
        <v>629.63</v>
      </c>
      <c r="E1972" s="2">
        <f>IFERROR(__xludf.DUMMYFUNCTION("""COMPUTED_VALUE"""),634.2)</f>
        <v>634.2</v>
      </c>
      <c r="F1972" s="2">
        <f>IFERROR(__xludf.DUMMYFUNCTION("""COMPUTED_VALUE"""),568465.0)</f>
        <v>568465</v>
      </c>
    </row>
    <row r="1973">
      <c r="A1973" s="3">
        <f>IFERROR(__xludf.DUMMYFUNCTION("""COMPUTED_VALUE"""),41137.645833333336)</f>
        <v>41137.64583</v>
      </c>
      <c r="B1973" s="2">
        <f>IFERROR(__xludf.DUMMYFUNCTION("""COMPUTED_VALUE"""),635.08)</f>
        <v>635.08</v>
      </c>
      <c r="C1973" s="2">
        <f>IFERROR(__xludf.DUMMYFUNCTION("""COMPUTED_VALUE"""),635.78)</f>
        <v>635.78</v>
      </c>
      <c r="D1973" s="2">
        <f>IFERROR(__xludf.DUMMYFUNCTION("""COMPUTED_VALUE"""),626.05)</f>
        <v>626.05</v>
      </c>
      <c r="E1973" s="2">
        <f>IFERROR(__xludf.DUMMYFUNCTION("""COMPUTED_VALUE"""),631.78)</f>
        <v>631.78</v>
      </c>
      <c r="F1973" s="2">
        <f>IFERROR(__xludf.DUMMYFUNCTION("""COMPUTED_VALUE"""),894146.0)</f>
        <v>894146</v>
      </c>
    </row>
    <row r="1974">
      <c r="A1974" s="3">
        <f>IFERROR(__xludf.DUMMYFUNCTION("""COMPUTED_VALUE"""),41138.645833333336)</f>
        <v>41138.64583</v>
      </c>
      <c r="B1974" s="2">
        <f>IFERROR(__xludf.DUMMYFUNCTION("""COMPUTED_VALUE"""),632.53)</f>
        <v>632.53</v>
      </c>
      <c r="C1974" s="2">
        <f>IFERROR(__xludf.DUMMYFUNCTION("""COMPUTED_VALUE"""),642.25)</f>
        <v>642.25</v>
      </c>
      <c r="D1974" s="2">
        <f>IFERROR(__xludf.DUMMYFUNCTION("""COMPUTED_VALUE"""),632.0)</f>
        <v>632</v>
      </c>
      <c r="E1974" s="2">
        <f>IFERROR(__xludf.DUMMYFUNCTION("""COMPUTED_VALUE"""),639.3)</f>
        <v>639.3</v>
      </c>
      <c r="F1974" s="2">
        <f>IFERROR(__xludf.DUMMYFUNCTION("""COMPUTED_VALUE"""),643788.0)</f>
        <v>643788</v>
      </c>
    </row>
    <row r="1975">
      <c r="A1975" s="3">
        <f>IFERROR(__xludf.DUMMYFUNCTION("""COMPUTED_VALUE"""),41142.645833333336)</f>
        <v>41142.64583</v>
      </c>
      <c r="B1975" s="2">
        <f>IFERROR(__xludf.DUMMYFUNCTION("""COMPUTED_VALUE"""),639.95)</f>
        <v>639.95</v>
      </c>
      <c r="C1975" s="2">
        <f>IFERROR(__xludf.DUMMYFUNCTION("""COMPUTED_VALUE"""),652.5)</f>
        <v>652.5</v>
      </c>
      <c r="D1975" s="2">
        <f>IFERROR(__xludf.DUMMYFUNCTION("""COMPUTED_VALUE"""),638.55)</f>
        <v>638.55</v>
      </c>
      <c r="E1975" s="2">
        <f>IFERROR(__xludf.DUMMYFUNCTION("""COMPUTED_VALUE"""),649.33)</f>
        <v>649.33</v>
      </c>
      <c r="F1975" s="2">
        <f>IFERROR(__xludf.DUMMYFUNCTION("""COMPUTED_VALUE"""),1025788.0)</f>
        <v>1025788</v>
      </c>
    </row>
    <row r="1976">
      <c r="A1976" s="3">
        <f>IFERROR(__xludf.DUMMYFUNCTION("""COMPUTED_VALUE"""),41143.645833333336)</f>
        <v>41143.64583</v>
      </c>
      <c r="B1976" s="2">
        <f>IFERROR(__xludf.DUMMYFUNCTION("""COMPUTED_VALUE"""),647.95)</f>
        <v>647.95</v>
      </c>
      <c r="C1976" s="2">
        <f>IFERROR(__xludf.DUMMYFUNCTION("""COMPUTED_VALUE"""),654.5)</f>
        <v>654.5</v>
      </c>
      <c r="D1976" s="2">
        <f>IFERROR(__xludf.DUMMYFUNCTION("""COMPUTED_VALUE"""),644.05)</f>
        <v>644.05</v>
      </c>
      <c r="E1976" s="2">
        <f>IFERROR(__xludf.DUMMYFUNCTION("""COMPUTED_VALUE"""),645.83)</f>
        <v>645.83</v>
      </c>
      <c r="F1976" s="2">
        <f>IFERROR(__xludf.DUMMYFUNCTION("""COMPUTED_VALUE"""),567048.0)</f>
        <v>567048</v>
      </c>
    </row>
    <row r="1977">
      <c r="A1977" s="3">
        <f>IFERROR(__xludf.DUMMYFUNCTION("""COMPUTED_VALUE"""),41144.645833333336)</f>
        <v>41144.64583</v>
      </c>
      <c r="B1977" s="2">
        <f>IFERROR(__xludf.DUMMYFUNCTION("""COMPUTED_VALUE"""),645.88)</f>
        <v>645.88</v>
      </c>
      <c r="C1977" s="2">
        <f>IFERROR(__xludf.DUMMYFUNCTION("""COMPUTED_VALUE"""),663.0)</f>
        <v>663</v>
      </c>
      <c r="D1977" s="2">
        <f>IFERROR(__xludf.DUMMYFUNCTION("""COMPUTED_VALUE"""),645.88)</f>
        <v>645.88</v>
      </c>
      <c r="E1977" s="2">
        <f>IFERROR(__xludf.DUMMYFUNCTION("""COMPUTED_VALUE"""),661.73)</f>
        <v>661.73</v>
      </c>
      <c r="F1977" s="2">
        <f>IFERROR(__xludf.DUMMYFUNCTION("""COMPUTED_VALUE"""),1168657.0)</f>
        <v>1168657</v>
      </c>
    </row>
    <row r="1978">
      <c r="A1978" s="3">
        <f>IFERROR(__xludf.DUMMYFUNCTION("""COMPUTED_VALUE"""),41145.645833333336)</f>
        <v>41145.64583</v>
      </c>
      <c r="B1978" s="2">
        <f>IFERROR(__xludf.DUMMYFUNCTION("""COMPUTED_VALUE"""),660.0)</f>
        <v>660</v>
      </c>
      <c r="C1978" s="2">
        <f>IFERROR(__xludf.DUMMYFUNCTION("""COMPUTED_VALUE"""),664.2)</f>
        <v>664.2</v>
      </c>
      <c r="D1978" s="2">
        <f>IFERROR(__xludf.DUMMYFUNCTION("""COMPUTED_VALUE"""),656.5)</f>
        <v>656.5</v>
      </c>
      <c r="E1978" s="2">
        <f>IFERROR(__xludf.DUMMYFUNCTION("""COMPUTED_VALUE"""),661.43)</f>
        <v>661.43</v>
      </c>
      <c r="F1978" s="2">
        <f>IFERROR(__xludf.DUMMYFUNCTION("""COMPUTED_VALUE"""),789469.0)</f>
        <v>789469</v>
      </c>
    </row>
    <row r="1979">
      <c r="A1979" s="3">
        <f>IFERROR(__xludf.DUMMYFUNCTION("""COMPUTED_VALUE"""),41148.645833333336)</f>
        <v>41148.64583</v>
      </c>
      <c r="B1979" s="2">
        <f>IFERROR(__xludf.DUMMYFUNCTION("""COMPUTED_VALUE"""),658.1)</f>
        <v>658.1</v>
      </c>
      <c r="C1979" s="2">
        <f>IFERROR(__xludf.DUMMYFUNCTION("""COMPUTED_VALUE"""),665.45)</f>
        <v>665.45</v>
      </c>
      <c r="D1979" s="2">
        <f>IFERROR(__xludf.DUMMYFUNCTION("""COMPUTED_VALUE"""),657.5)</f>
        <v>657.5</v>
      </c>
      <c r="E1979" s="2">
        <f>IFERROR(__xludf.DUMMYFUNCTION("""COMPUTED_VALUE"""),660.23)</f>
        <v>660.23</v>
      </c>
      <c r="F1979" s="2">
        <f>IFERROR(__xludf.DUMMYFUNCTION("""COMPUTED_VALUE"""),483600.0)</f>
        <v>483600</v>
      </c>
    </row>
    <row r="1980">
      <c r="A1980" s="3">
        <f>IFERROR(__xludf.DUMMYFUNCTION("""COMPUTED_VALUE"""),41149.645833333336)</f>
        <v>41149.64583</v>
      </c>
      <c r="B1980" s="2">
        <f>IFERROR(__xludf.DUMMYFUNCTION("""COMPUTED_VALUE"""),663.48)</f>
        <v>663.48</v>
      </c>
      <c r="C1980" s="2">
        <f>IFERROR(__xludf.DUMMYFUNCTION("""COMPUTED_VALUE"""),677.33)</f>
        <v>677.33</v>
      </c>
      <c r="D1980" s="2">
        <f>IFERROR(__xludf.DUMMYFUNCTION("""COMPUTED_VALUE"""),657.5)</f>
        <v>657.5</v>
      </c>
      <c r="E1980" s="2">
        <f>IFERROR(__xludf.DUMMYFUNCTION("""COMPUTED_VALUE"""),675.45)</f>
        <v>675.45</v>
      </c>
      <c r="F1980" s="2">
        <f>IFERROR(__xludf.DUMMYFUNCTION("""COMPUTED_VALUE"""),1133102.0)</f>
        <v>1133102</v>
      </c>
    </row>
    <row r="1981">
      <c r="A1981" s="3">
        <f>IFERROR(__xludf.DUMMYFUNCTION("""COMPUTED_VALUE"""),41150.645833333336)</f>
        <v>41150.64583</v>
      </c>
      <c r="B1981" s="2">
        <f>IFERROR(__xludf.DUMMYFUNCTION("""COMPUTED_VALUE"""),675.0)</f>
        <v>675</v>
      </c>
      <c r="C1981" s="2">
        <f>IFERROR(__xludf.DUMMYFUNCTION("""COMPUTED_VALUE"""),679.0)</f>
        <v>679</v>
      </c>
      <c r="D1981" s="2">
        <f>IFERROR(__xludf.DUMMYFUNCTION("""COMPUTED_VALUE"""),667.5)</f>
        <v>667.5</v>
      </c>
      <c r="E1981" s="2">
        <f>IFERROR(__xludf.DUMMYFUNCTION("""COMPUTED_VALUE"""),671.65)</f>
        <v>671.65</v>
      </c>
      <c r="F1981" s="2">
        <f>IFERROR(__xludf.DUMMYFUNCTION("""COMPUTED_VALUE"""),1069645.0)</f>
        <v>1069645</v>
      </c>
    </row>
    <row r="1982">
      <c r="A1982" s="3">
        <f>IFERROR(__xludf.DUMMYFUNCTION("""COMPUTED_VALUE"""),41151.645833333336)</f>
        <v>41151.64583</v>
      </c>
      <c r="B1982" s="2">
        <f>IFERROR(__xludf.DUMMYFUNCTION("""COMPUTED_VALUE"""),669.95)</f>
        <v>669.95</v>
      </c>
      <c r="C1982" s="2">
        <f>IFERROR(__xludf.DUMMYFUNCTION("""COMPUTED_VALUE"""),694.4)</f>
        <v>694.4</v>
      </c>
      <c r="D1982" s="2">
        <f>IFERROR(__xludf.DUMMYFUNCTION("""COMPUTED_VALUE"""),661.7)</f>
        <v>661.7</v>
      </c>
      <c r="E1982" s="2">
        <f>IFERROR(__xludf.DUMMYFUNCTION("""COMPUTED_VALUE"""),683.58)</f>
        <v>683.58</v>
      </c>
      <c r="F1982" s="2">
        <f>IFERROR(__xludf.DUMMYFUNCTION("""COMPUTED_VALUE"""),1666716.0)</f>
        <v>1666716</v>
      </c>
    </row>
    <row r="1983">
      <c r="A1983" s="3">
        <f>IFERROR(__xludf.DUMMYFUNCTION("""COMPUTED_VALUE"""),41152.645833333336)</f>
        <v>41152.64583</v>
      </c>
      <c r="B1983" s="2">
        <f>IFERROR(__xludf.DUMMYFUNCTION("""COMPUTED_VALUE"""),678.5)</f>
        <v>678.5</v>
      </c>
      <c r="C1983" s="2">
        <f>IFERROR(__xludf.DUMMYFUNCTION("""COMPUTED_VALUE"""),679.5)</f>
        <v>679.5</v>
      </c>
      <c r="D1983" s="2">
        <f>IFERROR(__xludf.DUMMYFUNCTION("""COMPUTED_VALUE"""),667.33)</f>
        <v>667.33</v>
      </c>
      <c r="E1983" s="2">
        <f>IFERROR(__xludf.DUMMYFUNCTION("""COMPUTED_VALUE"""),671.88)</f>
        <v>671.88</v>
      </c>
      <c r="F1983" s="2">
        <f>IFERROR(__xludf.DUMMYFUNCTION("""COMPUTED_VALUE"""),886924.0)</f>
        <v>886924</v>
      </c>
    </row>
    <row r="1984">
      <c r="A1984" s="3">
        <f>IFERROR(__xludf.DUMMYFUNCTION("""COMPUTED_VALUE"""),41155.645833333336)</f>
        <v>41155.64583</v>
      </c>
      <c r="B1984" s="2">
        <f>IFERROR(__xludf.DUMMYFUNCTION("""COMPUTED_VALUE"""),675.0)</f>
        <v>675</v>
      </c>
      <c r="C1984" s="2">
        <f>IFERROR(__xludf.DUMMYFUNCTION("""COMPUTED_VALUE"""),677.45)</f>
        <v>677.45</v>
      </c>
      <c r="D1984" s="2">
        <f>IFERROR(__xludf.DUMMYFUNCTION("""COMPUTED_VALUE"""),666.5)</f>
        <v>666.5</v>
      </c>
      <c r="E1984" s="2">
        <f>IFERROR(__xludf.DUMMYFUNCTION("""COMPUTED_VALUE"""),668.93)</f>
        <v>668.93</v>
      </c>
      <c r="F1984" s="2">
        <f>IFERROR(__xludf.DUMMYFUNCTION("""COMPUTED_VALUE"""),611913.0)</f>
        <v>611913</v>
      </c>
    </row>
    <row r="1985">
      <c r="A1985" s="3">
        <f>IFERROR(__xludf.DUMMYFUNCTION("""COMPUTED_VALUE"""),41156.645833333336)</f>
        <v>41156.64583</v>
      </c>
      <c r="B1985" s="2">
        <f>IFERROR(__xludf.DUMMYFUNCTION("""COMPUTED_VALUE"""),666.45)</f>
        <v>666.45</v>
      </c>
      <c r="C1985" s="2">
        <f>IFERROR(__xludf.DUMMYFUNCTION("""COMPUTED_VALUE"""),673.5)</f>
        <v>673.5</v>
      </c>
      <c r="D1985" s="2">
        <f>IFERROR(__xludf.DUMMYFUNCTION("""COMPUTED_VALUE"""),661.03)</f>
        <v>661.03</v>
      </c>
      <c r="E1985" s="2">
        <f>IFERROR(__xludf.DUMMYFUNCTION("""COMPUTED_VALUE"""),670.43)</f>
        <v>670.43</v>
      </c>
      <c r="F1985" s="2">
        <f>IFERROR(__xludf.DUMMYFUNCTION("""COMPUTED_VALUE"""),754009.0)</f>
        <v>754009</v>
      </c>
    </row>
    <row r="1986">
      <c r="A1986" s="3">
        <f>IFERROR(__xludf.DUMMYFUNCTION("""COMPUTED_VALUE"""),41157.645833333336)</f>
        <v>41157.64583</v>
      </c>
      <c r="B1986" s="2">
        <f>IFERROR(__xludf.DUMMYFUNCTION("""COMPUTED_VALUE"""),669.75)</f>
        <v>669.75</v>
      </c>
      <c r="C1986" s="2">
        <f>IFERROR(__xludf.DUMMYFUNCTION("""COMPUTED_VALUE"""),685.5)</f>
        <v>685.5</v>
      </c>
      <c r="D1986" s="2">
        <f>IFERROR(__xludf.DUMMYFUNCTION("""COMPUTED_VALUE"""),666.0)</f>
        <v>666</v>
      </c>
      <c r="E1986" s="2">
        <f>IFERROR(__xludf.DUMMYFUNCTION("""COMPUTED_VALUE"""),682.25)</f>
        <v>682.25</v>
      </c>
      <c r="F1986" s="2">
        <f>IFERROR(__xludf.DUMMYFUNCTION("""COMPUTED_VALUE"""),1014480.0)</f>
        <v>1014480</v>
      </c>
    </row>
    <row r="1987">
      <c r="A1987" s="3">
        <f>IFERROR(__xludf.DUMMYFUNCTION("""COMPUTED_VALUE"""),41158.645833333336)</f>
        <v>41158.64583</v>
      </c>
      <c r="B1987" s="2">
        <f>IFERROR(__xludf.DUMMYFUNCTION("""COMPUTED_VALUE"""),682.05)</f>
        <v>682.05</v>
      </c>
      <c r="C1987" s="2">
        <f>IFERROR(__xludf.DUMMYFUNCTION("""COMPUTED_VALUE"""),689.95)</f>
        <v>689.95</v>
      </c>
      <c r="D1987" s="2">
        <f>IFERROR(__xludf.DUMMYFUNCTION("""COMPUTED_VALUE"""),676.83)</f>
        <v>676.83</v>
      </c>
      <c r="E1987" s="2">
        <f>IFERROR(__xludf.DUMMYFUNCTION("""COMPUTED_VALUE"""),687.8)</f>
        <v>687.8</v>
      </c>
      <c r="F1987" s="2">
        <f>IFERROR(__xludf.DUMMYFUNCTION("""COMPUTED_VALUE"""),1145842.0)</f>
        <v>1145842</v>
      </c>
    </row>
    <row r="1988">
      <c r="A1988" s="3">
        <f>IFERROR(__xludf.DUMMYFUNCTION("""COMPUTED_VALUE"""),41159.645833333336)</f>
        <v>41159.64583</v>
      </c>
      <c r="B1988" s="2">
        <f>IFERROR(__xludf.DUMMYFUNCTION("""COMPUTED_VALUE"""),695.0)</f>
        <v>695</v>
      </c>
      <c r="C1988" s="2">
        <f>IFERROR(__xludf.DUMMYFUNCTION("""COMPUTED_VALUE"""),698.4)</f>
        <v>698.4</v>
      </c>
      <c r="D1988" s="2">
        <f>IFERROR(__xludf.DUMMYFUNCTION("""COMPUTED_VALUE"""),689.45)</f>
        <v>689.45</v>
      </c>
      <c r="E1988" s="2">
        <f>IFERROR(__xludf.DUMMYFUNCTION("""COMPUTED_VALUE"""),693.35)</f>
        <v>693.35</v>
      </c>
      <c r="F1988" s="2">
        <f>IFERROR(__xludf.DUMMYFUNCTION("""COMPUTED_VALUE"""),1318328.0)</f>
        <v>1318328</v>
      </c>
    </row>
    <row r="1989">
      <c r="A1989" s="3">
        <f>IFERROR(__xludf.DUMMYFUNCTION("""COMPUTED_VALUE"""),41162.645833333336)</f>
        <v>41162.64583</v>
      </c>
      <c r="B1989" s="2">
        <f>IFERROR(__xludf.DUMMYFUNCTION("""COMPUTED_VALUE"""),691.6)</f>
        <v>691.6</v>
      </c>
      <c r="C1989" s="2">
        <f>IFERROR(__xludf.DUMMYFUNCTION("""COMPUTED_VALUE"""),691.95)</f>
        <v>691.95</v>
      </c>
      <c r="D1989" s="2">
        <f>IFERROR(__xludf.DUMMYFUNCTION("""COMPUTED_VALUE"""),682.98)</f>
        <v>682.98</v>
      </c>
      <c r="E1989" s="2">
        <f>IFERROR(__xludf.DUMMYFUNCTION("""COMPUTED_VALUE"""),685.73)</f>
        <v>685.73</v>
      </c>
      <c r="F1989" s="2">
        <f>IFERROR(__xludf.DUMMYFUNCTION("""COMPUTED_VALUE"""),738012.0)</f>
        <v>738012</v>
      </c>
    </row>
    <row r="1990">
      <c r="A1990" s="3">
        <f>IFERROR(__xludf.DUMMYFUNCTION("""COMPUTED_VALUE"""),41163.645833333336)</f>
        <v>41163.64583</v>
      </c>
      <c r="B1990" s="2">
        <f>IFERROR(__xludf.DUMMYFUNCTION("""COMPUTED_VALUE"""),684.5)</f>
        <v>684.5</v>
      </c>
      <c r="C1990" s="2">
        <f>IFERROR(__xludf.DUMMYFUNCTION("""COMPUTED_VALUE"""),697.8)</f>
        <v>697.8</v>
      </c>
      <c r="D1990" s="2">
        <f>IFERROR(__xludf.DUMMYFUNCTION("""COMPUTED_VALUE"""),682.03)</f>
        <v>682.03</v>
      </c>
      <c r="E1990" s="2">
        <f>IFERROR(__xludf.DUMMYFUNCTION("""COMPUTED_VALUE"""),696.33)</f>
        <v>696.33</v>
      </c>
      <c r="F1990" s="2">
        <f>IFERROR(__xludf.DUMMYFUNCTION("""COMPUTED_VALUE"""),637090.0)</f>
        <v>637090</v>
      </c>
    </row>
    <row r="1991">
      <c r="A1991" s="3">
        <f>IFERROR(__xludf.DUMMYFUNCTION("""COMPUTED_VALUE"""),41164.645833333336)</f>
        <v>41164.64583</v>
      </c>
      <c r="B1991" s="2">
        <f>IFERROR(__xludf.DUMMYFUNCTION("""COMPUTED_VALUE"""),698.48)</f>
        <v>698.48</v>
      </c>
      <c r="C1991" s="2">
        <f>IFERROR(__xludf.DUMMYFUNCTION("""COMPUTED_VALUE"""),710.5)</f>
        <v>710.5</v>
      </c>
      <c r="D1991" s="2">
        <f>IFERROR(__xludf.DUMMYFUNCTION("""COMPUTED_VALUE"""),694.95)</f>
        <v>694.95</v>
      </c>
      <c r="E1991" s="2">
        <f>IFERROR(__xludf.DUMMYFUNCTION("""COMPUTED_VALUE"""),707.45)</f>
        <v>707.45</v>
      </c>
      <c r="F1991" s="2">
        <f>IFERROR(__xludf.DUMMYFUNCTION("""COMPUTED_VALUE"""),1057233.0)</f>
        <v>1057233</v>
      </c>
    </row>
    <row r="1992">
      <c r="A1992" s="3">
        <f>IFERROR(__xludf.DUMMYFUNCTION("""COMPUTED_VALUE"""),41165.645833333336)</f>
        <v>41165.64583</v>
      </c>
      <c r="B1992" s="2">
        <f>IFERROR(__xludf.DUMMYFUNCTION("""COMPUTED_VALUE"""),706.5)</f>
        <v>706.5</v>
      </c>
      <c r="C1992" s="2">
        <f>IFERROR(__xludf.DUMMYFUNCTION("""COMPUTED_VALUE"""),711.98)</f>
        <v>711.98</v>
      </c>
      <c r="D1992" s="2">
        <f>IFERROR(__xludf.DUMMYFUNCTION("""COMPUTED_VALUE"""),704.78)</f>
        <v>704.78</v>
      </c>
      <c r="E1992" s="2">
        <f>IFERROR(__xludf.DUMMYFUNCTION("""COMPUTED_VALUE"""),708.85)</f>
        <v>708.85</v>
      </c>
      <c r="F1992" s="2">
        <f>IFERROR(__xludf.DUMMYFUNCTION("""COMPUTED_VALUE"""),940605.0)</f>
        <v>940605</v>
      </c>
    </row>
    <row r="1993">
      <c r="A1993" s="3">
        <f>IFERROR(__xludf.DUMMYFUNCTION("""COMPUTED_VALUE"""),41166.645833333336)</f>
        <v>41166.64583</v>
      </c>
      <c r="B1993" s="2">
        <f>IFERROR(__xludf.DUMMYFUNCTION("""COMPUTED_VALUE"""),714.0)</f>
        <v>714</v>
      </c>
      <c r="C1993" s="2">
        <f>IFERROR(__xludf.DUMMYFUNCTION("""COMPUTED_VALUE"""),719.9)</f>
        <v>719.9</v>
      </c>
      <c r="D1993" s="2">
        <f>IFERROR(__xludf.DUMMYFUNCTION("""COMPUTED_VALUE"""),701.08)</f>
        <v>701.08</v>
      </c>
      <c r="E1993" s="2">
        <f>IFERROR(__xludf.DUMMYFUNCTION("""COMPUTED_VALUE"""),706.55)</f>
        <v>706.55</v>
      </c>
      <c r="F1993" s="2">
        <f>IFERROR(__xludf.DUMMYFUNCTION("""COMPUTED_VALUE"""),1407420.0)</f>
        <v>1407420</v>
      </c>
    </row>
    <row r="1994">
      <c r="A1994" s="3">
        <f>IFERROR(__xludf.DUMMYFUNCTION("""COMPUTED_VALUE"""),41169.645833333336)</f>
        <v>41169.64583</v>
      </c>
      <c r="B1994" s="2">
        <f>IFERROR(__xludf.DUMMYFUNCTION("""COMPUTED_VALUE"""),709.13)</f>
        <v>709.13</v>
      </c>
      <c r="C1994" s="2">
        <f>IFERROR(__xludf.DUMMYFUNCTION("""COMPUTED_VALUE"""),710.78)</f>
        <v>710.78</v>
      </c>
      <c r="D1994" s="2">
        <f>IFERROR(__xludf.DUMMYFUNCTION("""COMPUTED_VALUE"""),667.75)</f>
        <v>667.75</v>
      </c>
      <c r="E1994" s="2">
        <f>IFERROR(__xludf.DUMMYFUNCTION("""COMPUTED_VALUE"""),671.05)</f>
        <v>671.05</v>
      </c>
      <c r="F1994" s="2">
        <f>IFERROR(__xludf.DUMMYFUNCTION("""COMPUTED_VALUE"""),2547195.0)</f>
        <v>2547195</v>
      </c>
    </row>
    <row r="1995">
      <c r="A1995" s="3">
        <f>IFERROR(__xludf.DUMMYFUNCTION("""COMPUTED_VALUE"""),41170.645833333336)</f>
        <v>41170.64583</v>
      </c>
      <c r="B1995" s="2">
        <f>IFERROR(__xludf.DUMMYFUNCTION("""COMPUTED_VALUE"""),672.5)</f>
        <v>672.5</v>
      </c>
      <c r="C1995" s="2">
        <f>IFERROR(__xludf.DUMMYFUNCTION("""COMPUTED_VALUE"""),672.5)</f>
        <v>672.5</v>
      </c>
      <c r="D1995" s="2">
        <f>IFERROR(__xludf.DUMMYFUNCTION("""COMPUTED_VALUE"""),646.28)</f>
        <v>646.28</v>
      </c>
      <c r="E1995" s="2">
        <f>IFERROR(__xludf.DUMMYFUNCTION("""COMPUTED_VALUE"""),649.9)</f>
        <v>649.9</v>
      </c>
      <c r="F1995" s="2">
        <f>IFERROR(__xludf.DUMMYFUNCTION("""COMPUTED_VALUE"""),3610103.0)</f>
        <v>3610103</v>
      </c>
    </row>
    <row r="1996">
      <c r="A1996" s="3">
        <f>IFERROR(__xludf.DUMMYFUNCTION("""COMPUTED_VALUE"""),41172.645833333336)</f>
        <v>41172.64583</v>
      </c>
      <c r="B1996" s="2">
        <f>IFERROR(__xludf.DUMMYFUNCTION("""COMPUTED_VALUE"""),647.5)</f>
        <v>647.5</v>
      </c>
      <c r="C1996" s="2">
        <f>IFERROR(__xludf.DUMMYFUNCTION("""COMPUTED_VALUE"""),668.45)</f>
        <v>668.45</v>
      </c>
      <c r="D1996" s="2">
        <f>IFERROR(__xludf.DUMMYFUNCTION("""COMPUTED_VALUE"""),645.8)</f>
        <v>645.8</v>
      </c>
      <c r="E1996" s="2">
        <f>IFERROR(__xludf.DUMMYFUNCTION("""COMPUTED_VALUE"""),661.0)</f>
        <v>661</v>
      </c>
      <c r="F1996" s="2">
        <f>IFERROR(__xludf.DUMMYFUNCTION("""COMPUTED_VALUE"""),2021253.0)</f>
        <v>2021253</v>
      </c>
    </row>
    <row r="1997">
      <c r="A1997" s="3">
        <f>IFERROR(__xludf.DUMMYFUNCTION("""COMPUTED_VALUE"""),41173.645833333336)</f>
        <v>41173.64583</v>
      </c>
      <c r="B1997" s="2">
        <f>IFERROR(__xludf.DUMMYFUNCTION("""COMPUTED_VALUE"""),662.45)</f>
        <v>662.45</v>
      </c>
      <c r="C1997" s="2">
        <f>IFERROR(__xludf.DUMMYFUNCTION("""COMPUTED_VALUE"""),666.15)</f>
        <v>666.15</v>
      </c>
      <c r="D1997" s="2">
        <f>IFERROR(__xludf.DUMMYFUNCTION("""COMPUTED_VALUE"""),649.15)</f>
        <v>649.15</v>
      </c>
      <c r="E1997" s="2">
        <f>IFERROR(__xludf.DUMMYFUNCTION("""COMPUTED_VALUE"""),652.03)</f>
        <v>652.03</v>
      </c>
      <c r="F1997" s="2">
        <f>IFERROR(__xludf.DUMMYFUNCTION("""COMPUTED_VALUE"""),2123879.0)</f>
        <v>2123879</v>
      </c>
    </row>
    <row r="1998">
      <c r="A1998" s="3">
        <f>IFERROR(__xludf.DUMMYFUNCTION("""COMPUTED_VALUE"""),41176.645833333336)</f>
        <v>41176.64583</v>
      </c>
      <c r="B1998" s="2">
        <f>IFERROR(__xludf.DUMMYFUNCTION("""COMPUTED_VALUE"""),655.0)</f>
        <v>655</v>
      </c>
      <c r="C1998" s="2">
        <f>IFERROR(__xludf.DUMMYFUNCTION("""COMPUTED_VALUE"""),656.5)</f>
        <v>656.5</v>
      </c>
      <c r="D1998" s="2">
        <f>IFERROR(__xludf.DUMMYFUNCTION("""COMPUTED_VALUE"""),638.5)</f>
        <v>638.5</v>
      </c>
      <c r="E1998" s="2">
        <f>IFERROR(__xludf.DUMMYFUNCTION("""COMPUTED_VALUE"""),644.73)</f>
        <v>644.73</v>
      </c>
      <c r="F1998" s="2">
        <f>IFERROR(__xludf.DUMMYFUNCTION("""COMPUTED_VALUE"""),2468510.0)</f>
        <v>2468510</v>
      </c>
    </row>
    <row r="1999">
      <c r="A1999" s="3">
        <f>IFERROR(__xludf.DUMMYFUNCTION("""COMPUTED_VALUE"""),41177.645833333336)</f>
        <v>41177.64583</v>
      </c>
      <c r="B1999" s="2">
        <f>IFERROR(__xludf.DUMMYFUNCTION("""COMPUTED_VALUE"""),645.05)</f>
        <v>645.05</v>
      </c>
      <c r="C1999" s="2">
        <f>IFERROR(__xludf.DUMMYFUNCTION("""COMPUTED_VALUE"""),654.88)</f>
        <v>654.88</v>
      </c>
      <c r="D1999" s="2">
        <f>IFERROR(__xludf.DUMMYFUNCTION("""COMPUTED_VALUE"""),641.15)</f>
        <v>641.15</v>
      </c>
      <c r="E1999" s="2">
        <f>IFERROR(__xludf.DUMMYFUNCTION("""COMPUTED_VALUE"""),646.6)</f>
        <v>646.6</v>
      </c>
      <c r="F1999" s="2">
        <f>IFERROR(__xludf.DUMMYFUNCTION("""COMPUTED_VALUE"""),1911847.0)</f>
        <v>1911847</v>
      </c>
    </row>
    <row r="2000">
      <c r="A2000" s="3">
        <f>IFERROR(__xludf.DUMMYFUNCTION("""COMPUTED_VALUE"""),41178.645833333336)</f>
        <v>41178.64583</v>
      </c>
      <c r="B2000" s="2">
        <f>IFERROR(__xludf.DUMMYFUNCTION("""COMPUTED_VALUE"""),647.6)</f>
        <v>647.6</v>
      </c>
      <c r="C2000" s="2">
        <f>IFERROR(__xludf.DUMMYFUNCTION("""COMPUTED_VALUE"""),652.5)</f>
        <v>652.5</v>
      </c>
      <c r="D2000" s="2">
        <f>IFERROR(__xludf.DUMMYFUNCTION("""COMPUTED_VALUE"""),641.0)</f>
        <v>641</v>
      </c>
      <c r="E2000" s="2">
        <f>IFERROR(__xludf.DUMMYFUNCTION("""COMPUTED_VALUE"""),642.8)</f>
        <v>642.8</v>
      </c>
      <c r="F2000" s="2">
        <f>IFERROR(__xludf.DUMMYFUNCTION("""COMPUTED_VALUE"""),1646406.0)</f>
        <v>1646406</v>
      </c>
    </row>
    <row r="2001">
      <c r="A2001" s="3">
        <f>IFERROR(__xludf.DUMMYFUNCTION("""COMPUTED_VALUE"""),41179.645833333336)</f>
        <v>41179.64583</v>
      </c>
      <c r="B2001" s="2">
        <f>IFERROR(__xludf.DUMMYFUNCTION("""COMPUTED_VALUE"""),640.05)</f>
        <v>640.05</v>
      </c>
      <c r="C2001" s="2">
        <f>IFERROR(__xludf.DUMMYFUNCTION("""COMPUTED_VALUE"""),649.75)</f>
        <v>649.75</v>
      </c>
      <c r="D2001" s="2">
        <f>IFERROR(__xludf.DUMMYFUNCTION("""COMPUTED_VALUE"""),630.55)</f>
        <v>630.55</v>
      </c>
      <c r="E2001" s="2">
        <f>IFERROR(__xludf.DUMMYFUNCTION("""COMPUTED_VALUE"""),635.78)</f>
        <v>635.78</v>
      </c>
      <c r="F2001" s="2">
        <f>IFERROR(__xludf.DUMMYFUNCTION("""COMPUTED_VALUE"""),2802699.0)</f>
        <v>2802699</v>
      </c>
    </row>
    <row r="2002">
      <c r="A2002" s="3">
        <f>IFERROR(__xludf.DUMMYFUNCTION("""COMPUTED_VALUE"""),41180.645833333336)</f>
        <v>41180.64583</v>
      </c>
      <c r="B2002" s="2">
        <f>IFERROR(__xludf.DUMMYFUNCTION("""COMPUTED_VALUE"""),639.4)</f>
        <v>639.4</v>
      </c>
      <c r="C2002" s="2">
        <f>IFERROR(__xludf.DUMMYFUNCTION("""COMPUTED_VALUE"""),652.5)</f>
        <v>652.5</v>
      </c>
      <c r="D2002" s="2">
        <f>IFERROR(__xludf.DUMMYFUNCTION("""COMPUTED_VALUE"""),638.25)</f>
        <v>638.25</v>
      </c>
      <c r="E2002" s="2">
        <f>IFERROR(__xludf.DUMMYFUNCTION("""COMPUTED_VALUE"""),647.95)</f>
        <v>647.95</v>
      </c>
      <c r="F2002" s="2">
        <f>IFERROR(__xludf.DUMMYFUNCTION("""COMPUTED_VALUE"""),1456498.0)</f>
        <v>1456498</v>
      </c>
    </row>
    <row r="2003">
      <c r="A2003" s="3">
        <f>IFERROR(__xludf.DUMMYFUNCTION("""COMPUTED_VALUE"""),41183.645833333336)</f>
        <v>41183.64583</v>
      </c>
      <c r="B2003" s="2">
        <f>IFERROR(__xludf.DUMMYFUNCTION("""COMPUTED_VALUE"""),647.5)</f>
        <v>647.5</v>
      </c>
      <c r="C2003" s="2">
        <f>IFERROR(__xludf.DUMMYFUNCTION("""COMPUTED_VALUE"""),654.9)</f>
        <v>654.9</v>
      </c>
      <c r="D2003" s="2">
        <f>IFERROR(__xludf.DUMMYFUNCTION("""COMPUTED_VALUE"""),646.53)</f>
        <v>646.53</v>
      </c>
      <c r="E2003" s="2">
        <f>IFERROR(__xludf.DUMMYFUNCTION("""COMPUTED_VALUE"""),651.48)</f>
        <v>651.48</v>
      </c>
      <c r="F2003" s="2">
        <f>IFERROR(__xludf.DUMMYFUNCTION("""COMPUTED_VALUE"""),897809.0)</f>
        <v>897809</v>
      </c>
    </row>
    <row r="2004">
      <c r="A2004" s="3">
        <f>IFERROR(__xludf.DUMMYFUNCTION("""COMPUTED_VALUE"""),41185.645833333336)</f>
        <v>41185.64583</v>
      </c>
      <c r="B2004" s="2">
        <f>IFERROR(__xludf.DUMMYFUNCTION("""COMPUTED_VALUE"""),650.5)</f>
        <v>650.5</v>
      </c>
      <c r="C2004" s="2">
        <f>IFERROR(__xludf.DUMMYFUNCTION("""COMPUTED_VALUE"""),662.5)</f>
        <v>662.5</v>
      </c>
      <c r="D2004" s="2">
        <f>IFERROR(__xludf.DUMMYFUNCTION("""COMPUTED_VALUE"""),650.5)</f>
        <v>650.5</v>
      </c>
      <c r="E2004" s="2">
        <f>IFERROR(__xludf.DUMMYFUNCTION("""COMPUTED_VALUE"""),661.33)</f>
        <v>661.33</v>
      </c>
      <c r="F2004" s="2">
        <f>IFERROR(__xludf.DUMMYFUNCTION("""COMPUTED_VALUE"""),1159115.0)</f>
        <v>1159115</v>
      </c>
    </row>
    <row r="2005">
      <c r="A2005" s="3">
        <f>IFERROR(__xludf.DUMMYFUNCTION("""COMPUTED_VALUE"""),41186.645833333336)</f>
        <v>41186.64583</v>
      </c>
      <c r="B2005" s="2">
        <f>IFERROR(__xludf.DUMMYFUNCTION("""COMPUTED_VALUE"""),660.0)</f>
        <v>660</v>
      </c>
      <c r="C2005" s="2">
        <f>IFERROR(__xludf.DUMMYFUNCTION("""COMPUTED_VALUE"""),660.83)</f>
        <v>660.83</v>
      </c>
      <c r="D2005" s="2">
        <f>IFERROR(__xludf.DUMMYFUNCTION("""COMPUTED_VALUE"""),654.33)</f>
        <v>654.33</v>
      </c>
      <c r="E2005" s="2">
        <f>IFERROR(__xludf.DUMMYFUNCTION("""COMPUTED_VALUE"""),658.58)</f>
        <v>658.58</v>
      </c>
      <c r="F2005" s="2">
        <f>IFERROR(__xludf.DUMMYFUNCTION("""COMPUTED_VALUE"""),659642.0)</f>
        <v>659642</v>
      </c>
    </row>
    <row r="2006">
      <c r="A2006" s="3">
        <f>IFERROR(__xludf.DUMMYFUNCTION("""COMPUTED_VALUE"""),41187.645833333336)</f>
        <v>41187.64583</v>
      </c>
      <c r="B2006" s="2">
        <f>IFERROR(__xludf.DUMMYFUNCTION("""COMPUTED_VALUE"""),655.13)</f>
        <v>655.13</v>
      </c>
      <c r="C2006" s="2">
        <f>IFERROR(__xludf.DUMMYFUNCTION("""COMPUTED_VALUE"""),659.68)</f>
        <v>659.68</v>
      </c>
      <c r="D2006" s="2">
        <f>IFERROR(__xludf.DUMMYFUNCTION("""COMPUTED_VALUE"""),527.5)</f>
        <v>527.5</v>
      </c>
      <c r="E2006" s="2">
        <f>IFERROR(__xludf.DUMMYFUNCTION("""COMPUTED_VALUE"""),652.0)</f>
        <v>652</v>
      </c>
      <c r="F2006" s="2">
        <f>IFERROR(__xludf.DUMMYFUNCTION("""COMPUTED_VALUE"""),1918055.0)</f>
        <v>1918055</v>
      </c>
    </row>
    <row r="2007">
      <c r="A2007" s="3">
        <f>IFERROR(__xludf.DUMMYFUNCTION("""COMPUTED_VALUE"""),41190.645833333336)</f>
        <v>41190.64583</v>
      </c>
      <c r="B2007" s="2">
        <f>IFERROR(__xludf.DUMMYFUNCTION("""COMPUTED_VALUE"""),655.0)</f>
        <v>655</v>
      </c>
      <c r="C2007" s="2">
        <f>IFERROR(__xludf.DUMMYFUNCTION("""COMPUTED_VALUE"""),657.63)</f>
        <v>657.63</v>
      </c>
      <c r="D2007" s="2">
        <f>IFERROR(__xludf.DUMMYFUNCTION("""COMPUTED_VALUE"""),642.73)</f>
        <v>642.73</v>
      </c>
      <c r="E2007" s="2">
        <f>IFERROR(__xludf.DUMMYFUNCTION("""COMPUTED_VALUE"""),646.35)</f>
        <v>646.35</v>
      </c>
      <c r="F2007" s="2">
        <f>IFERROR(__xludf.DUMMYFUNCTION("""COMPUTED_VALUE"""),842704.0)</f>
        <v>842704</v>
      </c>
    </row>
    <row r="2008">
      <c r="A2008" s="3">
        <f>IFERROR(__xludf.DUMMYFUNCTION("""COMPUTED_VALUE"""),41191.645833333336)</f>
        <v>41191.64583</v>
      </c>
      <c r="B2008" s="2">
        <f>IFERROR(__xludf.DUMMYFUNCTION("""COMPUTED_VALUE"""),648.95)</f>
        <v>648.95</v>
      </c>
      <c r="C2008" s="2">
        <f>IFERROR(__xludf.DUMMYFUNCTION("""COMPUTED_VALUE"""),649.4)</f>
        <v>649.4</v>
      </c>
      <c r="D2008" s="2">
        <f>IFERROR(__xludf.DUMMYFUNCTION("""COMPUTED_VALUE"""),642.5)</f>
        <v>642.5</v>
      </c>
      <c r="E2008" s="2">
        <f>IFERROR(__xludf.DUMMYFUNCTION("""COMPUTED_VALUE"""),647.42)</f>
        <v>647.42</v>
      </c>
      <c r="F2008" s="2">
        <f>IFERROR(__xludf.DUMMYFUNCTION("""COMPUTED_VALUE"""),645577.0)</f>
        <v>645577</v>
      </c>
    </row>
    <row r="2009">
      <c r="A2009" s="3">
        <f>IFERROR(__xludf.DUMMYFUNCTION("""COMPUTED_VALUE"""),41192.645833333336)</f>
        <v>41192.64583</v>
      </c>
      <c r="B2009" s="2">
        <f>IFERROR(__xludf.DUMMYFUNCTION("""COMPUTED_VALUE"""),643.0)</f>
        <v>643</v>
      </c>
      <c r="C2009" s="2">
        <f>IFERROR(__xludf.DUMMYFUNCTION("""COMPUTED_VALUE"""),650.88)</f>
        <v>650.88</v>
      </c>
      <c r="D2009" s="2">
        <f>IFERROR(__xludf.DUMMYFUNCTION("""COMPUTED_VALUE"""),642.5)</f>
        <v>642.5</v>
      </c>
      <c r="E2009" s="2">
        <f>IFERROR(__xludf.DUMMYFUNCTION("""COMPUTED_VALUE"""),644.67)</f>
        <v>644.67</v>
      </c>
      <c r="F2009" s="2">
        <f>IFERROR(__xludf.DUMMYFUNCTION("""COMPUTED_VALUE"""),581989.0)</f>
        <v>581989</v>
      </c>
    </row>
    <row r="2010">
      <c r="A2010" s="3">
        <f>IFERROR(__xludf.DUMMYFUNCTION("""COMPUTED_VALUE"""),41193.645833333336)</f>
        <v>41193.64583</v>
      </c>
      <c r="B2010" s="2">
        <f>IFERROR(__xludf.DUMMYFUNCTION("""COMPUTED_VALUE"""),645.13)</f>
        <v>645.13</v>
      </c>
      <c r="C2010" s="2">
        <f>IFERROR(__xludf.DUMMYFUNCTION("""COMPUTED_VALUE"""),650.78)</f>
        <v>650.78</v>
      </c>
      <c r="D2010" s="2">
        <f>IFERROR(__xludf.DUMMYFUNCTION("""COMPUTED_VALUE"""),643.03)</f>
        <v>643.03</v>
      </c>
      <c r="E2010" s="2">
        <f>IFERROR(__xludf.DUMMYFUNCTION("""COMPUTED_VALUE"""),644.73)</f>
        <v>644.73</v>
      </c>
      <c r="F2010" s="2">
        <f>IFERROR(__xludf.DUMMYFUNCTION("""COMPUTED_VALUE"""),817763.0)</f>
        <v>817763</v>
      </c>
    </row>
    <row r="2011">
      <c r="A2011" s="3">
        <f>IFERROR(__xludf.DUMMYFUNCTION("""COMPUTED_VALUE"""),41194.645833333336)</f>
        <v>41194.64583</v>
      </c>
      <c r="B2011" s="2">
        <f>IFERROR(__xludf.DUMMYFUNCTION("""COMPUTED_VALUE"""),639.4)</f>
        <v>639.4</v>
      </c>
      <c r="C2011" s="2">
        <f>IFERROR(__xludf.DUMMYFUNCTION("""COMPUTED_VALUE"""),656.83)</f>
        <v>656.83</v>
      </c>
      <c r="D2011" s="2">
        <f>IFERROR(__xludf.DUMMYFUNCTION("""COMPUTED_VALUE"""),636.6)</f>
        <v>636.6</v>
      </c>
      <c r="E2011" s="2">
        <f>IFERROR(__xludf.DUMMYFUNCTION("""COMPUTED_VALUE"""),649.23)</f>
        <v>649.23</v>
      </c>
      <c r="F2011" s="2">
        <f>IFERROR(__xludf.DUMMYFUNCTION("""COMPUTED_VALUE"""),1234771.0)</f>
        <v>1234771</v>
      </c>
    </row>
    <row r="2012">
      <c r="A2012" s="3">
        <f>IFERROR(__xludf.DUMMYFUNCTION("""COMPUTED_VALUE"""),41197.645833333336)</f>
        <v>41197.64583</v>
      </c>
      <c r="B2012" s="2">
        <f>IFERROR(__xludf.DUMMYFUNCTION("""COMPUTED_VALUE"""),647.0)</f>
        <v>647</v>
      </c>
      <c r="C2012" s="2">
        <f>IFERROR(__xludf.DUMMYFUNCTION("""COMPUTED_VALUE"""),651.2)</f>
        <v>651.2</v>
      </c>
      <c r="D2012" s="2">
        <f>IFERROR(__xludf.DUMMYFUNCTION("""COMPUTED_VALUE"""),643.75)</f>
        <v>643.75</v>
      </c>
      <c r="E2012" s="2">
        <f>IFERROR(__xludf.DUMMYFUNCTION("""COMPUTED_VALUE"""),647.33)</f>
        <v>647.33</v>
      </c>
      <c r="F2012" s="2">
        <f>IFERROR(__xludf.DUMMYFUNCTION("""COMPUTED_VALUE"""),407264.0)</f>
        <v>407264</v>
      </c>
    </row>
    <row r="2013">
      <c r="A2013" s="3">
        <f>IFERROR(__xludf.DUMMYFUNCTION("""COMPUTED_VALUE"""),41198.645833333336)</f>
        <v>41198.64583</v>
      </c>
      <c r="B2013" s="2">
        <f>IFERROR(__xludf.DUMMYFUNCTION("""COMPUTED_VALUE"""),648.5)</f>
        <v>648.5</v>
      </c>
      <c r="C2013" s="2">
        <f>IFERROR(__xludf.DUMMYFUNCTION("""COMPUTED_VALUE"""),655.1)</f>
        <v>655.1</v>
      </c>
      <c r="D2013" s="2">
        <f>IFERROR(__xludf.DUMMYFUNCTION("""COMPUTED_VALUE"""),643.9)</f>
        <v>643.9</v>
      </c>
      <c r="E2013" s="2">
        <f>IFERROR(__xludf.DUMMYFUNCTION("""COMPUTED_VALUE"""),647.95)</f>
        <v>647.95</v>
      </c>
      <c r="F2013" s="2">
        <f>IFERROR(__xludf.DUMMYFUNCTION("""COMPUTED_VALUE"""),641372.0)</f>
        <v>641372</v>
      </c>
    </row>
    <row r="2014">
      <c r="A2014" s="3">
        <f>IFERROR(__xludf.DUMMYFUNCTION("""COMPUTED_VALUE"""),41199.645833333336)</f>
        <v>41199.64583</v>
      </c>
      <c r="B2014" s="2">
        <f>IFERROR(__xludf.DUMMYFUNCTION("""COMPUTED_VALUE"""),650.65)</f>
        <v>650.65</v>
      </c>
      <c r="C2014" s="2">
        <f>IFERROR(__xludf.DUMMYFUNCTION("""COMPUTED_VALUE"""),652.45)</f>
        <v>652.45</v>
      </c>
      <c r="D2014" s="2">
        <f>IFERROR(__xludf.DUMMYFUNCTION("""COMPUTED_VALUE"""),636.0)</f>
        <v>636</v>
      </c>
      <c r="E2014" s="2">
        <f>IFERROR(__xludf.DUMMYFUNCTION("""COMPUTED_VALUE"""),641.58)</f>
        <v>641.58</v>
      </c>
      <c r="F2014" s="2">
        <f>IFERROR(__xludf.DUMMYFUNCTION("""COMPUTED_VALUE"""),798740.0)</f>
        <v>798740</v>
      </c>
    </row>
    <row r="2015">
      <c r="A2015" s="3">
        <f>IFERROR(__xludf.DUMMYFUNCTION("""COMPUTED_VALUE"""),41200.645833333336)</f>
        <v>41200.64583</v>
      </c>
      <c r="B2015" s="2">
        <f>IFERROR(__xludf.DUMMYFUNCTION("""COMPUTED_VALUE"""),643.13)</f>
        <v>643.13</v>
      </c>
      <c r="C2015" s="2">
        <f>IFERROR(__xludf.DUMMYFUNCTION("""COMPUTED_VALUE"""),655.5)</f>
        <v>655.5</v>
      </c>
      <c r="D2015" s="2">
        <f>IFERROR(__xludf.DUMMYFUNCTION("""COMPUTED_VALUE"""),640.1)</f>
        <v>640.1</v>
      </c>
      <c r="E2015" s="2">
        <f>IFERROR(__xludf.DUMMYFUNCTION("""COMPUTED_VALUE"""),653.67)</f>
        <v>653.67</v>
      </c>
      <c r="F2015" s="2">
        <f>IFERROR(__xludf.DUMMYFUNCTION("""COMPUTED_VALUE"""),723564.0)</f>
        <v>723564</v>
      </c>
    </row>
    <row r="2016">
      <c r="A2016" s="3">
        <f>IFERROR(__xludf.DUMMYFUNCTION("""COMPUTED_VALUE"""),41201.645833333336)</f>
        <v>41201.64583</v>
      </c>
      <c r="B2016" s="2">
        <f>IFERROR(__xludf.DUMMYFUNCTION("""COMPUTED_VALUE"""),654.5)</f>
        <v>654.5</v>
      </c>
      <c r="C2016" s="2">
        <f>IFERROR(__xludf.DUMMYFUNCTION("""COMPUTED_VALUE"""),655.7)</f>
        <v>655.7</v>
      </c>
      <c r="D2016" s="2">
        <f>IFERROR(__xludf.DUMMYFUNCTION("""COMPUTED_VALUE"""),641.0)</f>
        <v>641</v>
      </c>
      <c r="E2016" s="2">
        <f>IFERROR(__xludf.DUMMYFUNCTION("""COMPUTED_VALUE"""),644.85)</f>
        <v>644.85</v>
      </c>
      <c r="F2016" s="2">
        <f>IFERROR(__xludf.DUMMYFUNCTION("""COMPUTED_VALUE"""),1412808.0)</f>
        <v>1412808</v>
      </c>
    </row>
    <row r="2017">
      <c r="A2017" s="3">
        <f>IFERROR(__xludf.DUMMYFUNCTION("""COMPUTED_VALUE"""),41204.645833333336)</f>
        <v>41204.64583</v>
      </c>
      <c r="B2017" s="2">
        <f>IFERROR(__xludf.DUMMYFUNCTION("""COMPUTED_VALUE"""),662.55)</f>
        <v>662.55</v>
      </c>
      <c r="C2017" s="2">
        <f>IFERROR(__xludf.DUMMYFUNCTION("""COMPUTED_VALUE"""),667.45)</f>
        <v>667.45</v>
      </c>
      <c r="D2017" s="2">
        <f>IFERROR(__xludf.DUMMYFUNCTION("""COMPUTED_VALUE"""),651.5)</f>
        <v>651.5</v>
      </c>
      <c r="E2017" s="2">
        <f>IFERROR(__xludf.DUMMYFUNCTION("""COMPUTED_VALUE"""),659.45)</f>
        <v>659.45</v>
      </c>
      <c r="F2017" s="2">
        <f>IFERROR(__xludf.DUMMYFUNCTION("""COMPUTED_VALUE"""),2698671.0)</f>
        <v>2698671</v>
      </c>
    </row>
    <row r="2018">
      <c r="A2018" s="3">
        <f>IFERROR(__xludf.DUMMYFUNCTION("""COMPUTED_VALUE"""),41205.645833333336)</f>
        <v>41205.64583</v>
      </c>
      <c r="B2018" s="2">
        <f>IFERROR(__xludf.DUMMYFUNCTION("""COMPUTED_VALUE"""),662.0)</f>
        <v>662</v>
      </c>
      <c r="C2018" s="2">
        <f>IFERROR(__xludf.DUMMYFUNCTION("""COMPUTED_VALUE"""),662.0)</f>
        <v>662</v>
      </c>
      <c r="D2018" s="2">
        <f>IFERROR(__xludf.DUMMYFUNCTION("""COMPUTED_VALUE"""),655.95)</f>
        <v>655.95</v>
      </c>
      <c r="E2018" s="2">
        <f>IFERROR(__xludf.DUMMYFUNCTION("""COMPUTED_VALUE"""),657.3)</f>
        <v>657.3</v>
      </c>
      <c r="F2018" s="2">
        <f>IFERROR(__xludf.DUMMYFUNCTION("""COMPUTED_VALUE"""),568348.0)</f>
        <v>568348</v>
      </c>
    </row>
    <row r="2019">
      <c r="A2019" s="3">
        <f>IFERROR(__xludf.DUMMYFUNCTION("""COMPUTED_VALUE"""),41207.645833333336)</f>
        <v>41207.64583</v>
      </c>
      <c r="B2019" s="2">
        <f>IFERROR(__xludf.DUMMYFUNCTION("""COMPUTED_VALUE"""),657.5)</f>
        <v>657.5</v>
      </c>
      <c r="C2019" s="2">
        <f>IFERROR(__xludf.DUMMYFUNCTION("""COMPUTED_VALUE"""),661.95)</f>
        <v>661.95</v>
      </c>
      <c r="D2019" s="2">
        <f>IFERROR(__xludf.DUMMYFUNCTION("""COMPUTED_VALUE"""),652.13)</f>
        <v>652.13</v>
      </c>
      <c r="E2019" s="2">
        <f>IFERROR(__xludf.DUMMYFUNCTION("""COMPUTED_VALUE"""),657.68)</f>
        <v>657.68</v>
      </c>
      <c r="F2019" s="2">
        <f>IFERROR(__xludf.DUMMYFUNCTION("""COMPUTED_VALUE"""),1127235.0)</f>
        <v>1127235</v>
      </c>
    </row>
    <row r="2020">
      <c r="A2020" s="3">
        <f>IFERROR(__xludf.DUMMYFUNCTION("""COMPUTED_VALUE"""),41208.645833333336)</f>
        <v>41208.64583</v>
      </c>
      <c r="B2020" s="2">
        <f>IFERROR(__xludf.DUMMYFUNCTION("""COMPUTED_VALUE"""),653.1)</f>
        <v>653.1</v>
      </c>
      <c r="C2020" s="2">
        <f>IFERROR(__xludf.DUMMYFUNCTION("""COMPUTED_VALUE"""),661.0)</f>
        <v>661</v>
      </c>
      <c r="D2020" s="2">
        <f>IFERROR(__xludf.DUMMYFUNCTION("""COMPUTED_VALUE"""),653.1)</f>
        <v>653.1</v>
      </c>
      <c r="E2020" s="2">
        <f>IFERROR(__xludf.DUMMYFUNCTION("""COMPUTED_VALUE"""),657.65)</f>
        <v>657.65</v>
      </c>
      <c r="F2020" s="2">
        <f>IFERROR(__xludf.DUMMYFUNCTION("""COMPUTED_VALUE"""),523675.0)</f>
        <v>523675</v>
      </c>
    </row>
    <row r="2021">
      <c r="A2021" s="3">
        <f>IFERROR(__xludf.DUMMYFUNCTION("""COMPUTED_VALUE"""),41211.645833333336)</f>
        <v>41211.64583</v>
      </c>
      <c r="B2021" s="2">
        <f>IFERROR(__xludf.DUMMYFUNCTION("""COMPUTED_VALUE"""),655.5)</f>
        <v>655.5</v>
      </c>
      <c r="C2021" s="2">
        <f>IFERROR(__xludf.DUMMYFUNCTION("""COMPUTED_VALUE"""),659.9)</f>
        <v>659.9</v>
      </c>
      <c r="D2021" s="2">
        <f>IFERROR(__xludf.DUMMYFUNCTION("""COMPUTED_VALUE"""),650.4)</f>
        <v>650.4</v>
      </c>
      <c r="E2021" s="2">
        <f>IFERROR(__xludf.DUMMYFUNCTION("""COMPUTED_VALUE"""),654.2)</f>
        <v>654.2</v>
      </c>
      <c r="F2021" s="2">
        <f>IFERROR(__xludf.DUMMYFUNCTION("""COMPUTED_VALUE"""),407814.0)</f>
        <v>407814</v>
      </c>
    </row>
    <row r="2022">
      <c r="A2022" s="3">
        <f>IFERROR(__xludf.DUMMYFUNCTION("""COMPUTED_VALUE"""),41212.645833333336)</f>
        <v>41212.64583</v>
      </c>
      <c r="B2022" s="2">
        <f>IFERROR(__xludf.DUMMYFUNCTION("""COMPUTED_VALUE"""),652.2)</f>
        <v>652.2</v>
      </c>
      <c r="C2022" s="2">
        <f>IFERROR(__xludf.DUMMYFUNCTION("""COMPUTED_VALUE"""),661.0)</f>
        <v>661</v>
      </c>
      <c r="D2022" s="2">
        <f>IFERROR(__xludf.DUMMYFUNCTION("""COMPUTED_VALUE"""),652.2)</f>
        <v>652.2</v>
      </c>
      <c r="E2022" s="2">
        <f>IFERROR(__xludf.DUMMYFUNCTION("""COMPUTED_VALUE"""),655.75)</f>
        <v>655.75</v>
      </c>
      <c r="F2022" s="2">
        <f>IFERROR(__xludf.DUMMYFUNCTION("""COMPUTED_VALUE"""),402634.0)</f>
        <v>402634</v>
      </c>
    </row>
    <row r="2023">
      <c r="A2023" s="3">
        <f>IFERROR(__xludf.DUMMYFUNCTION("""COMPUTED_VALUE"""),41213.645833333336)</f>
        <v>41213.64583</v>
      </c>
      <c r="B2023" s="2">
        <f>IFERROR(__xludf.DUMMYFUNCTION("""COMPUTED_VALUE"""),654.55)</f>
        <v>654.55</v>
      </c>
      <c r="C2023" s="2">
        <f>IFERROR(__xludf.DUMMYFUNCTION("""COMPUTED_VALUE"""),658.4)</f>
        <v>658.4</v>
      </c>
      <c r="D2023" s="2">
        <f>IFERROR(__xludf.DUMMYFUNCTION("""COMPUTED_VALUE"""),652.0)</f>
        <v>652</v>
      </c>
      <c r="E2023" s="2">
        <f>IFERROR(__xludf.DUMMYFUNCTION("""COMPUTED_VALUE"""),657.75)</f>
        <v>657.75</v>
      </c>
      <c r="F2023" s="2">
        <f>IFERROR(__xludf.DUMMYFUNCTION("""COMPUTED_VALUE"""),499768.0)</f>
        <v>499768</v>
      </c>
    </row>
    <row r="2024">
      <c r="A2024" s="3">
        <f>IFERROR(__xludf.DUMMYFUNCTION("""COMPUTED_VALUE"""),41214.645833333336)</f>
        <v>41214.64583</v>
      </c>
      <c r="B2024" s="2">
        <f>IFERROR(__xludf.DUMMYFUNCTION("""COMPUTED_VALUE"""),657.45)</f>
        <v>657.45</v>
      </c>
      <c r="C2024" s="2">
        <f>IFERROR(__xludf.DUMMYFUNCTION("""COMPUTED_VALUE"""),660.18)</f>
        <v>660.18</v>
      </c>
      <c r="D2024" s="2">
        <f>IFERROR(__xludf.DUMMYFUNCTION("""COMPUTED_VALUE"""),655.1)</f>
        <v>655.1</v>
      </c>
      <c r="E2024" s="2">
        <f>IFERROR(__xludf.DUMMYFUNCTION("""COMPUTED_VALUE"""),657.63)</f>
        <v>657.63</v>
      </c>
      <c r="F2024" s="2">
        <f>IFERROR(__xludf.DUMMYFUNCTION("""COMPUTED_VALUE"""),789884.0)</f>
        <v>789884</v>
      </c>
    </row>
    <row r="2025">
      <c r="A2025" s="3">
        <f>IFERROR(__xludf.DUMMYFUNCTION("""COMPUTED_VALUE"""),41215.645833333336)</f>
        <v>41215.64583</v>
      </c>
      <c r="B2025" s="2">
        <f>IFERROR(__xludf.DUMMYFUNCTION("""COMPUTED_VALUE"""),662.45)</f>
        <v>662.45</v>
      </c>
      <c r="C2025" s="2">
        <f>IFERROR(__xludf.DUMMYFUNCTION("""COMPUTED_VALUE"""),669.0)</f>
        <v>669</v>
      </c>
      <c r="D2025" s="2">
        <f>IFERROR(__xludf.DUMMYFUNCTION("""COMPUTED_VALUE"""),659.2)</f>
        <v>659.2</v>
      </c>
      <c r="E2025" s="2">
        <f>IFERROR(__xludf.DUMMYFUNCTION("""COMPUTED_VALUE"""),665.6)</f>
        <v>665.6</v>
      </c>
      <c r="F2025" s="2">
        <f>IFERROR(__xludf.DUMMYFUNCTION("""COMPUTED_VALUE"""),836987.0)</f>
        <v>836987</v>
      </c>
    </row>
    <row r="2026">
      <c r="A2026" s="3">
        <f>IFERROR(__xludf.DUMMYFUNCTION("""COMPUTED_VALUE"""),41218.645833333336)</f>
        <v>41218.64583</v>
      </c>
      <c r="B2026" s="2">
        <f>IFERROR(__xludf.DUMMYFUNCTION("""COMPUTED_VALUE"""),667.95)</f>
        <v>667.95</v>
      </c>
      <c r="C2026" s="2">
        <f>IFERROR(__xludf.DUMMYFUNCTION("""COMPUTED_VALUE"""),671.68)</f>
        <v>671.68</v>
      </c>
      <c r="D2026" s="2">
        <f>IFERROR(__xludf.DUMMYFUNCTION("""COMPUTED_VALUE"""),662.65)</f>
        <v>662.65</v>
      </c>
      <c r="E2026" s="2">
        <f>IFERROR(__xludf.DUMMYFUNCTION("""COMPUTED_VALUE"""),664.8)</f>
        <v>664.8</v>
      </c>
      <c r="F2026" s="2">
        <f>IFERROR(__xludf.DUMMYFUNCTION("""COMPUTED_VALUE"""),611913.0)</f>
        <v>611913</v>
      </c>
    </row>
    <row r="2027">
      <c r="A2027" s="3">
        <f>IFERROR(__xludf.DUMMYFUNCTION("""COMPUTED_VALUE"""),41219.645833333336)</f>
        <v>41219.64583</v>
      </c>
      <c r="B2027" s="2">
        <f>IFERROR(__xludf.DUMMYFUNCTION("""COMPUTED_VALUE"""),662.5)</f>
        <v>662.5</v>
      </c>
      <c r="C2027" s="2">
        <f>IFERROR(__xludf.DUMMYFUNCTION("""COMPUTED_VALUE"""),668.7)</f>
        <v>668.7</v>
      </c>
      <c r="D2027" s="2">
        <f>IFERROR(__xludf.DUMMYFUNCTION("""COMPUTED_VALUE"""),659.73)</f>
        <v>659.73</v>
      </c>
      <c r="E2027" s="2">
        <f>IFERROR(__xludf.DUMMYFUNCTION("""COMPUTED_VALUE"""),660.28)</f>
        <v>660.28</v>
      </c>
      <c r="F2027" s="2">
        <f>IFERROR(__xludf.DUMMYFUNCTION("""COMPUTED_VALUE"""),648733.0)</f>
        <v>648733</v>
      </c>
    </row>
    <row r="2028">
      <c r="A2028" s="3">
        <f>IFERROR(__xludf.DUMMYFUNCTION("""COMPUTED_VALUE"""),41220.645833333336)</f>
        <v>41220.64583</v>
      </c>
      <c r="B2028" s="2">
        <f>IFERROR(__xludf.DUMMYFUNCTION("""COMPUTED_VALUE"""),662.5)</f>
        <v>662.5</v>
      </c>
      <c r="C2028" s="2">
        <f>IFERROR(__xludf.DUMMYFUNCTION("""COMPUTED_VALUE"""),666.68)</f>
        <v>666.68</v>
      </c>
      <c r="D2028" s="2">
        <f>IFERROR(__xludf.DUMMYFUNCTION("""COMPUTED_VALUE"""),660.75)</f>
        <v>660.75</v>
      </c>
      <c r="E2028" s="2">
        <f>IFERROR(__xludf.DUMMYFUNCTION("""COMPUTED_VALUE"""),665.75)</f>
        <v>665.75</v>
      </c>
      <c r="F2028" s="2">
        <f>IFERROR(__xludf.DUMMYFUNCTION("""COMPUTED_VALUE"""),529195.0)</f>
        <v>529195</v>
      </c>
    </row>
    <row r="2029">
      <c r="A2029" s="3">
        <f>IFERROR(__xludf.DUMMYFUNCTION("""COMPUTED_VALUE"""),41221.645833333336)</f>
        <v>41221.64583</v>
      </c>
      <c r="B2029" s="2">
        <f>IFERROR(__xludf.DUMMYFUNCTION("""COMPUTED_VALUE"""),662.0)</f>
        <v>662</v>
      </c>
      <c r="C2029" s="2">
        <f>IFERROR(__xludf.DUMMYFUNCTION("""COMPUTED_VALUE"""),667.35)</f>
        <v>667.35</v>
      </c>
      <c r="D2029" s="2">
        <f>IFERROR(__xludf.DUMMYFUNCTION("""COMPUTED_VALUE"""),658.3)</f>
        <v>658.3</v>
      </c>
      <c r="E2029" s="2">
        <f>IFERROR(__xludf.DUMMYFUNCTION("""COMPUTED_VALUE"""),665.6)</f>
        <v>665.6</v>
      </c>
      <c r="F2029" s="2">
        <f>IFERROR(__xludf.DUMMYFUNCTION("""COMPUTED_VALUE"""),619522.0)</f>
        <v>619522</v>
      </c>
    </row>
    <row r="2030">
      <c r="A2030" s="3">
        <f>IFERROR(__xludf.DUMMYFUNCTION("""COMPUTED_VALUE"""),41222.645833333336)</f>
        <v>41222.64583</v>
      </c>
      <c r="B2030" s="2">
        <f>IFERROR(__xludf.DUMMYFUNCTION("""COMPUTED_VALUE"""),665.0)</f>
        <v>665</v>
      </c>
      <c r="C2030" s="2">
        <f>IFERROR(__xludf.DUMMYFUNCTION("""COMPUTED_VALUE"""),666.63)</f>
        <v>666.63</v>
      </c>
      <c r="D2030" s="2">
        <f>IFERROR(__xludf.DUMMYFUNCTION("""COMPUTED_VALUE"""),660.45)</f>
        <v>660.45</v>
      </c>
      <c r="E2030" s="2">
        <f>IFERROR(__xludf.DUMMYFUNCTION("""COMPUTED_VALUE"""),662.48)</f>
        <v>662.48</v>
      </c>
      <c r="F2030" s="2">
        <f>IFERROR(__xludf.DUMMYFUNCTION("""COMPUTED_VALUE"""),355691.0)</f>
        <v>355691</v>
      </c>
    </row>
    <row r="2031">
      <c r="A2031" s="3">
        <f>IFERROR(__xludf.DUMMYFUNCTION("""COMPUTED_VALUE"""),41225.645833333336)</f>
        <v>41225.64583</v>
      </c>
      <c r="B2031" s="2">
        <f>IFERROR(__xludf.DUMMYFUNCTION("""COMPUTED_VALUE"""),660.0)</f>
        <v>660</v>
      </c>
      <c r="C2031" s="2">
        <f>IFERROR(__xludf.DUMMYFUNCTION("""COMPUTED_VALUE"""),674.0)</f>
        <v>674</v>
      </c>
      <c r="D2031" s="2">
        <f>IFERROR(__xludf.DUMMYFUNCTION("""COMPUTED_VALUE"""),660.0)</f>
        <v>660</v>
      </c>
      <c r="E2031" s="2">
        <f>IFERROR(__xludf.DUMMYFUNCTION("""COMPUTED_VALUE"""),667.25)</f>
        <v>667.25</v>
      </c>
      <c r="F2031" s="2">
        <f>IFERROR(__xludf.DUMMYFUNCTION("""COMPUTED_VALUE"""),733391.0)</f>
        <v>733391</v>
      </c>
    </row>
    <row r="2032">
      <c r="A2032" s="3">
        <f>IFERROR(__xludf.DUMMYFUNCTION("""COMPUTED_VALUE"""),41226.645833333336)</f>
        <v>41226.64583</v>
      </c>
      <c r="B2032" s="2">
        <f>IFERROR(__xludf.DUMMYFUNCTION("""COMPUTED_VALUE"""),667.58)</f>
        <v>667.58</v>
      </c>
      <c r="C2032" s="2">
        <f>IFERROR(__xludf.DUMMYFUNCTION("""COMPUTED_VALUE"""),668.6)</f>
        <v>668.6</v>
      </c>
      <c r="D2032" s="2">
        <f>IFERROR(__xludf.DUMMYFUNCTION("""COMPUTED_VALUE"""),661.03)</f>
        <v>661.03</v>
      </c>
      <c r="E2032" s="2">
        <f>IFERROR(__xludf.DUMMYFUNCTION("""COMPUTED_VALUE"""),662.65)</f>
        <v>662.65</v>
      </c>
      <c r="F2032" s="2">
        <f>IFERROR(__xludf.DUMMYFUNCTION("""COMPUTED_VALUE"""),71507.0)</f>
        <v>71507</v>
      </c>
    </row>
    <row r="2033">
      <c r="A2033" s="3">
        <f>IFERROR(__xludf.DUMMYFUNCTION("""COMPUTED_VALUE"""),41228.645833333336)</f>
        <v>41228.64583</v>
      </c>
      <c r="B2033" s="2">
        <f>IFERROR(__xludf.DUMMYFUNCTION("""COMPUTED_VALUE"""),660.05)</f>
        <v>660.05</v>
      </c>
      <c r="C2033" s="2">
        <f>IFERROR(__xludf.DUMMYFUNCTION("""COMPUTED_VALUE"""),661.0)</f>
        <v>661</v>
      </c>
      <c r="D2033" s="2">
        <f>IFERROR(__xludf.DUMMYFUNCTION("""COMPUTED_VALUE"""),645.5)</f>
        <v>645.5</v>
      </c>
      <c r="E2033" s="2">
        <f>IFERROR(__xludf.DUMMYFUNCTION("""COMPUTED_VALUE"""),647.08)</f>
        <v>647.08</v>
      </c>
      <c r="F2033" s="2">
        <f>IFERROR(__xludf.DUMMYFUNCTION("""COMPUTED_VALUE"""),867701.0)</f>
        <v>867701</v>
      </c>
    </row>
    <row r="2034">
      <c r="A2034" s="3">
        <f>IFERROR(__xludf.DUMMYFUNCTION("""COMPUTED_VALUE"""),41229.645833333336)</f>
        <v>41229.64583</v>
      </c>
      <c r="B2034" s="2">
        <f>IFERROR(__xludf.DUMMYFUNCTION("""COMPUTED_VALUE"""),649.9)</f>
        <v>649.9</v>
      </c>
      <c r="C2034" s="2">
        <f>IFERROR(__xludf.DUMMYFUNCTION("""COMPUTED_VALUE"""),653.4)</f>
        <v>653.4</v>
      </c>
      <c r="D2034" s="2">
        <f>IFERROR(__xludf.DUMMYFUNCTION("""COMPUTED_VALUE"""),640.05)</f>
        <v>640.05</v>
      </c>
      <c r="E2034" s="2">
        <f>IFERROR(__xludf.DUMMYFUNCTION("""COMPUTED_VALUE"""),643.4)</f>
        <v>643.4</v>
      </c>
      <c r="F2034" s="2">
        <f>IFERROR(__xludf.DUMMYFUNCTION("""COMPUTED_VALUE"""),799445.0)</f>
        <v>799445</v>
      </c>
    </row>
    <row r="2035">
      <c r="A2035" s="3">
        <f>IFERROR(__xludf.DUMMYFUNCTION("""COMPUTED_VALUE"""),41232.645833333336)</f>
        <v>41232.64583</v>
      </c>
      <c r="B2035" s="2">
        <f>IFERROR(__xludf.DUMMYFUNCTION("""COMPUTED_VALUE"""),645.05)</f>
        <v>645.05</v>
      </c>
      <c r="C2035" s="2">
        <f>IFERROR(__xludf.DUMMYFUNCTION("""COMPUTED_VALUE"""),647.5)</f>
        <v>647.5</v>
      </c>
      <c r="D2035" s="2">
        <f>IFERROR(__xludf.DUMMYFUNCTION("""COMPUTED_VALUE"""),629.25)</f>
        <v>629.25</v>
      </c>
      <c r="E2035" s="2">
        <f>IFERROR(__xludf.DUMMYFUNCTION("""COMPUTED_VALUE"""),631.17)</f>
        <v>631.17</v>
      </c>
      <c r="F2035" s="2">
        <f>IFERROR(__xludf.DUMMYFUNCTION("""COMPUTED_VALUE"""),838143.0)</f>
        <v>838143</v>
      </c>
    </row>
    <row r="2036">
      <c r="A2036" s="3">
        <f>IFERROR(__xludf.DUMMYFUNCTION("""COMPUTED_VALUE"""),41233.645833333336)</f>
        <v>41233.64583</v>
      </c>
      <c r="B2036" s="2">
        <f>IFERROR(__xludf.DUMMYFUNCTION("""COMPUTED_VALUE"""),637.5)</f>
        <v>637.5</v>
      </c>
      <c r="C2036" s="2">
        <f>IFERROR(__xludf.DUMMYFUNCTION("""COMPUTED_VALUE"""),641.45)</f>
        <v>641.45</v>
      </c>
      <c r="D2036" s="2">
        <f>IFERROR(__xludf.DUMMYFUNCTION("""COMPUTED_VALUE"""),628.03)</f>
        <v>628.03</v>
      </c>
      <c r="E2036" s="2">
        <f>IFERROR(__xludf.DUMMYFUNCTION("""COMPUTED_VALUE"""),636.4)</f>
        <v>636.4</v>
      </c>
      <c r="F2036" s="2">
        <f>IFERROR(__xludf.DUMMYFUNCTION("""COMPUTED_VALUE"""),628020.0)</f>
        <v>628020</v>
      </c>
    </row>
    <row r="2037">
      <c r="A2037" s="3">
        <f>IFERROR(__xludf.DUMMYFUNCTION("""COMPUTED_VALUE"""),41234.645833333336)</f>
        <v>41234.64583</v>
      </c>
      <c r="B2037" s="2">
        <f>IFERROR(__xludf.DUMMYFUNCTION("""COMPUTED_VALUE"""),638.13)</f>
        <v>638.13</v>
      </c>
      <c r="C2037" s="2">
        <f>IFERROR(__xludf.DUMMYFUNCTION("""COMPUTED_VALUE"""),647.35)</f>
        <v>647.35</v>
      </c>
      <c r="D2037" s="2">
        <f>IFERROR(__xludf.DUMMYFUNCTION("""COMPUTED_VALUE"""),638.13)</f>
        <v>638.13</v>
      </c>
      <c r="E2037" s="2">
        <f>IFERROR(__xludf.DUMMYFUNCTION("""COMPUTED_VALUE"""),641.1)</f>
        <v>641.1</v>
      </c>
      <c r="F2037" s="2">
        <f>IFERROR(__xludf.DUMMYFUNCTION("""COMPUTED_VALUE"""),470872.0)</f>
        <v>470872</v>
      </c>
    </row>
    <row r="2038">
      <c r="A2038" s="3">
        <f>IFERROR(__xludf.DUMMYFUNCTION("""COMPUTED_VALUE"""),41235.645833333336)</f>
        <v>41235.64583</v>
      </c>
      <c r="B2038" s="2">
        <f>IFERROR(__xludf.DUMMYFUNCTION("""COMPUTED_VALUE"""),641.05)</f>
        <v>641.05</v>
      </c>
      <c r="C2038" s="2">
        <f>IFERROR(__xludf.DUMMYFUNCTION("""COMPUTED_VALUE"""),642.05)</f>
        <v>642.05</v>
      </c>
      <c r="D2038" s="2">
        <f>IFERROR(__xludf.DUMMYFUNCTION("""COMPUTED_VALUE"""),635.5)</f>
        <v>635.5</v>
      </c>
      <c r="E2038" s="2">
        <f>IFERROR(__xludf.DUMMYFUNCTION("""COMPUTED_VALUE"""),638.23)</f>
        <v>638.23</v>
      </c>
      <c r="F2038" s="2">
        <f>IFERROR(__xludf.DUMMYFUNCTION("""COMPUTED_VALUE"""),305812.0)</f>
        <v>305812</v>
      </c>
    </row>
    <row r="2039">
      <c r="A2039" s="3">
        <f>IFERROR(__xludf.DUMMYFUNCTION("""COMPUTED_VALUE"""),41236.645833333336)</f>
        <v>41236.64583</v>
      </c>
      <c r="B2039" s="2">
        <f>IFERROR(__xludf.DUMMYFUNCTION("""COMPUTED_VALUE"""),641.0)</f>
        <v>641</v>
      </c>
      <c r="C2039" s="2">
        <f>IFERROR(__xludf.DUMMYFUNCTION("""COMPUTED_VALUE"""),645.7)</f>
        <v>645.7</v>
      </c>
      <c r="D2039" s="2">
        <f>IFERROR(__xludf.DUMMYFUNCTION("""COMPUTED_VALUE"""),635.63)</f>
        <v>635.63</v>
      </c>
      <c r="E2039" s="2">
        <f>IFERROR(__xludf.DUMMYFUNCTION("""COMPUTED_VALUE"""),644.3)</f>
        <v>644.3</v>
      </c>
      <c r="F2039" s="2">
        <f>IFERROR(__xludf.DUMMYFUNCTION("""COMPUTED_VALUE"""),374838.0)</f>
        <v>374838</v>
      </c>
    </row>
    <row r="2040">
      <c r="A2040" s="3">
        <f>IFERROR(__xludf.DUMMYFUNCTION("""COMPUTED_VALUE"""),41239.645833333336)</f>
        <v>41239.64583</v>
      </c>
      <c r="B2040" s="2">
        <f>IFERROR(__xludf.DUMMYFUNCTION("""COMPUTED_VALUE"""),644.0)</f>
        <v>644</v>
      </c>
      <c r="C2040" s="2">
        <f>IFERROR(__xludf.DUMMYFUNCTION("""COMPUTED_VALUE"""),647.85)</f>
        <v>647.85</v>
      </c>
      <c r="D2040" s="2">
        <f>IFERROR(__xludf.DUMMYFUNCTION("""COMPUTED_VALUE"""),642.5)</f>
        <v>642.5</v>
      </c>
      <c r="E2040" s="2">
        <f>IFERROR(__xludf.DUMMYFUNCTION("""COMPUTED_VALUE"""),646.85)</f>
        <v>646.85</v>
      </c>
      <c r="F2040" s="2">
        <f>IFERROR(__xludf.DUMMYFUNCTION("""COMPUTED_VALUE"""),228167.0)</f>
        <v>228167</v>
      </c>
    </row>
    <row r="2041">
      <c r="A2041" s="3">
        <f>IFERROR(__xludf.DUMMYFUNCTION("""COMPUTED_VALUE"""),41240.645833333336)</f>
        <v>41240.64583</v>
      </c>
      <c r="B2041" s="2">
        <f>IFERROR(__xludf.DUMMYFUNCTION("""COMPUTED_VALUE"""),649.95)</f>
        <v>649.95</v>
      </c>
      <c r="C2041" s="2">
        <f>IFERROR(__xludf.DUMMYFUNCTION("""COMPUTED_VALUE"""),649.95)</f>
        <v>649.95</v>
      </c>
      <c r="D2041" s="2">
        <f>IFERROR(__xludf.DUMMYFUNCTION("""COMPUTED_VALUE"""),644.15)</f>
        <v>644.15</v>
      </c>
      <c r="E2041" s="2">
        <f>IFERROR(__xludf.DUMMYFUNCTION("""COMPUTED_VALUE"""),647.6)</f>
        <v>647.6</v>
      </c>
      <c r="F2041" s="2">
        <f>IFERROR(__xludf.DUMMYFUNCTION("""COMPUTED_VALUE"""),669080.0)</f>
        <v>669080</v>
      </c>
    </row>
    <row r="2042">
      <c r="A2042" s="3">
        <f>IFERROR(__xludf.DUMMYFUNCTION("""COMPUTED_VALUE"""),41242.645833333336)</f>
        <v>41242.64583</v>
      </c>
      <c r="B2042" s="2">
        <f>IFERROR(__xludf.DUMMYFUNCTION("""COMPUTED_VALUE"""),655.0)</f>
        <v>655</v>
      </c>
      <c r="C2042" s="2">
        <f>IFERROR(__xludf.DUMMYFUNCTION("""COMPUTED_VALUE"""),656.0)</f>
        <v>656</v>
      </c>
      <c r="D2042" s="2">
        <f>IFERROR(__xludf.DUMMYFUNCTION("""COMPUTED_VALUE"""),646.17)</f>
        <v>646.17</v>
      </c>
      <c r="E2042" s="2">
        <f>IFERROR(__xludf.DUMMYFUNCTION("""COMPUTED_VALUE"""),649.05)</f>
        <v>649.05</v>
      </c>
      <c r="F2042" s="2">
        <f>IFERROR(__xludf.DUMMYFUNCTION("""COMPUTED_VALUE"""),1735289.0)</f>
        <v>1735289</v>
      </c>
    </row>
    <row r="2043">
      <c r="A2043" s="3">
        <f>IFERROR(__xludf.DUMMYFUNCTION("""COMPUTED_VALUE"""),41243.645833333336)</f>
        <v>41243.64583</v>
      </c>
      <c r="B2043" s="2">
        <f>IFERROR(__xludf.DUMMYFUNCTION("""COMPUTED_VALUE"""),647.5)</f>
        <v>647.5</v>
      </c>
      <c r="C2043" s="2">
        <f>IFERROR(__xludf.DUMMYFUNCTION("""COMPUTED_VALUE"""),662.5)</f>
        <v>662.5</v>
      </c>
      <c r="D2043" s="2">
        <f>IFERROR(__xludf.DUMMYFUNCTION("""COMPUTED_VALUE"""),645.55)</f>
        <v>645.55</v>
      </c>
      <c r="E2043" s="2">
        <f>IFERROR(__xludf.DUMMYFUNCTION("""COMPUTED_VALUE"""),657.0)</f>
        <v>657</v>
      </c>
      <c r="F2043" s="2">
        <f>IFERROR(__xludf.DUMMYFUNCTION("""COMPUTED_VALUE"""),1789647.0)</f>
        <v>1789647</v>
      </c>
    </row>
    <row r="2044">
      <c r="A2044" s="3">
        <f>IFERROR(__xludf.DUMMYFUNCTION("""COMPUTED_VALUE"""),41246.645833333336)</f>
        <v>41246.64583</v>
      </c>
      <c r="B2044" s="2">
        <f>IFERROR(__xludf.DUMMYFUNCTION("""COMPUTED_VALUE"""),657.5)</f>
        <v>657.5</v>
      </c>
      <c r="C2044" s="2">
        <f>IFERROR(__xludf.DUMMYFUNCTION("""COMPUTED_VALUE"""),661.0)</f>
        <v>661</v>
      </c>
      <c r="D2044" s="2">
        <f>IFERROR(__xludf.DUMMYFUNCTION("""COMPUTED_VALUE"""),652.6)</f>
        <v>652.6</v>
      </c>
      <c r="E2044" s="2">
        <f>IFERROR(__xludf.DUMMYFUNCTION("""COMPUTED_VALUE"""),658.4)</f>
        <v>658.4</v>
      </c>
      <c r="F2044" s="2">
        <f>IFERROR(__xludf.DUMMYFUNCTION("""COMPUTED_VALUE"""),659756.0)</f>
        <v>659756</v>
      </c>
    </row>
    <row r="2045">
      <c r="A2045" s="3">
        <f>IFERROR(__xludf.DUMMYFUNCTION("""COMPUTED_VALUE"""),41247.645833333336)</f>
        <v>41247.64583</v>
      </c>
      <c r="B2045" s="2">
        <f>IFERROR(__xludf.DUMMYFUNCTION("""COMPUTED_VALUE"""),657.55)</f>
        <v>657.55</v>
      </c>
      <c r="C2045" s="2">
        <f>IFERROR(__xludf.DUMMYFUNCTION("""COMPUTED_VALUE"""),660.9)</f>
        <v>660.9</v>
      </c>
      <c r="D2045" s="2">
        <f>IFERROR(__xludf.DUMMYFUNCTION("""COMPUTED_VALUE"""),646.45)</f>
        <v>646.45</v>
      </c>
      <c r="E2045" s="2">
        <f>IFERROR(__xludf.DUMMYFUNCTION("""COMPUTED_VALUE"""),649.73)</f>
        <v>649.73</v>
      </c>
      <c r="F2045" s="2">
        <f>IFERROR(__xludf.DUMMYFUNCTION("""COMPUTED_VALUE"""),797560.0)</f>
        <v>797560</v>
      </c>
    </row>
    <row r="2046">
      <c r="A2046" s="3">
        <f>IFERROR(__xludf.DUMMYFUNCTION("""COMPUTED_VALUE"""),41248.645833333336)</f>
        <v>41248.64583</v>
      </c>
      <c r="B2046" s="2">
        <f>IFERROR(__xludf.DUMMYFUNCTION("""COMPUTED_VALUE"""),650.0)</f>
        <v>650</v>
      </c>
      <c r="C2046" s="2">
        <f>IFERROR(__xludf.DUMMYFUNCTION("""COMPUTED_VALUE"""),653.78)</f>
        <v>653.78</v>
      </c>
      <c r="D2046" s="2">
        <f>IFERROR(__xludf.DUMMYFUNCTION("""COMPUTED_VALUE"""),644.3)</f>
        <v>644.3</v>
      </c>
      <c r="E2046" s="2">
        <f>IFERROR(__xludf.DUMMYFUNCTION("""COMPUTED_VALUE"""),648.95)</f>
        <v>648.95</v>
      </c>
      <c r="F2046" s="2">
        <f>IFERROR(__xludf.DUMMYFUNCTION("""COMPUTED_VALUE"""),895029.0)</f>
        <v>895029</v>
      </c>
    </row>
    <row r="2047">
      <c r="A2047" s="3">
        <f>IFERROR(__xludf.DUMMYFUNCTION("""COMPUTED_VALUE"""),41249.645833333336)</f>
        <v>41249.64583</v>
      </c>
      <c r="B2047" s="2">
        <f>IFERROR(__xludf.DUMMYFUNCTION("""COMPUTED_VALUE"""),647.5)</f>
        <v>647.5</v>
      </c>
      <c r="C2047" s="2">
        <f>IFERROR(__xludf.DUMMYFUNCTION("""COMPUTED_VALUE"""),647.5)</f>
        <v>647.5</v>
      </c>
      <c r="D2047" s="2">
        <f>IFERROR(__xludf.DUMMYFUNCTION("""COMPUTED_VALUE"""),634.5)</f>
        <v>634.5</v>
      </c>
      <c r="E2047" s="2">
        <f>IFERROR(__xludf.DUMMYFUNCTION("""COMPUTED_VALUE"""),640.35)</f>
        <v>640.35</v>
      </c>
      <c r="F2047" s="2">
        <f>IFERROR(__xludf.DUMMYFUNCTION("""COMPUTED_VALUE"""),1185046.0)</f>
        <v>1185046</v>
      </c>
    </row>
    <row r="2048">
      <c r="A2048" s="3">
        <f>IFERROR(__xludf.DUMMYFUNCTION("""COMPUTED_VALUE"""),41250.645833333336)</f>
        <v>41250.64583</v>
      </c>
      <c r="B2048" s="2">
        <f>IFERROR(__xludf.DUMMYFUNCTION("""COMPUTED_VALUE"""),638.33)</f>
        <v>638.33</v>
      </c>
      <c r="C2048" s="2">
        <f>IFERROR(__xludf.DUMMYFUNCTION("""COMPUTED_VALUE"""),640.35)</f>
        <v>640.35</v>
      </c>
      <c r="D2048" s="2">
        <f>IFERROR(__xludf.DUMMYFUNCTION("""COMPUTED_VALUE"""),628.53)</f>
        <v>628.53</v>
      </c>
      <c r="E2048" s="2">
        <f>IFERROR(__xludf.DUMMYFUNCTION("""COMPUTED_VALUE"""),632.08)</f>
        <v>632.08</v>
      </c>
      <c r="F2048" s="2">
        <f>IFERROR(__xludf.DUMMYFUNCTION("""COMPUTED_VALUE"""),978607.0)</f>
        <v>978607</v>
      </c>
    </row>
    <row r="2049">
      <c r="A2049" s="3">
        <f>IFERROR(__xludf.DUMMYFUNCTION("""COMPUTED_VALUE"""),41253.645833333336)</f>
        <v>41253.64583</v>
      </c>
      <c r="B2049" s="2">
        <f>IFERROR(__xludf.DUMMYFUNCTION("""COMPUTED_VALUE"""),631.05)</f>
        <v>631.05</v>
      </c>
      <c r="C2049" s="2">
        <f>IFERROR(__xludf.DUMMYFUNCTION("""COMPUTED_VALUE"""),633.4)</f>
        <v>633.4</v>
      </c>
      <c r="D2049" s="2">
        <f>IFERROR(__xludf.DUMMYFUNCTION("""COMPUTED_VALUE"""),615.6)</f>
        <v>615.6</v>
      </c>
      <c r="E2049" s="2">
        <f>IFERROR(__xludf.DUMMYFUNCTION("""COMPUTED_VALUE"""),618.6)</f>
        <v>618.6</v>
      </c>
      <c r="F2049" s="2">
        <f>IFERROR(__xludf.DUMMYFUNCTION("""COMPUTED_VALUE"""),1514715.0)</f>
        <v>1514715</v>
      </c>
    </row>
    <row r="2050">
      <c r="A2050" s="3">
        <f>IFERROR(__xludf.DUMMYFUNCTION("""COMPUTED_VALUE"""),41254.645833333336)</f>
        <v>41254.64583</v>
      </c>
      <c r="B2050" s="2">
        <f>IFERROR(__xludf.DUMMYFUNCTION("""COMPUTED_VALUE"""),617.5)</f>
        <v>617.5</v>
      </c>
      <c r="C2050" s="2">
        <f>IFERROR(__xludf.DUMMYFUNCTION("""COMPUTED_VALUE"""),621.5)</f>
        <v>621.5</v>
      </c>
      <c r="D2050" s="2">
        <f>IFERROR(__xludf.DUMMYFUNCTION("""COMPUTED_VALUE"""),605.17)</f>
        <v>605.17</v>
      </c>
      <c r="E2050" s="2">
        <f>IFERROR(__xludf.DUMMYFUNCTION("""COMPUTED_VALUE"""),609.85)</f>
        <v>609.85</v>
      </c>
      <c r="F2050" s="2">
        <f>IFERROR(__xludf.DUMMYFUNCTION("""COMPUTED_VALUE"""),2463457.0)</f>
        <v>2463457</v>
      </c>
    </row>
    <row r="2051">
      <c r="A2051" s="3">
        <f>IFERROR(__xludf.DUMMYFUNCTION("""COMPUTED_VALUE"""),41255.645833333336)</f>
        <v>41255.64583</v>
      </c>
      <c r="B2051" s="2">
        <f>IFERROR(__xludf.DUMMYFUNCTION("""COMPUTED_VALUE"""),612.45)</f>
        <v>612.45</v>
      </c>
      <c r="C2051" s="2">
        <f>IFERROR(__xludf.DUMMYFUNCTION("""COMPUTED_VALUE"""),620.5)</f>
        <v>620.5</v>
      </c>
      <c r="D2051" s="2">
        <f>IFERROR(__xludf.DUMMYFUNCTION("""COMPUTED_VALUE"""),610.55)</f>
        <v>610.55</v>
      </c>
      <c r="E2051" s="2">
        <f>IFERROR(__xludf.DUMMYFUNCTION("""COMPUTED_VALUE"""),612.9)</f>
        <v>612.9</v>
      </c>
      <c r="F2051" s="2">
        <f>IFERROR(__xludf.DUMMYFUNCTION("""COMPUTED_VALUE"""),1243974.0)</f>
        <v>1243974</v>
      </c>
    </row>
    <row r="2052">
      <c r="A2052" s="3">
        <f>IFERROR(__xludf.DUMMYFUNCTION("""COMPUTED_VALUE"""),41256.645833333336)</f>
        <v>41256.64583</v>
      </c>
      <c r="B2052" s="2">
        <f>IFERROR(__xludf.DUMMYFUNCTION("""COMPUTED_VALUE"""),615.05)</f>
        <v>615.05</v>
      </c>
      <c r="C2052" s="2">
        <f>IFERROR(__xludf.DUMMYFUNCTION("""COMPUTED_VALUE"""),617.3)</f>
        <v>617.3</v>
      </c>
      <c r="D2052" s="2">
        <f>IFERROR(__xludf.DUMMYFUNCTION("""COMPUTED_VALUE"""),608.55)</f>
        <v>608.55</v>
      </c>
      <c r="E2052" s="2">
        <f>IFERROR(__xludf.DUMMYFUNCTION("""COMPUTED_VALUE"""),611.28)</f>
        <v>611.28</v>
      </c>
      <c r="F2052" s="2">
        <f>IFERROR(__xludf.DUMMYFUNCTION("""COMPUTED_VALUE"""),1148581.0)</f>
        <v>1148581</v>
      </c>
    </row>
    <row r="2053">
      <c r="A2053" s="3">
        <f>IFERROR(__xludf.DUMMYFUNCTION("""COMPUTED_VALUE"""),41257.645833333336)</f>
        <v>41257.64583</v>
      </c>
      <c r="B2053" s="2">
        <f>IFERROR(__xludf.DUMMYFUNCTION("""COMPUTED_VALUE"""),608.5)</f>
        <v>608.5</v>
      </c>
      <c r="C2053" s="2">
        <f>IFERROR(__xludf.DUMMYFUNCTION("""COMPUTED_VALUE"""),622.5)</f>
        <v>622.5</v>
      </c>
      <c r="D2053" s="2">
        <f>IFERROR(__xludf.DUMMYFUNCTION("""COMPUTED_VALUE"""),608.08)</f>
        <v>608.08</v>
      </c>
      <c r="E2053" s="2">
        <f>IFERROR(__xludf.DUMMYFUNCTION("""COMPUTED_VALUE"""),621.45)</f>
        <v>621.45</v>
      </c>
      <c r="F2053" s="2">
        <f>IFERROR(__xludf.DUMMYFUNCTION("""COMPUTED_VALUE"""),1098407.0)</f>
        <v>1098407</v>
      </c>
    </row>
    <row r="2054">
      <c r="A2054" s="3">
        <f>IFERROR(__xludf.DUMMYFUNCTION("""COMPUTED_VALUE"""),41260.645833333336)</f>
        <v>41260.64583</v>
      </c>
      <c r="B2054" s="2">
        <f>IFERROR(__xludf.DUMMYFUNCTION("""COMPUTED_VALUE"""),619.58)</f>
        <v>619.58</v>
      </c>
      <c r="C2054" s="2">
        <f>IFERROR(__xludf.DUMMYFUNCTION("""COMPUTED_VALUE"""),624.45)</f>
        <v>624.45</v>
      </c>
      <c r="D2054" s="2">
        <f>IFERROR(__xludf.DUMMYFUNCTION("""COMPUTED_VALUE"""),601.05)</f>
        <v>601.05</v>
      </c>
      <c r="E2054" s="2">
        <f>IFERROR(__xludf.DUMMYFUNCTION("""COMPUTED_VALUE"""),602.75)</f>
        <v>602.75</v>
      </c>
      <c r="F2054" s="2">
        <f>IFERROR(__xludf.DUMMYFUNCTION("""COMPUTED_VALUE"""),2241449.0)</f>
        <v>2241449</v>
      </c>
    </row>
    <row r="2055">
      <c r="A2055" s="3">
        <f>IFERROR(__xludf.DUMMYFUNCTION("""COMPUTED_VALUE"""),41261.645833333336)</f>
        <v>41261.64583</v>
      </c>
      <c r="B2055" s="2">
        <f>IFERROR(__xludf.DUMMYFUNCTION("""COMPUTED_VALUE"""),607.35)</f>
        <v>607.35</v>
      </c>
      <c r="C2055" s="2">
        <f>IFERROR(__xludf.DUMMYFUNCTION("""COMPUTED_VALUE"""),612.5)</f>
        <v>612.5</v>
      </c>
      <c r="D2055" s="2">
        <f>IFERROR(__xludf.DUMMYFUNCTION("""COMPUTED_VALUE"""),598.5)</f>
        <v>598.5</v>
      </c>
      <c r="E2055" s="2">
        <f>IFERROR(__xludf.DUMMYFUNCTION("""COMPUTED_VALUE"""),605.33)</f>
        <v>605.33</v>
      </c>
      <c r="F2055" s="2">
        <f>IFERROR(__xludf.DUMMYFUNCTION("""COMPUTED_VALUE"""),2344241.0)</f>
        <v>2344241</v>
      </c>
    </row>
    <row r="2056">
      <c r="A2056" s="3">
        <f>IFERROR(__xludf.DUMMYFUNCTION("""COMPUTED_VALUE"""),41262.645833333336)</f>
        <v>41262.64583</v>
      </c>
      <c r="B2056" s="2">
        <f>IFERROR(__xludf.DUMMYFUNCTION("""COMPUTED_VALUE"""),608.05)</f>
        <v>608.05</v>
      </c>
      <c r="C2056" s="2">
        <f>IFERROR(__xludf.DUMMYFUNCTION("""COMPUTED_VALUE"""),618.28)</f>
        <v>618.28</v>
      </c>
      <c r="D2056" s="2">
        <f>IFERROR(__xludf.DUMMYFUNCTION("""COMPUTED_VALUE"""),608.05)</f>
        <v>608.05</v>
      </c>
      <c r="E2056" s="2">
        <f>IFERROR(__xludf.DUMMYFUNCTION("""COMPUTED_VALUE"""),616.33)</f>
        <v>616.33</v>
      </c>
      <c r="F2056" s="2">
        <f>IFERROR(__xludf.DUMMYFUNCTION("""COMPUTED_VALUE"""),3321030.0)</f>
        <v>3321030</v>
      </c>
    </row>
    <row r="2057">
      <c r="A2057" s="3">
        <f>IFERROR(__xludf.DUMMYFUNCTION("""COMPUTED_VALUE"""),41263.645833333336)</f>
        <v>41263.64583</v>
      </c>
      <c r="B2057" s="2">
        <f>IFERROR(__xludf.DUMMYFUNCTION("""COMPUTED_VALUE"""),613.58)</f>
        <v>613.58</v>
      </c>
      <c r="C2057" s="2">
        <f>IFERROR(__xludf.DUMMYFUNCTION("""COMPUTED_VALUE"""),627.5)</f>
        <v>627.5</v>
      </c>
      <c r="D2057" s="2">
        <f>IFERROR(__xludf.DUMMYFUNCTION("""COMPUTED_VALUE"""),613.58)</f>
        <v>613.58</v>
      </c>
      <c r="E2057" s="2">
        <f>IFERROR(__xludf.DUMMYFUNCTION("""COMPUTED_VALUE"""),626.03)</f>
        <v>626.03</v>
      </c>
      <c r="F2057" s="2">
        <f>IFERROR(__xludf.DUMMYFUNCTION("""COMPUTED_VALUE"""),1157015.0)</f>
        <v>1157015</v>
      </c>
    </row>
    <row r="2058">
      <c r="A2058" s="3">
        <f>IFERROR(__xludf.DUMMYFUNCTION("""COMPUTED_VALUE"""),41264.645833333336)</f>
        <v>41264.64583</v>
      </c>
      <c r="B2058" s="2">
        <f>IFERROR(__xludf.DUMMYFUNCTION("""COMPUTED_VALUE"""),625.0)</f>
        <v>625</v>
      </c>
      <c r="C2058" s="2">
        <f>IFERROR(__xludf.DUMMYFUNCTION("""COMPUTED_VALUE"""),632.2)</f>
        <v>632.2</v>
      </c>
      <c r="D2058" s="2">
        <f>IFERROR(__xludf.DUMMYFUNCTION("""COMPUTED_VALUE"""),618.85)</f>
        <v>618.85</v>
      </c>
      <c r="E2058" s="2">
        <f>IFERROR(__xludf.DUMMYFUNCTION("""COMPUTED_VALUE"""),629.35)</f>
        <v>629.35</v>
      </c>
      <c r="F2058" s="2">
        <f>IFERROR(__xludf.DUMMYFUNCTION("""COMPUTED_VALUE"""),1228984.0)</f>
        <v>1228984</v>
      </c>
    </row>
    <row r="2059">
      <c r="A2059" s="3">
        <f>IFERROR(__xludf.DUMMYFUNCTION("""COMPUTED_VALUE"""),41267.645833333336)</f>
        <v>41267.64583</v>
      </c>
      <c r="B2059" s="2">
        <f>IFERROR(__xludf.DUMMYFUNCTION("""COMPUTED_VALUE"""),631.0)</f>
        <v>631</v>
      </c>
      <c r="C2059" s="2">
        <f>IFERROR(__xludf.DUMMYFUNCTION("""COMPUTED_VALUE"""),635.55)</f>
        <v>635.55</v>
      </c>
      <c r="D2059" s="2">
        <f>IFERROR(__xludf.DUMMYFUNCTION("""COMPUTED_VALUE"""),630.05)</f>
        <v>630.05</v>
      </c>
      <c r="E2059" s="2">
        <f>IFERROR(__xludf.DUMMYFUNCTION("""COMPUTED_VALUE"""),633.1)</f>
        <v>633.1</v>
      </c>
      <c r="F2059" s="2">
        <f>IFERROR(__xludf.DUMMYFUNCTION("""COMPUTED_VALUE"""),627409.0)</f>
        <v>627409</v>
      </c>
    </row>
    <row r="2060">
      <c r="A2060" s="3">
        <f>IFERROR(__xludf.DUMMYFUNCTION("""COMPUTED_VALUE"""),41269.645833333336)</f>
        <v>41269.64583</v>
      </c>
      <c r="B2060" s="2">
        <f>IFERROR(__xludf.DUMMYFUNCTION("""COMPUTED_VALUE"""),633.5)</f>
        <v>633.5</v>
      </c>
      <c r="C2060" s="2">
        <f>IFERROR(__xludf.DUMMYFUNCTION("""COMPUTED_VALUE"""),634.58)</f>
        <v>634.58</v>
      </c>
      <c r="D2060" s="2">
        <f>IFERROR(__xludf.DUMMYFUNCTION("""COMPUTED_VALUE"""),627.65)</f>
        <v>627.65</v>
      </c>
      <c r="E2060" s="2">
        <f>IFERROR(__xludf.DUMMYFUNCTION("""COMPUTED_VALUE"""),631.1)</f>
        <v>631.1</v>
      </c>
      <c r="F2060" s="2">
        <f>IFERROR(__xludf.DUMMYFUNCTION("""COMPUTED_VALUE"""),717629.0)</f>
        <v>717629</v>
      </c>
    </row>
    <row r="2061">
      <c r="A2061" s="3">
        <f>IFERROR(__xludf.DUMMYFUNCTION("""COMPUTED_VALUE"""),41270.645833333336)</f>
        <v>41270.64583</v>
      </c>
      <c r="B2061" s="2">
        <f>IFERROR(__xludf.DUMMYFUNCTION("""COMPUTED_VALUE"""),632.45)</f>
        <v>632.45</v>
      </c>
      <c r="C2061" s="2">
        <f>IFERROR(__xludf.DUMMYFUNCTION("""COMPUTED_VALUE"""),632.45)</f>
        <v>632.45</v>
      </c>
      <c r="D2061" s="2">
        <f>IFERROR(__xludf.DUMMYFUNCTION("""COMPUTED_VALUE"""),623.83)</f>
        <v>623.83</v>
      </c>
      <c r="E2061" s="2">
        <f>IFERROR(__xludf.DUMMYFUNCTION("""COMPUTED_VALUE"""),625.48)</f>
        <v>625.48</v>
      </c>
      <c r="F2061" s="2">
        <f>IFERROR(__xludf.DUMMYFUNCTION("""COMPUTED_VALUE"""),997079.0)</f>
        <v>997079</v>
      </c>
    </row>
    <row r="2062">
      <c r="A2062" s="3">
        <f>IFERROR(__xludf.DUMMYFUNCTION("""COMPUTED_VALUE"""),41271.645833333336)</f>
        <v>41271.64583</v>
      </c>
      <c r="B2062" s="2">
        <f>IFERROR(__xludf.DUMMYFUNCTION("""COMPUTED_VALUE"""),627.0)</f>
        <v>627</v>
      </c>
      <c r="C2062" s="2">
        <f>IFERROR(__xludf.DUMMYFUNCTION("""COMPUTED_VALUE"""),636.0)</f>
        <v>636</v>
      </c>
      <c r="D2062" s="2">
        <f>IFERROR(__xludf.DUMMYFUNCTION("""COMPUTED_VALUE"""),625.38)</f>
        <v>625.38</v>
      </c>
      <c r="E2062" s="2">
        <f>IFERROR(__xludf.DUMMYFUNCTION("""COMPUTED_VALUE"""),633.75)</f>
        <v>633.75</v>
      </c>
      <c r="F2062" s="2">
        <f>IFERROR(__xludf.DUMMYFUNCTION("""COMPUTED_VALUE"""),750811.0)</f>
        <v>750811</v>
      </c>
    </row>
    <row r="2063">
      <c r="A2063" s="3">
        <f>IFERROR(__xludf.DUMMYFUNCTION("""COMPUTED_VALUE"""),41274.645833333336)</f>
        <v>41274.64583</v>
      </c>
      <c r="B2063" s="2">
        <f>IFERROR(__xludf.DUMMYFUNCTION("""COMPUTED_VALUE"""),630.5)</f>
        <v>630.5</v>
      </c>
      <c r="C2063" s="2">
        <f>IFERROR(__xludf.DUMMYFUNCTION("""COMPUTED_VALUE"""),632.8)</f>
        <v>632.8</v>
      </c>
      <c r="D2063" s="2">
        <f>IFERROR(__xludf.DUMMYFUNCTION("""COMPUTED_VALUE"""),626.0)</f>
        <v>626</v>
      </c>
      <c r="E2063" s="2">
        <f>IFERROR(__xludf.DUMMYFUNCTION("""COMPUTED_VALUE"""),627.92)</f>
        <v>627.92</v>
      </c>
      <c r="F2063" s="2">
        <f>IFERROR(__xludf.DUMMYFUNCTION("""COMPUTED_VALUE"""),352085.0)</f>
        <v>352085</v>
      </c>
    </row>
    <row r="2064">
      <c r="A2064" s="3">
        <f>IFERROR(__xludf.DUMMYFUNCTION("""COMPUTED_VALUE"""),41275.645833333336)</f>
        <v>41275.64583</v>
      </c>
      <c r="B2064" s="2">
        <f>IFERROR(__xludf.DUMMYFUNCTION("""COMPUTED_VALUE"""),633.48)</f>
        <v>633.48</v>
      </c>
      <c r="C2064" s="2">
        <f>IFERROR(__xludf.DUMMYFUNCTION("""COMPUTED_VALUE"""),633.95)</f>
        <v>633.95</v>
      </c>
      <c r="D2064" s="2">
        <f>IFERROR(__xludf.DUMMYFUNCTION("""COMPUTED_VALUE"""),630.0)</f>
        <v>630</v>
      </c>
      <c r="E2064" s="2">
        <f>IFERROR(__xludf.DUMMYFUNCTION("""COMPUTED_VALUE"""),632.08)</f>
        <v>632.08</v>
      </c>
      <c r="F2064" s="2">
        <f>IFERROR(__xludf.DUMMYFUNCTION("""COMPUTED_VALUE"""),254790.0)</f>
        <v>254790</v>
      </c>
    </row>
    <row r="2065">
      <c r="A2065" s="3">
        <f>IFERROR(__xludf.DUMMYFUNCTION("""COMPUTED_VALUE"""),41276.645833333336)</f>
        <v>41276.64583</v>
      </c>
      <c r="B2065" s="2">
        <f>IFERROR(__xludf.DUMMYFUNCTION("""COMPUTED_VALUE"""),633.5)</f>
        <v>633.5</v>
      </c>
      <c r="C2065" s="2">
        <f>IFERROR(__xludf.DUMMYFUNCTION("""COMPUTED_VALUE"""),636.2)</f>
        <v>636.2</v>
      </c>
      <c r="D2065" s="2">
        <f>IFERROR(__xludf.DUMMYFUNCTION("""COMPUTED_VALUE"""),627.78)</f>
        <v>627.78</v>
      </c>
      <c r="E2065" s="2">
        <f>IFERROR(__xludf.DUMMYFUNCTION("""COMPUTED_VALUE"""),631.65)</f>
        <v>631.65</v>
      </c>
      <c r="F2065" s="2">
        <f>IFERROR(__xludf.DUMMYFUNCTION("""COMPUTED_VALUE"""),940123.0)</f>
        <v>940123</v>
      </c>
    </row>
    <row r="2066">
      <c r="A2066" s="3">
        <f>IFERROR(__xludf.DUMMYFUNCTION("""COMPUTED_VALUE"""),41277.645833333336)</f>
        <v>41277.64583</v>
      </c>
      <c r="B2066" s="2">
        <f>IFERROR(__xludf.DUMMYFUNCTION("""COMPUTED_VALUE"""),632.5)</f>
        <v>632.5</v>
      </c>
      <c r="C2066" s="2">
        <f>IFERROR(__xludf.DUMMYFUNCTION("""COMPUTED_VALUE"""),642.0)</f>
        <v>642</v>
      </c>
      <c r="D2066" s="2">
        <f>IFERROR(__xludf.DUMMYFUNCTION("""COMPUTED_VALUE"""),629.98)</f>
        <v>629.98</v>
      </c>
      <c r="E2066" s="2">
        <f>IFERROR(__xludf.DUMMYFUNCTION("""COMPUTED_VALUE"""),640.3)</f>
        <v>640.3</v>
      </c>
      <c r="F2066" s="2">
        <f>IFERROR(__xludf.DUMMYFUNCTION("""COMPUTED_VALUE"""),1317565.0)</f>
        <v>1317565</v>
      </c>
    </row>
    <row r="2067">
      <c r="A2067" s="3">
        <f>IFERROR(__xludf.DUMMYFUNCTION("""COMPUTED_VALUE"""),41278.645833333336)</f>
        <v>41278.64583</v>
      </c>
      <c r="B2067" s="2">
        <f>IFERROR(__xludf.DUMMYFUNCTION("""COMPUTED_VALUE"""),642.5)</f>
        <v>642.5</v>
      </c>
      <c r="C2067" s="2">
        <f>IFERROR(__xludf.DUMMYFUNCTION("""COMPUTED_VALUE"""),650.5)</f>
        <v>650.5</v>
      </c>
      <c r="D2067" s="2">
        <f>IFERROR(__xludf.DUMMYFUNCTION("""COMPUTED_VALUE"""),640.45)</f>
        <v>640.45</v>
      </c>
      <c r="E2067" s="2">
        <f>IFERROR(__xludf.DUMMYFUNCTION("""COMPUTED_VALUE"""),649.6)</f>
        <v>649.6</v>
      </c>
      <c r="F2067" s="2">
        <f>IFERROR(__xludf.DUMMYFUNCTION("""COMPUTED_VALUE"""),2614380.0)</f>
        <v>2614380</v>
      </c>
    </row>
    <row r="2068">
      <c r="A2068" s="3">
        <f>IFERROR(__xludf.DUMMYFUNCTION("""COMPUTED_VALUE"""),41281.645833333336)</f>
        <v>41281.64583</v>
      </c>
      <c r="B2068" s="2">
        <f>IFERROR(__xludf.DUMMYFUNCTION("""COMPUTED_VALUE"""),650.0)</f>
        <v>650</v>
      </c>
      <c r="C2068" s="2">
        <f>IFERROR(__xludf.DUMMYFUNCTION("""COMPUTED_VALUE"""),652.0)</f>
        <v>652</v>
      </c>
      <c r="D2068" s="2">
        <f>IFERROR(__xludf.DUMMYFUNCTION("""COMPUTED_VALUE"""),645.13)</f>
        <v>645.13</v>
      </c>
      <c r="E2068" s="2">
        <f>IFERROR(__xludf.DUMMYFUNCTION("""COMPUTED_VALUE"""),647.42)</f>
        <v>647.42</v>
      </c>
      <c r="F2068" s="2">
        <f>IFERROR(__xludf.DUMMYFUNCTION("""COMPUTED_VALUE"""),910376.0)</f>
        <v>910376</v>
      </c>
    </row>
    <row r="2069">
      <c r="A2069" s="3">
        <f>IFERROR(__xludf.DUMMYFUNCTION("""COMPUTED_VALUE"""),41282.645833333336)</f>
        <v>41282.64583</v>
      </c>
      <c r="B2069" s="2">
        <f>IFERROR(__xludf.DUMMYFUNCTION("""COMPUTED_VALUE"""),647.5)</f>
        <v>647.5</v>
      </c>
      <c r="C2069" s="2">
        <f>IFERROR(__xludf.DUMMYFUNCTION("""COMPUTED_VALUE"""),652.15)</f>
        <v>652.15</v>
      </c>
      <c r="D2069" s="2">
        <f>IFERROR(__xludf.DUMMYFUNCTION("""COMPUTED_VALUE"""),647.15)</f>
        <v>647.15</v>
      </c>
      <c r="E2069" s="2">
        <f>IFERROR(__xludf.DUMMYFUNCTION("""COMPUTED_VALUE"""),650.13)</f>
        <v>650.13</v>
      </c>
      <c r="F2069" s="2">
        <f>IFERROR(__xludf.DUMMYFUNCTION("""COMPUTED_VALUE"""),1170935.0)</f>
        <v>1170935</v>
      </c>
    </row>
    <row r="2070">
      <c r="A2070" s="3">
        <f>IFERROR(__xludf.DUMMYFUNCTION("""COMPUTED_VALUE"""),41283.645833333336)</f>
        <v>41283.64583</v>
      </c>
      <c r="B2070" s="2">
        <f>IFERROR(__xludf.DUMMYFUNCTION("""COMPUTED_VALUE"""),650.5)</f>
        <v>650.5</v>
      </c>
      <c r="C2070" s="2">
        <f>IFERROR(__xludf.DUMMYFUNCTION("""COMPUTED_VALUE"""),653.7)</f>
        <v>653.7</v>
      </c>
      <c r="D2070" s="2">
        <f>IFERROR(__xludf.DUMMYFUNCTION("""COMPUTED_VALUE"""),636.58)</f>
        <v>636.58</v>
      </c>
      <c r="E2070" s="2">
        <f>IFERROR(__xludf.DUMMYFUNCTION("""COMPUTED_VALUE"""),638.3)</f>
        <v>638.3</v>
      </c>
      <c r="F2070" s="2">
        <f>IFERROR(__xludf.DUMMYFUNCTION("""COMPUTED_VALUE"""),1567949.0)</f>
        <v>1567949</v>
      </c>
    </row>
    <row r="2071">
      <c r="A2071" s="3">
        <f>IFERROR(__xludf.DUMMYFUNCTION("""COMPUTED_VALUE"""),41284.645833333336)</f>
        <v>41284.64583</v>
      </c>
      <c r="B2071" s="2">
        <f>IFERROR(__xludf.DUMMYFUNCTION("""COMPUTED_VALUE"""),639.95)</f>
        <v>639.95</v>
      </c>
      <c r="C2071" s="2">
        <f>IFERROR(__xludf.DUMMYFUNCTION("""COMPUTED_VALUE"""),641.05)</f>
        <v>641.05</v>
      </c>
      <c r="D2071" s="2">
        <f>IFERROR(__xludf.DUMMYFUNCTION("""COMPUTED_VALUE"""),627.65)</f>
        <v>627.65</v>
      </c>
      <c r="E2071" s="2">
        <f>IFERROR(__xludf.DUMMYFUNCTION("""COMPUTED_VALUE"""),629.2)</f>
        <v>629.2</v>
      </c>
      <c r="F2071" s="2">
        <f>IFERROR(__xludf.DUMMYFUNCTION("""COMPUTED_VALUE"""),2261419.0)</f>
        <v>2261419</v>
      </c>
    </row>
    <row r="2072">
      <c r="A2072" s="3">
        <f>IFERROR(__xludf.DUMMYFUNCTION("""COMPUTED_VALUE"""),41285.645833333336)</f>
        <v>41285.64583</v>
      </c>
      <c r="B2072" s="2">
        <f>IFERROR(__xludf.DUMMYFUNCTION("""COMPUTED_VALUE"""),645.0)</f>
        <v>645</v>
      </c>
      <c r="C2072" s="2">
        <f>IFERROR(__xludf.DUMMYFUNCTION("""COMPUTED_VALUE"""),661.25)</f>
        <v>661.25</v>
      </c>
      <c r="D2072" s="2">
        <f>IFERROR(__xludf.DUMMYFUNCTION("""COMPUTED_VALUE"""),645.0)</f>
        <v>645</v>
      </c>
      <c r="E2072" s="2">
        <f>IFERROR(__xludf.DUMMYFUNCTION("""COMPUTED_VALUE"""),653.17)</f>
        <v>653.17</v>
      </c>
      <c r="F2072" s="2">
        <f>IFERROR(__xludf.DUMMYFUNCTION("""COMPUTED_VALUE"""),3902503.0)</f>
        <v>3902503</v>
      </c>
    </row>
    <row r="2073">
      <c r="A2073" s="3">
        <f>IFERROR(__xludf.DUMMYFUNCTION("""COMPUTED_VALUE"""),41288.645833333336)</f>
        <v>41288.64583</v>
      </c>
      <c r="B2073" s="2">
        <f>IFERROR(__xludf.DUMMYFUNCTION("""COMPUTED_VALUE"""),659.5)</f>
        <v>659.5</v>
      </c>
      <c r="C2073" s="2">
        <f>IFERROR(__xludf.DUMMYFUNCTION("""COMPUTED_VALUE"""),674.23)</f>
        <v>674.23</v>
      </c>
      <c r="D2073" s="2">
        <f>IFERROR(__xludf.DUMMYFUNCTION("""COMPUTED_VALUE"""),653.67)</f>
        <v>653.67</v>
      </c>
      <c r="E2073" s="2">
        <f>IFERROR(__xludf.DUMMYFUNCTION("""COMPUTED_VALUE"""),667.25)</f>
        <v>667.25</v>
      </c>
      <c r="F2073" s="2">
        <f>IFERROR(__xludf.DUMMYFUNCTION("""COMPUTED_VALUE"""),2895112.0)</f>
        <v>2895112</v>
      </c>
    </row>
    <row r="2074">
      <c r="A2074" s="3">
        <f>IFERROR(__xludf.DUMMYFUNCTION("""COMPUTED_VALUE"""),41289.645833333336)</f>
        <v>41289.64583</v>
      </c>
      <c r="B2074" s="2">
        <f>IFERROR(__xludf.DUMMYFUNCTION("""COMPUTED_VALUE"""),695.0)</f>
        <v>695</v>
      </c>
      <c r="C2074" s="2">
        <f>IFERROR(__xludf.DUMMYFUNCTION("""COMPUTED_VALUE"""),700.0)</f>
        <v>700</v>
      </c>
      <c r="D2074" s="2">
        <f>IFERROR(__xludf.DUMMYFUNCTION("""COMPUTED_VALUE"""),663.5)</f>
        <v>663.5</v>
      </c>
      <c r="E2074" s="2">
        <f>IFERROR(__xludf.DUMMYFUNCTION("""COMPUTED_VALUE"""),668.73)</f>
        <v>668.73</v>
      </c>
      <c r="F2074" s="2">
        <f>IFERROR(__xludf.DUMMYFUNCTION("""COMPUTED_VALUE"""),4131489.0)</f>
        <v>4131489</v>
      </c>
    </row>
    <row r="2075">
      <c r="A2075" s="3">
        <f>IFERROR(__xludf.DUMMYFUNCTION("""COMPUTED_VALUE"""),41290.645833333336)</f>
        <v>41290.64583</v>
      </c>
      <c r="B2075" s="2">
        <f>IFERROR(__xludf.DUMMYFUNCTION("""COMPUTED_VALUE"""),668.45)</f>
        <v>668.45</v>
      </c>
      <c r="C2075" s="2">
        <f>IFERROR(__xludf.DUMMYFUNCTION("""COMPUTED_VALUE"""),677.5)</f>
        <v>677.5</v>
      </c>
      <c r="D2075" s="2">
        <f>IFERROR(__xludf.DUMMYFUNCTION("""COMPUTED_VALUE"""),654.5)</f>
        <v>654.5</v>
      </c>
      <c r="E2075" s="2">
        <f>IFERROR(__xludf.DUMMYFUNCTION("""COMPUTED_VALUE"""),673.88)</f>
        <v>673.88</v>
      </c>
      <c r="F2075" s="2">
        <f>IFERROR(__xludf.DUMMYFUNCTION("""COMPUTED_VALUE"""),2054746.0)</f>
        <v>2054746</v>
      </c>
    </row>
    <row r="2076">
      <c r="A2076" s="3">
        <f>IFERROR(__xludf.DUMMYFUNCTION("""COMPUTED_VALUE"""),41291.645833333336)</f>
        <v>41291.64583</v>
      </c>
      <c r="B2076" s="2">
        <f>IFERROR(__xludf.DUMMYFUNCTION("""COMPUTED_VALUE"""),674.85)</f>
        <v>674.85</v>
      </c>
      <c r="C2076" s="2">
        <f>IFERROR(__xludf.DUMMYFUNCTION("""COMPUTED_VALUE"""),685.9)</f>
        <v>685.9</v>
      </c>
      <c r="D2076" s="2">
        <f>IFERROR(__xludf.DUMMYFUNCTION("""COMPUTED_VALUE"""),671.5)</f>
        <v>671.5</v>
      </c>
      <c r="E2076" s="2">
        <f>IFERROR(__xludf.DUMMYFUNCTION("""COMPUTED_VALUE"""),681.0)</f>
        <v>681</v>
      </c>
      <c r="F2076" s="2">
        <f>IFERROR(__xludf.DUMMYFUNCTION("""COMPUTED_VALUE"""),1514272.0)</f>
        <v>1514272</v>
      </c>
    </row>
    <row r="2077">
      <c r="A2077" s="3">
        <f>IFERROR(__xludf.DUMMYFUNCTION("""COMPUTED_VALUE"""),41292.645833333336)</f>
        <v>41292.64583</v>
      </c>
      <c r="B2077" s="2">
        <f>IFERROR(__xludf.DUMMYFUNCTION("""COMPUTED_VALUE"""),681.25)</f>
        <v>681.25</v>
      </c>
      <c r="C2077" s="2">
        <f>IFERROR(__xludf.DUMMYFUNCTION("""COMPUTED_VALUE"""),683.03)</f>
        <v>683.03</v>
      </c>
      <c r="D2077" s="2">
        <f>IFERROR(__xludf.DUMMYFUNCTION("""COMPUTED_VALUE"""),669.03)</f>
        <v>669.03</v>
      </c>
      <c r="E2077" s="2">
        <f>IFERROR(__xludf.DUMMYFUNCTION("""COMPUTED_VALUE"""),675.5)</f>
        <v>675.5</v>
      </c>
      <c r="F2077" s="2">
        <f>IFERROR(__xludf.DUMMYFUNCTION("""COMPUTED_VALUE"""),720235.0)</f>
        <v>720235</v>
      </c>
    </row>
    <row r="2078">
      <c r="A2078" s="3">
        <f>IFERROR(__xludf.DUMMYFUNCTION("""COMPUTED_VALUE"""),41295.645833333336)</f>
        <v>41295.64583</v>
      </c>
      <c r="B2078" s="2">
        <f>IFERROR(__xludf.DUMMYFUNCTION("""COMPUTED_VALUE"""),676.25)</f>
        <v>676.25</v>
      </c>
      <c r="C2078" s="2">
        <f>IFERROR(__xludf.DUMMYFUNCTION("""COMPUTED_VALUE"""),677.45)</f>
        <v>677.45</v>
      </c>
      <c r="D2078" s="2">
        <f>IFERROR(__xludf.DUMMYFUNCTION("""COMPUTED_VALUE"""),663.55)</f>
        <v>663.55</v>
      </c>
      <c r="E2078" s="2">
        <f>IFERROR(__xludf.DUMMYFUNCTION("""COMPUTED_VALUE"""),665.0)</f>
        <v>665</v>
      </c>
      <c r="F2078" s="2">
        <f>IFERROR(__xludf.DUMMYFUNCTION("""COMPUTED_VALUE"""),630019.0)</f>
        <v>630019</v>
      </c>
    </row>
    <row r="2079">
      <c r="A2079" s="3">
        <f>IFERROR(__xludf.DUMMYFUNCTION("""COMPUTED_VALUE"""),41296.645833333336)</f>
        <v>41296.64583</v>
      </c>
      <c r="B2079" s="2">
        <f>IFERROR(__xludf.DUMMYFUNCTION("""COMPUTED_VALUE"""),663.0)</f>
        <v>663</v>
      </c>
      <c r="C2079" s="2">
        <f>IFERROR(__xludf.DUMMYFUNCTION("""COMPUTED_VALUE"""),665.85)</f>
        <v>665.85</v>
      </c>
      <c r="D2079" s="2">
        <f>IFERROR(__xludf.DUMMYFUNCTION("""COMPUTED_VALUE"""),654.05)</f>
        <v>654.05</v>
      </c>
      <c r="E2079" s="2">
        <f>IFERROR(__xludf.DUMMYFUNCTION("""COMPUTED_VALUE"""),658.75)</f>
        <v>658.75</v>
      </c>
      <c r="F2079" s="2">
        <f>IFERROR(__xludf.DUMMYFUNCTION("""COMPUTED_VALUE"""),693315.0)</f>
        <v>693315</v>
      </c>
    </row>
    <row r="2080">
      <c r="A2080" s="3">
        <f>IFERROR(__xludf.DUMMYFUNCTION("""COMPUTED_VALUE"""),41297.645833333336)</f>
        <v>41297.64583</v>
      </c>
      <c r="B2080" s="2">
        <f>IFERROR(__xludf.DUMMYFUNCTION("""COMPUTED_VALUE"""),657.88)</f>
        <v>657.88</v>
      </c>
      <c r="C2080" s="2">
        <f>IFERROR(__xludf.DUMMYFUNCTION("""COMPUTED_VALUE"""),661.88)</f>
        <v>661.88</v>
      </c>
      <c r="D2080" s="2">
        <f>IFERROR(__xludf.DUMMYFUNCTION("""COMPUTED_VALUE"""),649.2)</f>
        <v>649.2</v>
      </c>
      <c r="E2080" s="2">
        <f>IFERROR(__xludf.DUMMYFUNCTION("""COMPUTED_VALUE"""),655.98)</f>
        <v>655.98</v>
      </c>
      <c r="F2080" s="2">
        <f>IFERROR(__xludf.DUMMYFUNCTION("""COMPUTED_VALUE"""),938827.0)</f>
        <v>938827</v>
      </c>
    </row>
    <row r="2081">
      <c r="A2081" s="3">
        <f>IFERROR(__xludf.DUMMYFUNCTION("""COMPUTED_VALUE"""),41298.645833333336)</f>
        <v>41298.64583</v>
      </c>
      <c r="B2081" s="2">
        <f>IFERROR(__xludf.DUMMYFUNCTION("""COMPUTED_VALUE"""),652.5)</f>
        <v>652.5</v>
      </c>
      <c r="C2081" s="2">
        <f>IFERROR(__xludf.DUMMYFUNCTION("""COMPUTED_VALUE"""),668.45)</f>
        <v>668.45</v>
      </c>
      <c r="D2081" s="2">
        <f>IFERROR(__xludf.DUMMYFUNCTION("""COMPUTED_VALUE"""),652.5)</f>
        <v>652.5</v>
      </c>
      <c r="E2081" s="2">
        <f>IFERROR(__xludf.DUMMYFUNCTION("""COMPUTED_VALUE"""),664.28)</f>
        <v>664.28</v>
      </c>
      <c r="F2081" s="2">
        <f>IFERROR(__xludf.DUMMYFUNCTION("""COMPUTED_VALUE"""),1749235.0)</f>
        <v>1749235</v>
      </c>
    </row>
    <row r="2082">
      <c r="A2082" s="3">
        <f>IFERROR(__xludf.DUMMYFUNCTION("""COMPUTED_VALUE"""),41299.645833333336)</f>
        <v>41299.64583</v>
      </c>
      <c r="B2082" s="2">
        <f>IFERROR(__xludf.DUMMYFUNCTION("""COMPUTED_VALUE"""),661.88)</f>
        <v>661.88</v>
      </c>
      <c r="C2082" s="2">
        <f>IFERROR(__xludf.DUMMYFUNCTION("""COMPUTED_VALUE"""),672.5)</f>
        <v>672.5</v>
      </c>
      <c r="D2082" s="2">
        <f>IFERROR(__xludf.DUMMYFUNCTION("""COMPUTED_VALUE"""),661.88)</f>
        <v>661.88</v>
      </c>
      <c r="E2082" s="2">
        <f>IFERROR(__xludf.DUMMYFUNCTION("""COMPUTED_VALUE"""),670.25)</f>
        <v>670.25</v>
      </c>
      <c r="F2082" s="2">
        <f>IFERROR(__xludf.DUMMYFUNCTION("""COMPUTED_VALUE"""),760550.0)</f>
        <v>760550</v>
      </c>
    </row>
    <row r="2083">
      <c r="A2083" s="3">
        <f>IFERROR(__xludf.DUMMYFUNCTION("""COMPUTED_VALUE"""),41302.645833333336)</f>
        <v>41302.64583</v>
      </c>
      <c r="B2083" s="2">
        <f>IFERROR(__xludf.DUMMYFUNCTION("""COMPUTED_VALUE"""),670.15)</f>
        <v>670.15</v>
      </c>
      <c r="C2083" s="2">
        <f>IFERROR(__xludf.DUMMYFUNCTION("""COMPUTED_VALUE"""),674.98)</f>
        <v>674.98</v>
      </c>
      <c r="D2083" s="2">
        <f>IFERROR(__xludf.DUMMYFUNCTION("""COMPUTED_VALUE"""),668.98)</f>
        <v>668.98</v>
      </c>
      <c r="E2083" s="2">
        <f>IFERROR(__xludf.DUMMYFUNCTION("""COMPUTED_VALUE"""),672.53)</f>
        <v>672.53</v>
      </c>
      <c r="F2083" s="2">
        <f>IFERROR(__xludf.DUMMYFUNCTION("""COMPUTED_VALUE"""),1214077.0)</f>
        <v>1214077</v>
      </c>
    </row>
    <row r="2084">
      <c r="A2084" s="3">
        <f>IFERROR(__xludf.DUMMYFUNCTION("""COMPUTED_VALUE"""),41303.645833333336)</f>
        <v>41303.64583</v>
      </c>
      <c r="B2084" s="2">
        <f>IFERROR(__xludf.DUMMYFUNCTION("""COMPUTED_VALUE"""),670.6)</f>
        <v>670.6</v>
      </c>
      <c r="C2084" s="2">
        <f>IFERROR(__xludf.DUMMYFUNCTION("""COMPUTED_VALUE"""),678.28)</f>
        <v>678.28</v>
      </c>
      <c r="D2084" s="2">
        <f>IFERROR(__xludf.DUMMYFUNCTION("""COMPUTED_VALUE"""),670.15)</f>
        <v>670.15</v>
      </c>
      <c r="E2084" s="2">
        <f>IFERROR(__xludf.DUMMYFUNCTION("""COMPUTED_VALUE"""),672.48)</f>
        <v>672.48</v>
      </c>
      <c r="F2084" s="2">
        <f>IFERROR(__xludf.DUMMYFUNCTION("""COMPUTED_VALUE"""),865902.0)</f>
        <v>865902</v>
      </c>
    </row>
    <row r="2085">
      <c r="A2085" s="3">
        <f>IFERROR(__xludf.DUMMYFUNCTION("""COMPUTED_VALUE"""),41304.645833333336)</f>
        <v>41304.64583</v>
      </c>
      <c r="B2085" s="2">
        <f>IFERROR(__xludf.DUMMYFUNCTION("""COMPUTED_VALUE"""),670.5)</f>
        <v>670.5</v>
      </c>
      <c r="C2085" s="2">
        <f>IFERROR(__xludf.DUMMYFUNCTION("""COMPUTED_VALUE"""),674.93)</f>
        <v>674.93</v>
      </c>
      <c r="D2085" s="2">
        <f>IFERROR(__xludf.DUMMYFUNCTION("""COMPUTED_VALUE"""),667.9)</f>
        <v>667.9</v>
      </c>
      <c r="E2085" s="2">
        <f>IFERROR(__xludf.DUMMYFUNCTION("""COMPUTED_VALUE"""),673.08)</f>
        <v>673.08</v>
      </c>
      <c r="F2085" s="2">
        <f>IFERROR(__xludf.DUMMYFUNCTION("""COMPUTED_VALUE"""),1139572.0)</f>
        <v>1139572</v>
      </c>
    </row>
    <row r="2086">
      <c r="A2086" s="3">
        <f>IFERROR(__xludf.DUMMYFUNCTION("""COMPUTED_VALUE"""),41305.645833333336)</f>
        <v>41305.64583</v>
      </c>
      <c r="B2086" s="2">
        <f>IFERROR(__xludf.DUMMYFUNCTION("""COMPUTED_VALUE"""),674.43)</f>
        <v>674.43</v>
      </c>
      <c r="C2086" s="2">
        <f>IFERROR(__xludf.DUMMYFUNCTION("""COMPUTED_VALUE"""),676.23)</f>
        <v>676.23</v>
      </c>
      <c r="D2086" s="2">
        <f>IFERROR(__xludf.DUMMYFUNCTION("""COMPUTED_VALUE"""),663.2)</f>
        <v>663.2</v>
      </c>
      <c r="E2086" s="2">
        <f>IFERROR(__xludf.DUMMYFUNCTION("""COMPUTED_VALUE"""),672.08)</f>
        <v>672.08</v>
      </c>
      <c r="F2086" s="2">
        <f>IFERROR(__xludf.DUMMYFUNCTION("""COMPUTED_VALUE"""),2156584.0)</f>
        <v>2156584</v>
      </c>
    </row>
    <row r="2087">
      <c r="A2087" s="3">
        <f>IFERROR(__xludf.DUMMYFUNCTION("""COMPUTED_VALUE"""),41306.645833333336)</f>
        <v>41306.64583</v>
      </c>
      <c r="B2087" s="2">
        <f>IFERROR(__xludf.DUMMYFUNCTION("""COMPUTED_VALUE"""),672.0)</f>
        <v>672</v>
      </c>
      <c r="C2087" s="2">
        <f>IFERROR(__xludf.DUMMYFUNCTION("""COMPUTED_VALUE"""),676.0)</f>
        <v>676</v>
      </c>
      <c r="D2087" s="2">
        <f>IFERROR(__xludf.DUMMYFUNCTION("""COMPUTED_VALUE"""),671.08)</f>
        <v>671.08</v>
      </c>
      <c r="E2087" s="2">
        <f>IFERROR(__xludf.DUMMYFUNCTION("""COMPUTED_VALUE"""),674.05)</f>
        <v>674.05</v>
      </c>
      <c r="F2087" s="2">
        <f>IFERROR(__xludf.DUMMYFUNCTION("""COMPUTED_VALUE"""),742270.0)</f>
        <v>742270</v>
      </c>
    </row>
    <row r="2088">
      <c r="A2088" s="3">
        <f>IFERROR(__xludf.DUMMYFUNCTION("""COMPUTED_VALUE"""),41309.645833333336)</f>
        <v>41309.64583</v>
      </c>
      <c r="B2088" s="2">
        <f>IFERROR(__xludf.DUMMYFUNCTION("""COMPUTED_VALUE"""),674.5)</f>
        <v>674.5</v>
      </c>
      <c r="C2088" s="2">
        <f>IFERROR(__xludf.DUMMYFUNCTION("""COMPUTED_VALUE"""),683.9)</f>
        <v>683.9</v>
      </c>
      <c r="D2088" s="2">
        <f>IFERROR(__xludf.DUMMYFUNCTION("""COMPUTED_VALUE"""),672.58)</f>
        <v>672.58</v>
      </c>
      <c r="E2088" s="2">
        <f>IFERROR(__xludf.DUMMYFUNCTION("""COMPUTED_VALUE"""),678.18)</f>
        <v>678.18</v>
      </c>
      <c r="F2088" s="2">
        <f>IFERROR(__xludf.DUMMYFUNCTION("""COMPUTED_VALUE"""),1243652.0)</f>
        <v>1243652</v>
      </c>
    </row>
    <row r="2089">
      <c r="A2089" s="3">
        <f>IFERROR(__xludf.DUMMYFUNCTION("""COMPUTED_VALUE"""),41310.645833333336)</f>
        <v>41310.64583</v>
      </c>
      <c r="B2089" s="2">
        <f>IFERROR(__xludf.DUMMYFUNCTION("""COMPUTED_VALUE"""),672.55)</f>
        <v>672.55</v>
      </c>
      <c r="C2089" s="2">
        <f>IFERROR(__xludf.DUMMYFUNCTION("""COMPUTED_VALUE"""),682.5)</f>
        <v>682.5</v>
      </c>
      <c r="D2089" s="2">
        <f>IFERROR(__xludf.DUMMYFUNCTION("""COMPUTED_VALUE"""),672.55)</f>
        <v>672.55</v>
      </c>
      <c r="E2089" s="2">
        <f>IFERROR(__xludf.DUMMYFUNCTION("""COMPUTED_VALUE"""),680.03)</f>
        <v>680.03</v>
      </c>
      <c r="F2089" s="2">
        <f>IFERROR(__xludf.DUMMYFUNCTION("""COMPUTED_VALUE"""),1080997.0)</f>
        <v>1080997</v>
      </c>
    </row>
    <row r="2090">
      <c r="A2090" s="3">
        <f>IFERROR(__xludf.DUMMYFUNCTION("""COMPUTED_VALUE"""),41311.645833333336)</f>
        <v>41311.64583</v>
      </c>
      <c r="B2090" s="2">
        <f>IFERROR(__xludf.DUMMYFUNCTION("""COMPUTED_VALUE"""),681.25)</f>
        <v>681.25</v>
      </c>
      <c r="C2090" s="2">
        <f>IFERROR(__xludf.DUMMYFUNCTION("""COMPUTED_VALUE"""),687.95)</f>
        <v>687.95</v>
      </c>
      <c r="D2090" s="2">
        <f>IFERROR(__xludf.DUMMYFUNCTION("""COMPUTED_VALUE"""),681.0)</f>
        <v>681</v>
      </c>
      <c r="E2090" s="2">
        <f>IFERROR(__xludf.DUMMYFUNCTION("""COMPUTED_VALUE"""),685.28)</f>
        <v>685.28</v>
      </c>
      <c r="F2090" s="2">
        <f>IFERROR(__xludf.DUMMYFUNCTION("""COMPUTED_VALUE"""),1786853.0)</f>
        <v>1786853</v>
      </c>
    </row>
    <row r="2091">
      <c r="A2091" s="3">
        <f>IFERROR(__xludf.DUMMYFUNCTION("""COMPUTED_VALUE"""),41312.645833333336)</f>
        <v>41312.64583</v>
      </c>
      <c r="B2091" s="2">
        <f>IFERROR(__xludf.DUMMYFUNCTION("""COMPUTED_VALUE"""),680.5)</f>
        <v>680.5</v>
      </c>
      <c r="C2091" s="2">
        <f>IFERROR(__xludf.DUMMYFUNCTION("""COMPUTED_VALUE"""),695.0)</f>
        <v>695</v>
      </c>
      <c r="D2091" s="2">
        <f>IFERROR(__xludf.DUMMYFUNCTION("""COMPUTED_VALUE"""),680.5)</f>
        <v>680.5</v>
      </c>
      <c r="E2091" s="2">
        <f>IFERROR(__xludf.DUMMYFUNCTION("""COMPUTED_VALUE"""),693.58)</f>
        <v>693.58</v>
      </c>
      <c r="F2091" s="2">
        <f>IFERROR(__xludf.DUMMYFUNCTION("""COMPUTED_VALUE"""),1306391.0)</f>
        <v>1306391</v>
      </c>
    </row>
    <row r="2092">
      <c r="A2092" s="3">
        <f>IFERROR(__xludf.DUMMYFUNCTION("""COMPUTED_VALUE"""),41313.645833333336)</f>
        <v>41313.64583</v>
      </c>
      <c r="B2092" s="2">
        <f>IFERROR(__xludf.DUMMYFUNCTION("""COMPUTED_VALUE"""),693.0)</f>
        <v>693</v>
      </c>
      <c r="C2092" s="2">
        <f>IFERROR(__xludf.DUMMYFUNCTION("""COMPUTED_VALUE"""),718.5)</f>
        <v>718.5</v>
      </c>
      <c r="D2092" s="2">
        <f>IFERROR(__xludf.DUMMYFUNCTION("""COMPUTED_VALUE"""),692.55)</f>
        <v>692.55</v>
      </c>
      <c r="E2092" s="2">
        <f>IFERROR(__xludf.DUMMYFUNCTION("""COMPUTED_VALUE"""),711.3)</f>
        <v>711.3</v>
      </c>
      <c r="F2092" s="2">
        <f>IFERROR(__xludf.DUMMYFUNCTION("""COMPUTED_VALUE"""),3486809.0)</f>
        <v>3486809</v>
      </c>
    </row>
    <row r="2093">
      <c r="A2093" s="3">
        <f>IFERROR(__xludf.DUMMYFUNCTION("""COMPUTED_VALUE"""),41316.645833333336)</f>
        <v>41316.64583</v>
      </c>
      <c r="B2093" s="2">
        <f>IFERROR(__xludf.DUMMYFUNCTION("""COMPUTED_VALUE"""),712.0)</f>
        <v>712</v>
      </c>
      <c r="C2093" s="2">
        <f>IFERROR(__xludf.DUMMYFUNCTION("""COMPUTED_VALUE"""),714.45)</f>
        <v>714.45</v>
      </c>
      <c r="D2093" s="2">
        <f>IFERROR(__xludf.DUMMYFUNCTION("""COMPUTED_VALUE"""),706.13)</f>
        <v>706.13</v>
      </c>
      <c r="E2093" s="2">
        <f>IFERROR(__xludf.DUMMYFUNCTION("""COMPUTED_VALUE"""),707.35)</f>
        <v>707.35</v>
      </c>
      <c r="F2093" s="2">
        <f>IFERROR(__xludf.DUMMYFUNCTION("""COMPUTED_VALUE"""),1156063.0)</f>
        <v>1156063</v>
      </c>
    </row>
    <row r="2094">
      <c r="A2094" s="3">
        <f>IFERROR(__xludf.DUMMYFUNCTION("""COMPUTED_VALUE"""),41317.645833333336)</f>
        <v>41317.64583</v>
      </c>
      <c r="B2094" s="2">
        <f>IFERROR(__xludf.DUMMYFUNCTION("""COMPUTED_VALUE"""),704.53)</f>
        <v>704.53</v>
      </c>
      <c r="C2094" s="2">
        <f>IFERROR(__xludf.DUMMYFUNCTION("""COMPUTED_VALUE"""),707.5)</f>
        <v>707.5</v>
      </c>
      <c r="D2094" s="2">
        <f>IFERROR(__xludf.DUMMYFUNCTION("""COMPUTED_VALUE"""),700.93)</f>
        <v>700.93</v>
      </c>
      <c r="E2094" s="2">
        <f>IFERROR(__xludf.DUMMYFUNCTION("""COMPUTED_VALUE"""),705.03)</f>
        <v>705.03</v>
      </c>
      <c r="F2094" s="2">
        <f>IFERROR(__xludf.DUMMYFUNCTION("""COMPUTED_VALUE"""),1112751.0)</f>
        <v>1112751</v>
      </c>
    </row>
    <row r="2095">
      <c r="A2095" s="3">
        <f>IFERROR(__xludf.DUMMYFUNCTION("""COMPUTED_VALUE"""),41318.645833333336)</f>
        <v>41318.64583</v>
      </c>
      <c r="B2095" s="2">
        <f>IFERROR(__xludf.DUMMYFUNCTION("""COMPUTED_VALUE"""),704.9)</f>
        <v>704.9</v>
      </c>
      <c r="C2095" s="2">
        <f>IFERROR(__xludf.DUMMYFUNCTION("""COMPUTED_VALUE"""),720.83)</f>
        <v>720.83</v>
      </c>
      <c r="D2095" s="2">
        <f>IFERROR(__xludf.DUMMYFUNCTION("""COMPUTED_VALUE"""),702.55)</f>
        <v>702.55</v>
      </c>
      <c r="E2095" s="2">
        <f>IFERROR(__xludf.DUMMYFUNCTION("""COMPUTED_VALUE"""),717.7)</f>
        <v>717.7</v>
      </c>
      <c r="F2095" s="2">
        <f>IFERROR(__xludf.DUMMYFUNCTION("""COMPUTED_VALUE"""),1911333.0)</f>
        <v>1911333</v>
      </c>
    </row>
    <row r="2096">
      <c r="A2096" s="3">
        <f>IFERROR(__xludf.DUMMYFUNCTION("""COMPUTED_VALUE"""),41319.645833333336)</f>
        <v>41319.64583</v>
      </c>
      <c r="B2096" s="2">
        <f>IFERROR(__xludf.DUMMYFUNCTION("""COMPUTED_VALUE"""),715.05)</f>
        <v>715.05</v>
      </c>
      <c r="C2096" s="2">
        <f>IFERROR(__xludf.DUMMYFUNCTION("""COMPUTED_VALUE"""),727.9)</f>
        <v>727.9</v>
      </c>
      <c r="D2096" s="2">
        <f>IFERROR(__xludf.DUMMYFUNCTION("""COMPUTED_VALUE"""),714.5)</f>
        <v>714.5</v>
      </c>
      <c r="E2096" s="2">
        <f>IFERROR(__xludf.DUMMYFUNCTION("""COMPUTED_VALUE"""),723.85)</f>
        <v>723.85</v>
      </c>
      <c r="F2096" s="2">
        <f>IFERROR(__xludf.DUMMYFUNCTION("""COMPUTED_VALUE"""),1473479.0)</f>
        <v>1473479</v>
      </c>
    </row>
    <row r="2097">
      <c r="A2097" s="3">
        <f>IFERROR(__xludf.DUMMYFUNCTION("""COMPUTED_VALUE"""),41320.645833333336)</f>
        <v>41320.64583</v>
      </c>
      <c r="B2097" s="2">
        <f>IFERROR(__xludf.DUMMYFUNCTION("""COMPUTED_VALUE"""),722.0)</f>
        <v>722</v>
      </c>
      <c r="C2097" s="2">
        <f>IFERROR(__xludf.DUMMYFUNCTION("""COMPUTED_VALUE"""),725.9)</f>
        <v>725.9</v>
      </c>
      <c r="D2097" s="2">
        <f>IFERROR(__xludf.DUMMYFUNCTION("""COMPUTED_VALUE"""),715.33)</f>
        <v>715.33</v>
      </c>
      <c r="E2097" s="2">
        <f>IFERROR(__xludf.DUMMYFUNCTION("""COMPUTED_VALUE"""),721.08)</f>
        <v>721.08</v>
      </c>
      <c r="F2097" s="2">
        <f>IFERROR(__xludf.DUMMYFUNCTION("""COMPUTED_VALUE"""),910395.0)</f>
        <v>910395</v>
      </c>
    </row>
    <row r="2098">
      <c r="A2098" s="3">
        <f>IFERROR(__xludf.DUMMYFUNCTION("""COMPUTED_VALUE"""),41323.645833333336)</f>
        <v>41323.64583</v>
      </c>
      <c r="B2098" s="2">
        <f>IFERROR(__xludf.DUMMYFUNCTION("""COMPUTED_VALUE"""),720.05)</f>
        <v>720.05</v>
      </c>
      <c r="C2098" s="2">
        <f>IFERROR(__xludf.DUMMYFUNCTION("""COMPUTED_VALUE"""),720.95)</f>
        <v>720.95</v>
      </c>
      <c r="D2098" s="2">
        <f>IFERROR(__xludf.DUMMYFUNCTION("""COMPUTED_VALUE"""),710.0)</f>
        <v>710</v>
      </c>
      <c r="E2098" s="2">
        <f>IFERROR(__xludf.DUMMYFUNCTION("""COMPUTED_VALUE"""),712.68)</f>
        <v>712.68</v>
      </c>
      <c r="F2098" s="2">
        <f>IFERROR(__xludf.DUMMYFUNCTION("""COMPUTED_VALUE"""),476043.0)</f>
        <v>476043</v>
      </c>
    </row>
    <row r="2099">
      <c r="A2099" s="3">
        <f>IFERROR(__xludf.DUMMYFUNCTION("""COMPUTED_VALUE"""),41324.645833333336)</f>
        <v>41324.64583</v>
      </c>
      <c r="B2099" s="2">
        <f>IFERROR(__xludf.DUMMYFUNCTION("""COMPUTED_VALUE"""),710.8)</f>
        <v>710.8</v>
      </c>
      <c r="C2099" s="2">
        <f>IFERROR(__xludf.DUMMYFUNCTION("""COMPUTED_VALUE"""),724.45)</f>
        <v>724.45</v>
      </c>
      <c r="D2099" s="2">
        <f>IFERROR(__xludf.DUMMYFUNCTION("""COMPUTED_VALUE"""),706.35)</f>
        <v>706.35</v>
      </c>
      <c r="E2099" s="2">
        <f>IFERROR(__xludf.DUMMYFUNCTION("""COMPUTED_VALUE"""),721.78)</f>
        <v>721.78</v>
      </c>
      <c r="F2099" s="2">
        <f>IFERROR(__xludf.DUMMYFUNCTION("""COMPUTED_VALUE"""),372147.0)</f>
        <v>372147</v>
      </c>
    </row>
    <row r="2100">
      <c r="A2100" s="3">
        <f>IFERROR(__xludf.DUMMYFUNCTION("""COMPUTED_VALUE"""),41325.645833333336)</f>
        <v>41325.64583</v>
      </c>
      <c r="B2100" s="2">
        <f>IFERROR(__xludf.DUMMYFUNCTION("""COMPUTED_VALUE"""),720.75)</f>
        <v>720.75</v>
      </c>
      <c r="C2100" s="2">
        <f>IFERROR(__xludf.DUMMYFUNCTION("""COMPUTED_VALUE"""),728.5)</f>
        <v>728.5</v>
      </c>
      <c r="D2100" s="2">
        <f>IFERROR(__xludf.DUMMYFUNCTION("""COMPUTED_VALUE"""),720.75)</f>
        <v>720.75</v>
      </c>
      <c r="E2100" s="2">
        <f>IFERROR(__xludf.DUMMYFUNCTION("""COMPUTED_VALUE"""),726.4)</f>
        <v>726.4</v>
      </c>
      <c r="F2100" s="2">
        <f>IFERROR(__xludf.DUMMYFUNCTION("""COMPUTED_VALUE"""),1130759.0)</f>
        <v>1130759</v>
      </c>
    </row>
    <row r="2101">
      <c r="A2101" s="3">
        <f>IFERROR(__xludf.DUMMYFUNCTION("""COMPUTED_VALUE"""),41326.645833333336)</f>
        <v>41326.64583</v>
      </c>
      <c r="B2101" s="2">
        <f>IFERROR(__xludf.DUMMYFUNCTION("""COMPUTED_VALUE"""),720.35)</f>
        <v>720.35</v>
      </c>
      <c r="C2101" s="2">
        <f>IFERROR(__xludf.DUMMYFUNCTION("""COMPUTED_VALUE"""),728.43)</f>
        <v>728.43</v>
      </c>
      <c r="D2101" s="2">
        <f>IFERROR(__xludf.DUMMYFUNCTION("""COMPUTED_VALUE"""),720.35)</f>
        <v>720.35</v>
      </c>
      <c r="E2101" s="2">
        <f>IFERROR(__xludf.DUMMYFUNCTION("""COMPUTED_VALUE"""),725.53)</f>
        <v>725.53</v>
      </c>
      <c r="F2101" s="2">
        <f>IFERROR(__xludf.DUMMYFUNCTION("""COMPUTED_VALUE"""),1924573.0)</f>
        <v>1924573</v>
      </c>
    </row>
    <row r="2102">
      <c r="A2102" s="3">
        <f>IFERROR(__xludf.DUMMYFUNCTION("""COMPUTED_VALUE"""),41327.645833333336)</f>
        <v>41327.64583</v>
      </c>
      <c r="B2102" s="2">
        <f>IFERROR(__xludf.DUMMYFUNCTION("""COMPUTED_VALUE"""),725.0)</f>
        <v>725</v>
      </c>
      <c r="C2102" s="2">
        <f>IFERROR(__xludf.DUMMYFUNCTION("""COMPUTED_VALUE"""),732.03)</f>
        <v>732.03</v>
      </c>
      <c r="D2102" s="2">
        <f>IFERROR(__xludf.DUMMYFUNCTION("""COMPUTED_VALUE"""),721.15)</f>
        <v>721.15</v>
      </c>
      <c r="E2102" s="2">
        <f>IFERROR(__xludf.DUMMYFUNCTION("""COMPUTED_VALUE"""),727.55)</f>
        <v>727.55</v>
      </c>
      <c r="F2102" s="2">
        <f>IFERROR(__xludf.DUMMYFUNCTION("""COMPUTED_VALUE"""),655347.0)</f>
        <v>655347</v>
      </c>
    </row>
    <row r="2103">
      <c r="A2103" s="3">
        <f>IFERROR(__xludf.DUMMYFUNCTION("""COMPUTED_VALUE"""),41330.645833333336)</f>
        <v>41330.64583</v>
      </c>
      <c r="B2103" s="2">
        <f>IFERROR(__xludf.DUMMYFUNCTION("""COMPUTED_VALUE"""),726.5)</f>
        <v>726.5</v>
      </c>
      <c r="C2103" s="2">
        <f>IFERROR(__xludf.DUMMYFUNCTION("""COMPUTED_VALUE"""),737.5)</f>
        <v>737.5</v>
      </c>
      <c r="D2103" s="2">
        <f>IFERROR(__xludf.DUMMYFUNCTION("""COMPUTED_VALUE"""),725.75)</f>
        <v>725.75</v>
      </c>
      <c r="E2103" s="2">
        <f>IFERROR(__xludf.DUMMYFUNCTION("""COMPUTED_VALUE"""),736.85)</f>
        <v>736.85</v>
      </c>
      <c r="F2103" s="2">
        <f>IFERROR(__xludf.DUMMYFUNCTION("""COMPUTED_VALUE"""),865015.0)</f>
        <v>865015</v>
      </c>
    </row>
    <row r="2104">
      <c r="A2104" s="3">
        <f>IFERROR(__xludf.DUMMYFUNCTION("""COMPUTED_VALUE"""),41331.645833333336)</f>
        <v>41331.64583</v>
      </c>
      <c r="B2104" s="2">
        <f>IFERROR(__xludf.DUMMYFUNCTION("""COMPUTED_VALUE"""),733.5)</f>
        <v>733.5</v>
      </c>
      <c r="C2104" s="2">
        <f>IFERROR(__xludf.DUMMYFUNCTION("""COMPUTED_VALUE"""),749.98)</f>
        <v>749.98</v>
      </c>
      <c r="D2104" s="2">
        <f>IFERROR(__xludf.DUMMYFUNCTION("""COMPUTED_VALUE"""),733.0)</f>
        <v>733</v>
      </c>
      <c r="E2104" s="2">
        <f>IFERROR(__xludf.DUMMYFUNCTION("""COMPUTED_VALUE"""),748.2)</f>
        <v>748.2</v>
      </c>
      <c r="F2104" s="2">
        <f>IFERROR(__xludf.DUMMYFUNCTION("""COMPUTED_VALUE"""),1426835.0)</f>
        <v>1426835</v>
      </c>
    </row>
    <row r="2105">
      <c r="A2105" s="3">
        <f>IFERROR(__xludf.DUMMYFUNCTION("""COMPUTED_VALUE"""),41332.645833333336)</f>
        <v>41332.64583</v>
      </c>
      <c r="B2105" s="2">
        <f>IFERROR(__xludf.DUMMYFUNCTION("""COMPUTED_VALUE"""),747.63)</f>
        <v>747.63</v>
      </c>
      <c r="C2105" s="2">
        <f>IFERROR(__xludf.DUMMYFUNCTION("""COMPUTED_VALUE"""),751.53)</f>
        <v>751.53</v>
      </c>
      <c r="D2105" s="2">
        <f>IFERROR(__xludf.DUMMYFUNCTION("""COMPUTED_VALUE"""),738.65)</f>
        <v>738.65</v>
      </c>
      <c r="E2105" s="2">
        <f>IFERROR(__xludf.DUMMYFUNCTION("""COMPUTED_VALUE"""),741.6)</f>
        <v>741.6</v>
      </c>
      <c r="F2105" s="2">
        <f>IFERROR(__xludf.DUMMYFUNCTION("""COMPUTED_VALUE"""),1278341.0)</f>
        <v>1278341</v>
      </c>
    </row>
    <row r="2106">
      <c r="A2106" s="3">
        <f>IFERROR(__xludf.DUMMYFUNCTION("""COMPUTED_VALUE"""),41333.645833333336)</f>
        <v>41333.64583</v>
      </c>
      <c r="B2106" s="2">
        <f>IFERROR(__xludf.DUMMYFUNCTION("""COMPUTED_VALUE"""),743.13)</f>
        <v>743.13</v>
      </c>
      <c r="C2106" s="2">
        <f>IFERROR(__xludf.DUMMYFUNCTION("""COMPUTED_VALUE"""),762.5)</f>
        <v>762.5</v>
      </c>
      <c r="D2106" s="2">
        <f>IFERROR(__xludf.DUMMYFUNCTION("""COMPUTED_VALUE"""),742.63)</f>
        <v>742.63</v>
      </c>
      <c r="E2106" s="2">
        <f>IFERROR(__xludf.DUMMYFUNCTION("""COMPUTED_VALUE"""),758.5)</f>
        <v>758.5</v>
      </c>
      <c r="F2106" s="2">
        <f>IFERROR(__xludf.DUMMYFUNCTION("""COMPUTED_VALUE"""),2299712.0)</f>
        <v>2299712</v>
      </c>
    </row>
    <row r="2107">
      <c r="A2107" s="3">
        <f>IFERROR(__xludf.DUMMYFUNCTION("""COMPUTED_VALUE"""),41334.645833333336)</f>
        <v>41334.64583</v>
      </c>
      <c r="B2107" s="2">
        <f>IFERROR(__xludf.DUMMYFUNCTION("""COMPUTED_VALUE"""),757.55)</f>
        <v>757.55</v>
      </c>
      <c r="C2107" s="2">
        <f>IFERROR(__xludf.DUMMYFUNCTION("""COMPUTED_VALUE"""),758.0)</f>
        <v>758</v>
      </c>
      <c r="D2107" s="2">
        <f>IFERROR(__xludf.DUMMYFUNCTION("""COMPUTED_VALUE"""),749.0)</f>
        <v>749</v>
      </c>
      <c r="E2107" s="2">
        <f>IFERROR(__xludf.DUMMYFUNCTION("""COMPUTED_VALUE"""),750.93)</f>
        <v>750.93</v>
      </c>
      <c r="F2107" s="2">
        <f>IFERROR(__xludf.DUMMYFUNCTION("""COMPUTED_VALUE"""),1268663.0)</f>
        <v>1268663</v>
      </c>
    </row>
    <row r="2108">
      <c r="A2108" s="3">
        <f>IFERROR(__xludf.DUMMYFUNCTION("""COMPUTED_VALUE"""),41337.645833333336)</f>
        <v>41337.64583</v>
      </c>
      <c r="B2108" s="2">
        <f>IFERROR(__xludf.DUMMYFUNCTION("""COMPUTED_VALUE"""),745.5)</f>
        <v>745.5</v>
      </c>
      <c r="C2108" s="2">
        <f>IFERROR(__xludf.DUMMYFUNCTION("""COMPUTED_VALUE"""),759.95)</f>
        <v>759.95</v>
      </c>
      <c r="D2108" s="2">
        <f>IFERROR(__xludf.DUMMYFUNCTION("""COMPUTED_VALUE"""),745.5)</f>
        <v>745.5</v>
      </c>
      <c r="E2108" s="2">
        <f>IFERROR(__xludf.DUMMYFUNCTION("""COMPUTED_VALUE"""),756.6)</f>
        <v>756.6</v>
      </c>
      <c r="F2108" s="2">
        <f>IFERROR(__xludf.DUMMYFUNCTION("""COMPUTED_VALUE"""),1568038.0)</f>
        <v>1568038</v>
      </c>
    </row>
    <row r="2109">
      <c r="A2109" s="3">
        <f>IFERROR(__xludf.DUMMYFUNCTION("""COMPUTED_VALUE"""),41338.645833333336)</f>
        <v>41338.64583</v>
      </c>
      <c r="B2109" s="2">
        <f>IFERROR(__xludf.DUMMYFUNCTION("""COMPUTED_VALUE"""),758.5)</f>
        <v>758.5</v>
      </c>
      <c r="C2109" s="2">
        <f>IFERROR(__xludf.DUMMYFUNCTION("""COMPUTED_VALUE"""),771.5)</f>
        <v>771.5</v>
      </c>
      <c r="D2109" s="2">
        <f>IFERROR(__xludf.DUMMYFUNCTION("""COMPUTED_VALUE"""),754.3)</f>
        <v>754.3</v>
      </c>
      <c r="E2109" s="2">
        <f>IFERROR(__xludf.DUMMYFUNCTION("""COMPUTED_VALUE"""),770.08)</f>
        <v>770.08</v>
      </c>
      <c r="F2109" s="2">
        <f>IFERROR(__xludf.DUMMYFUNCTION("""COMPUTED_VALUE"""),1720027.0)</f>
        <v>1720027</v>
      </c>
    </row>
    <row r="2110">
      <c r="A2110" s="3">
        <f>IFERROR(__xludf.DUMMYFUNCTION("""COMPUTED_VALUE"""),41339.645833333336)</f>
        <v>41339.64583</v>
      </c>
      <c r="B2110" s="2">
        <f>IFERROR(__xludf.DUMMYFUNCTION("""COMPUTED_VALUE"""),768.08)</f>
        <v>768.08</v>
      </c>
      <c r="C2110" s="2">
        <f>IFERROR(__xludf.DUMMYFUNCTION("""COMPUTED_VALUE"""),782.75)</f>
        <v>782.75</v>
      </c>
      <c r="D2110" s="2">
        <f>IFERROR(__xludf.DUMMYFUNCTION("""COMPUTED_VALUE"""),768.08)</f>
        <v>768.08</v>
      </c>
      <c r="E2110" s="2">
        <f>IFERROR(__xludf.DUMMYFUNCTION("""COMPUTED_VALUE"""),780.6)</f>
        <v>780.6</v>
      </c>
      <c r="F2110" s="2">
        <f>IFERROR(__xludf.DUMMYFUNCTION("""COMPUTED_VALUE"""),1149755.0)</f>
        <v>1149755</v>
      </c>
    </row>
    <row r="2111">
      <c r="A2111" s="3">
        <f>IFERROR(__xludf.DUMMYFUNCTION("""COMPUTED_VALUE"""),41340.645833333336)</f>
        <v>41340.64583</v>
      </c>
      <c r="B2111" s="2">
        <f>IFERROR(__xludf.DUMMYFUNCTION("""COMPUTED_VALUE"""),780.5)</f>
        <v>780.5</v>
      </c>
      <c r="C2111" s="2">
        <f>IFERROR(__xludf.DUMMYFUNCTION("""COMPUTED_VALUE"""),798.8)</f>
        <v>798.8</v>
      </c>
      <c r="D2111" s="2">
        <f>IFERROR(__xludf.DUMMYFUNCTION("""COMPUTED_VALUE"""),779.68)</f>
        <v>779.68</v>
      </c>
      <c r="E2111" s="2">
        <f>IFERROR(__xludf.DUMMYFUNCTION("""COMPUTED_VALUE"""),794.95)</f>
        <v>794.95</v>
      </c>
      <c r="F2111" s="2">
        <f>IFERROR(__xludf.DUMMYFUNCTION("""COMPUTED_VALUE"""),1954351.0)</f>
        <v>1954351</v>
      </c>
    </row>
    <row r="2112">
      <c r="A2112" s="3">
        <f>IFERROR(__xludf.DUMMYFUNCTION("""COMPUTED_VALUE"""),41341.645833333336)</f>
        <v>41341.64583</v>
      </c>
      <c r="B2112" s="2">
        <f>IFERROR(__xludf.DUMMYFUNCTION("""COMPUTED_VALUE"""),795.0)</f>
        <v>795</v>
      </c>
      <c r="C2112" s="2">
        <f>IFERROR(__xludf.DUMMYFUNCTION("""COMPUTED_VALUE"""),797.83)</f>
        <v>797.83</v>
      </c>
      <c r="D2112" s="2">
        <f>IFERROR(__xludf.DUMMYFUNCTION("""COMPUTED_VALUE"""),787.45)</f>
        <v>787.45</v>
      </c>
      <c r="E2112" s="2">
        <f>IFERROR(__xludf.DUMMYFUNCTION("""COMPUTED_VALUE"""),791.58)</f>
        <v>791.58</v>
      </c>
      <c r="F2112" s="2">
        <f>IFERROR(__xludf.DUMMYFUNCTION("""COMPUTED_VALUE"""),2170751.0)</f>
        <v>2170751</v>
      </c>
    </row>
    <row r="2113">
      <c r="A2113" s="3">
        <f>IFERROR(__xludf.DUMMYFUNCTION("""COMPUTED_VALUE"""),41344.645833333336)</f>
        <v>41344.64583</v>
      </c>
      <c r="B2113" s="2">
        <f>IFERROR(__xludf.DUMMYFUNCTION("""COMPUTED_VALUE"""),787.5)</f>
        <v>787.5</v>
      </c>
      <c r="C2113" s="2">
        <f>IFERROR(__xludf.DUMMYFUNCTION("""COMPUTED_VALUE"""),794.78)</f>
        <v>794.78</v>
      </c>
      <c r="D2113" s="2">
        <f>IFERROR(__xludf.DUMMYFUNCTION("""COMPUTED_VALUE"""),778.33)</f>
        <v>778.33</v>
      </c>
      <c r="E2113" s="2">
        <f>IFERROR(__xludf.DUMMYFUNCTION("""COMPUTED_VALUE"""),783.1)</f>
        <v>783.1</v>
      </c>
      <c r="F2113" s="2">
        <f>IFERROR(__xludf.DUMMYFUNCTION("""COMPUTED_VALUE"""),1110665.0)</f>
        <v>1110665</v>
      </c>
    </row>
    <row r="2114">
      <c r="A2114" s="3">
        <f>IFERROR(__xludf.DUMMYFUNCTION("""COMPUTED_VALUE"""),41345.645833333336)</f>
        <v>41345.64583</v>
      </c>
      <c r="B2114" s="2">
        <f>IFERROR(__xludf.DUMMYFUNCTION("""COMPUTED_VALUE"""),779.0)</f>
        <v>779</v>
      </c>
      <c r="C2114" s="2">
        <f>IFERROR(__xludf.DUMMYFUNCTION("""COMPUTED_VALUE"""),783.98)</f>
        <v>783.98</v>
      </c>
      <c r="D2114" s="2">
        <f>IFERROR(__xludf.DUMMYFUNCTION("""COMPUTED_VALUE"""),774.0)</f>
        <v>774</v>
      </c>
      <c r="E2114" s="2">
        <f>IFERROR(__xludf.DUMMYFUNCTION("""COMPUTED_VALUE"""),780.25)</f>
        <v>780.25</v>
      </c>
      <c r="F2114" s="2">
        <f>IFERROR(__xludf.DUMMYFUNCTION("""COMPUTED_VALUE"""),904726.0)</f>
        <v>904726</v>
      </c>
    </row>
    <row r="2115">
      <c r="A2115" s="3">
        <f>IFERROR(__xludf.DUMMYFUNCTION("""COMPUTED_VALUE"""),41346.645833333336)</f>
        <v>41346.64583</v>
      </c>
      <c r="B2115" s="2">
        <f>IFERROR(__xludf.DUMMYFUNCTION("""COMPUTED_VALUE"""),778.03)</f>
        <v>778.03</v>
      </c>
      <c r="C2115" s="2">
        <f>IFERROR(__xludf.DUMMYFUNCTION("""COMPUTED_VALUE"""),779.35)</f>
        <v>779.35</v>
      </c>
      <c r="D2115" s="2">
        <f>IFERROR(__xludf.DUMMYFUNCTION("""COMPUTED_VALUE"""),774.0)</f>
        <v>774</v>
      </c>
      <c r="E2115" s="2">
        <f>IFERROR(__xludf.DUMMYFUNCTION("""COMPUTED_VALUE"""),775.85)</f>
        <v>775.85</v>
      </c>
      <c r="F2115" s="2">
        <f>IFERROR(__xludf.DUMMYFUNCTION("""COMPUTED_VALUE"""),897248.0)</f>
        <v>897248</v>
      </c>
    </row>
    <row r="2116">
      <c r="A2116" s="3">
        <f>IFERROR(__xludf.DUMMYFUNCTION("""COMPUTED_VALUE"""),41347.645833333336)</f>
        <v>41347.64583</v>
      </c>
      <c r="B2116" s="2">
        <f>IFERROR(__xludf.DUMMYFUNCTION("""COMPUTED_VALUE"""),778.5)</f>
        <v>778.5</v>
      </c>
      <c r="C2116" s="2">
        <f>IFERROR(__xludf.DUMMYFUNCTION("""COMPUTED_VALUE"""),788.5)</f>
        <v>788.5</v>
      </c>
      <c r="D2116" s="2">
        <f>IFERROR(__xludf.DUMMYFUNCTION("""COMPUTED_VALUE"""),771.9)</f>
        <v>771.9</v>
      </c>
      <c r="E2116" s="2">
        <f>IFERROR(__xludf.DUMMYFUNCTION("""COMPUTED_VALUE"""),783.85)</f>
        <v>783.85</v>
      </c>
      <c r="F2116" s="2">
        <f>IFERROR(__xludf.DUMMYFUNCTION("""COMPUTED_VALUE"""),1525609.0)</f>
        <v>1525609</v>
      </c>
    </row>
    <row r="2117">
      <c r="A2117" s="3">
        <f>IFERROR(__xludf.DUMMYFUNCTION("""COMPUTED_VALUE"""),41348.645833333336)</f>
        <v>41348.64583</v>
      </c>
      <c r="B2117" s="2">
        <f>IFERROR(__xludf.DUMMYFUNCTION("""COMPUTED_VALUE"""),786.0)</f>
        <v>786</v>
      </c>
      <c r="C2117" s="2">
        <f>IFERROR(__xludf.DUMMYFUNCTION("""COMPUTED_VALUE"""),790.2)</f>
        <v>790.2</v>
      </c>
      <c r="D2117" s="2">
        <f>IFERROR(__xludf.DUMMYFUNCTION("""COMPUTED_VALUE"""),780.3)</f>
        <v>780.3</v>
      </c>
      <c r="E2117" s="2">
        <f>IFERROR(__xludf.DUMMYFUNCTION("""COMPUTED_VALUE"""),785.13)</f>
        <v>785.13</v>
      </c>
      <c r="F2117" s="2">
        <f>IFERROR(__xludf.DUMMYFUNCTION("""COMPUTED_VALUE"""),2106199.0)</f>
        <v>2106199</v>
      </c>
    </row>
    <row r="2118">
      <c r="A2118" s="3">
        <f>IFERROR(__xludf.DUMMYFUNCTION("""COMPUTED_VALUE"""),41351.645833333336)</f>
        <v>41351.64583</v>
      </c>
      <c r="B2118" s="2">
        <f>IFERROR(__xludf.DUMMYFUNCTION("""COMPUTED_VALUE"""),779.93)</f>
        <v>779.93</v>
      </c>
      <c r="C2118" s="2">
        <f>IFERROR(__xludf.DUMMYFUNCTION("""COMPUTED_VALUE"""),786.83)</f>
        <v>786.83</v>
      </c>
      <c r="D2118" s="2">
        <f>IFERROR(__xludf.DUMMYFUNCTION("""COMPUTED_VALUE"""),777.2)</f>
        <v>777.2</v>
      </c>
      <c r="E2118" s="2">
        <f>IFERROR(__xludf.DUMMYFUNCTION("""COMPUTED_VALUE"""),783.48)</f>
        <v>783.48</v>
      </c>
      <c r="F2118" s="2">
        <f>IFERROR(__xludf.DUMMYFUNCTION("""COMPUTED_VALUE"""),847494.0)</f>
        <v>847494</v>
      </c>
    </row>
    <row r="2119">
      <c r="A2119" s="3">
        <f>IFERROR(__xludf.DUMMYFUNCTION("""COMPUTED_VALUE"""),41352.645833333336)</f>
        <v>41352.64583</v>
      </c>
      <c r="B2119" s="2">
        <f>IFERROR(__xludf.DUMMYFUNCTION("""COMPUTED_VALUE"""),782.25)</f>
        <v>782.25</v>
      </c>
      <c r="C2119" s="2">
        <f>IFERROR(__xludf.DUMMYFUNCTION("""COMPUTED_VALUE"""),782.25)</f>
        <v>782.25</v>
      </c>
      <c r="D2119" s="2">
        <f>IFERROR(__xludf.DUMMYFUNCTION("""COMPUTED_VALUE"""),770.23)</f>
        <v>770.23</v>
      </c>
      <c r="E2119" s="2">
        <f>IFERROR(__xludf.DUMMYFUNCTION("""COMPUTED_VALUE"""),773.38)</f>
        <v>773.38</v>
      </c>
      <c r="F2119" s="2">
        <f>IFERROR(__xludf.DUMMYFUNCTION("""COMPUTED_VALUE"""),1869955.0)</f>
        <v>1869955</v>
      </c>
    </row>
    <row r="2120">
      <c r="A2120" s="3">
        <f>IFERROR(__xludf.DUMMYFUNCTION("""COMPUTED_VALUE"""),41353.645833333336)</f>
        <v>41353.64583</v>
      </c>
      <c r="B2120" s="2">
        <f>IFERROR(__xludf.DUMMYFUNCTION("""COMPUTED_VALUE"""),770.0)</f>
        <v>770</v>
      </c>
      <c r="C2120" s="2">
        <f>IFERROR(__xludf.DUMMYFUNCTION("""COMPUTED_VALUE"""),786.33)</f>
        <v>786.33</v>
      </c>
      <c r="D2120" s="2">
        <f>IFERROR(__xludf.DUMMYFUNCTION("""COMPUTED_VALUE"""),769.98)</f>
        <v>769.98</v>
      </c>
      <c r="E2120" s="2">
        <f>IFERROR(__xludf.DUMMYFUNCTION("""COMPUTED_VALUE"""),778.83)</f>
        <v>778.83</v>
      </c>
      <c r="F2120" s="2">
        <f>IFERROR(__xludf.DUMMYFUNCTION("""COMPUTED_VALUE"""),2084068.0)</f>
        <v>2084068</v>
      </c>
    </row>
    <row r="2121">
      <c r="A2121" s="3">
        <f>IFERROR(__xludf.DUMMYFUNCTION("""COMPUTED_VALUE"""),41354.645833333336)</f>
        <v>41354.64583</v>
      </c>
      <c r="B2121" s="2">
        <f>IFERROR(__xludf.DUMMYFUNCTION("""COMPUTED_VALUE"""),781.5)</f>
        <v>781.5</v>
      </c>
      <c r="C2121" s="2">
        <f>IFERROR(__xludf.DUMMYFUNCTION("""COMPUTED_VALUE"""),787.2)</f>
        <v>787.2</v>
      </c>
      <c r="D2121" s="2">
        <f>IFERROR(__xludf.DUMMYFUNCTION("""COMPUTED_VALUE"""),776.85)</f>
        <v>776.85</v>
      </c>
      <c r="E2121" s="2">
        <f>IFERROR(__xludf.DUMMYFUNCTION("""COMPUTED_VALUE"""),779.98)</f>
        <v>779.98</v>
      </c>
      <c r="F2121" s="2">
        <f>IFERROR(__xludf.DUMMYFUNCTION("""COMPUTED_VALUE"""),832302.0)</f>
        <v>832302</v>
      </c>
    </row>
    <row r="2122">
      <c r="A2122" s="3">
        <f>IFERROR(__xludf.DUMMYFUNCTION("""COMPUTED_VALUE"""),41355.645833333336)</f>
        <v>41355.64583</v>
      </c>
      <c r="B2122" s="2">
        <f>IFERROR(__xludf.DUMMYFUNCTION("""COMPUTED_VALUE"""),780.7)</f>
        <v>780.7</v>
      </c>
      <c r="C2122" s="2">
        <f>IFERROR(__xludf.DUMMYFUNCTION("""COMPUTED_VALUE"""),781.05)</f>
        <v>781.05</v>
      </c>
      <c r="D2122" s="2">
        <f>IFERROR(__xludf.DUMMYFUNCTION("""COMPUTED_VALUE"""),766.0)</f>
        <v>766</v>
      </c>
      <c r="E2122" s="2">
        <f>IFERROR(__xludf.DUMMYFUNCTION("""COMPUTED_VALUE"""),771.08)</f>
        <v>771.08</v>
      </c>
      <c r="F2122" s="2">
        <f>IFERROR(__xludf.DUMMYFUNCTION("""COMPUTED_VALUE"""),1357228.0)</f>
        <v>1357228</v>
      </c>
    </row>
    <row r="2123">
      <c r="A2123" s="3">
        <f>IFERROR(__xludf.DUMMYFUNCTION("""COMPUTED_VALUE"""),41358.645833333336)</f>
        <v>41358.64583</v>
      </c>
      <c r="B2123" s="2">
        <f>IFERROR(__xludf.DUMMYFUNCTION("""COMPUTED_VALUE"""),774.25)</f>
        <v>774.25</v>
      </c>
      <c r="C2123" s="2">
        <f>IFERROR(__xludf.DUMMYFUNCTION("""COMPUTED_VALUE"""),776.0)</f>
        <v>776</v>
      </c>
      <c r="D2123" s="2">
        <f>IFERROR(__xludf.DUMMYFUNCTION("""COMPUTED_VALUE"""),764.2)</f>
        <v>764.2</v>
      </c>
      <c r="E2123" s="2">
        <f>IFERROR(__xludf.DUMMYFUNCTION("""COMPUTED_VALUE"""),771.68)</f>
        <v>771.68</v>
      </c>
      <c r="F2123" s="2">
        <f>IFERROR(__xludf.DUMMYFUNCTION("""COMPUTED_VALUE"""),928658.0)</f>
        <v>928658</v>
      </c>
    </row>
    <row r="2124">
      <c r="A2124" s="3">
        <f>IFERROR(__xludf.DUMMYFUNCTION("""COMPUTED_VALUE"""),41359.645833333336)</f>
        <v>41359.64583</v>
      </c>
      <c r="B2124" s="2">
        <f>IFERROR(__xludf.DUMMYFUNCTION("""COMPUTED_VALUE"""),770.05)</f>
        <v>770.05</v>
      </c>
      <c r="C2124" s="2">
        <f>IFERROR(__xludf.DUMMYFUNCTION("""COMPUTED_VALUE"""),785.0)</f>
        <v>785</v>
      </c>
      <c r="D2124" s="2">
        <f>IFERROR(__xludf.DUMMYFUNCTION("""COMPUTED_VALUE"""),768.08)</f>
        <v>768.08</v>
      </c>
      <c r="E2124" s="2">
        <f>IFERROR(__xludf.DUMMYFUNCTION("""COMPUTED_VALUE"""),778.18)</f>
        <v>778.18</v>
      </c>
      <c r="F2124" s="2">
        <f>IFERROR(__xludf.DUMMYFUNCTION("""COMPUTED_VALUE"""),890768.0)</f>
        <v>890768</v>
      </c>
    </row>
    <row r="2125">
      <c r="A2125" s="3">
        <f>IFERROR(__xludf.DUMMYFUNCTION("""COMPUTED_VALUE"""),41361.645833333336)</f>
        <v>41361.64583</v>
      </c>
      <c r="B2125" s="2">
        <f>IFERROR(__xludf.DUMMYFUNCTION("""COMPUTED_VALUE"""),778.0)</f>
        <v>778</v>
      </c>
      <c r="C2125" s="2">
        <f>IFERROR(__xludf.DUMMYFUNCTION("""COMPUTED_VALUE"""),791.7)</f>
        <v>791.7</v>
      </c>
      <c r="D2125" s="2">
        <f>IFERROR(__xludf.DUMMYFUNCTION("""COMPUTED_VALUE"""),770.83)</f>
        <v>770.83</v>
      </c>
      <c r="E2125" s="2">
        <f>IFERROR(__xludf.DUMMYFUNCTION("""COMPUTED_VALUE"""),787.88)</f>
        <v>787.88</v>
      </c>
      <c r="F2125" s="2">
        <f>IFERROR(__xludf.DUMMYFUNCTION("""COMPUTED_VALUE"""),1532831.0)</f>
        <v>1532831</v>
      </c>
    </row>
    <row r="2126">
      <c r="A2126" s="3">
        <f>IFERROR(__xludf.DUMMYFUNCTION("""COMPUTED_VALUE"""),41365.645833333336)</f>
        <v>41365.64583</v>
      </c>
      <c r="B2126" s="2">
        <f>IFERROR(__xludf.DUMMYFUNCTION("""COMPUTED_VALUE"""),782.5)</f>
        <v>782.5</v>
      </c>
      <c r="C2126" s="2">
        <f>IFERROR(__xludf.DUMMYFUNCTION("""COMPUTED_VALUE"""),786.85)</f>
        <v>786.85</v>
      </c>
      <c r="D2126" s="2">
        <f>IFERROR(__xludf.DUMMYFUNCTION("""COMPUTED_VALUE"""),775.63)</f>
        <v>775.63</v>
      </c>
      <c r="E2126" s="2">
        <f>IFERROR(__xludf.DUMMYFUNCTION("""COMPUTED_VALUE"""),778.43)</f>
        <v>778.43</v>
      </c>
      <c r="F2126" s="2">
        <f>IFERROR(__xludf.DUMMYFUNCTION("""COMPUTED_VALUE"""),484406.0)</f>
        <v>484406</v>
      </c>
    </row>
    <row r="2127">
      <c r="A2127" s="3">
        <f>IFERROR(__xludf.DUMMYFUNCTION("""COMPUTED_VALUE"""),41366.645833333336)</f>
        <v>41366.64583</v>
      </c>
      <c r="B2127" s="2">
        <f>IFERROR(__xludf.DUMMYFUNCTION("""COMPUTED_VALUE"""),778.0)</f>
        <v>778</v>
      </c>
      <c r="C2127" s="2">
        <f>IFERROR(__xludf.DUMMYFUNCTION("""COMPUTED_VALUE"""),785.6)</f>
        <v>785.6</v>
      </c>
      <c r="D2127" s="2">
        <f>IFERROR(__xludf.DUMMYFUNCTION("""COMPUTED_VALUE"""),770.63)</f>
        <v>770.63</v>
      </c>
      <c r="E2127" s="2">
        <f>IFERROR(__xludf.DUMMYFUNCTION("""COMPUTED_VALUE"""),783.68)</f>
        <v>783.68</v>
      </c>
      <c r="F2127" s="2">
        <f>IFERROR(__xludf.DUMMYFUNCTION("""COMPUTED_VALUE"""),565166.0)</f>
        <v>565166</v>
      </c>
    </row>
    <row r="2128">
      <c r="A2128" s="3">
        <f>IFERROR(__xludf.DUMMYFUNCTION("""COMPUTED_VALUE"""),41367.645833333336)</f>
        <v>41367.64583</v>
      </c>
      <c r="B2128" s="2">
        <f>IFERROR(__xludf.DUMMYFUNCTION("""COMPUTED_VALUE"""),785.0)</f>
        <v>785</v>
      </c>
      <c r="C2128" s="2">
        <f>IFERROR(__xludf.DUMMYFUNCTION("""COMPUTED_VALUE"""),787.5)</f>
        <v>787.5</v>
      </c>
      <c r="D2128" s="2">
        <f>IFERROR(__xludf.DUMMYFUNCTION("""COMPUTED_VALUE"""),765.5)</f>
        <v>765.5</v>
      </c>
      <c r="E2128" s="2">
        <f>IFERROR(__xludf.DUMMYFUNCTION("""COMPUTED_VALUE"""),771.7)</f>
        <v>771.7</v>
      </c>
      <c r="F2128" s="2">
        <f>IFERROR(__xludf.DUMMYFUNCTION("""COMPUTED_VALUE"""),479966.0)</f>
        <v>479966</v>
      </c>
    </row>
    <row r="2129">
      <c r="A2129" s="3">
        <f>IFERROR(__xludf.DUMMYFUNCTION("""COMPUTED_VALUE"""),41368.645833333336)</f>
        <v>41368.64583</v>
      </c>
      <c r="B2129" s="2">
        <f>IFERROR(__xludf.DUMMYFUNCTION("""COMPUTED_VALUE"""),770.05)</f>
        <v>770.05</v>
      </c>
      <c r="C2129" s="2">
        <f>IFERROR(__xludf.DUMMYFUNCTION("""COMPUTED_VALUE"""),770.05)</f>
        <v>770.05</v>
      </c>
      <c r="D2129" s="2">
        <f>IFERROR(__xludf.DUMMYFUNCTION("""COMPUTED_VALUE"""),750.5)</f>
        <v>750.5</v>
      </c>
      <c r="E2129" s="2">
        <f>IFERROR(__xludf.DUMMYFUNCTION("""COMPUTED_VALUE"""),753.9)</f>
        <v>753.9</v>
      </c>
      <c r="F2129" s="2">
        <f>IFERROR(__xludf.DUMMYFUNCTION("""COMPUTED_VALUE"""),563169.0)</f>
        <v>563169</v>
      </c>
    </row>
    <row r="2130">
      <c r="A2130" s="3">
        <f>IFERROR(__xludf.DUMMYFUNCTION("""COMPUTED_VALUE"""),41369.645833333336)</f>
        <v>41369.64583</v>
      </c>
      <c r="B2130" s="2">
        <f>IFERROR(__xludf.DUMMYFUNCTION("""COMPUTED_VALUE"""),752.5)</f>
        <v>752.5</v>
      </c>
      <c r="C2130" s="2">
        <f>IFERROR(__xludf.DUMMYFUNCTION("""COMPUTED_VALUE"""),754.68)</f>
        <v>754.68</v>
      </c>
      <c r="D2130" s="2">
        <f>IFERROR(__xludf.DUMMYFUNCTION("""COMPUTED_VALUE"""),742.05)</f>
        <v>742.05</v>
      </c>
      <c r="E2130" s="2">
        <f>IFERROR(__xludf.DUMMYFUNCTION("""COMPUTED_VALUE"""),749.18)</f>
        <v>749.18</v>
      </c>
      <c r="F2130" s="2">
        <f>IFERROR(__xludf.DUMMYFUNCTION("""COMPUTED_VALUE"""),932624.0)</f>
        <v>932624</v>
      </c>
    </row>
    <row r="2131">
      <c r="A2131" s="3">
        <f>IFERROR(__xludf.DUMMYFUNCTION("""COMPUTED_VALUE"""),41372.645833333336)</f>
        <v>41372.64583</v>
      </c>
      <c r="B2131" s="2">
        <f>IFERROR(__xludf.DUMMYFUNCTION("""COMPUTED_VALUE"""),749.45)</f>
        <v>749.45</v>
      </c>
      <c r="C2131" s="2">
        <f>IFERROR(__xludf.DUMMYFUNCTION("""COMPUTED_VALUE"""),749.45)</f>
        <v>749.45</v>
      </c>
      <c r="D2131" s="2">
        <f>IFERROR(__xludf.DUMMYFUNCTION("""COMPUTED_VALUE"""),737.5)</f>
        <v>737.5</v>
      </c>
      <c r="E2131" s="2">
        <f>IFERROR(__xludf.DUMMYFUNCTION("""COMPUTED_VALUE"""),740.38)</f>
        <v>740.38</v>
      </c>
      <c r="F2131" s="2">
        <f>IFERROR(__xludf.DUMMYFUNCTION("""COMPUTED_VALUE"""),448208.0)</f>
        <v>448208</v>
      </c>
    </row>
    <row r="2132">
      <c r="A2132" s="3">
        <f>IFERROR(__xludf.DUMMYFUNCTION("""COMPUTED_VALUE"""),41373.645833333336)</f>
        <v>41373.64583</v>
      </c>
      <c r="B2132" s="2">
        <f>IFERROR(__xludf.DUMMYFUNCTION("""COMPUTED_VALUE"""),740.0)</f>
        <v>740</v>
      </c>
      <c r="C2132" s="2">
        <f>IFERROR(__xludf.DUMMYFUNCTION("""COMPUTED_VALUE"""),756.5)</f>
        <v>756.5</v>
      </c>
      <c r="D2132" s="2">
        <f>IFERROR(__xludf.DUMMYFUNCTION("""COMPUTED_VALUE"""),738.8)</f>
        <v>738.8</v>
      </c>
      <c r="E2132" s="2">
        <f>IFERROR(__xludf.DUMMYFUNCTION("""COMPUTED_VALUE"""),748.7)</f>
        <v>748.7</v>
      </c>
      <c r="F2132" s="2">
        <f>IFERROR(__xludf.DUMMYFUNCTION("""COMPUTED_VALUE"""),836177.0)</f>
        <v>836177</v>
      </c>
    </row>
    <row r="2133">
      <c r="A2133" s="3">
        <f>IFERROR(__xludf.DUMMYFUNCTION("""COMPUTED_VALUE"""),41374.645833333336)</f>
        <v>41374.64583</v>
      </c>
      <c r="B2133" s="2">
        <f>IFERROR(__xludf.DUMMYFUNCTION("""COMPUTED_VALUE"""),754.95)</f>
        <v>754.95</v>
      </c>
      <c r="C2133" s="2">
        <f>IFERROR(__xludf.DUMMYFUNCTION("""COMPUTED_VALUE"""),769.45)</f>
        <v>769.45</v>
      </c>
      <c r="D2133" s="2">
        <f>IFERROR(__xludf.DUMMYFUNCTION("""COMPUTED_VALUE"""),750.5)</f>
        <v>750.5</v>
      </c>
      <c r="E2133" s="2">
        <f>IFERROR(__xludf.DUMMYFUNCTION("""COMPUTED_VALUE"""),765.23)</f>
        <v>765.23</v>
      </c>
      <c r="F2133" s="2">
        <f>IFERROR(__xludf.DUMMYFUNCTION("""COMPUTED_VALUE"""),1023142.0)</f>
        <v>1023142</v>
      </c>
    </row>
    <row r="2134">
      <c r="A2134" s="3">
        <f>IFERROR(__xludf.DUMMYFUNCTION("""COMPUTED_VALUE"""),41375.645833333336)</f>
        <v>41375.64583</v>
      </c>
      <c r="B2134" s="2">
        <f>IFERROR(__xludf.DUMMYFUNCTION("""COMPUTED_VALUE"""),770.0)</f>
        <v>770</v>
      </c>
      <c r="C2134" s="2">
        <f>IFERROR(__xludf.DUMMYFUNCTION("""COMPUTED_VALUE"""),775.05)</f>
        <v>775.05</v>
      </c>
      <c r="D2134" s="2">
        <f>IFERROR(__xludf.DUMMYFUNCTION("""COMPUTED_VALUE"""),760.35)</f>
        <v>760.35</v>
      </c>
      <c r="E2134" s="2">
        <f>IFERROR(__xludf.DUMMYFUNCTION("""COMPUTED_VALUE"""),768.45)</f>
        <v>768.45</v>
      </c>
      <c r="F2134" s="2">
        <f>IFERROR(__xludf.DUMMYFUNCTION("""COMPUTED_VALUE"""),1122329.0)</f>
        <v>1122329</v>
      </c>
    </row>
    <row r="2135">
      <c r="A2135" s="3">
        <f>IFERROR(__xludf.DUMMYFUNCTION("""COMPUTED_VALUE"""),41376.645833333336)</f>
        <v>41376.64583</v>
      </c>
      <c r="B2135" s="2">
        <f>IFERROR(__xludf.DUMMYFUNCTION("""COMPUTED_VALUE"""),740.95)</f>
        <v>740.95</v>
      </c>
      <c r="C2135" s="2">
        <f>IFERROR(__xludf.DUMMYFUNCTION("""COMPUTED_VALUE"""),762.25)</f>
        <v>762.25</v>
      </c>
      <c r="D2135" s="2">
        <f>IFERROR(__xludf.DUMMYFUNCTION("""COMPUTED_VALUE"""),739.18)</f>
        <v>739.18</v>
      </c>
      <c r="E2135" s="2">
        <f>IFERROR(__xludf.DUMMYFUNCTION("""COMPUTED_VALUE"""),755.88)</f>
        <v>755.88</v>
      </c>
      <c r="F2135" s="2">
        <f>IFERROR(__xludf.DUMMYFUNCTION("""COMPUTED_VALUE"""),2516030.0)</f>
        <v>2516030</v>
      </c>
    </row>
    <row r="2136">
      <c r="A2136" s="3">
        <f>IFERROR(__xludf.DUMMYFUNCTION("""COMPUTED_VALUE"""),41379.645833333336)</f>
        <v>41379.64583</v>
      </c>
      <c r="B2136" s="2">
        <f>IFERROR(__xludf.DUMMYFUNCTION("""COMPUTED_VALUE"""),756.75)</f>
        <v>756.75</v>
      </c>
      <c r="C2136" s="2">
        <f>IFERROR(__xludf.DUMMYFUNCTION("""COMPUTED_VALUE"""),757.0)</f>
        <v>757</v>
      </c>
      <c r="D2136" s="2">
        <f>IFERROR(__xludf.DUMMYFUNCTION("""COMPUTED_VALUE"""),724.18)</f>
        <v>724.18</v>
      </c>
      <c r="E2136" s="2">
        <f>IFERROR(__xludf.DUMMYFUNCTION("""COMPUTED_VALUE"""),736.23)</f>
        <v>736.23</v>
      </c>
      <c r="F2136" s="2">
        <f>IFERROR(__xludf.DUMMYFUNCTION("""COMPUTED_VALUE"""),2695748.0)</f>
        <v>2695748</v>
      </c>
    </row>
    <row r="2137">
      <c r="A2137" s="3">
        <f>IFERROR(__xludf.DUMMYFUNCTION("""COMPUTED_VALUE"""),41380.645833333336)</f>
        <v>41380.64583</v>
      </c>
      <c r="B2137" s="2">
        <f>IFERROR(__xludf.DUMMYFUNCTION("""COMPUTED_VALUE"""),735.0)</f>
        <v>735</v>
      </c>
      <c r="C2137" s="2">
        <f>IFERROR(__xludf.DUMMYFUNCTION("""COMPUTED_VALUE"""),746.73)</f>
        <v>746.73</v>
      </c>
      <c r="D2137" s="2">
        <f>IFERROR(__xludf.DUMMYFUNCTION("""COMPUTED_VALUE"""),728.98)</f>
        <v>728.98</v>
      </c>
      <c r="E2137" s="2">
        <f>IFERROR(__xludf.DUMMYFUNCTION("""COMPUTED_VALUE"""),741.58)</f>
        <v>741.58</v>
      </c>
      <c r="F2137" s="2">
        <f>IFERROR(__xludf.DUMMYFUNCTION("""COMPUTED_VALUE"""),1535791.0)</f>
        <v>1535791</v>
      </c>
    </row>
    <row r="2138">
      <c r="A2138" s="3">
        <f>IFERROR(__xludf.DUMMYFUNCTION("""COMPUTED_VALUE"""),41381.645833333336)</f>
        <v>41381.64583</v>
      </c>
      <c r="B2138" s="2">
        <f>IFERROR(__xludf.DUMMYFUNCTION("""COMPUTED_VALUE"""),747.5)</f>
        <v>747.5</v>
      </c>
      <c r="C2138" s="2">
        <f>IFERROR(__xludf.DUMMYFUNCTION("""COMPUTED_VALUE"""),749.5)</f>
        <v>749.5</v>
      </c>
      <c r="D2138" s="2">
        <f>IFERROR(__xludf.DUMMYFUNCTION("""COMPUTED_VALUE"""),715.5)</f>
        <v>715.5</v>
      </c>
      <c r="E2138" s="2">
        <f>IFERROR(__xludf.DUMMYFUNCTION("""COMPUTED_VALUE"""),728.33)</f>
        <v>728.33</v>
      </c>
      <c r="F2138" s="2">
        <f>IFERROR(__xludf.DUMMYFUNCTION("""COMPUTED_VALUE"""),2639502.0)</f>
        <v>2639502</v>
      </c>
    </row>
    <row r="2139">
      <c r="A2139" s="3">
        <f>IFERROR(__xludf.DUMMYFUNCTION("""COMPUTED_VALUE"""),41382.645833333336)</f>
        <v>41382.64583</v>
      </c>
      <c r="B2139" s="2">
        <f>IFERROR(__xludf.DUMMYFUNCTION("""COMPUTED_VALUE"""),743.98)</f>
        <v>743.98</v>
      </c>
      <c r="C2139" s="2">
        <f>IFERROR(__xludf.DUMMYFUNCTION("""COMPUTED_VALUE"""),747.45)</f>
        <v>747.45</v>
      </c>
      <c r="D2139" s="2">
        <f>IFERROR(__xludf.DUMMYFUNCTION("""COMPUTED_VALUE"""),713.73)</f>
        <v>713.73</v>
      </c>
      <c r="E2139" s="2">
        <f>IFERROR(__xludf.DUMMYFUNCTION("""COMPUTED_VALUE"""),726.38)</f>
        <v>726.38</v>
      </c>
      <c r="F2139" s="2">
        <f>IFERROR(__xludf.DUMMYFUNCTION("""COMPUTED_VALUE"""),4277229.0)</f>
        <v>4277229</v>
      </c>
    </row>
    <row r="2140">
      <c r="A2140" s="3">
        <f>IFERROR(__xludf.DUMMYFUNCTION("""COMPUTED_VALUE"""),41386.645833333336)</f>
        <v>41386.64583</v>
      </c>
      <c r="B2140" s="2">
        <f>IFERROR(__xludf.DUMMYFUNCTION("""COMPUTED_VALUE"""),723.0)</f>
        <v>723</v>
      </c>
      <c r="C2140" s="2">
        <f>IFERROR(__xludf.DUMMYFUNCTION("""COMPUTED_VALUE"""),729.9)</f>
        <v>729.9</v>
      </c>
      <c r="D2140" s="2">
        <f>IFERROR(__xludf.DUMMYFUNCTION("""COMPUTED_VALUE"""),712.5)</f>
        <v>712.5</v>
      </c>
      <c r="E2140" s="2">
        <f>IFERROR(__xludf.DUMMYFUNCTION("""COMPUTED_VALUE"""),712.65)</f>
        <v>712.65</v>
      </c>
      <c r="F2140" s="2">
        <f>IFERROR(__xludf.DUMMYFUNCTION("""COMPUTED_VALUE"""),1481242.0)</f>
        <v>1481242</v>
      </c>
    </row>
    <row r="2141">
      <c r="A2141" s="3">
        <f>IFERROR(__xludf.DUMMYFUNCTION("""COMPUTED_VALUE"""),41387.645833333336)</f>
        <v>41387.64583</v>
      </c>
      <c r="B2141" s="2">
        <f>IFERROR(__xludf.DUMMYFUNCTION("""COMPUTED_VALUE"""),712.23)</f>
        <v>712.23</v>
      </c>
      <c r="C2141" s="2">
        <f>IFERROR(__xludf.DUMMYFUNCTION("""COMPUTED_VALUE"""),724.0)</f>
        <v>724</v>
      </c>
      <c r="D2141" s="2">
        <f>IFERROR(__xludf.DUMMYFUNCTION("""COMPUTED_VALUE"""),712.0)</f>
        <v>712</v>
      </c>
      <c r="E2141" s="2">
        <f>IFERROR(__xludf.DUMMYFUNCTION("""COMPUTED_VALUE"""),715.28)</f>
        <v>715.28</v>
      </c>
      <c r="F2141" s="2">
        <f>IFERROR(__xludf.DUMMYFUNCTION("""COMPUTED_VALUE"""),1692085.0)</f>
        <v>1692085</v>
      </c>
    </row>
    <row r="2142">
      <c r="A2142" s="3">
        <f>IFERROR(__xludf.DUMMYFUNCTION("""COMPUTED_VALUE"""),41389.645833333336)</f>
        <v>41389.64583</v>
      </c>
      <c r="B2142" s="2">
        <f>IFERROR(__xludf.DUMMYFUNCTION("""COMPUTED_VALUE"""),715.28)</f>
        <v>715.28</v>
      </c>
      <c r="C2142" s="2">
        <f>IFERROR(__xludf.DUMMYFUNCTION("""COMPUTED_VALUE"""),715.28)</f>
        <v>715.28</v>
      </c>
      <c r="D2142" s="2">
        <f>IFERROR(__xludf.DUMMYFUNCTION("""COMPUTED_VALUE"""),699.33)</f>
        <v>699.33</v>
      </c>
      <c r="E2142" s="2">
        <f>IFERROR(__xludf.DUMMYFUNCTION("""COMPUTED_VALUE"""),701.15)</f>
        <v>701.15</v>
      </c>
      <c r="F2142" s="2">
        <f>IFERROR(__xludf.DUMMYFUNCTION("""COMPUTED_VALUE"""),3964597.0)</f>
        <v>3964597</v>
      </c>
    </row>
    <row r="2143">
      <c r="A2143" s="3">
        <f>IFERROR(__xludf.DUMMYFUNCTION("""COMPUTED_VALUE"""),41390.645833333336)</f>
        <v>41390.64583</v>
      </c>
      <c r="B2143" s="2">
        <f>IFERROR(__xludf.DUMMYFUNCTION("""COMPUTED_VALUE"""),696.5)</f>
        <v>696.5</v>
      </c>
      <c r="C2143" s="2">
        <f>IFERROR(__xludf.DUMMYFUNCTION("""COMPUTED_VALUE"""),696.73)</f>
        <v>696.73</v>
      </c>
      <c r="D2143" s="2">
        <f>IFERROR(__xludf.DUMMYFUNCTION("""COMPUTED_VALUE"""),682.55)</f>
        <v>682.55</v>
      </c>
      <c r="E2143" s="2">
        <f>IFERROR(__xludf.DUMMYFUNCTION("""COMPUTED_VALUE"""),684.68)</f>
        <v>684.68</v>
      </c>
      <c r="F2143" s="2">
        <f>IFERROR(__xludf.DUMMYFUNCTION("""COMPUTED_VALUE"""),2377038.0)</f>
        <v>2377038</v>
      </c>
    </row>
    <row r="2144">
      <c r="A2144" s="3">
        <f>IFERROR(__xludf.DUMMYFUNCTION("""COMPUTED_VALUE"""),41393.645833333336)</f>
        <v>41393.64583</v>
      </c>
      <c r="B2144" s="2">
        <f>IFERROR(__xludf.DUMMYFUNCTION("""COMPUTED_VALUE"""),682.5)</f>
        <v>682.5</v>
      </c>
      <c r="C2144" s="2">
        <f>IFERROR(__xludf.DUMMYFUNCTION("""COMPUTED_VALUE"""),692.35)</f>
        <v>692.35</v>
      </c>
      <c r="D2144" s="2">
        <f>IFERROR(__xludf.DUMMYFUNCTION("""COMPUTED_VALUE"""),682.5)</f>
        <v>682.5</v>
      </c>
      <c r="E2144" s="2">
        <f>IFERROR(__xludf.DUMMYFUNCTION("""COMPUTED_VALUE"""),685.38)</f>
        <v>685.38</v>
      </c>
      <c r="F2144" s="2">
        <f>IFERROR(__xludf.DUMMYFUNCTION("""COMPUTED_VALUE"""),1984458.0)</f>
        <v>1984458</v>
      </c>
    </row>
    <row r="2145">
      <c r="A2145" s="3">
        <f>IFERROR(__xludf.DUMMYFUNCTION("""COMPUTED_VALUE"""),41394.645833333336)</f>
        <v>41394.64583</v>
      </c>
      <c r="B2145" s="2">
        <f>IFERROR(__xludf.DUMMYFUNCTION("""COMPUTED_VALUE"""),684.0)</f>
        <v>684</v>
      </c>
      <c r="C2145" s="2">
        <f>IFERROR(__xludf.DUMMYFUNCTION("""COMPUTED_VALUE"""),691.0)</f>
        <v>691</v>
      </c>
      <c r="D2145" s="2">
        <f>IFERROR(__xludf.DUMMYFUNCTION("""COMPUTED_VALUE"""),682.5)</f>
        <v>682.5</v>
      </c>
      <c r="E2145" s="2">
        <f>IFERROR(__xludf.DUMMYFUNCTION("""COMPUTED_VALUE"""),689.2)</f>
        <v>689.2</v>
      </c>
      <c r="F2145" s="2">
        <f>IFERROR(__xludf.DUMMYFUNCTION("""COMPUTED_VALUE"""),2010285.0)</f>
        <v>2010285</v>
      </c>
    </row>
    <row r="2146">
      <c r="A2146" s="3">
        <f>IFERROR(__xludf.DUMMYFUNCTION("""COMPUTED_VALUE"""),41396.645833333336)</f>
        <v>41396.64583</v>
      </c>
      <c r="B2146" s="2">
        <f>IFERROR(__xludf.DUMMYFUNCTION("""COMPUTED_VALUE"""),686.75)</f>
        <v>686.75</v>
      </c>
      <c r="C2146" s="2">
        <f>IFERROR(__xludf.DUMMYFUNCTION("""COMPUTED_VALUE"""),719.4)</f>
        <v>719.4</v>
      </c>
      <c r="D2146" s="2">
        <f>IFERROR(__xludf.DUMMYFUNCTION("""COMPUTED_VALUE"""),686.75)</f>
        <v>686.75</v>
      </c>
      <c r="E2146" s="2">
        <f>IFERROR(__xludf.DUMMYFUNCTION("""COMPUTED_VALUE"""),716.95)</f>
        <v>716.95</v>
      </c>
      <c r="F2146" s="2">
        <f>IFERROR(__xludf.DUMMYFUNCTION("""COMPUTED_VALUE"""),2815163.0)</f>
        <v>2815163</v>
      </c>
    </row>
    <row r="2147">
      <c r="A2147" s="3">
        <f>IFERROR(__xludf.DUMMYFUNCTION("""COMPUTED_VALUE"""),41397.645833333336)</f>
        <v>41397.64583</v>
      </c>
      <c r="B2147" s="2">
        <f>IFERROR(__xludf.DUMMYFUNCTION("""COMPUTED_VALUE"""),713.0)</f>
        <v>713</v>
      </c>
      <c r="C2147" s="2">
        <f>IFERROR(__xludf.DUMMYFUNCTION("""COMPUTED_VALUE"""),723.63)</f>
        <v>723.63</v>
      </c>
      <c r="D2147" s="2">
        <f>IFERROR(__xludf.DUMMYFUNCTION("""COMPUTED_VALUE"""),703.95)</f>
        <v>703.95</v>
      </c>
      <c r="E2147" s="2">
        <f>IFERROR(__xludf.DUMMYFUNCTION("""COMPUTED_VALUE"""),709.25)</f>
        <v>709.25</v>
      </c>
      <c r="F2147" s="2">
        <f>IFERROR(__xludf.DUMMYFUNCTION("""COMPUTED_VALUE"""),1820895.0)</f>
        <v>1820895</v>
      </c>
    </row>
    <row r="2148">
      <c r="A2148" s="3">
        <f>IFERROR(__xludf.DUMMYFUNCTION("""COMPUTED_VALUE"""),41400.645833333336)</f>
        <v>41400.64583</v>
      </c>
      <c r="B2148" s="2">
        <f>IFERROR(__xludf.DUMMYFUNCTION("""COMPUTED_VALUE"""),710.0)</f>
        <v>710</v>
      </c>
      <c r="C2148" s="2">
        <f>IFERROR(__xludf.DUMMYFUNCTION("""COMPUTED_VALUE"""),736.2)</f>
        <v>736.2</v>
      </c>
      <c r="D2148" s="2">
        <f>IFERROR(__xludf.DUMMYFUNCTION("""COMPUTED_VALUE"""),710.0)</f>
        <v>710</v>
      </c>
      <c r="E2148" s="2">
        <f>IFERROR(__xludf.DUMMYFUNCTION("""COMPUTED_VALUE"""),733.6)</f>
        <v>733.6</v>
      </c>
      <c r="F2148" s="2">
        <f>IFERROR(__xludf.DUMMYFUNCTION("""COMPUTED_VALUE"""),1863559.0)</f>
        <v>1863559</v>
      </c>
    </row>
    <row r="2149">
      <c r="A2149" s="3">
        <f>IFERROR(__xludf.DUMMYFUNCTION("""COMPUTED_VALUE"""),41401.645833333336)</f>
        <v>41401.64583</v>
      </c>
      <c r="B2149" s="2">
        <f>IFERROR(__xludf.DUMMYFUNCTION("""COMPUTED_VALUE"""),733.55)</f>
        <v>733.55</v>
      </c>
      <c r="C2149" s="2">
        <f>IFERROR(__xludf.DUMMYFUNCTION("""COMPUTED_VALUE"""),739.43)</f>
        <v>739.43</v>
      </c>
      <c r="D2149" s="2">
        <f>IFERROR(__xludf.DUMMYFUNCTION("""COMPUTED_VALUE"""),728.7)</f>
        <v>728.7</v>
      </c>
      <c r="E2149" s="2">
        <f>IFERROR(__xludf.DUMMYFUNCTION("""COMPUTED_VALUE"""),735.8)</f>
        <v>735.8</v>
      </c>
      <c r="F2149" s="2">
        <f>IFERROR(__xludf.DUMMYFUNCTION("""COMPUTED_VALUE"""),1130090.0)</f>
        <v>1130090</v>
      </c>
    </row>
    <row r="2150">
      <c r="A2150" s="3">
        <f>IFERROR(__xludf.DUMMYFUNCTION("""COMPUTED_VALUE"""),41402.645833333336)</f>
        <v>41402.64583</v>
      </c>
      <c r="B2150" s="2">
        <f>IFERROR(__xludf.DUMMYFUNCTION("""COMPUTED_VALUE"""),736.0)</f>
        <v>736</v>
      </c>
      <c r="C2150" s="2">
        <f>IFERROR(__xludf.DUMMYFUNCTION("""COMPUTED_VALUE"""),743.9)</f>
        <v>743.9</v>
      </c>
      <c r="D2150" s="2">
        <f>IFERROR(__xludf.DUMMYFUNCTION("""COMPUTED_VALUE"""),735.0)</f>
        <v>735</v>
      </c>
      <c r="E2150" s="2">
        <f>IFERROR(__xludf.DUMMYFUNCTION("""COMPUTED_VALUE"""),740.05)</f>
        <v>740.05</v>
      </c>
      <c r="F2150" s="2">
        <f>IFERROR(__xludf.DUMMYFUNCTION("""COMPUTED_VALUE"""),884065.0)</f>
        <v>884065</v>
      </c>
    </row>
    <row r="2151">
      <c r="A2151" s="3">
        <f>IFERROR(__xludf.DUMMYFUNCTION("""COMPUTED_VALUE"""),41403.645833333336)</f>
        <v>41403.64583</v>
      </c>
      <c r="B2151" s="2">
        <f>IFERROR(__xludf.DUMMYFUNCTION("""COMPUTED_VALUE"""),741.6)</f>
        <v>741.6</v>
      </c>
      <c r="C2151" s="2">
        <f>IFERROR(__xludf.DUMMYFUNCTION("""COMPUTED_VALUE"""),751.73)</f>
        <v>751.73</v>
      </c>
      <c r="D2151" s="2">
        <f>IFERROR(__xludf.DUMMYFUNCTION("""COMPUTED_VALUE"""),741.5)</f>
        <v>741.5</v>
      </c>
      <c r="E2151" s="2">
        <f>IFERROR(__xludf.DUMMYFUNCTION("""COMPUTED_VALUE"""),749.23)</f>
        <v>749.23</v>
      </c>
      <c r="F2151" s="2">
        <f>IFERROR(__xludf.DUMMYFUNCTION("""COMPUTED_VALUE"""),974850.0)</f>
        <v>974850</v>
      </c>
    </row>
    <row r="2152">
      <c r="A2152" s="3">
        <f>IFERROR(__xludf.DUMMYFUNCTION("""COMPUTED_VALUE"""),41404.645833333336)</f>
        <v>41404.64583</v>
      </c>
      <c r="B2152" s="2">
        <f>IFERROR(__xludf.DUMMYFUNCTION("""COMPUTED_VALUE"""),749.23)</f>
        <v>749.23</v>
      </c>
      <c r="C2152" s="2">
        <f>IFERROR(__xludf.DUMMYFUNCTION("""COMPUTED_VALUE"""),755.45)</f>
        <v>755.45</v>
      </c>
      <c r="D2152" s="2">
        <f>IFERROR(__xludf.DUMMYFUNCTION("""COMPUTED_VALUE"""),745.55)</f>
        <v>745.55</v>
      </c>
      <c r="E2152" s="2">
        <f>IFERROR(__xludf.DUMMYFUNCTION("""COMPUTED_VALUE"""),747.95)</f>
        <v>747.95</v>
      </c>
      <c r="F2152" s="2">
        <f>IFERROR(__xludf.DUMMYFUNCTION("""COMPUTED_VALUE"""),569857.0)</f>
        <v>569857</v>
      </c>
    </row>
    <row r="2153">
      <c r="A2153" s="3">
        <f>IFERROR(__xludf.DUMMYFUNCTION("""COMPUTED_VALUE"""),41407.645833333336)</f>
        <v>41407.64583</v>
      </c>
      <c r="B2153" s="2">
        <f>IFERROR(__xludf.DUMMYFUNCTION("""COMPUTED_VALUE"""),740.0)</f>
        <v>740</v>
      </c>
      <c r="C2153" s="2">
        <f>IFERROR(__xludf.DUMMYFUNCTION("""COMPUTED_VALUE"""),740.5)</f>
        <v>740.5</v>
      </c>
      <c r="D2153" s="2">
        <f>IFERROR(__xludf.DUMMYFUNCTION("""COMPUTED_VALUE"""),722.85)</f>
        <v>722.85</v>
      </c>
      <c r="E2153" s="2">
        <f>IFERROR(__xludf.DUMMYFUNCTION("""COMPUTED_VALUE"""),725.8)</f>
        <v>725.8</v>
      </c>
      <c r="F2153" s="2">
        <f>IFERROR(__xludf.DUMMYFUNCTION("""COMPUTED_VALUE"""),931249.0)</f>
        <v>931249</v>
      </c>
    </row>
    <row r="2154">
      <c r="A2154" s="3">
        <f>IFERROR(__xludf.DUMMYFUNCTION("""COMPUTED_VALUE"""),41408.645833333336)</f>
        <v>41408.64583</v>
      </c>
      <c r="B2154" s="2">
        <f>IFERROR(__xludf.DUMMYFUNCTION("""COMPUTED_VALUE"""),727.55)</f>
        <v>727.55</v>
      </c>
      <c r="C2154" s="2">
        <f>IFERROR(__xludf.DUMMYFUNCTION("""COMPUTED_VALUE"""),735.28)</f>
        <v>735.28</v>
      </c>
      <c r="D2154" s="2">
        <f>IFERROR(__xludf.DUMMYFUNCTION("""COMPUTED_VALUE"""),721.88)</f>
        <v>721.88</v>
      </c>
      <c r="E2154" s="2">
        <f>IFERROR(__xludf.DUMMYFUNCTION("""COMPUTED_VALUE"""),728.98)</f>
        <v>728.98</v>
      </c>
      <c r="F2154" s="2">
        <f>IFERROR(__xludf.DUMMYFUNCTION("""COMPUTED_VALUE"""),1125050.0)</f>
        <v>1125050</v>
      </c>
    </row>
    <row r="2155">
      <c r="A2155" s="3">
        <f>IFERROR(__xludf.DUMMYFUNCTION("""COMPUTED_VALUE"""),41409.645833333336)</f>
        <v>41409.64583</v>
      </c>
      <c r="B2155" s="2">
        <f>IFERROR(__xludf.DUMMYFUNCTION("""COMPUTED_VALUE"""),729.05)</f>
        <v>729.05</v>
      </c>
      <c r="C2155" s="2">
        <f>IFERROR(__xludf.DUMMYFUNCTION("""COMPUTED_VALUE"""),738.6)</f>
        <v>738.6</v>
      </c>
      <c r="D2155" s="2">
        <f>IFERROR(__xludf.DUMMYFUNCTION("""COMPUTED_VALUE"""),725.0)</f>
        <v>725</v>
      </c>
      <c r="E2155" s="2">
        <f>IFERROR(__xludf.DUMMYFUNCTION("""COMPUTED_VALUE"""),735.78)</f>
        <v>735.78</v>
      </c>
      <c r="F2155" s="2">
        <f>IFERROR(__xludf.DUMMYFUNCTION("""COMPUTED_VALUE"""),1782963.0)</f>
        <v>1782963</v>
      </c>
    </row>
    <row r="2156">
      <c r="A2156" s="3">
        <f>IFERROR(__xludf.DUMMYFUNCTION("""COMPUTED_VALUE"""),41410.645833333336)</f>
        <v>41410.64583</v>
      </c>
      <c r="B2156" s="2">
        <f>IFERROR(__xludf.DUMMYFUNCTION("""COMPUTED_VALUE"""),734.5)</f>
        <v>734.5</v>
      </c>
      <c r="C2156" s="2">
        <f>IFERROR(__xludf.DUMMYFUNCTION("""COMPUTED_VALUE"""),734.5)</f>
        <v>734.5</v>
      </c>
      <c r="D2156" s="2">
        <f>IFERROR(__xludf.DUMMYFUNCTION("""COMPUTED_VALUE"""),723.73)</f>
        <v>723.73</v>
      </c>
      <c r="E2156" s="2">
        <f>IFERROR(__xludf.DUMMYFUNCTION("""COMPUTED_VALUE"""),727.03)</f>
        <v>727.03</v>
      </c>
      <c r="F2156" s="2">
        <f>IFERROR(__xludf.DUMMYFUNCTION("""COMPUTED_VALUE"""),1207826.0)</f>
        <v>1207826</v>
      </c>
    </row>
    <row r="2157">
      <c r="A2157" s="3">
        <f>IFERROR(__xludf.DUMMYFUNCTION("""COMPUTED_VALUE"""),41411.645833333336)</f>
        <v>41411.64583</v>
      </c>
      <c r="B2157" s="2">
        <f>IFERROR(__xludf.DUMMYFUNCTION("""COMPUTED_VALUE"""),727.5)</f>
        <v>727.5</v>
      </c>
      <c r="C2157" s="2">
        <f>IFERROR(__xludf.DUMMYFUNCTION("""COMPUTED_VALUE"""),739.25)</f>
        <v>739.25</v>
      </c>
      <c r="D2157" s="2">
        <f>IFERROR(__xludf.DUMMYFUNCTION("""COMPUTED_VALUE"""),727.05)</f>
        <v>727.05</v>
      </c>
      <c r="E2157" s="2">
        <f>IFERROR(__xludf.DUMMYFUNCTION("""COMPUTED_VALUE"""),736.9)</f>
        <v>736.9</v>
      </c>
      <c r="F2157" s="2">
        <f>IFERROR(__xludf.DUMMYFUNCTION("""COMPUTED_VALUE"""),1450100.0)</f>
        <v>1450100</v>
      </c>
    </row>
    <row r="2158">
      <c r="A2158" s="3">
        <f>IFERROR(__xludf.DUMMYFUNCTION("""COMPUTED_VALUE"""),41414.645833333336)</f>
        <v>41414.64583</v>
      </c>
      <c r="B2158" s="2">
        <f>IFERROR(__xludf.DUMMYFUNCTION("""COMPUTED_VALUE"""),735.63)</f>
        <v>735.63</v>
      </c>
      <c r="C2158" s="2">
        <f>IFERROR(__xludf.DUMMYFUNCTION("""COMPUTED_VALUE"""),739.0)</f>
        <v>739</v>
      </c>
      <c r="D2158" s="2">
        <f>IFERROR(__xludf.DUMMYFUNCTION("""COMPUTED_VALUE"""),730.5)</f>
        <v>730.5</v>
      </c>
      <c r="E2158" s="2">
        <f>IFERROR(__xludf.DUMMYFUNCTION("""COMPUTED_VALUE"""),736.2)</f>
        <v>736.2</v>
      </c>
      <c r="F2158" s="2">
        <f>IFERROR(__xludf.DUMMYFUNCTION("""COMPUTED_VALUE"""),692752.0)</f>
        <v>692752</v>
      </c>
    </row>
    <row r="2159">
      <c r="A2159" s="3">
        <f>IFERROR(__xludf.DUMMYFUNCTION("""COMPUTED_VALUE"""),41415.645833333336)</f>
        <v>41415.64583</v>
      </c>
      <c r="B2159" s="2">
        <f>IFERROR(__xludf.DUMMYFUNCTION("""COMPUTED_VALUE"""),732.5)</f>
        <v>732.5</v>
      </c>
      <c r="C2159" s="2">
        <f>IFERROR(__xludf.DUMMYFUNCTION("""COMPUTED_VALUE"""),751.0)</f>
        <v>751</v>
      </c>
      <c r="D2159" s="2">
        <f>IFERROR(__xludf.DUMMYFUNCTION("""COMPUTED_VALUE"""),732.5)</f>
        <v>732.5</v>
      </c>
      <c r="E2159" s="2">
        <f>IFERROR(__xludf.DUMMYFUNCTION("""COMPUTED_VALUE"""),746.43)</f>
        <v>746.43</v>
      </c>
      <c r="F2159" s="2">
        <f>IFERROR(__xludf.DUMMYFUNCTION("""COMPUTED_VALUE"""),949216.0)</f>
        <v>949216</v>
      </c>
    </row>
    <row r="2160">
      <c r="A2160" s="3">
        <f>IFERROR(__xludf.DUMMYFUNCTION("""COMPUTED_VALUE"""),41416.645833333336)</f>
        <v>41416.64583</v>
      </c>
      <c r="B2160" s="2">
        <f>IFERROR(__xludf.DUMMYFUNCTION("""COMPUTED_VALUE"""),749.0)</f>
        <v>749</v>
      </c>
      <c r="C2160" s="2">
        <f>IFERROR(__xludf.DUMMYFUNCTION("""COMPUTED_VALUE"""),754.58)</f>
        <v>754.58</v>
      </c>
      <c r="D2160" s="2">
        <f>IFERROR(__xludf.DUMMYFUNCTION("""COMPUTED_VALUE"""),746.15)</f>
        <v>746.15</v>
      </c>
      <c r="E2160" s="2">
        <f>IFERROR(__xludf.DUMMYFUNCTION("""COMPUTED_VALUE"""),749.2)</f>
        <v>749.2</v>
      </c>
      <c r="F2160" s="2">
        <f>IFERROR(__xludf.DUMMYFUNCTION("""COMPUTED_VALUE"""),923472.0)</f>
        <v>923472</v>
      </c>
    </row>
    <row r="2161">
      <c r="A2161" s="3">
        <f>IFERROR(__xludf.DUMMYFUNCTION("""COMPUTED_VALUE"""),41417.645833333336)</f>
        <v>41417.64583</v>
      </c>
      <c r="B2161" s="2">
        <f>IFERROR(__xludf.DUMMYFUNCTION("""COMPUTED_VALUE"""),747.5)</f>
        <v>747.5</v>
      </c>
      <c r="C2161" s="2">
        <f>IFERROR(__xludf.DUMMYFUNCTION("""COMPUTED_VALUE"""),763.38)</f>
        <v>763.38</v>
      </c>
      <c r="D2161" s="2">
        <f>IFERROR(__xludf.DUMMYFUNCTION("""COMPUTED_VALUE"""),739.18)</f>
        <v>739.18</v>
      </c>
      <c r="E2161" s="2">
        <f>IFERROR(__xludf.DUMMYFUNCTION("""COMPUTED_VALUE"""),746.35)</f>
        <v>746.35</v>
      </c>
      <c r="F2161" s="2">
        <f>IFERROR(__xludf.DUMMYFUNCTION("""COMPUTED_VALUE"""),1531981.0)</f>
        <v>1531981</v>
      </c>
    </row>
    <row r="2162">
      <c r="A2162" s="3">
        <f>IFERROR(__xludf.DUMMYFUNCTION("""COMPUTED_VALUE"""),41418.645833333336)</f>
        <v>41418.64583</v>
      </c>
      <c r="B2162" s="2">
        <f>IFERROR(__xludf.DUMMYFUNCTION("""COMPUTED_VALUE"""),750.0)</f>
        <v>750</v>
      </c>
      <c r="C2162" s="2">
        <f>IFERROR(__xludf.DUMMYFUNCTION("""COMPUTED_VALUE"""),751.48)</f>
        <v>751.48</v>
      </c>
      <c r="D2162" s="2">
        <f>IFERROR(__xludf.DUMMYFUNCTION("""COMPUTED_VALUE"""),731.8)</f>
        <v>731.8</v>
      </c>
      <c r="E2162" s="2">
        <f>IFERROR(__xludf.DUMMYFUNCTION("""COMPUTED_VALUE"""),734.78)</f>
        <v>734.78</v>
      </c>
      <c r="F2162" s="2">
        <f>IFERROR(__xludf.DUMMYFUNCTION("""COMPUTED_VALUE"""),793306.0)</f>
        <v>793306</v>
      </c>
    </row>
    <row r="2163">
      <c r="A2163" s="3">
        <f>IFERROR(__xludf.DUMMYFUNCTION("""COMPUTED_VALUE"""),41421.645833333336)</f>
        <v>41421.64583</v>
      </c>
      <c r="B2163" s="2">
        <f>IFERROR(__xludf.DUMMYFUNCTION("""COMPUTED_VALUE"""),734.75)</f>
        <v>734.75</v>
      </c>
      <c r="C2163" s="2">
        <f>IFERROR(__xludf.DUMMYFUNCTION("""COMPUTED_VALUE"""),750.0)</f>
        <v>750</v>
      </c>
      <c r="D2163" s="2">
        <f>IFERROR(__xludf.DUMMYFUNCTION("""COMPUTED_VALUE"""),730.0)</f>
        <v>730</v>
      </c>
      <c r="E2163" s="2">
        <f>IFERROR(__xludf.DUMMYFUNCTION("""COMPUTED_VALUE"""),749.0)</f>
        <v>749</v>
      </c>
      <c r="F2163" s="2">
        <f>IFERROR(__xludf.DUMMYFUNCTION("""COMPUTED_VALUE"""),1011932.0)</f>
        <v>1011932</v>
      </c>
    </row>
    <row r="2164">
      <c r="A2164" s="3">
        <f>IFERROR(__xludf.DUMMYFUNCTION("""COMPUTED_VALUE"""),41422.645833333336)</f>
        <v>41422.64583</v>
      </c>
      <c r="B2164" s="2">
        <f>IFERROR(__xludf.DUMMYFUNCTION("""COMPUTED_VALUE"""),749.0)</f>
        <v>749</v>
      </c>
      <c r="C2164" s="2">
        <f>IFERROR(__xludf.DUMMYFUNCTION("""COMPUTED_VALUE"""),758.25)</f>
        <v>758.25</v>
      </c>
      <c r="D2164" s="2">
        <f>IFERROR(__xludf.DUMMYFUNCTION("""COMPUTED_VALUE"""),745.15)</f>
        <v>745.15</v>
      </c>
      <c r="E2164" s="2">
        <f>IFERROR(__xludf.DUMMYFUNCTION("""COMPUTED_VALUE"""),757.05)</f>
        <v>757.05</v>
      </c>
      <c r="F2164" s="2">
        <f>IFERROR(__xludf.DUMMYFUNCTION("""COMPUTED_VALUE"""),700127.0)</f>
        <v>700127</v>
      </c>
    </row>
    <row r="2165">
      <c r="A2165" s="3">
        <f>IFERROR(__xludf.DUMMYFUNCTION("""COMPUTED_VALUE"""),41423.645833333336)</f>
        <v>41423.64583</v>
      </c>
      <c r="B2165" s="2">
        <f>IFERROR(__xludf.DUMMYFUNCTION("""COMPUTED_VALUE"""),758.0)</f>
        <v>758</v>
      </c>
      <c r="C2165" s="2">
        <f>IFERROR(__xludf.DUMMYFUNCTION("""COMPUTED_VALUE"""),763.75)</f>
        <v>763.75</v>
      </c>
      <c r="D2165" s="2">
        <f>IFERROR(__xludf.DUMMYFUNCTION("""COMPUTED_VALUE"""),742.55)</f>
        <v>742.55</v>
      </c>
      <c r="E2165" s="2">
        <f>IFERROR(__xludf.DUMMYFUNCTION("""COMPUTED_VALUE"""),748.68)</f>
        <v>748.68</v>
      </c>
      <c r="F2165" s="2">
        <f>IFERROR(__xludf.DUMMYFUNCTION("""COMPUTED_VALUE"""),726019.0)</f>
        <v>726019</v>
      </c>
    </row>
    <row r="2166">
      <c r="A2166" s="3">
        <f>IFERROR(__xludf.DUMMYFUNCTION("""COMPUTED_VALUE"""),41424.645833333336)</f>
        <v>41424.64583</v>
      </c>
      <c r="B2166" s="2">
        <f>IFERROR(__xludf.DUMMYFUNCTION("""COMPUTED_VALUE"""),750.0)</f>
        <v>750</v>
      </c>
      <c r="C2166" s="2">
        <f>IFERROR(__xludf.DUMMYFUNCTION("""COMPUTED_VALUE"""),756.0)</f>
        <v>756</v>
      </c>
      <c r="D2166" s="2">
        <f>IFERROR(__xludf.DUMMYFUNCTION("""COMPUTED_VALUE"""),743.5)</f>
        <v>743.5</v>
      </c>
      <c r="E2166" s="2">
        <f>IFERROR(__xludf.DUMMYFUNCTION("""COMPUTED_VALUE"""),749.7)</f>
        <v>749.7</v>
      </c>
      <c r="F2166" s="2">
        <f>IFERROR(__xludf.DUMMYFUNCTION("""COMPUTED_VALUE"""),1204173.0)</f>
        <v>1204173</v>
      </c>
    </row>
    <row r="2167">
      <c r="A2167" s="3">
        <f>IFERROR(__xludf.DUMMYFUNCTION("""COMPUTED_VALUE"""),41425.645833333336)</f>
        <v>41425.64583</v>
      </c>
      <c r="B2167" s="2">
        <f>IFERROR(__xludf.DUMMYFUNCTION("""COMPUTED_VALUE"""),745.5)</f>
        <v>745.5</v>
      </c>
      <c r="C2167" s="2">
        <f>IFERROR(__xludf.DUMMYFUNCTION("""COMPUTED_VALUE"""),754.63)</f>
        <v>754.63</v>
      </c>
      <c r="D2167" s="2">
        <f>IFERROR(__xludf.DUMMYFUNCTION("""COMPUTED_VALUE"""),738.38)</f>
        <v>738.38</v>
      </c>
      <c r="E2167" s="2">
        <f>IFERROR(__xludf.DUMMYFUNCTION("""COMPUTED_VALUE"""),749.23)</f>
        <v>749.23</v>
      </c>
      <c r="F2167" s="2">
        <f>IFERROR(__xludf.DUMMYFUNCTION("""COMPUTED_VALUE"""),964934.0)</f>
        <v>964934</v>
      </c>
    </row>
    <row r="2168">
      <c r="A2168" s="3">
        <f>IFERROR(__xludf.DUMMYFUNCTION("""COMPUTED_VALUE"""),41428.645833333336)</f>
        <v>41428.64583</v>
      </c>
      <c r="B2168" s="2">
        <f>IFERROR(__xludf.DUMMYFUNCTION("""COMPUTED_VALUE"""),752.0)</f>
        <v>752</v>
      </c>
      <c r="C2168" s="2">
        <f>IFERROR(__xludf.DUMMYFUNCTION("""COMPUTED_VALUE"""),753.5)</f>
        <v>753.5</v>
      </c>
      <c r="D2168" s="2">
        <f>IFERROR(__xludf.DUMMYFUNCTION("""COMPUTED_VALUE"""),728.55)</f>
        <v>728.55</v>
      </c>
      <c r="E2168" s="2">
        <f>IFERROR(__xludf.DUMMYFUNCTION("""COMPUTED_VALUE"""),734.7)</f>
        <v>734.7</v>
      </c>
      <c r="F2168" s="2">
        <f>IFERROR(__xludf.DUMMYFUNCTION("""COMPUTED_VALUE"""),1548806.0)</f>
        <v>1548806</v>
      </c>
    </row>
    <row r="2169">
      <c r="A2169" s="3">
        <f>IFERROR(__xludf.DUMMYFUNCTION("""COMPUTED_VALUE"""),41429.645833333336)</f>
        <v>41429.64583</v>
      </c>
      <c r="B2169" s="2">
        <f>IFERROR(__xludf.DUMMYFUNCTION("""COMPUTED_VALUE"""),730.0)</f>
        <v>730</v>
      </c>
      <c r="C2169" s="2">
        <f>IFERROR(__xludf.DUMMYFUNCTION("""COMPUTED_VALUE"""),736.95)</f>
        <v>736.95</v>
      </c>
      <c r="D2169" s="2">
        <f>IFERROR(__xludf.DUMMYFUNCTION("""COMPUTED_VALUE"""),725.08)</f>
        <v>725.08</v>
      </c>
      <c r="E2169" s="2">
        <f>IFERROR(__xludf.DUMMYFUNCTION("""COMPUTED_VALUE"""),732.68)</f>
        <v>732.68</v>
      </c>
      <c r="F2169" s="2">
        <f>IFERROR(__xludf.DUMMYFUNCTION("""COMPUTED_VALUE"""),652660.0)</f>
        <v>652660</v>
      </c>
    </row>
    <row r="2170">
      <c r="A2170" s="3">
        <f>IFERROR(__xludf.DUMMYFUNCTION("""COMPUTED_VALUE"""),41430.645833333336)</f>
        <v>41430.64583</v>
      </c>
      <c r="B2170" s="2">
        <f>IFERROR(__xludf.DUMMYFUNCTION("""COMPUTED_VALUE"""),730.55)</f>
        <v>730.55</v>
      </c>
      <c r="C2170" s="2">
        <f>IFERROR(__xludf.DUMMYFUNCTION("""COMPUTED_VALUE"""),736.33)</f>
        <v>736.33</v>
      </c>
      <c r="D2170" s="2">
        <f>IFERROR(__xludf.DUMMYFUNCTION("""COMPUTED_VALUE"""),726.35)</f>
        <v>726.35</v>
      </c>
      <c r="E2170" s="2">
        <f>IFERROR(__xludf.DUMMYFUNCTION("""COMPUTED_VALUE"""),733.9)</f>
        <v>733.9</v>
      </c>
      <c r="F2170" s="2">
        <f>IFERROR(__xludf.DUMMYFUNCTION("""COMPUTED_VALUE"""),864338.0)</f>
        <v>864338</v>
      </c>
    </row>
    <row r="2171">
      <c r="A2171" s="3">
        <f>IFERROR(__xludf.DUMMYFUNCTION("""COMPUTED_VALUE"""),41431.645833333336)</f>
        <v>41431.64583</v>
      </c>
      <c r="B2171" s="2">
        <f>IFERROR(__xludf.DUMMYFUNCTION("""COMPUTED_VALUE"""),726.85)</f>
        <v>726.85</v>
      </c>
      <c r="C2171" s="2">
        <f>IFERROR(__xludf.DUMMYFUNCTION("""COMPUTED_VALUE"""),739.25)</f>
        <v>739.25</v>
      </c>
      <c r="D2171" s="2">
        <f>IFERROR(__xludf.DUMMYFUNCTION("""COMPUTED_VALUE"""),726.03)</f>
        <v>726.03</v>
      </c>
      <c r="E2171" s="2">
        <f>IFERROR(__xludf.DUMMYFUNCTION("""COMPUTED_VALUE"""),735.38)</f>
        <v>735.38</v>
      </c>
      <c r="F2171" s="2">
        <f>IFERROR(__xludf.DUMMYFUNCTION("""COMPUTED_VALUE"""),1270226.0)</f>
        <v>1270226</v>
      </c>
    </row>
    <row r="2172">
      <c r="A2172" s="3">
        <f>IFERROR(__xludf.DUMMYFUNCTION("""COMPUTED_VALUE"""),41432.645833333336)</f>
        <v>41432.64583</v>
      </c>
      <c r="B2172" s="2">
        <f>IFERROR(__xludf.DUMMYFUNCTION("""COMPUTED_VALUE"""),735.05)</f>
        <v>735.05</v>
      </c>
      <c r="C2172" s="2">
        <f>IFERROR(__xludf.DUMMYFUNCTION("""COMPUTED_VALUE"""),769.5)</f>
        <v>769.5</v>
      </c>
      <c r="D2172" s="2">
        <f>IFERROR(__xludf.DUMMYFUNCTION("""COMPUTED_VALUE"""),734.0)</f>
        <v>734</v>
      </c>
      <c r="E2172" s="2">
        <f>IFERROR(__xludf.DUMMYFUNCTION("""COMPUTED_VALUE"""),759.48)</f>
        <v>759.48</v>
      </c>
      <c r="F2172" s="2">
        <f>IFERROR(__xludf.DUMMYFUNCTION("""COMPUTED_VALUE"""),1775422.0)</f>
        <v>1775422</v>
      </c>
    </row>
    <row r="2173">
      <c r="A2173" s="3">
        <f>IFERROR(__xludf.DUMMYFUNCTION("""COMPUTED_VALUE"""),41435.645833333336)</f>
        <v>41435.64583</v>
      </c>
      <c r="B2173" s="2">
        <f>IFERROR(__xludf.DUMMYFUNCTION("""COMPUTED_VALUE"""),762.53)</f>
        <v>762.53</v>
      </c>
      <c r="C2173" s="2">
        <f>IFERROR(__xludf.DUMMYFUNCTION("""COMPUTED_VALUE"""),772.35)</f>
        <v>772.35</v>
      </c>
      <c r="D2173" s="2">
        <f>IFERROR(__xludf.DUMMYFUNCTION("""COMPUTED_VALUE"""),759.55)</f>
        <v>759.55</v>
      </c>
      <c r="E2173" s="2">
        <f>IFERROR(__xludf.DUMMYFUNCTION("""COMPUTED_VALUE"""),762.53)</f>
        <v>762.53</v>
      </c>
      <c r="F2173" s="2">
        <f>IFERROR(__xludf.DUMMYFUNCTION("""COMPUTED_VALUE"""),1680215.0)</f>
        <v>1680215</v>
      </c>
    </row>
    <row r="2174">
      <c r="A2174" s="3">
        <f>IFERROR(__xludf.DUMMYFUNCTION("""COMPUTED_VALUE"""),41436.645833333336)</f>
        <v>41436.64583</v>
      </c>
      <c r="B2174" s="2">
        <f>IFERROR(__xludf.DUMMYFUNCTION("""COMPUTED_VALUE"""),765.1)</f>
        <v>765.1</v>
      </c>
      <c r="C2174" s="2">
        <f>IFERROR(__xludf.DUMMYFUNCTION("""COMPUTED_VALUE"""),771.0)</f>
        <v>771</v>
      </c>
      <c r="D2174" s="2">
        <f>IFERROR(__xludf.DUMMYFUNCTION("""COMPUTED_VALUE"""),746.0)</f>
        <v>746</v>
      </c>
      <c r="E2174" s="2">
        <f>IFERROR(__xludf.DUMMYFUNCTION("""COMPUTED_VALUE"""),750.78)</f>
        <v>750.78</v>
      </c>
      <c r="F2174" s="2">
        <f>IFERROR(__xludf.DUMMYFUNCTION("""COMPUTED_VALUE"""),1102734.0)</f>
        <v>1102734</v>
      </c>
    </row>
    <row r="2175">
      <c r="A2175" s="3">
        <f>IFERROR(__xludf.DUMMYFUNCTION("""COMPUTED_VALUE"""),41437.645833333336)</f>
        <v>41437.64583</v>
      </c>
      <c r="B2175" s="2">
        <f>IFERROR(__xludf.DUMMYFUNCTION("""COMPUTED_VALUE"""),747.05)</f>
        <v>747.05</v>
      </c>
      <c r="C2175" s="2">
        <f>IFERROR(__xludf.DUMMYFUNCTION("""COMPUTED_VALUE"""),747.55)</f>
        <v>747.55</v>
      </c>
      <c r="D2175" s="2">
        <f>IFERROR(__xludf.DUMMYFUNCTION("""COMPUTED_VALUE"""),731.03)</f>
        <v>731.03</v>
      </c>
      <c r="E2175" s="2">
        <f>IFERROR(__xludf.DUMMYFUNCTION("""COMPUTED_VALUE"""),734.05)</f>
        <v>734.05</v>
      </c>
      <c r="F2175" s="2">
        <f>IFERROR(__xludf.DUMMYFUNCTION("""COMPUTED_VALUE"""),2402977.0)</f>
        <v>2402977</v>
      </c>
    </row>
    <row r="2176">
      <c r="A2176" s="3">
        <f>IFERROR(__xludf.DUMMYFUNCTION("""COMPUTED_VALUE"""),41438.645833333336)</f>
        <v>41438.64583</v>
      </c>
      <c r="B2176" s="2">
        <f>IFERROR(__xludf.DUMMYFUNCTION("""COMPUTED_VALUE"""),730.0)</f>
        <v>730</v>
      </c>
      <c r="C2176" s="2">
        <f>IFERROR(__xludf.DUMMYFUNCTION("""COMPUTED_VALUE"""),732.0)</f>
        <v>732</v>
      </c>
      <c r="D2176" s="2">
        <f>IFERROR(__xludf.DUMMYFUNCTION("""COMPUTED_VALUE"""),717.55)</f>
        <v>717.55</v>
      </c>
      <c r="E2176" s="2">
        <f>IFERROR(__xludf.DUMMYFUNCTION("""COMPUTED_VALUE"""),722.83)</f>
        <v>722.83</v>
      </c>
      <c r="F2176" s="2">
        <f>IFERROR(__xludf.DUMMYFUNCTION("""COMPUTED_VALUE"""),1575671.0)</f>
        <v>1575671</v>
      </c>
    </row>
    <row r="2177">
      <c r="A2177" s="3">
        <f>IFERROR(__xludf.DUMMYFUNCTION("""COMPUTED_VALUE"""),41439.645833333336)</f>
        <v>41439.64583</v>
      </c>
      <c r="B2177" s="2">
        <f>IFERROR(__xludf.DUMMYFUNCTION("""COMPUTED_VALUE"""),724.0)</f>
        <v>724</v>
      </c>
      <c r="C2177" s="2">
        <f>IFERROR(__xludf.DUMMYFUNCTION("""COMPUTED_VALUE"""),728.63)</f>
        <v>728.63</v>
      </c>
      <c r="D2177" s="2">
        <f>IFERROR(__xludf.DUMMYFUNCTION("""COMPUTED_VALUE"""),715.5)</f>
        <v>715.5</v>
      </c>
      <c r="E2177" s="2">
        <f>IFERROR(__xludf.DUMMYFUNCTION("""COMPUTED_VALUE"""),725.35)</f>
        <v>725.35</v>
      </c>
      <c r="F2177" s="2">
        <f>IFERROR(__xludf.DUMMYFUNCTION("""COMPUTED_VALUE"""),1552998.0)</f>
        <v>1552998</v>
      </c>
    </row>
    <row r="2178">
      <c r="A2178" s="3">
        <f>IFERROR(__xludf.DUMMYFUNCTION("""COMPUTED_VALUE"""),41442.645833333336)</f>
        <v>41442.64583</v>
      </c>
      <c r="B2178" s="2">
        <f>IFERROR(__xludf.DUMMYFUNCTION("""COMPUTED_VALUE"""),726.5)</f>
        <v>726.5</v>
      </c>
      <c r="C2178" s="2">
        <f>IFERROR(__xludf.DUMMYFUNCTION("""COMPUTED_VALUE"""),732.5)</f>
        <v>732.5</v>
      </c>
      <c r="D2178" s="2">
        <f>IFERROR(__xludf.DUMMYFUNCTION("""COMPUTED_VALUE"""),714.0)</f>
        <v>714</v>
      </c>
      <c r="E2178" s="2">
        <f>IFERROR(__xludf.DUMMYFUNCTION("""COMPUTED_VALUE"""),726.23)</f>
        <v>726.23</v>
      </c>
      <c r="F2178" s="2">
        <f>IFERROR(__xludf.DUMMYFUNCTION("""COMPUTED_VALUE"""),1292081.0)</f>
        <v>1292081</v>
      </c>
    </row>
    <row r="2179">
      <c r="A2179" s="3">
        <f>IFERROR(__xludf.DUMMYFUNCTION("""COMPUTED_VALUE"""),41443.645833333336)</f>
        <v>41443.64583</v>
      </c>
      <c r="B2179" s="2">
        <f>IFERROR(__xludf.DUMMYFUNCTION("""COMPUTED_VALUE"""),727.5)</f>
        <v>727.5</v>
      </c>
      <c r="C2179" s="2">
        <f>IFERROR(__xludf.DUMMYFUNCTION("""COMPUTED_VALUE"""),730.0)</f>
        <v>730</v>
      </c>
      <c r="D2179" s="2">
        <f>IFERROR(__xludf.DUMMYFUNCTION("""COMPUTED_VALUE"""),720.08)</f>
        <v>720.08</v>
      </c>
      <c r="E2179" s="2">
        <f>IFERROR(__xludf.DUMMYFUNCTION("""COMPUTED_VALUE"""),721.9)</f>
        <v>721.9</v>
      </c>
      <c r="F2179" s="2">
        <f>IFERROR(__xludf.DUMMYFUNCTION("""COMPUTED_VALUE"""),1145764.0)</f>
        <v>1145764</v>
      </c>
    </row>
    <row r="2180">
      <c r="A2180" s="3">
        <f>IFERROR(__xludf.DUMMYFUNCTION("""COMPUTED_VALUE"""),41444.645833333336)</f>
        <v>41444.64583</v>
      </c>
      <c r="B2180" s="2">
        <f>IFERROR(__xludf.DUMMYFUNCTION("""COMPUTED_VALUE"""),727.45)</f>
        <v>727.45</v>
      </c>
      <c r="C2180" s="2">
        <f>IFERROR(__xludf.DUMMYFUNCTION("""COMPUTED_VALUE"""),727.45)</f>
        <v>727.45</v>
      </c>
      <c r="D2180" s="2">
        <f>IFERROR(__xludf.DUMMYFUNCTION("""COMPUTED_VALUE"""),711.78)</f>
        <v>711.78</v>
      </c>
      <c r="E2180" s="2">
        <f>IFERROR(__xludf.DUMMYFUNCTION("""COMPUTED_VALUE"""),713.85)</f>
        <v>713.85</v>
      </c>
      <c r="F2180" s="2">
        <f>IFERROR(__xludf.DUMMYFUNCTION("""COMPUTED_VALUE"""),1069894.0)</f>
        <v>1069894</v>
      </c>
    </row>
    <row r="2181">
      <c r="A2181" s="3">
        <f>IFERROR(__xludf.DUMMYFUNCTION("""COMPUTED_VALUE"""),41445.645833333336)</f>
        <v>41445.64583</v>
      </c>
      <c r="B2181" s="2">
        <f>IFERROR(__xludf.DUMMYFUNCTION("""COMPUTED_VALUE"""),710.5)</f>
        <v>710.5</v>
      </c>
      <c r="C2181" s="2">
        <f>IFERROR(__xludf.DUMMYFUNCTION("""COMPUTED_VALUE"""),716.58)</f>
        <v>716.58</v>
      </c>
      <c r="D2181" s="2">
        <f>IFERROR(__xludf.DUMMYFUNCTION("""COMPUTED_VALUE"""),699.55)</f>
        <v>699.55</v>
      </c>
      <c r="E2181" s="2">
        <f>IFERROR(__xludf.DUMMYFUNCTION("""COMPUTED_VALUE"""),702.25)</f>
        <v>702.25</v>
      </c>
      <c r="F2181" s="2">
        <f>IFERROR(__xludf.DUMMYFUNCTION("""COMPUTED_VALUE"""),2086439.0)</f>
        <v>2086439</v>
      </c>
    </row>
    <row r="2182">
      <c r="A2182" s="3">
        <f>IFERROR(__xludf.DUMMYFUNCTION("""COMPUTED_VALUE"""),41446.645833333336)</f>
        <v>41446.64583</v>
      </c>
      <c r="B2182" s="2">
        <f>IFERROR(__xludf.DUMMYFUNCTION("""COMPUTED_VALUE"""),704.4)</f>
        <v>704.4</v>
      </c>
      <c r="C2182" s="2">
        <f>IFERROR(__xludf.DUMMYFUNCTION("""COMPUTED_VALUE"""),715.93)</f>
        <v>715.93</v>
      </c>
      <c r="D2182" s="2">
        <f>IFERROR(__xludf.DUMMYFUNCTION("""COMPUTED_VALUE"""),704.0)</f>
        <v>704</v>
      </c>
      <c r="E2182" s="2">
        <f>IFERROR(__xludf.DUMMYFUNCTION("""COMPUTED_VALUE"""),711.13)</f>
        <v>711.13</v>
      </c>
      <c r="F2182" s="2">
        <f>IFERROR(__xludf.DUMMYFUNCTION("""COMPUTED_VALUE"""),1424112.0)</f>
        <v>1424112</v>
      </c>
    </row>
    <row r="2183">
      <c r="A2183" s="3">
        <f>IFERROR(__xludf.DUMMYFUNCTION("""COMPUTED_VALUE"""),41449.645833333336)</f>
        <v>41449.64583</v>
      </c>
      <c r="B2183" s="2">
        <f>IFERROR(__xludf.DUMMYFUNCTION("""COMPUTED_VALUE"""),707.5)</f>
        <v>707.5</v>
      </c>
      <c r="C2183" s="2">
        <f>IFERROR(__xludf.DUMMYFUNCTION("""COMPUTED_VALUE"""),717.05)</f>
        <v>717.05</v>
      </c>
      <c r="D2183" s="2">
        <f>IFERROR(__xludf.DUMMYFUNCTION("""COMPUTED_VALUE"""),700.05)</f>
        <v>700.05</v>
      </c>
      <c r="E2183" s="2">
        <f>IFERROR(__xludf.DUMMYFUNCTION("""COMPUTED_VALUE"""),705.35)</f>
        <v>705.35</v>
      </c>
      <c r="F2183" s="2">
        <f>IFERROR(__xludf.DUMMYFUNCTION("""COMPUTED_VALUE"""),944582.0)</f>
        <v>944582</v>
      </c>
    </row>
    <row r="2184">
      <c r="A2184" s="3">
        <f>IFERROR(__xludf.DUMMYFUNCTION("""COMPUTED_VALUE"""),41450.645833333336)</f>
        <v>41450.64583</v>
      </c>
      <c r="B2184" s="2">
        <f>IFERROR(__xludf.DUMMYFUNCTION("""COMPUTED_VALUE"""),706.75)</f>
        <v>706.75</v>
      </c>
      <c r="C2184" s="2">
        <f>IFERROR(__xludf.DUMMYFUNCTION("""COMPUTED_VALUE"""),713.55)</f>
        <v>713.55</v>
      </c>
      <c r="D2184" s="2">
        <f>IFERROR(__xludf.DUMMYFUNCTION("""COMPUTED_VALUE"""),690.35)</f>
        <v>690.35</v>
      </c>
      <c r="E2184" s="2">
        <f>IFERROR(__xludf.DUMMYFUNCTION("""COMPUTED_VALUE"""),696.15)</f>
        <v>696.15</v>
      </c>
      <c r="F2184" s="2">
        <f>IFERROR(__xludf.DUMMYFUNCTION("""COMPUTED_VALUE"""),930274.0)</f>
        <v>930274</v>
      </c>
    </row>
    <row r="2185">
      <c r="A2185" s="3">
        <f>IFERROR(__xludf.DUMMYFUNCTION("""COMPUTED_VALUE"""),41451.645833333336)</f>
        <v>41451.64583</v>
      </c>
      <c r="B2185" s="2">
        <f>IFERROR(__xludf.DUMMYFUNCTION("""COMPUTED_VALUE"""),698.45)</f>
        <v>698.45</v>
      </c>
      <c r="C2185" s="2">
        <f>IFERROR(__xludf.DUMMYFUNCTION("""COMPUTED_VALUE"""),723.88)</f>
        <v>723.88</v>
      </c>
      <c r="D2185" s="2">
        <f>IFERROR(__xludf.DUMMYFUNCTION("""COMPUTED_VALUE"""),690.53)</f>
        <v>690.53</v>
      </c>
      <c r="E2185" s="2">
        <f>IFERROR(__xludf.DUMMYFUNCTION("""COMPUTED_VALUE"""),718.85)</f>
        <v>718.85</v>
      </c>
      <c r="F2185" s="2">
        <f>IFERROR(__xludf.DUMMYFUNCTION("""COMPUTED_VALUE"""),1163244.0)</f>
        <v>1163244</v>
      </c>
    </row>
    <row r="2186">
      <c r="A2186" s="3">
        <f>IFERROR(__xludf.DUMMYFUNCTION("""COMPUTED_VALUE"""),41452.645833333336)</f>
        <v>41452.64583</v>
      </c>
      <c r="B2186" s="2">
        <f>IFERROR(__xludf.DUMMYFUNCTION("""COMPUTED_VALUE"""),723.9)</f>
        <v>723.9</v>
      </c>
      <c r="C2186" s="2">
        <f>IFERROR(__xludf.DUMMYFUNCTION("""COMPUTED_VALUE"""),748.5)</f>
        <v>748.5</v>
      </c>
      <c r="D2186" s="2">
        <f>IFERROR(__xludf.DUMMYFUNCTION("""COMPUTED_VALUE"""),721.0)</f>
        <v>721</v>
      </c>
      <c r="E2186" s="2">
        <f>IFERROR(__xludf.DUMMYFUNCTION("""COMPUTED_VALUE"""),745.95)</f>
        <v>745.95</v>
      </c>
      <c r="F2186" s="2">
        <f>IFERROR(__xludf.DUMMYFUNCTION("""COMPUTED_VALUE"""),1910339.0)</f>
        <v>1910339</v>
      </c>
    </row>
    <row r="2187">
      <c r="A2187" s="3">
        <f>IFERROR(__xludf.DUMMYFUNCTION("""COMPUTED_VALUE"""),41453.645833333336)</f>
        <v>41453.64583</v>
      </c>
      <c r="B2187" s="2">
        <f>IFERROR(__xludf.DUMMYFUNCTION("""COMPUTED_VALUE"""),747.5)</f>
        <v>747.5</v>
      </c>
      <c r="C2187" s="2">
        <f>IFERROR(__xludf.DUMMYFUNCTION("""COMPUTED_VALUE"""),762.15)</f>
        <v>762.15</v>
      </c>
      <c r="D2187" s="2">
        <f>IFERROR(__xludf.DUMMYFUNCTION("""COMPUTED_VALUE"""),729.1)</f>
        <v>729.1</v>
      </c>
      <c r="E2187" s="2">
        <f>IFERROR(__xludf.DUMMYFUNCTION("""COMPUTED_VALUE"""),759.08)</f>
        <v>759.08</v>
      </c>
      <c r="F2187" s="2">
        <f>IFERROR(__xludf.DUMMYFUNCTION("""COMPUTED_VALUE"""),2408548.0)</f>
        <v>2408548</v>
      </c>
    </row>
    <row r="2188">
      <c r="A2188" s="3">
        <f>IFERROR(__xludf.DUMMYFUNCTION("""COMPUTED_VALUE"""),41456.645833333336)</f>
        <v>41456.64583</v>
      </c>
      <c r="B2188" s="2">
        <f>IFERROR(__xludf.DUMMYFUNCTION("""COMPUTED_VALUE"""),756.0)</f>
        <v>756</v>
      </c>
      <c r="C2188" s="2">
        <f>IFERROR(__xludf.DUMMYFUNCTION("""COMPUTED_VALUE"""),758.35)</f>
        <v>758.35</v>
      </c>
      <c r="D2188" s="2">
        <f>IFERROR(__xludf.DUMMYFUNCTION("""COMPUTED_VALUE"""),741.7)</f>
        <v>741.7</v>
      </c>
      <c r="E2188" s="2">
        <f>IFERROR(__xludf.DUMMYFUNCTION("""COMPUTED_VALUE"""),746.18)</f>
        <v>746.18</v>
      </c>
      <c r="F2188" s="2">
        <f>IFERROR(__xludf.DUMMYFUNCTION("""COMPUTED_VALUE"""),677326.0)</f>
        <v>677326</v>
      </c>
    </row>
    <row r="2189">
      <c r="A2189" s="3">
        <f>IFERROR(__xludf.DUMMYFUNCTION("""COMPUTED_VALUE"""),41457.645833333336)</f>
        <v>41457.64583</v>
      </c>
      <c r="B2189" s="2">
        <f>IFERROR(__xludf.DUMMYFUNCTION("""COMPUTED_VALUE"""),746.55)</f>
        <v>746.55</v>
      </c>
      <c r="C2189" s="2">
        <f>IFERROR(__xludf.DUMMYFUNCTION("""COMPUTED_VALUE"""),754.25)</f>
        <v>754.25</v>
      </c>
      <c r="D2189" s="2">
        <f>IFERROR(__xludf.DUMMYFUNCTION("""COMPUTED_VALUE"""),743.33)</f>
        <v>743.33</v>
      </c>
      <c r="E2189" s="2">
        <f>IFERROR(__xludf.DUMMYFUNCTION("""COMPUTED_VALUE"""),750.28)</f>
        <v>750.28</v>
      </c>
      <c r="F2189" s="2">
        <f>IFERROR(__xludf.DUMMYFUNCTION("""COMPUTED_VALUE"""),828621.0)</f>
        <v>828621</v>
      </c>
    </row>
    <row r="2190">
      <c r="A2190" s="3">
        <f>IFERROR(__xludf.DUMMYFUNCTION("""COMPUTED_VALUE"""),41458.645833333336)</f>
        <v>41458.64583</v>
      </c>
      <c r="B2190" s="2">
        <f>IFERROR(__xludf.DUMMYFUNCTION("""COMPUTED_VALUE"""),748.85)</f>
        <v>748.85</v>
      </c>
      <c r="C2190" s="2">
        <f>IFERROR(__xludf.DUMMYFUNCTION("""COMPUTED_VALUE"""),759.5)</f>
        <v>759.5</v>
      </c>
      <c r="D2190" s="2">
        <f>IFERROR(__xludf.DUMMYFUNCTION("""COMPUTED_VALUE"""),732.5)</f>
        <v>732.5</v>
      </c>
      <c r="E2190" s="2">
        <f>IFERROR(__xludf.DUMMYFUNCTION("""COMPUTED_VALUE"""),744.9)</f>
        <v>744.9</v>
      </c>
      <c r="F2190" s="2">
        <f>IFERROR(__xludf.DUMMYFUNCTION("""COMPUTED_VALUE"""),765453.0)</f>
        <v>765453</v>
      </c>
    </row>
    <row r="2191">
      <c r="A2191" s="3">
        <f>IFERROR(__xludf.DUMMYFUNCTION("""COMPUTED_VALUE"""),41459.645833333336)</f>
        <v>41459.64583</v>
      </c>
      <c r="B2191" s="2">
        <f>IFERROR(__xludf.DUMMYFUNCTION("""COMPUTED_VALUE"""),745.43)</f>
        <v>745.43</v>
      </c>
      <c r="C2191" s="2">
        <f>IFERROR(__xludf.DUMMYFUNCTION("""COMPUTED_VALUE"""),770.5)</f>
        <v>770.5</v>
      </c>
      <c r="D2191" s="2">
        <f>IFERROR(__xludf.DUMMYFUNCTION("""COMPUTED_VALUE"""),745.0)</f>
        <v>745</v>
      </c>
      <c r="E2191" s="2">
        <f>IFERROR(__xludf.DUMMYFUNCTION("""COMPUTED_VALUE"""),769.15)</f>
        <v>769.15</v>
      </c>
      <c r="F2191" s="2">
        <f>IFERROR(__xludf.DUMMYFUNCTION("""COMPUTED_VALUE"""),958530.0)</f>
        <v>958530</v>
      </c>
    </row>
    <row r="2192">
      <c r="A2192" s="3">
        <f>IFERROR(__xludf.DUMMYFUNCTION("""COMPUTED_VALUE"""),41460.645833333336)</f>
        <v>41460.64583</v>
      </c>
      <c r="B2192" s="2">
        <f>IFERROR(__xludf.DUMMYFUNCTION("""COMPUTED_VALUE"""),771.0)</f>
        <v>771</v>
      </c>
      <c r="C2192" s="2">
        <f>IFERROR(__xludf.DUMMYFUNCTION("""COMPUTED_VALUE"""),779.0)</f>
        <v>779</v>
      </c>
      <c r="D2192" s="2">
        <f>IFERROR(__xludf.DUMMYFUNCTION("""COMPUTED_VALUE"""),761.0)</f>
        <v>761</v>
      </c>
      <c r="E2192" s="2">
        <f>IFERROR(__xludf.DUMMYFUNCTION("""COMPUTED_VALUE"""),765.1)</f>
        <v>765.1</v>
      </c>
      <c r="F2192" s="2">
        <f>IFERROR(__xludf.DUMMYFUNCTION("""COMPUTED_VALUE"""),646506.0)</f>
        <v>646506</v>
      </c>
    </row>
    <row r="2193">
      <c r="A2193" s="3">
        <f>IFERROR(__xludf.DUMMYFUNCTION("""COMPUTED_VALUE"""),41463.645833333336)</f>
        <v>41463.64583</v>
      </c>
      <c r="B2193" s="2">
        <f>IFERROR(__xludf.DUMMYFUNCTION("""COMPUTED_VALUE"""),764.0)</f>
        <v>764</v>
      </c>
      <c r="C2193" s="2">
        <f>IFERROR(__xludf.DUMMYFUNCTION("""COMPUTED_VALUE"""),767.5)</f>
        <v>767.5</v>
      </c>
      <c r="D2193" s="2">
        <f>IFERROR(__xludf.DUMMYFUNCTION("""COMPUTED_VALUE"""),750.0)</f>
        <v>750</v>
      </c>
      <c r="E2193" s="2">
        <f>IFERROR(__xludf.DUMMYFUNCTION("""COMPUTED_VALUE"""),753.33)</f>
        <v>753.33</v>
      </c>
      <c r="F2193" s="2">
        <f>IFERROR(__xludf.DUMMYFUNCTION("""COMPUTED_VALUE"""),829398.0)</f>
        <v>829398</v>
      </c>
    </row>
    <row r="2194">
      <c r="A2194" s="3">
        <f>IFERROR(__xludf.DUMMYFUNCTION("""COMPUTED_VALUE"""),41464.645833333336)</f>
        <v>41464.64583</v>
      </c>
      <c r="B2194" s="2">
        <f>IFERROR(__xludf.DUMMYFUNCTION("""COMPUTED_VALUE"""),747.65)</f>
        <v>747.65</v>
      </c>
      <c r="C2194" s="2">
        <f>IFERROR(__xludf.DUMMYFUNCTION("""COMPUTED_VALUE"""),760.88)</f>
        <v>760.88</v>
      </c>
      <c r="D2194" s="2">
        <f>IFERROR(__xludf.DUMMYFUNCTION("""COMPUTED_VALUE"""),747.65)</f>
        <v>747.65</v>
      </c>
      <c r="E2194" s="2">
        <f>IFERROR(__xludf.DUMMYFUNCTION("""COMPUTED_VALUE"""),752.45)</f>
        <v>752.45</v>
      </c>
      <c r="F2194" s="2">
        <f>IFERROR(__xludf.DUMMYFUNCTION("""COMPUTED_VALUE"""),548663.0)</f>
        <v>548663</v>
      </c>
    </row>
    <row r="2195">
      <c r="A2195" s="3">
        <f>IFERROR(__xludf.DUMMYFUNCTION("""COMPUTED_VALUE"""),41465.645833333336)</f>
        <v>41465.64583</v>
      </c>
      <c r="B2195" s="2">
        <f>IFERROR(__xludf.DUMMYFUNCTION("""COMPUTED_VALUE"""),755.0)</f>
        <v>755</v>
      </c>
      <c r="C2195" s="2">
        <f>IFERROR(__xludf.DUMMYFUNCTION("""COMPUTED_VALUE"""),763.4)</f>
        <v>763.4</v>
      </c>
      <c r="D2195" s="2">
        <f>IFERROR(__xludf.DUMMYFUNCTION("""COMPUTED_VALUE"""),749.0)</f>
        <v>749</v>
      </c>
      <c r="E2195" s="2">
        <f>IFERROR(__xludf.DUMMYFUNCTION("""COMPUTED_VALUE"""),755.98)</f>
        <v>755.98</v>
      </c>
      <c r="F2195" s="2">
        <f>IFERROR(__xludf.DUMMYFUNCTION("""COMPUTED_VALUE"""),661312.0)</f>
        <v>661312</v>
      </c>
    </row>
    <row r="2196">
      <c r="A2196" s="3">
        <f>IFERROR(__xludf.DUMMYFUNCTION("""COMPUTED_VALUE"""),41466.645833333336)</f>
        <v>41466.64583</v>
      </c>
      <c r="B2196" s="2">
        <f>IFERROR(__xludf.DUMMYFUNCTION("""COMPUTED_VALUE"""),760.0)</f>
        <v>760</v>
      </c>
      <c r="C2196" s="2">
        <f>IFERROR(__xludf.DUMMYFUNCTION("""COMPUTED_VALUE"""),785.0)</f>
        <v>785</v>
      </c>
      <c r="D2196" s="2">
        <f>IFERROR(__xludf.DUMMYFUNCTION("""COMPUTED_VALUE"""),760.0)</f>
        <v>760</v>
      </c>
      <c r="E2196" s="2">
        <f>IFERROR(__xludf.DUMMYFUNCTION("""COMPUTED_VALUE"""),782.28)</f>
        <v>782.28</v>
      </c>
      <c r="F2196" s="2">
        <f>IFERROR(__xludf.DUMMYFUNCTION("""COMPUTED_VALUE"""),1167637.0)</f>
        <v>1167637</v>
      </c>
    </row>
    <row r="2197">
      <c r="A2197" s="3">
        <f>IFERROR(__xludf.DUMMYFUNCTION("""COMPUTED_VALUE"""),41467.645833333336)</f>
        <v>41467.64583</v>
      </c>
      <c r="B2197" s="2">
        <f>IFERROR(__xludf.DUMMYFUNCTION("""COMPUTED_VALUE"""),797.5)</f>
        <v>797.5</v>
      </c>
      <c r="C2197" s="2">
        <f>IFERROR(__xludf.DUMMYFUNCTION("""COMPUTED_VALUE"""),812.4)</f>
        <v>812.4</v>
      </c>
      <c r="D2197" s="2">
        <f>IFERROR(__xludf.DUMMYFUNCTION("""COMPUTED_VALUE"""),789.65)</f>
        <v>789.65</v>
      </c>
      <c r="E2197" s="2">
        <f>IFERROR(__xludf.DUMMYFUNCTION("""COMPUTED_VALUE"""),804.93)</f>
        <v>804.93</v>
      </c>
      <c r="F2197" s="2">
        <f>IFERROR(__xludf.DUMMYFUNCTION("""COMPUTED_VALUE"""),1625768.0)</f>
        <v>1625768</v>
      </c>
    </row>
    <row r="2198">
      <c r="A2198" s="3">
        <f>IFERROR(__xludf.DUMMYFUNCTION("""COMPUTED_VALUE"""),41470.645833333336)</f>
        <v>41470.64583</v>
      </c>
      <c r="B2198" s="2">
        <f>IFERROR(__xludf.DUMMYFUNCTION("""COMPUTED_VALUE"""),800.55)</f>
        <v>800.55</v>
      </c>
      <c r="C2198" s="2">
        <f>IFERROR(__xludf.DUMMYFUNCTION("""COMPUTED_VALUE"""),823.65)</f>
        <v>823.65</v>
      </c>
      <c r="D2198" s="2">
        <f>IFERROR(__xludf.DUMMYFUNCTION("""COMPUTED_VALUE"""),799.65)</f>
        <v>799.65</v>
      </c>
      <c r="E2198" s="2">
        <f>IFERROR(__xludf.DUMMYFUNCTION("""COMPUTED_VALUE"""),820.88)</f>
        <v>820.88</v>
      </c>
      <c r="F2198" s="2">
        <f>IFERROR(__xludf.DUMMYFUNCTION("""COMPUTED_VALUE"""),1030285.0)</f>
        <v>1030285</v>
      </c>
    </row>
    <row r="2199">
      <c r="A2199" s="3">
        <f>IFERROR(__xludf.DUMMYFUNCTION("""COMPUTED_VALUE"""),41471.645833333336)</f>
        <v>41471.64583</v>
      </c>
      <c r="B2199" s="2">
        <f>IFERROR(__xludf.DUMMYFUNCTION("""COMPUTED_VALUE"""),812.5)</f>
        <v>812.5</v>
      </c>
      <c r="C2199" s="2">
        <f>IFERROR(__xludf.DUMMYFUNCTION("""COMPUTED_VALUE"""),833.18)</f>
        <v>833.18</v>
      </c>
      <c r="D2199" s="2">
        <f>IFERROR(__xludf.DUMMYFUNCTION("""COMPUTED_VALUE"""),808.8)</f>
        <v>808.8</v>
      </c>
      <c r="E2199" s="2">
        <f>IFERROR(__xludf.DUMMYFUNCTION("""COMPUTED_VALUE"""),824.68)</f>
        <v>824.68</v>
      </c>
      <c r="F2199" s="2">
        <f>IFERROR(__xludf.DUMMYFUNCTION("""COMPUTED_VALUE"""),1112493.0)</f>
        <v>1112493</v>
      </c>
    </row>
    <row r="2200">
      <c r="A2200" s="3">
        <f>IFERROR(__xludf.DUMMYFUNCTION("""COMPUTED_VALUE"""),41472.645833333336)</f>
        <v>41472.64583</v>
      </c>
      <c r="B2200" s="2">
        <f>IFERROR(__xludf.DUMMYFUNCTION("""COMPUTED_VALUE"""),822.53)</f>
        <v>822.53</v>
      </c>
      <c r="C2200" s="2">
        <f>IFERROR(__xludf.DUMMYFUNCTION("""COMPUTED_VALUE"""),842.48)</f>
        <v>842.48</v>
      </c>
      <c r="D2200" s="2">
        <f>IFERROR(__xludf.DUMMYFUNCTION("""COMPUTED_VALUE"""),822.53)</f>
        <v>822.53</v>
      </c>
      <c r="E2200" s="2">
        <f>IFERROR(__xludf.DUMMYFUNCTION("""COMPUTED_VALUE"""),839.25)</f>
        <v>839.25</v>
      </c>
      <c r="F2200" s="2">
        <f>IFERROR(__xludf.DUMMYFUNCTION("""COMPUTED_VALUE"""),1499625.0)</f>
        <v>1499625</v>
      </c>
    </row>
    <row r="2201">
      <c r="A2201" s="3">
        <f>IFERROR(__xludf.DUMMYFUNCTION("""COMPUTED_VALUE"""),41473.645833333336)</f>
        <v>41473.64583</v>
      </c>
      <c r="B2201" s="2">
        <f>IFERROR(__xludf.DUMMYFUNCTION("""COMPUTED_VALUE"""),840.0)</f>
        <v>840</v>
      </c>
      <c r="C2201" s="2">
        <f>IFERROR(__xludf.DUMMYFUNCTION("""COMPUTED_VALUE"""),846.15)</f>
        <v>846.15</v>
      </c>
      <c r="D2201" s="2">
        <f>IFERROR(__xludf.DUMMYFUNCTION("""COMPUTED_VALUE"""),822.0)</f>
        <v>822</v>
      </c>
      <c r="E2201" s="2">
        <f>IFERROR(__xludf.DUMMYFUNCTION("""COMPUTED_VALUE"""),830.2)</f>
        <v>830.2</v>
      </c>
      <c r="F2201" s="2">
        <f>IFERROR(__xludf.DUMMYFUNCTION("""COMPUTED_VALUE"""),1722766.0)</f>
        <v>1722766</v>
      </c>
    </row>
    <row r="2202">
      <c r="A2202" s="3">
        <f>IFERROR(__xludf.DUMMYFUNCTION("""COMPUTED_VALUE"""),41474.645833333336)</f>
        <v>41474.64583</v>
      </c>
      <c r="B2202" s="2">
        <f>IFERROR(__xludf.DUMMYFUNCTION("""COMPUTED_VALUE"""),859.5)</f>
        <v>859.5</v>
      </c>
      <c r="C2202" s="2">
        <f>IFERROR(__xludf.DUMMYFUNCTION("""COMPUTED_VALUE"""),879.5)</f>
        <v>879.5</v>
      </c>
      <c r="D2202" s="2">
        <f>IFERROR(__xludf.DUMMYFUNCTION("""COMPUTED_VALUE"""),850.0)</f>
        <v>850</v>
      </c>
      <c r="E2202" s="2">
        <f>IFERROR(__xludf.DUMMYFUNCTION("""COMPUTED_VALUE"""),871.4)</f>
        <v>871.4</v>
      </c>
      <c r="F2202" s="2">
        <f>IFERROR(__xludf.DUMMYFUNCTION("""COMPUTED_VALUE"""),4275402.0)</f>
        <v>4275402</v>
      </c>
    </row>
    <row r="2203">
      <c r="A2203" s="3">
        <f>IFERROR(__xludf.DUMMYFUNCTION("""COMPUTED_VALUE"""),41477.645833333336)</f>
        <v>41477.64583</v>
      </c>
      <c r="B2203" s="2">
        <f>IFERROR(__xludf.DUMMYFUNCTION("""COMPUTED_VALUE"""),870.5)</f>
        <v>870.5</v>
      </c>
      <c r="C2203" s="2">
        <f>IFERROR(__xludf.DUMMYFUNCTION("""COMPUTED_VALUE"""),879.4)</f>
        <v>879.4</v>
      </c>
      <c r="D2203" s="2">
        <f>IFERROR(__xludf.DUMMYFUNCTION("""COMPUTED_VALUE"""),864.15)</f>
        <v>864.15</v>
      </c>
      <c r="E2203" s="2">
        <f>IFERROR(__xludf.DUMMYFUNCTION("""COMPUTED_VALUE"""),873.25)</f>
        <v>873.25</v>
      </c>
      <c r="F2203" s="2">
        <f>IFERROR(__xludf.DUMMYFUNCTION("""COMPUTED_VALUE"""),1487386.0)</f>
        <v>1487386</v>
      </c>
    </row>
    <row r="2204">
      <c r="A2204" s="3">
        <f>IFERROR(__xludf.DUMMYFUNCTION("""COMPUTED_VALUE"""),41478.645833333336)</f>
        <v>41478.64583</v>
      </c>
      <c r="B2204" s="2">
        <f>IFERROR(__xludf.DUMMYFUNCTION("""COMPUTED_VALUE"""),874.0)</f>
        <v>874</v>
      </c>
      <c r="C2204" s="2">
        <f>IFERROR(__xludf.DUMMYFUNCTION("""COMPUTED_VALUE"""),890.23)</f>
        <v>890.23</v>
      </c>
      <c r="D2204" s="2">
        <f>IFERROR(__xludf.DUMMYFUNCTION("""COMPUTED_VALUE"""),871.8)</f>
        <v>871.8</v>
      </c>
      <c r="E2204" s="2">
        <f>IFERROR(__xludf.DUMMYFUNCTION("""COMPUTED_VALUE"""),874.9)</f>
        <v>874.9</v>
      </c>
      <c r="F2204" s="2">
        <f>IFERROR(__xludf.DUMMYFUNCTION("""COMPUTED_VALUE"""),823251.0)</f>
        <v>823251</v>
      </c>
    </row>
    <row r="2205">
      <c r="A2205" s="3">
        <f>IFERROR(__xludf.DUMMYFUNCTION("""COMPUTED_VALUE"""),41479.645833333336)</f>
        <v>41479.64583</v>
      </c>
      <c r="B2205" s="2">
        <f>IFERROR(__xludf.DUMMYFUNCTION("""COMPUTED_VALUE"""),874.25)</f>
        <v>874.25</v>
      </c>
      <c r="C2205" s="2">
        <f>IFERROR(__xludf.DUMMYFUNCTION("""COMPUTED_VALUE"""),896.0)</f>
        <v>896</v>
      </c>
      <c r="D2205" s="2">
        <f>IFERROR(__xludf.DUMMYFUNCTION("""COMPUTED_VALUE"""),872.5)</f>
        <v>872.5</v>
      </c>
      <c r="E2205" s="2">
        <f>IFERROR(__xludf.DUMMYFUNCTION("""COMPUTED_VALUE"""),891.4)</f>
        <v>891.4</v>
      </c>
      <c r="F2205" s="2">
        <f>IFERROR(__xludf.DUMMYFUNCTION("""COMPUTED_VALUE"""),1090822.0)</f>
        <v>1090822</v>
      </c>
    </row>
    <row r="2206">
      <c r="A2206" s="3">
        <f>IFERROR(__xludf.DUMMYFUNCTION("""COMPUTED_VALUE"""),41480.645833333336)</f>
        <v>41480.64583</v>
      </c>
      <c r="B2206" s="2">
        <f>IFERROR(__xludf.DUMMYFUNCTION("""COMPUTED_VALUE"""),890.0)</f>
        <v>890</v>
      </c>
      <c r="C2206" s="2">
        <f>IFERROR(__xludf.DUMMYFUNCTION("""COMPUTED_VALUE"""),905.0)</f>
        <v>905</v>
      </c>
      <c r="D2206" s="2">
        <f>IFERROR(__xludf.DUMMYFUNCTION("""COMPUTED_VALUE"""),883.35)</f>
        <v>883.35</v>
      </c>
      <c r="E2206" s="2">
        <f>IFERROR(__xludf.DUMMYFUNCTION("""COMPUTED_VALUE"""),897.88)</f>
        <v>897.88</v>
      </c>
      <c r="F2206" s="2">
        <f>IFERROR(__xludf.DUMMYFUNCTION("""COMPUTED_VALUE"""),2044404.0)</f>
        <v>2044404</v>
      </c>
    </row>
    <row r="2207">
      <c r="A2207" s="3">
        <f>IFERROR(__xludf.DUMMYFUNCTION("""COMPUTED_VALUE"""),41481.645833333336)</f>
        <v>41481.64583</v>
      </c>
      <c r="B2207" s="2">
        <f>IFERROR(__xludf.DUMMYFUNCTION("""COMPUTED_VALUE"""),897.5)</f>
        <v>897.5</v>
      </c>
      <c r="C2207" s="2">
        <f>IFERROR(__xludf.DUMMYFUNCTION("""COMPUTED_VALUE"""),899.48)</f>
        <v>899.48</v>
      </c>
      <c r="D2207" s="2">
        <f>IFERROR(__xludf.DUMMYFUNCTION("""COMPUTED_VALUE"""),875.05)</f>
        <v>875.05</v>
      </c>
      <c r="E2207" s="2">
        <f>IFERROR(__xludf.DUMMYFUNCTION("""COMPUTED_VALUE"""),887.25)</f>
        <v>887.25</v>
      </c>
      <c r="F2207" s="2">
        <f>IFERROR(__xludf.DUMMYFUNCTION("""COMPUTED_VALUE"""),1189532.0)</f>
        <v>1189532</v>
      </c>
    </row>
    <row r="2208">
      <c r="A2208" s="3">
        <f>IFERROR(__xludf.DUMMYFUNCTION("""COMPUTED_VALUE"""),41484.645833333336)</f>
        <v>41484.64583</v>
      </c>
      <c r="B2208" s="2">
        <f>IFERROR(__xludf.DUMMYFUNCTION("""COMPUTED_VALUE"""),879.0)</f>
        <v>879</v>
      </c>
      <c r="C2208" s="2">
        <f>IFERROR(__xludf.DUMMYFUNCTION("""COMPUTED_VALUE"""),897.3)</f>
        <v>897.3</v>
      </c>
      <c r="D2208" s="2">
        <f>IFERROR(__xludf.DUMMYFUNCTION("""COMPUTED_VALUE"""),878.63)</f>
        <v>878.63</v>
      </c>
      <c r="E2208" s="2">
        <f>IFERROR(__xludf.DUMMYFUNCTION("""COMPUTED_VALUE"""),889.6)</f>
        <v>889.6</v>
      </c>
      <c r="F2208" s="2">
        <f>IFERROR(__xludf.DUMMYFUNCTION("""COMPUTED_VALUE"""),887131.0)</f>
        <v>887131</v>
      </c>
    </row>
    <row r="2209">
      <c r="A2209" s="3">
        <f>IFERROR(__xludf.DUMMYFUNCTION("""COMPUTED_VALUE"""),41485.645833333336)</f>
        <v>41485.64583</v>
      </c>
      <c r="B2209" s="2">
        <f>IFERROR(__xludf.DUMMYFUNCTION("""COMPUTED_VALUE"""),890.0)</f>
        <v>890</v>
      </c>
      <c r="C2209" s="2">
        <f>IFERROR(__xludf.DUMMYFUNCTION("""COMPUTED_VALUE"""),902.48)</f>
        <v>902.48</v>
      </c>
      <c r="D2209" s="2">
        <f>IFERROR(__xludf.DUMMYFUNCTION("""COMPUTED_VALUE"""),887.73)</f>
        <v>887.73</v>
      </c>
      <c r="E2209" s="2">
        <f>IFERROR(__xludf.DUMMYFUNCTION("""COMPUTED_VALUE"""),896.15)</f>
        <v>896.15</v>
      </c>
      <c r="F2209" s="2">
        <f>IFERROR(__xludf.DUMMYFUNCTION("""COMPUTED_VALUE"""),1308742.0)</f>
        <v>1308742</v>
      </c>
    </row>
    <row r="2210">
      <c r="A2210" s="3">
        <f>IFERROR(__xludf.DUMMYFUNCTION("""COMPUTED_VALUE"""),41486.645833333336)</f>
        <v>41486.64583</v>
      </c>
      <c r="B2210" s="2">
        <f>IFERROR(__xludf.DUMMYFUNCTION("""COMPUTED_VALUE"""),895.0)</f>
        <v>895</v>
      </c>
      <c r="C2210" s="2">
        <f>IFERROR(__xludf.DUMMYFUNCTION("""COMPUTED_VALUE"""),915.75)</f>
        <v>915.75</v>
      </c>
      <c r="D2210" s="2">
        <f>IFERROR(__xludf.DUMMYFUNCTION("""COMPUTED_VALUE"""),894.73)</f>
        <v>894.73</v>
      </c>
      <c r="E2210" s="2">
        <f>IFERROR(__xludf.DUMMYFUNCTION("""COMPUTED_VALUE"""),907.75)</f>
        <v>907.75</v>
      </c>
      <c r="F2210" s="2">
        <f>IFERROR(__xludf.DUMMYFUNCTION("""COMPUTED_VALUE"""),1413375.0)</f>
        <v>1413375</v>
      </c>
    </row>
    <row r="2211">
      <c r="A2211" s="3">
        <f>IFERROR(__xludf.DUMMYFUNCTION("""COMPUTED_VALUE"""),41487.645833333336)</f>
        <v>41487.64583</v>
      </c>
      <c r="B2211" s="2">
        <f>IFERROR(__xludf.DUMMYFUNCTION("""COMPUTED_VALUE"""),905.03)</f>
        <v>905.03</v>
      </c>
      <c r="C2211" s="2">
        <f>IFERROR(__xludf.DUMMYFUNCTION("""COMPUTED_VALUE"""),917.4)</f>
        <v>917.4</v>
      </c>
      <c r="D2211" s="2">
        <f>IFERROR(__xludf.DUMMYFUNCTION("""COMPUTED_VALUE"""),895.0)</f>
        <v>895</v>
      </c>
      <c r="E2211" s="2">
        <f>IFERROR(__xludf.DUMMYFUNCTION("""COMPUTED_VALUE"""),907.7)</f>
        <v>907.7</v>
      </c>
      <c r="F2211" s="2">
        <f>IFERROR(__xludf.DUMMYFUNCTION("""COMPUTED_VALUE"""),1070589.0)</f>
        <v>1070589</v>
      </c>
    </row>
    <row r="2212">
      <c r="A2212" s="3">
        <f>IFERROR(__xludf.DUMMYFUNCTION("""COMPUTED_VALUE"""),41488.645833333336)</f>
        <v>41488.64583</v>
      </c>
      <c r="B2212" s="2">
        <f>IFERROR(__xludf.DUMMYFUNCTION("""COMPUTED_VALUE"""),909.85)</f>
        <v>909.85</v>
      </c>
      <c r="C2212" s="2">
        <f>IFERROR(__xludf.DUMMYFUNCTION("""COMPUTED_VALUE"""),924.95)</f>
        <v>924.95</v>
      </c>
      <c r="D2212" s="2">
        <f>IFERROR(__xludf.DUMMYFUNCTION("""COMPUTED_VALUE"""),908.35)</f>
        <v>908.35</v>
      </c>
      <c r="E2212" s="2">
        <f>IFERROR(__xludf.DUMMYFUNCTION("""COMPUTED_VALUE"""),922.93)</f>
        <v>922.93</v>
      </c>
      <c r="F2212" s="2">
        <f>IFERROR(__xludf.DUMMYFUNCTION("""COMPUTED_VALUE"""),923427.0)</f>
        <v>923427</v>
      </c>
    </row>
    <row r="2213">
      <c r="A2213" s="3">
        <f>IFERROR(__xludf.DUMMYFUNCTION("""COMPUTED_VALUE"""),41491.645833333336)</f>
        <v>41491.64583</v>
      </c>
      <c r="B2213" s="2">
        <f>IFERROR(__xludf.DUMMYFUNCTION("""COMPUTED_VALUE"""),920.0)</f>
        <v>920</v>
      </c>
      <c r="C2213" s="2">
        <f>IFERROR(__xludf.DUMMYFUNCTION("""COMPUTED_VALUE"""),938.7)</f>
        <v>938.7</v>
      </c>
      <c r="D2213" s="2">
        <f>IFERROR(__xludf.DUMMYFUNCTION("""COMPUTED_VALUE"""),920.0)</f>
        <v>920</v>
      </c>
      <c r="E2213" s="2">
        <f>IFERROR(__xludf.DUMMYFUNCTION("""COMPUTED_VALUE"""),933.6)</f>
        <v>933.6</v>
      </c>
      <c r="F2213" s="2">
        <f>IFERROR(__xludf.DUMMYFUNCTION("""COMPUTED_VALUE"""),1177592.0)</f>
        <v>1177592</v>
      </c>
    </row>
    <row r="2214">
      <c r="A2214" s="3">
        <f>IFERROR(__xludf.DUMMYFUNCTION("""COMPUTED_VALUE"""),41492.645833333336)</f>
        <v>41492.64583</v>
      </c>
      <c r="B2214" s="2">
        <f>IFERROR(__xludf.DUMMYFUNCTION("""COMPUTED_VALUE"""),936.5)</f>
        <v>936.5</v>
      </c>
      <c r="C2214" s="2">
        <f>IFERROR(__xludf.DUMMYFUNCTION("""COMPUTED_VALUE"""),940.98)</f>
        <v>940.98</v>
      </c>
      <c r="D2214" s="2">
        <f>IFERROR(__xludf.DUMMYFUNCTION("""COMPUTED_VALUE"""),932.33)</f>
        <v>932.33</v>
      </c>
      <c r="E2214" s="2">
        <f>IFERROR(__xludf.DUMMYFUNCTION("""COMPUTED_VALUE"""),935.05)</f>
        <v>935.05</v>
      </c>
      <c r="F2214" s="2">
        <f>IFERROR(__xludf.DUMMYFUNCTION("""COMPUTED_VALUE"""),1152645.0)</f>
        <v>1152645</v>
      </c>
    </row>
    <row r="2215">
      <c r="A2215" s="3">
        <f>IFERROR(__xludf.DUMMYFUNCTION("""COMPUTED_VALUE"""),41493.645833333336)</f>
        <v>41493.64583</v>
      </c>
      <c r="B2215" s="2">
        <f>IFERROR(__xludf.DUMMYFUNCTION("""COMPUTED_VALUE"""),937.0)</f>
        <v>937</v>
      </c>
      <c r="C2215" s="2">
        <f>IFERROR(__xludf.DUMMYFUNCTION("""COMPUTED_VALUE"""),945.45)</f>
        <v>945.45</v>
      </c>
      <c r="D2215" s="2">
        <f>IFERROR(__xludf.DUMMYFUNCTION("""COMPUTED_VALUE"""),906.73)</f>
        <v>906.73</v>
      </c>
      <c r="E2215" s="2">
        <f>IFERROR(__xludf.DUMMYFUNCTION("""COMPUTED_VALUE"""),911.35)</f>
        <v>911.35</v>
      </c>
      <c r="F2215" s="2">
        <f>IFERROR(__xludf.DUMMYFUNCTION("""COMPUTED_VALUE"""),1347490.0)</f>
        <v>1347490</v>
      </c>
    </row>
    <row r="2216">
      <c r="A2216" s="3">
        <f>IFERROR(__xludf.DUMMYFUNCTION("""COMPUTED_VALUE"""),41494.645833333336)</f>
        <v>41494.64583</v>
      </c>
      <c r="B2216" s="2">
        <f>IFERROR(__xludf.DUMMYFUNCTION("""COMPUTED_VALUE"""),902.55)</f>
        <v>902.55</v>
      </c>
      <c r="C2216" s="2">
        <f>IFERROR(__xludf.DUMMYFUNCTION("""COMPUTED_VALUE"""),928.08)</f>
        <v>928.08</v>
      </c>
      <c r="D2216" s="2">
        <f>IFERROR(__xludf.DUMMYFUNCTION("""COMPUTED_VALUE"""),891.85)</f>
        <v>891.85</v>
      </c>
      <c r="E2216" s="2">
        <f>IFERROR(__xludf.DUMMYFUNCTION("""COMPUTED_VALUE"""),922.7)</f>
        <v>922.7</v>
      </c>
      <c r="F2216" s="2">
        <f>IFERROR(__xludf.DUMMYFUNCTION("""COMPUTED_VALUE"""),1079314.0)</f>
        <v>1079314</v>
      </c>
    </row>
    <row r="2217">
      <c r="A2217" s="3">
        <f>IFERROR(__xludf.DUMMYFUNCTION("""COMPUTED_VALUE"""),41498.645833333336)</f>
        <v>41498.64583</v>
      </c>
      <c r="B2217" s="2">
        <f>IFERROR(__xludf.DUMMYFUNCTION("""COMPUTED_VALUE"""),920.5)</f>
        <v>920.5</v>
      </c>
      <c r="C2217" s="2">
        <f>IFERROR(__xludf.DUMMYFUNCTION("""COMPUTED_VALUE"""),920.5)</f>
        <v>920.5</v>
      </c>
      <c r="D2217" s="2">
        <f>IFERROR(__xludf.DUMMYFUNCTION("""COMPUTED_VALUE"""),904.08)</f>
        <v>904.08</v>
      </c>
      <c r="E2217" s="2">
        <f>IFERROR(__xludf.DUMMYFUNCTION("""COMPUTED_VALUE"""),907.0)</f>
        <v>907</v>
      </c>
      <c r="F2217" s="2">
        <f>IFERROR(__xludf.DUMMYFUNCTION("""COMPUTED_VALUE"""),1038787.0)</f>
        <v>1038787</v>
      </c>
    </row>
    <row r="2218">
      <c r="A2218" s="3">
        <f>IFERROR(__xludf.DUMMYFUNCTION("""COMPUTED_VALUE"""),41499.645833333336)</f>
        <v>41499.64583</v>
      </c>
      <c r="B2218" s="2">
        <f>IFERROR(__xludf.DUMMYFUNCTION("""COMPUTED_VALUE"""),910.1)</f>
        <v>910.1</v>
      </c>
      <c r="C2218" s="2">
        <f>IFERROR(__xludf.DUMMYFUNCTION("""COMPUTED_VALUE"""),922.43)</f>
        <v>922.43</v>
      </c>
      <c r="D2218" s="2">
        <f>IFERROR(__xludf.DUMMYFUNCTION("""COMPUTED_VALUE"""),904.98)</f>
        <v>904.98</v>
      </c>
      <c r="E2218" s="2">
        <f>IFERROR(__xludf.DUMMYFUNCTION("""COMPUTED_VALUE"""),909.9)</f>
        <v>909.9</v>
      </c>
      <c r="F2218" s="2">
        <f>IFERROR(__xludf.DUMMYFUNCTION("""COMPUTED_VALUE"""),1084148.0)</f>
        <v>1084148</v>
      </c>
    </row>
    <row r="2219">
      <c r="A2219" s="3">
        <f>IFERROR(__xludf.DUMMYFUNCTION("""COMPUTED_VALUE"""),41500.645833333336)</f>
        <v>41500.64583</v>
      </c>
      <c r="B2219" s="2">
        <f>IFERROR(__xludf.DUMMYFUNCTION("""COMPUTED_VALUE"""),912.25)</f>
        <v>912.25</v>
      </c>
      <c r="C2219" s="2">
        <f>IFERROR(__xludf.DUMMYFUNCTION("""COMPUTED_VALUE"""),929.0)</f>
        <v>929</v>
      </c>
      <c r="D2219" s="2">
        <f>IFERROR(__xludf.DUMMYFUNCTION("""COMPUTED_VALUE"""),901.0)</f>
        <v>901</v>
      </c>
      <c r="E2219" s="2">
        <f>IFERROR(__xludf.DUMMYFUNCTION("""COMPUTED_VALUE"""),916.75)</f>
        <v>916.75</v>
      </c>
      <c r="F2219" s="2">
        <f>IFERROR(__xludf.DUMMYFUNCTION("""COMPUTED_VALUE"""),1651034.0)</f>
        <v>1651034</v>
      </c>
    </row>
    <row r="2220">
      <c r="A2220" s="3">
        <f>IFERROR(__xludf.DUMMYFUNCTION("""COMPUTED_VALUE"""),41502.645833333336)</f>
        <v>41502.64583</v>
      </c>
      <c r="B2220" s="2">
        <f>IFERROR(__xludf.DUMMYFUNCTION("""COMPUTED_VALUE"""),912.1)</f>
        <v>912.1</v>
      </c>
      <c r="C2220" s="2">
        <f>IFERROR(__xludf.DUMMYFUNCTION("""COMPUTED_VALUE"""),915.0)</f>
        <v>915</v>
      </c>
      <c r="D2220" s="2">
        <f>IFERROR(__xludf.DUMMYFUNCTION("""COMPUTED_VALUE"""),877.78)</f>
        <v>877.78</v>
      </c>
      <c r="E2220" s="2">
        <f>IFERROR(__xludf.DUMMYFUNCTION("""COMPUTED_VALUE"""),890.45)</f>
        <v>890.45</v>
      </c>
      <c r="F2220" s="2">
        <f>IFERROR(__xludf.DUMMYFUNCTION("""COMPUTED_VALUE"""),1389965.0)</f>
        <v>1389965</v>
      </c>
    </row>
    <row r="2221">
      <c r="A2221" s="3">
        <f>IFERROR(__xludf.DUMMYFUNCTION("""COMPUTED_VALUE"""),41505.645833333336)</f>
        <v>41505.64583</v>
      </c>
      <c r="B2221" s="2">
        <f>IFERROR(__xludf.DUMMYFUNCTION("""COMPUTED_VALUE"""),899.0)</f>
        <v>899</v>
      </c>
      <c r="C2221" s="2">
        <f>IFERROR(__xludf.DUMMYFUNCTION("""COMPUTED_VALUE"""),903.5)</f>
        <v>903.5</v>
      </c>
      <c r="D2221" s="2">
        <f>IFERROR(__xludf.DUMMYFUNCTION("""COMPUTED_VALUE"""),877.78)</f>
        <v>877.78</v>
      </c>
      <c r="E2221" s="2">
        <f>IFERROR(__xludf.DUMMYFUNCTION("""COMPUTED_VALUE"""),888.73)</f>
        <v>888.73</v>
      </c>
      <c r="F2221" s="2">
        <f>IFERROR(__xludf.DUMMYFUNCTION("""COMPUTED_VALUE"""),1060676.0)</f>
        <v>1060676</v>
      </c>
    </row>
    <row r="2222">
      <c r="A2222" s="3">
        <f>IFERROR(__xludf.DUMMYFUNCTION("""COMPUTED_VALUE"""),41506.645833333336)</f>
        <v>41506.64583</v>
      </c>
      <c r="B2222" s="2">
        <f>IFERROR(__xludf.DUMMYFUNCTION("""COMPUTED_VALUE"""),894.9)</f>
        <v>894.9</v>
      </c>
      <c r="C2222" s="2">
        <f>IFERROR(__xludf.DUMMYFUNCTION("""COMPUTED_VALUE"""),894.9)</f>
        <v>894.9</v>
      </c>
      <c r="D2222" s="2">
        <f>IFERROR(__xludf.DUMMYFUNCTION("""COMPUTED_VALUE"""),865.0)</f>
        <v>865</v>
      </c>
      <c r="E2222" s="2">
        <f>IFERROR(__xludf.DUMMYFUNCTION("""COMPUTED_VALUE"""),868.2)</f>
        <v>868.2</v>
      </c>
      <c r="F2222" s="2">
        <f>IFERROR(__xludf.DUMMYFUNCTION("""COMPUTED_VALUE"""),1362422.0)</f>
        <v>1362422</v>
      </c>
    </row>
    <row r="2223">
      <c r="A2223" s="3">
        <f>IFERROR(__xludf.DUMMYFUNCTION("""COMPUTED_VALUE"""),41507.645833333336)</f>
        <v>41507.64583</v>
      </c>
      <c r="B2223" s="2">
        <f>IFERROR(__xludf.DUMMYFUNCTION("""COMPUTED_VALUE"""),870.05)</f>
        <v>870.05</v>
      </c>
      <c r="C2223" s="2">
        <f>IFERROR(__xludf.DUMMYFUNCTION("""COMPUTED_VALUE"""),871.85)</f>
        <v>871.85</v>
      </c>
      <c r="D2223" s="2">
        <f>IFERROR(__xludf.DUMMYFUNCTION("""COMPUTED_VALUE"""),850.58)</f>
        <v>850.58</v>
      </c>
      <c r="E2223" s="2">
        <f>IFERROR(__xludf.DUMMYFUNCTION("""COMPUTED_VALUE"""),858.9)</f>
        <v>858.9</v>
      </c>
      <c r="F2223" s="2">
        <f>IFERROR(__xludf.DUMMYFUNCTION("""COMPUTED_VALUE"""),1811997.0)</f>
        <v>1811997</v>
      </c>
    </row>
    <row r="2224">
      <c r="A2224" s="3">
        <f>IFERROR(__xludf.DUMMYFUNCTION("""COMPUTED_VALUE"""),41508.645833333336)</f>
        <v>41508.64583</v>
      </c>
      <c r="B2224" s="2">
        <f>IFERROR(__xludf.DUMMYFUNCTION("""COMPUTED_VALUE"""),852.5)</f>
        <v>852.5</v>
      </c>
      <c r="C2224" s="2">
        <f>IFERROR(__xludf.DUMMYFUNCTION("""COMPUTED_VALUE"""),898.58)</f>
        <v>898.58</v>
      </c>
      <c r="D2224" s="2">
        <f>IFERROR(__xludf.DUMMYFUNCTION("""COMPUTED_VALUE"""),847.6)</f>
        <v>847.6</v>
      </c>
      <c r="E2224" s="2">
        <f>IFERROR(__xludf.DUMMYFUNCTION("""COMPUTED_VALUE"""),889.48)</f>
        <v>889.48</v>
      </c>
      <c r="F2224" s="2">
        <f>IFERROR(__xludf.DUMMYFUNCTION("""COMPUTED_VALUE"""),2130494.0)</f>
        <v>2130494</v>
      </c>
    </row>
    <row r="2225">
      <c r="A2225" s="3">
        <f>IFERROR(__xludf.DUMMYFUNCTION("""COMPUTED_VALUE"""),41509.645833333336)</f>
        <v>41509.64583</v>
      </c>
      <c r="B2225" s="2">
        <f>IFERROR(__xludf.DUMMYFUNCTION("""COMPUTED_VALUE"""),897.0)</f>
        <v>897</v>
      </c>
      <c r="C2225" s="2">
        <f>IFERROR(__xludf.DUMMYFUNCTION("""COMPUTED_VALUE"""),919.0)</f>
        <v>919</v>
      </c>
      <c r="D2225" s="2">
        <f>IFERROR(__xludf.DUMMYFUNCTION("""COMPUTED_VALUE"""),892.15)</f>
        <v>892.15</v>
      </c>
      <c r="E2225" s="2">
        <f>IFERROR(__xludf.DUMMYFUNCTION("""COMPUTED_VALUE"""),914.73)</f>
        <v>914.73</v>
      </c>
      <c r="F2225" s="2">
        <f>IFERROR(__xludf.DUMMYFUNCTION("""COMPUTED_VALUE"""),2016442.0)</f>
        <v>2016442</v>
      </c>
    </row>
    <row r="2226">
      <c r="A2226" s="3">
        <f>IFERROR(__xludf.DUMMYFUNCTION("""COMPUTED_VALUE"""),41512.645833333336)</f>
        <v>41512.64583</v>
      </c>
      <c r="B2226" s="2">
        <f>IFERROR(__xludf.DUMMYFUNCTION("""COMPUTED_VALUE"""),911.55)</f>
        <v>911.55</v>
      </c>
      <c r="C2226" s="2">
        <f>IFERROR(__xludf.DUMMYFUNCTION("""COMPUTED_VALUE"""),939.3)</f>
        <v>939.3</v>
      </c>
      <c r="D2226" s="2">
        <f>IFERROR(__xludf.DUMMYFUNCTION("""COMPUTED_VALUE"""),907.0)</f>
        <v>907</v>
      </c>
      <c r="E2226" s="2">
        <f>IFERROR(__xludf.DUMMYFUNCTION("""COMPUTED_VALUE"""),921.0)</f>
        <v>921</v>
      </c>
      <c r="F2226" s="2">
        <f>IFERROR(__xludf.DUMMYFUNCTION("""COMPUTED_VALUE"""),1331619.0)</f>
        <v>1331619</v>
      </c>
    </row>
    <row r="2227">
      <c r="A2227" s="3">
        <f>IFERROR(__xludf.DUMMYFUNCTION("""COMPUTED_VALUE"""),41513.645833333336)</f>
        <v>41513.64583</v>
      </c>
      <c r="B2227" s="2">
        <f>IFERROR(__xludf.DUMMYFUNCTION("""COMPUTED_VALUE"""),919.5)</f>
        <v>919.5</v>
      </c>
      <c r="C2227" s="2">
        <f>IFERROR(__xludf.DUMMYFUNCTION("""COMPUTED_VALUE"""),939.43)</f>
        <v>939.43</v>
      </c>
      <c r="D2227" s="2">
        <f>IFERROR(__xludf.DUMMYFUNCTION("""COMPUTED_VALUE"""),915.0)</f>
        <v>915</v>
      </c>
      <c r="E2227" s="2">
        <f>IFERROR(__xludf.DUMMYFUNCTION("""COMPUTED_VALUE"""),919.4)</f>
        <v>919.4</v>
      </c>
      <c r="F2227" s="2">
        <f>IFERROR(__xludf.DUMMYFUNCTION("""COMPUTED_VALUE"""),972642.0)</f>
        <v>972642</v>
      </c>
    </row>
    <row r="2228">
      <c r="A2228" s="3">
        <f>IFERROR(__xludf.DUMMYFUNCTION("""COMPUTED_VALUE"""),41514.645833333336)</f>
        <v>41514.64583</v>
      </c>
      <c r="B2228" s="2">
        <f>IFERROR(__xludf.DUMMYFUNCTION("""COMPUTED_VALUE"""),914.0)</f>
        <v>914</v>
      </c>
      <c r="C2228" s="2">
        <f>IFERROR(__xludf.DUMMYFUNCTION("""COMPUTED_VALUE"""),973.05)</f>
        <v>973.05</v>
      </c>
      <c r="D2228" s="2">
        <f>IFERROR(__xludf.DUMMYFUNCTION("""COMPUTED_VALUE"""),914.0)</f>
        <v>914</v>
      </c>
      <c r="E2228" s="2">
        <f>IFERROR(__xludf.DUMMYFUNCTION("""COMPUTED_VALUE"""),953.95)</f>
        <v>953.95</v>
      </c>
      <c r="F2228" s="2">
        <f>IFERROR(__xludf.DUMMYFUNCTION("""COMPUTED_VALUE"""),2222342.0)</f>
        <v>2222342</v>
      </c>
    </row>
    <row r="2229">
      <c r="A2229" s="3">
        <f>IFERROR(__xludf.DUMMYFUNCTION("""COMPUTED_VALUE"""),41515.645833333336)</f>
        <v>41515.64583</v>
      </c>
      <c r="B2229" s="2">
        <f>IFERROR(__xludf.DUMMYFUNCTION("""COMPUTED_VALUE"""),950.5)</f>
        <v>950.5</v>
      </c>
      <c r="C2229" s="2">
        <f>IFERROR(__xludf.DUMMYFUNCTION("""COMPUTED_VALUE"""),985.0)</f>
        <v>985</v>
      </c>
      <c r="D2229" s="2">
        <f>IFERROR(__xludf.DUMMYFUNCTION("""COMPUTED_VALUE"""),939.15)</f>
        <v>939.15</v>
      </c>
      <c r="E2229" s="2">
        <f>IFERROR(__xludf.DUMMYFUNCTION("""COMPUTED_VALUE"""),973.55)</f>
        <v>973.55</v>
      </c>
      <c r="F2229" s="2">
        <f>IFERROR(__xludf.DUMMYFUNCTION("""COMPUTED_VALUE"""),2952591.0)</f>
        <v>2952591</v>
      </c>
    </row>
    <row r="2230">
      <c r="A2230" s="3">
        <f>IFERROR(__xludf.DUMMYFUNCTION("""COMPUTED_VALUE"""),41516.645833333336)</f>
        <v>41516.64583</v>
      </c>
      <c r="B2230" s="2">
        <f>IFERROR(__xludf.DUMMYFUNCTION("""COMPUTED_VALUE"""),969.5)</f>
        <v>969.5</v>
      </c>
      <c r="C2230" s="2">
        <f>IFERROR(__xludf.DUMMYFUNCTION("""COMPUTED_VALUE"""),1025.0)</f>
        <v>1025</v>
      </c>
      <c r="D2230" s="2">
        <f>IFERROR(__xludf.DUMMYFUNCTION("""COMPUTED_VALUE"""),965.0)</f>
        <v>965</v>
      </c>
      <c r="E2230" s="2">
        <f>IFERROR(__xludf.DUMMYFUNCTION("""COMPUTED_VALUE"""),1016.6)</f>
        <v>1016.6</v>
      </c>
      <c r="F2230" s="2">
        <f>IFERROR(__xludf.DUMMYFUNCTION("""COMPUTED_VALUE"""),2641471.0)</f>
        <v>2641471</v>
      </c>
    </row>
    <row r="2231">
      <c r="A2231" s="3">
        <f>IFERROR(__xludf.DUMMYFUNCTION("""COMPUTED_VALUE"""),41519.645833333336)</f>
        <v>41519.64583</v>
      </c>
      <c r="B2231" s="2">
        <f>IFERROR(__xludf.DUMMYFUNCTION("""COMPUTED_VALUE"""),1010.0)</f>
        <v>1010</v>
      </c>
      <c r="C2231" s="2">
        <f>IFERROR(__xludf.DUMMYFUNCTION("""COMPUTED_VALUE"""),1034.5)</f>
        <v>1034.5</v>
      </c>
      <c r="D2231" s="2">
        <f>IFERROR(__xludf.DUMMYFUNCTION("""COMPUTED_VALUE"""),1008.75)</f>
        <v>1008.75</v>
      </c>
      <c r="E2231" s="2">
        <f>IFERROR(__xludf.DUMMYFUNCTION("""COMPUTED_VALUE"""),1028.43)</f>
        <v>1028.43</v>
      </c>
      <c r="F2231" s="2">
        <f>IFERROR(__xludf.DUMMYFUNCTION("""COMPUTED_VALUE"""),1077017.0)</f>
        <v>1077017</v>
      </c>
    </row>
    <row r="2232">
      <c r="A2232" s="3">
        <f>IFERROR(__xludf.DUMMYFUNCTION("""COMPUTED_VALUE"""),41520.645833333336)</f>
        <v>41520.64583</v>
      </c>
      <c r="B2232" s="2">
        <f>IFERROR(__xludf.DUMMYFUNCTION("""COMPUTED_VALUE"""),1025.05)</f>
        <v>1025.05</v>
      </c>
      <c r="C2232" s="2">
        <f>IFERROR(__xludf.DUMMYFUNCTION("""COMPUTED_VALUE"""),1033.5)</f>
        <v>1033.5</v>
      </c>
      <c r="D2232" s="2">
        <f>IFERROR(__xludf.DUMMYFUNCTION("""COMPUTED_VALUE"""),993.08)</f>
        <v>993.08</v>
      </c>
      <c r="E2232" s="2">
        <f>IFERROR(__xludf.DUMMYFUNCTION("""COMPUTED_VALUE"""),1000.55)</f>
        <v>1000.55</v>
      </c>
      <c r="F2232" s="2">
        <f>IFERROR(__xludf.DUMMYFUNCTION("""COMPUTED_VALUE"""),1177532.0)</f>
        <v>1177532</v>
      </c>
    </row>
    <row r="2233">
      <c r="A2233" s="3">
        <f>IFERROR(__xludf.DUMMYFUNCTION("""COMPUTED_VALUE"""),41521.645833333336)</f>
        <v>41521.64583</v>
      </c>
      <c r="B2233" s="2">
        <f>IFERROR(__xludf.DUMMYFUNCTION("""COMPUTED_VALUE"""),1000.0)</f>
        <v>1000</v>
      </c>
      <c r="C2233" s="2">
        <f>IFERROR(__xludf.DUMMYFUNCTION("""COMPUTED_VALUE"""),1039.4)</f>
        <v>1039.4</v>
      </c>
      <c r="D2233" s="2">
        <f>IFERROR(__xludf.DUMMYFUNCTION("""COMPUTED_VALUE"""),996.98)</f>
        <v>996.98</v>
      </c>
      <c r="E2233" s="2">
        <f>IFERROR(__xludf.DUMMYFUNCTION("""COMPUTED_VALUE"""),1034.55)</f>
        <v>1034.55</v>
      </c>
      <c r="F2233" s="2">
        <f>IFERROR(__xludf.DUMMYFUNCTION("""COMPUTED_VALUE"""),1313258.0)</f>
        <v>1313258</v>
      </c>
    </row>
    <row r="2234">
      <c r="A2234" s="3">
        <f>IFERROR(__xludf.DUMMYFUNCTION("""COMPUTED_VALUE"""),41522.645833333336)</f>
        <v>41522.64583</v>
      </c>
      <c r="B2234" s="2">
        <f>IFERROR(__xludf.DUMMYFUNCTION("""COMPUTED_VALUE"""),1034.5)</f>
        <v>1034.5</v>
      </c>
      <c r="C2234" s="2">
        <f>IFERROR(__xludf.DUMMYFUNCTION("""COMPUTED_VALUE"""),1034.5)</f>
        <v>1034.5</v>
      </c>
      <c r="D2234" s="2">
        <f>IFERROR(__xludf.DUMMYFUNCTION("""COMPUTED_VALUE"""),990.53)</f>
        <v>990.53</v>
      </c>
      <c r="E2234" s="2">
        <f>IFERROR(__xludf.DUMMYFUNCTION("""COMPUTED_VALUE"""),995.38)</f>
        <v>995.38</v>
      </c>
      <c r="F2234" s="2">
        <f>IFERROR(__xludf.DUMMYFUNCTION("""COMPUTED_VALUE"""),1963746.0)</f>
        <v>1963746</v>
      </c>
    </row>
    <row r="2235">
      <c r="A2235" s="3">
        <f>IFERROR(__xludf.DUMMYFUNCTION("""COMPUTED_VALUE"""),41523.645833333336)</f>
        <v>41523.64583</v>
      </c>
      <c r="B2235" s="2">
        <f>IFERROR(__xludf.DUMMYFUNCTION("""COMPUTED_VALUE"""),1004.5)</f>
        <v>1004.5</v>
      </c>
      <c r="C2235" s="2">
        <f>IFERROR(__xludf.DUMMYFUNCTION("""COMPUTED_VALUE"""),1012.5)</f>
        <v>1012.5</v>
      </c>
      <c r="D2235" s="2">
        <f>IFERROR(__xludf.DUMMYFUNCTION("""COMPUTED_VALUE"""),987.5)</f>
        <v>987.5</v>
      </c>
      <c r="E2235" s="2">
        <f>IFERROR(__xludf.DUMMYFUNCTION("""COMPUTED_VALUE"""),994.4)</f>
        <v>994.4</v>
      </c>
      <c r="F2235" s="2">
        <f>IFERROR(__xludf.DUMMYFUNCTION("""COMPUTED_VALUE"""),1379798.0)</f>
        <v>1379798</v>
      </c>
    </row>
    <row r="2236">
      <c r="A2236" s="3">
        <f>IFERROR(__xludf.DUMMYFUNCTION("""COMPUTED_VALUE"""),41527.645833333336)</f>
        <v>41527.64583</v>
      </c>
      <c r="B2236" s="2">
        <f>IFERROR(__xludf.DUMMYFUNCTION("""COMPUTED_VALUE"""),993.0)</f>
        <v>993</v>
      </c>
      <c r="C2236" s="2">
        <f>IFERROR(__xludf.DUMMYFUNCTION("""COMPUTED_VALUE"""),1008.35)</f>
        <v>1008.35</v>
      </c>
      <c r="D2236" s="2">
        <f>IFERROR(__xludf.DUMMYFUNCTION("""COMPUTED_VALUE"""),990.5)</f>
        <v>990.5</v>
      </c>
      <c r="E2236" s="2">
        <f>IFERROR(__xludf.DUMMYFUNCTION("""COMPUTED_VALUE"""),993.95)</f>
        <v>993.95</v>
      </c>
      <c r="F2236" s="2">
        <f>IFERROR(__xludf.DUMMYFUNCTION("""COMPUTED_VALUE"""),2150486.0)</f>
        <v>2150486</v>
      </c>
    </row>
    <row r="2237">
      <c r="A2237" s="3">
        <f>IFERROR(__xludf.DUMMYFUNCTION("""COMPUTED_VALUE"""),41528.645833333336)</f>
        <v>41528.64583</v>
      </c>
      <c r="B2237" s="2">
        <f>IFERROR(__xludf.DUMMYFUNCTION("""COMPUTED_VALUE"""),1004.0)</f>
        <v>1004</v>
      </c>
      <c r="C2237" s="2">
        <f>IFERROR(__xludf.DUMMYFUNCTION("""COMPUTED_VALUE"""),1009.0)</f>
        <v>1009</v>
      </c>
      <c r="D2237" s="2">
        <f>IFERROR(__xludf.DUMMYFUNCTION("""COMPUTED_VALUE"""),991.75)</f>
        <v>991.75</v>
      </c>
      <c r="E2237" s="2">
        <f>IFERROR(__xludf.DUMMYFUNCTION("""COMPUTED_VALUE"""),996.9)</f>
        <v>996.9</v>
      </c>
      <c r="F2237" s="2">
        <f>IFERROR(__xludf.DUMMYFUNCTION("""COMPUTED_VALUE"""),1504247.0)</f>
        <v>1504247</v>
      </c>
    </row>
    <row r="2238">
      <c r="A2238" s="3">
        <f>IFERROR(__xludf.DUMMYFUNCTION("""COMPUTED_VALUE"""),41529.645833333336)</f>
        <v>41529.64583</v>
      </c>
      <c r="B2238" s="2">
        <f>IFERROR(__xludf.DUMMYFUNCTION("""COMPUTED_VALUE"""),997.5)</f>
        <v>997.5</v>
      </c>
      <c r="C2238" s="2">
        <f>IFERROR(__xludf.DUMMYFUNCTION("""COMPUTED_VALUE"""),999.28)</f>
        <v>999.28</v>
      </c>
      <c r="D2238" s="2">
        <f>IFERROR(__xludf.DUMMYFUNCTION("""COMPUTED_VALUE"""),972.9)</f>
        <v>972.9</v>
      </c>
      <c r="E2238" s="2">
        <f>IFERROR(__xludf.DUMMYFUNCTION("""COMPUTED_VALUE"""),983.95)</f>
        <v>983.95</v>
      </c>
      <c r="F2238" s="2">
        <f>IFERROR(__xludf.DUMMYFUNCTION("""COMPUTED_VALUE"""),952784.0)</f>
        <v>952784</v>
      </c>
    </row>
    <row r="2239">
      <c r="A2239" s="3">
        <f>IFERROR(__xludf.DUMMYFUNCTION("""COMPUTED_VALUE"""),41530.645833333336)</f>
        <v>41530.64583</v>
      </c>
      <c r="B2239" s="2">
        <f>IFERROR(__xludf.DUMMYFUNCTION("""COMPUTED_VALUE"""),982.5)</f>
        <v>982.5</v>
      </c>
      <c r="C2239" s="2">
        <f>IFERROR(__xludf.DUMMYFUNCTION("""COMPUTED_VALUE"""),995.0)</f>
        <v>995</v>
      </c>
      <c r="D2239" s="2">
        <f>IFERROR(__xludf.DUMMYFUNCTION("""COMPUTED_VALUE"""),973.28)</f>
        <v>973.28</v>
      </c>
      <c r="E2239" s="2">
        <f>IFERROR(__xludf.DUMMYFUNCTION("""COMPUTED_VALUE"""),976.88)</f>
        <v>976.88</v>
      </c>
      <c r="F2239" s="2">
        <f>IFERROR(__xludf.DUMMYFUNCTION("""COMPUTED_VALUE"""),1048160.0)</f>
        <v>1048160</v>
      </c>
    </row>
    <row r="2240">
      <c r="A2240" s="3">
        <f>IFERROR(__xludf.DUMMYFUNCTION("""COMPUTED_VALUE"""),41533.645833333336)</f>
        <v>41533.64583</v>
      </c>
      <c r="B2240" s="2">
        <f>IFERROR(__xludf.DUMMYFUNCTION("""COMPUTED_VALUE"""),975.0)</f>
        <v>975</v>
      </c>
      <c r="C2240" s="2">
        <f>IFERROR(__xludf.DUMMYFUNCTION("""COMPUTED_VALUE"""),992.5)</f>
        <v>992.5</v>
      </c>
      <c r="D2240" s="2">
        <f>IFERROR(__xludf.DUMMYFUNCTION("""COMPUTED_VALUE"""),947.03)</f>
        <v>947.03</v>
      </c>
      <c r="E2240" s="2">
        <f>IFERROR(__xludf.DUMMYFUNCTION("""COMPUTED_VALUE"""),951.28)</f>
        <v>951.28</v>
      </c>
      <c r="F2240" s="2">
        <f>IFERROR(__xludf.DUMMYFUNCTION("""COMPUTED_VALUE"""),1230253.0)</f>
        <v>1230253</v>
      </c>
    </row>
    <row r="2241">
      <c r="A2241" s="3">
        <f>IFERROR(__xludf.DUMMYFUNCTION("""COMPUTED_VALUE"""),41534.645833333336)</f>
        <v>41534.64583</v>
      </c>
      <c r="B2241" s="2">
        <f>IFERROR(__xludf.DUMMYFUNCTION("""COMPUTED_VALUE"""),950.0)</f>
        <v>950</v>
      </c>
      <c r="C2241" s="2">
        <f>IFERROR(__xludf.DUMMYFUNCTION("""COMPUTED_VALUE"""),976.28)</f>
        <v>976.28</v>
      </c>
      <c r="D2241" s="2">
        <f>IFERROR(__xludf.DUMMYFUNCTION("""COMPUTED_VALUE"""),948.55)</f>
        <v>948.55</v>
      </c>
      <c r="E2241" s="2">
        <f>IFERROR(__xludf.DUMMYFUNCTION("""COMPUTED_VALUE"""),973.73)</f>
        <v>973.73</v>
      </c>
      <c r="F2241" s="2">
        <f>IFERROR(__xludf.DUMMYFUNCTION("""COMPUTED_VALUE"""),1663908.0)</f>
        <v>1663908</v>
      </c>
    </row>
    <row r="2242">
      <c r="A2242" s="3">
        <f>IFERROR(__xludf.DUMMYFUNCTION("""COMPUTED_VALUE"""),41535.645833333336)</f>
        <v>41535.64583</v>
      </c>
      <c r="B2242" s="2">
        <f>IFERROR(__xludf.DUMMYFUNCTION("""COMPUTED_VALUE"""),971.03)</f>
        <v>971.03</v>
      </c>
      <c r="C2242" s="2">
        <f>IFERROR(__xludf.DUMMYFUNCTION("""COMPUTED_VALUE"""),982.4)</f>
        <v>982.4</v>
      </c>
      <c r="D2242" s="2">
        <f>IFERROR(__xludf.DUMMYFUNCTION("""COMPUTED_VALUE"""),968.95)</f>
        <v>968.95</v>
      </c>
      <c r="E2242" s="2">
        <f>IFERROR(__xludf.DUMMYFUNCTION("""COMPUTED_VALUE"""),977.25)</f>
        <v>977.25</v>
      </c>
      <c r="F2242" s="2">
        <f>IFERROR(__xludf.DUMMYFUNCTION("""COMPUTED_VALUE"""),1054909.0)</f>
        <v>1054909</v>
      </c>
    </row>
    <row r="2243">
      <c r="A2243" s="3">
        <f>IFERROR(__xludf.DUMMYFUNCTION("""COMPUTED_VALUE"""),41536.645833333336)</f>
        <v>41536.64583</v>
      </c>
      <c r="B2243" s="2">
        <f>IFERROR(__xludf.DUMMYFUNCTION("""COMPUTED_VALUE"""),974.0)</f>
        <v>974</v>
      </c>
      <c r="C2243" s="2">
        <f>IFERROR(__xludf.DUMMYFUNCTION("""COMPUTED_VALUE"""),995.0)</f>
        <v>995</v>
      </c>
      <c r="D2243" s="2">
        <f>IFERROR(__xludf.DUMMYFUNCTION("""COMPUTED_VALUE"""),963.25)</f>
        <v>963.25</v>
      </c>
      <c r="E2243" s="2">
        <f>IFERROR(__xludf.DUMMYFUNCTION("""COMPUTED_VALUE"""),983.15)</f>
        <v>983.15</v>
      </c>
      <c r="F2243" s="2">
        <f>IFERROR(__xludf.DUMMYFUNCTION("""COMPUTED_VALUE"""),1953620.0)</f>
        <v>1953620</v>
      </c>
    </row>
    <row r="2244">
      <c r="A2244" s="3">
        <f>IFERROR(__xludf.DUMMYFUNCTION("""COMPUTED_VALUE"""),41537.645833333336)</f>
        <v>41537.64583</v>
      </c>
      <c r="B2244" s="2">
        <f>IFERROR(__xludf.DUMMYFUNCTION("""COMPUTED_VALUE"""),975.0)</f>
        <v>975</v>
      </c>
      <c r="C2244" s="2">
        <f>IFERROR(__xludf.DUMMYFUNCTION("""COMPUTED_VALUE"""),994.95)</f>
        <v>994.95</v>
      </c>
      <c r="D2244" s="2">
        <f>IFERROR(__xludf.DUMMYFUNCTION("""COMPUTED_VALUE"""),970.5)</f>
        <v>970.5</v>
      </c>
      <c r="E2244" s="2">
        <f>IFERROR(__xludf.DUMMYFUNCTION("""COMPUTED_VALUE"""),975.15)</f>
        <v>975.15</v>
      </c>
      <c r="F2244" s="2">
        <f>IFERROR(__xludf.DUMMYFUNCTION("""COMPUTED_VALUE"""),1795929.0)</f>
        <v>1795929</v>
      </c>
    </row>
    <row r="2245">
      <c r="A2245" s="3">
        <f>IFERROR(__xludf.DUMMYFUNCTION("""COMPUTED_VALUE"""),41540.645833333336)</f>
        <v>41540.64583</v>
      </c>
      <c r="B2245" s="2">
        <f>IFERROR(__xludf.DUMMYFUNCTION("""COMPUTED_VALUE"""),975.0)</f>
        <v>975</v>
      </c>
      <c r="C2245" s="2">
        <f>IFERROR(__xludf.DUMMYFUNCTION("""COMPUTED_VALUE"""),988.6)</f>
        <v>988.6</v>
      </c>
      <c r="D2245" s="2">
        <f>IFERROR(__xludf.DUMMYFUNCTION("""COMPUTED_VALUE"""),970.0)</f>
        <v>970</v>
      </c>
      <c r="E2245" s="2">
        <f>IFERROR(__xludf.DUMMYFUNCTION("""COMPUTED_VALUE"""),977.55)</f>
        <v>977.55</v>
      </c>
      <c r="F2245" s="2">
        <f>IFERROR(__xludf.DUMMYFUNCTION("""COMPUTED_VALUE"""),1494379.0)</f>
        <v>1494379</v>
      </c>
    </row>
    <row r="2246">
      <c r="A2246" s="3">
        <f>IFERROR(__xludf.DUMMYFUNCTION("""COMPUTED_VALUE"""),41541.645833333336)</f>
        <v>41541.64583</v>
      </c>
      <c r="B2246" s="2">
        <f>IFERROR(__xludf.DUMMYFUNCTION("""COMPUTED_VALUE"""),977.5)</f>
        <v>977.5</v>
      </c>
      <c r="C2246" s="2">
        <f>IFERROR(__xludf.DUMMYFUNCTION("""COMPUTED_VALUE"""),988.95)</f>
        <v>988.95</v>
      </c>
      <c r="D2246" s="2">
        <f>IFERROR(__xludf.DUMMYFUNCTION("""COMPUTED_VALUE"""),963.0)</f>
        <v>963</v>
      </c>
      <c r="E2246" s="2">
        <f>IFERROR(__xludf.DUMMYFUNCTION("""COMPUTED_VALUE"""),969.75)</f>
        <v>969.75</v>
      </c>
      <c r="F2246" s="2">
        <f>IFERROR(__xludf.DUMMYFUNCTION("""COMPUTED_VALUE"""),2470150.0)</f>
        <v>2470150</v>
      </c>
    </row>
    <row r="2247">
      <c r="A2247" s="3">
        <f>IFERROR(__xludf.DUMMYFUNCTION("""COMPUTED_VALUE"""),41542.645833333336)</f>
        <v>41542.64583</v>
      </c>
      <c r="B2247" s="2">
        <f>IFERROR(__xludf.DUMMYFUNCTION("""COMPUTED_VALUE"""),970.75)</f>
        <v>970.75</v>
      </c>
      <c r="C2247" s="2">
        <f>IFERROR(__xludf.DUMMYFUNCTION("""COMPUTED_VALUE"""),985.48)</f>
        <v>985.48</v>
      </c>
      <c r="D2247" s="2">
        <f>IFERROR(__xludf.DUMMYFUNCTION("""COMPUTED_VALUE"""),960.1)</f>
        <v>960.1</v>
      </c>
      <c r="E2247" s="2">
        <f>IFERROR(__xludf.DUMMYFUNCTION("""COMPUTED_VALUE"""),979.53)</f>
        <v>979.53</v>
      </c>
      <c r="F2247" s="2">
        <f>IFERROR(__xludf.DUMMYFUNCTION("""COMPUTED_VALUE"""),2166929.0)</f>
        <v>2166929</v>
      </c>
    </row>
    <row r="2248">
      <c r="A2248" s="3">
        <f>IFERROR(__xludf.DUMMYFUNCTION("""COMPUTED_VALUE"""),41543.645833333336)</f>
        <v>41543.64583</v>
      </c>
      <c r="B2248" s="2">
        <f>IFERROR(__xludf.DUMMYFUNCTION("""COMPUTED_VALUE"""),977.4)</f>
        <v>977.4</v>
      </c>
      <c r="C2248" s="2">
        <f>IFERROR(__xludf.DUMMYFUNCTION("""COMPUTED_VALUE"""),987.05)</f>
        <v>987.05</v>
      </c>
      <c r="D2248" s="2">
        <f>IFERROR(__xludf.DUMMYFUNCTION("""COMPUTED_VALUE"""),967.55)</f>
        <v>967.55</v>
      </c>
      <c r="E2248" s="2">
        <f>IFERROR(__xludf.DUMMYFUNCTION("""COMPUTED_VALUE"""),971.45)</f>
        <v>971.45</v>
      </c>
      <c r="F2248" s="2">
        <f>IFERROR(__xludf.DUMMYFUNCTION("""COMPUTED_VALUE"""),2459852.0)</f>
        <v>2459852</v>
      </c>
    </row>
    <row r="2249">
      <c r="A2249" s="3">
        <f>IFERROR(__xludf.DUMMYFUNCTION("""COMPUTED_VALUE"""),41544.645833333336)</f>
        <v>41544.64583</v>
      </c>
      <c r="B2249" s="2">
        <f>IFERROR(__xludf.DUMMYFUNCTION("""COMPUTED_VALUE"""),971.55)</f>
        <v>971.55</v>
      </c>
      <c r="C2249" s="2">
        <f>IFERROR(__xludf.DUMMYFUNCTION("""COMPUTED_VALUE"""),980.98)</f>
        <v>980.98</v>
      </c>
      <c r="D2249" s="2">
        <f>IFERROR(__xludf.DUMMYFUNCTION("""COMPUTED_VALUE"""),968.73)</f>
        <v>968.73</v>
      </c>
      <c r="E2249" s="2">
        <f>IFERROR(__xludf.DUMMYFUNCTION("""COMPUTED_VALUE"""),974.05)</f>
        <v>974.05</v>
      </c>
      <c r="F2249" s="2">
        <f>IFERROR(__xludf.DUMMYFUNCTION("""COMPUTED_VALUE"""),892333.0)</f>
        <v>892333</v>
      </c>
    </row>
    <row r="2250">
      <c r="A2250" s="3">
        <f>IFERROR(__xludf.DUMMYFUNCTION("""COMPUTED_VALUE"""),41547.645833333336)</f>
        <v>41547.64583</v>
      </c>
      <c r="B2250" s="2">
        <f>IFERROR(__xludf.DUMMYFUNCTION("""COMPUTED_VALUE"""),977.0)</f>
        <v>977</v>
      </c>
      <c r="C2250" s="2">
        <f>IFERROR(__xludf.DUMMYFUNCTION("""COMPUTED_VALUE"""),980.93)</f>
        <v>980.93</v>
      </c>
      <c r="D2250" s="2">
        <f>IFERROR(__xludf.DUMMYFUNCTION("""COMPUTED_VALUE"""),960.0)</f>
        <v>960</v>
      </c>
      <c r="E2250" s="2">
        <f>IFERROR(__xludf.DUMMYFUNCTION("""COMPUTED_VALUE"""),963.9)</f>
        <v>963.9</v>
      </c>
      <c r="F2250" s="2">
        <f>IFERROR(__xludf.DUMMYFUNCTION("""COMPUTED_VALUE"""),993675.0)</f>
        <v>993675</v>
      </c>
    </row>
    <row r="2251">
      <c r="A2251" s="3">
        <f>IFERROR(__xludf.DUMMYFUNCTION("""COMPUTED_VALUE"""),41548.645833333336)</f>
        <v>41548.64583</v>
      </c>
      <c r="B2251" s="2">
        <f>IFERROR(__xludf.DUMMYFUNCTION("""COMPUTED_VALUE"""),966.0)</f>
        <v>966</v>
      </c>
      <c r="C2251" s="2">
        <f>IFERROR(__xludf.DUMMYFUNCTION("""COMPUTED_VALUE"""),977.43)</f>
        <v>977.43</v>
      </c>
      <c r="D2251" s="2">
        <f>IFERROR(__xludf.DUMMYFUNCTION("""COMPUTED_VALUE"""),958.35)</f>
        <v>958.35</v>
      </c>
      <c r="E2251" s="2">
        <f>IFERROR(__xludf.DUMMYFUNCTION("""COMPUTED_VALUE"""),974.53)</f>
        <v>974.53</v>
      </c>
      <c r="F2251" s="2">
        <f>IFERROR(__xludf.DUMMYFUNCTION("""COMPUTED_VALUE"""),795997.0)</f>
        <v>795997</v>
      </c>
    </row>
    <row r="2252">
      <c r="A2252" s="3">
        <f>IFERROR(__xludf.DUMMYFUNCTION("""COMPUTED_VALUE"""),41550.645833333336)</f>
        <v>41550.64583</v>
      </c>
      <c r="B2252" s="2">
        <f>IFERROR(__xludf.DUMMYFUNCTION("""COMPUTED_VALUE"""),985.9)</f>
        <v>985.9</v>
      </c>
      <c r="C2252" s="2">
        <f>IFERROR(__xludf.DUMMYFUNCTION("""COMPUTED_VALUE"""),1018.45)</f>
        <v>1018.45</v>
      </c>
      <c r="D2252" s="2">
        <f>IFERROR(__xludf.DUMMYFUNCTION("""COMPUTED_VALUE"""),980.2)</f>
        <v>980.2</v>
      </c>
      <c r="E2252" s="2">
        <f>IFERROR(__xludf.DUMMYFUNCTION("""COMPUTED_VALUE"""),1012.3)</f>
        <v>1012.3</v>
      </c>
      <c r="F2252" s="2">
        <f>IFERROR(__xludf.DUMMYFUNCTION("""COMPUTED_VALUE"""),2336177.0)</f>
        <v>2336177</v>
      </c>
    </row>
    <row r="2253">
      <c r="A2253" s="3">
        <f>IFERROR(__xludf.DUMMYFUNCTION("""COMPUTED_VALUE"""),41551.645833333336)</f>
        <v>41551.64583</v>
      </c>
      <c r="B2253" s="2">
        <f>IFERROR(__xludf.DUMMYFUNCTION("""COMPUTED_VALUE"""),1016.0)</f>
        <v>1016</v>
      </c>
      <c r="C2253" s="2">
        <f>IFERROR(__xludf.DUMMYFUNCTION("""COMPUTED_VALUE"""),1034.5)</f>
        <v>1034.5</v>
      </c>
      <c r="D2253" s="2">
        <f>IFERROR(__xludf.DUMMYFUNCTION("""COMPUTED_VALUE"""),1013.48)</f>
        <v>1013.48</v>
      </c>
      <c r="E2253" s="2">
        <f>IFERROR(__xludf.DUMMYFUNCTION("""COMPUTED_VALUE"""),1016.8)</f>
        <v>1016.8</v>
      </c>
      <c r="F2253" s="2">
        <f>IFERROR(__xludf.DUMMYFUNCTION("""COMPUTED_VALUE"""),967016.0)</f>
        <v>967016</v>
      </c>
    </row>
    <row r="2254">
      <c r="A2254" s="3">
        <f>IFERROR(__xludf.DUMMYFUNCTION("""COMPUTED_VALUE"""),41554.645833333336)</f>
        <v>41554.64583</v>
      </c>
      <c r="B2254" s="2">
        <f>IFERROR(__xludf.DUMMYFUNCTION("""COMPUTED_VALUE"""),1017.5)</f>
        <v>1017.5</v>
      </c>
      <c r="C2254" s="2">
        <f>IFERROR(__xludf.DUMMYFUNCTION("""COMPUTED_VALUE"""),1048.85)</f>
        <v>1048.85</v>
      </c>
      <c r="D2254" s="2">
        <f>IFERROR(__xludf.DUMMYFUNCTION("""COMPUTED_VALUE"""),1012.65)</f>
        <v>1012.65</v>
      </c>
      <c r="E2254" s="2">
        <f>IFERROR(__xludf.DUMMYFUNCTION("""COMPUTED_VALUE"""),1044.88)</f>
        <v>1044.88</v>
      </c>
      <c r="F2254" s="2">
        <f>IFERROR(__xludf.DUMMYFUNCTION("""COMPUTED_VALUE"""),996939.0)</f>
        <v>996939</v>
      </c>
    </row>
    <row r="2255">
      <c r="A2255" s="3">
        <f>IFERROR(__xludf.DUMMYFUNCTION("""COMPUTED_VALUE"""),41555.645833333336)</f>
        <v>41555.64583</v>
      </c>
      <c r="B2255" s="2">
        <f>IFERROR(__xludf.DUMMYFUNCTION("""COMPUTED_VALUE"""),1041.5)</f>
        <v>1041.5</v>
      </c>
      <c r="C2255" s="2">
        <f>IFERROR(__xludf.DUMMYFUNCTION("""COMPUTED_VALUE"""),1049.0)</f>
        <v>1049</v>
      </c>
      <c r="D2255" s="2">
        <f>IFERROR(__xludf.DUMMYFUNCTION("""COMPUTED_VALUE"""),1028.28)</f>
        <v>1028.28</v>
      </c>
      <c r="E2255" s="2">
        <f>IFERROR(__xludf.DUMMYFUNCTION("""COMPUTED_VALUE"""),1030.72)</f>
        <v>1030.72</v>
      </c>
      <c r="F2255" s="2">
        <f>IFERROR(__xludf.DUMMYFUNCTION("""COMPUTED_VALUE"""),914053.0)</f>
        <v>914053</v>
      </c>
    </row>
    <row r="2256">
      <c r="A2256" s="3">
        <f>IFERROR(__xludf.DUMMYFUNCTION("""COMPUTED_VALUE"""),41556.645833333336)</f>
        <v>41556.64583</v>
      </c>
      <c r="B2256" s="2">
        <f>IFERROR(__xludf.DUMMYFUNCTION("""COMPUTED_VALUE"""),1027.75)</f>
        <v>1027.75</v>
      </c>
      <c r="C2256" s="2">
        <f>IFERROR(__xludf.DUMMYFUNCTION("""COMPUTED_VALUE"""),1048.82)</f>
        <v>1048.82</v>
      </c>
      <c r="D2256" s="2">
        <f>IFERROR(__xludf.DUMMYFUNCTION("""COMPUTED_VALUE"""),1022.55)</f>
        <v>1022.55</v>
      </c>
      <c r="E2256" s="2">
        <f>IFERROR(__xludf.DUMMYFUNCTION("""COMPUTED_VALUE"""),1045.43)</f>
        <v>1045.43</v>
      </c>
      <c r="F2256" s="2">
        <f>IFERROR(__xludf.DUMMYFUNCTION("""COMPUTED_VALUE"""),887929.0)</f>
        <v>887929</v>
      </c>
    </row>
    <row r="2257">
      <c r="A2257" s="3">
        <f>IFERROR(__xludf.DUMMYFUNCTION("""COMPUTED_VALUE"""),41557.645833333336)</f>
        <v>41557.64583</v>
      </c>
      <c r="B2257" s="2">
        <f>IFERROR(__xludf.DUMMYFUNCTION("""COMPUTED_VALUE"""),1044.0)</f>
        <v>1044</v>
      </c>
      <c r="C2257" s="2">
        <f>IFERROR(__xludf.DUMMYFUNCTION("""COMPUTED_VALUE"""),1049.0)</f>
        <v>1049</v>
      </c>
      <c r="D2257" s="2">
        <f>IFERROR(__xludf.DUMMYFUNCTION("""COMPUTED_VALUE"""),1033.63)</f>
        <v>1033.63</v>
      </c>
      <c r="E2257" s="2">
        <f>IFERROR(__xludf.DUMMYFUNCTION("""COMPUTED_VALUE"""),1040.0)</f>
        <v>1040</v>
      </c>
      <c r="F2257" s="2">
        <f>IFERROR(__xludf.DUMMYFUNCTION("""COMPUTED_VALUE"""),582160.0)</f>
        <v>582160</v>
      </c>
    </row>
    <row r="2258">
      <c r="A2258" s="3">
        <f>IFERROR(__xludf.DUMMYFUNCTION("""COMPUTED_VALUE"""),41558.645833333336)</f>
        <v>41558.64583</v>
      </c>
      <c r="B2258" s="2">
        <f>IFERROR(__xludf.DUMMYFUNCTION("""COMPUTED_VALUE"""),1051.5)</f>
        <v>1051.5</v>
      </c>
      <c r="C2258" s="2">
        <f>IFERROR(__xludf.DUMMYFUNCTION("""COMPUTED_VALUE"""),1069.0)</f>
        <v>1069</v>
      </c>
      <c r="D2258" s="2">
        <f>IFERROR(__xludf.DUMMYFUNCTION("""COMPUTED_VALUE"""),1041.2)</f>
        <v>1041.2</v>
      </c>
      <c r="E2258" s="2">
        <f>IFERROR(__xludf.DUMMYFUNCTION("""COMPUTED_VALUE"""),1061.03)</f>
        <v>1061.03</v>
      </c>
      <c r="F2258" s="2">
        <f>IFERROR(__xludf.DUMMYFUNCTION("""COMPUTED_VALUE"""),1142224.0)</f>
        <v>1142224</v>
      </c>
    </row>
    <row r="2259">
      <c r="A2259" s="3">
        <f>IFERROR(__xludf.DUMMYFUNCTION("""COMPUTED_VALUE"""),41561.645833333336)</f>
        <v>41561.64583</v>
      </c>
      <c r="B2259" s="2">
        <f>IFERROR(__xludf.DUMMYFUNCTION("""COMPUTED_VALUE"""),1063.75)</f>
        <v>1063.75</v>
      </c>
      <c r="C2259" s="2">
        <f>IFERROR(__xludf.DUMMYFUNCTION("""COMPUTED_VALUE"""),1112.5)</f>
        <v>1112.5</v>
      </c>
      <c r="D2259" s="2">
        <f>IFERROR(__xludf.DUMMYFUNCTION("""COMPUTED_VALUE"""),1062.5)</f>
        <v>1062.5</v>
      </c>
      <c r="E2259" s="2">
        <f>IFERROR(__xludf.DUMMYFUNCTION("""COMPUTED_VALUE"""),1106.38)</f>
        <v>1106.38</v>
      </c>
      <c r="F2259" s="2">
        <f>IFERROR(__xludf.DUMMYFUNCTION("""COMPUTED_VALUE"""),2187230.0)</f>
        <v>2187230</v>
      </c>
    </row>
    <row r="2260">
      <c r="A2260" s="3">
        <f>IFERROR(__xludf.DUMMYFUNCTION("""COMPUTED_VALUE"""),41562.645833333336)</f>
        <v>41562.64583</v>
      </c>
      <c r="B2260" s="2">
        <f>IFERROR(__xludf.DUMMYFUNCTION("""COMPUTED_VALUE"""),1117.5)</f>
        <v>1117.5</v>
      </c>
      <c r="C2260" s="2">
        <f>IFERROR(__xludf.DUMMYFUNCTION("""COMPUTED_VALUE"""),1129.43)</f>
        <v>1129.43</v>
      </c>
      <c r="D2260" s="2">
        <f>IFERROR(__xludf.DUMMYFUNCTION("""COMPUTED_VALUE"""),1100.5)</f>
        <v>1100.5</v>
      </c>
      <c r="E2260" s="2">
        <f>IFERROR(__xludf.DUMMYFUNCTION("""COMPUTED_VALUE"""),1107.7)</f>
        <v>1107.7</v>
      </c>
      <c r="F2260" s="2">
        <f>IFERROR(__xludf.DUMMYFUNCTION("""COMPUTED_VALUE"""),2332546.0)</f>
        <v>2332546</v>
      </c>
    </row>
    <row r="2261">
      <c r="A2261" s="3">
        <f>IFERROR(__xludf.DUMMYFUNCTION("""COMPUTED_VALUE"""),41564.645833333336)</f>
        <v>41564.64583</v>
      </c>
      <c r="B2261" s="2">
        <f>IFERROR(__xludf.DUMMYFUNCTION("""COMPUTED_VALUE"""),1115.0)</f>
        <v>1115</v>
      </c>
      <c r="C2261" s="2">
        <f>IFERROR(__xludf.DUMMYFUNCTION("""COMPUTED_VALUE"""),1115.0)</f>
        <v>1115</v>
      </c>
      <c r="D2261" s="2">
        <f>IFERROR(__xludf.DUMMYFUNCTION("""COMPUTED_VALUE"""),1047.85)</f>
        <v>1047.85</v>
      </c>
      <c r="E2261" s="2">
        <f>IFERROR(__xludf.DUMMYFUNCTION("""COMPUTED_VALUE"""),1054.22)</f>
        <v>1054.22</v>
      </c>
      <c r="F2261" s="2">
        <f>IFERROR(__xludf.DUMMYFUNCTION("""COMPUTED_VALUE"""),3343607.0)</f>
        <v>3343607</v>
      </c>
    </row>
    <row r="2262">
      <c r="A2262" s="3">
        <f>IFERROR(__xludf.DUMMYFUNCTION("""COMPUTED_VALUE"""),41565.645833333336)</f>
        <v>41565.64583</v>
      </c>
      <c r="B2262" s="2">
        <f>IFERROR(__xludf.DUMMYFUNCTION("""COMPUTED_VALUE"""),1052.4)</f>
        <v>1052.4</v>
      </c>
      <c r="C2262" s="2">
        <f>IFERROR(__xludf.DUMMYFUNCTION("""COMPUTED_VALUE"""),1066.9)</f>
        <v>1066.9</v>
      </c>
      <c r="D2262" s="2">
        <f>IFERROR(__xludf.DUMMYFUNCTION("""COMPUTED_VALUE"""),1030.78)</f>
        <v>1030.78</v>
      </c>
      <c r="E2262" s="2">
        <f>IFERROR(__xludf.DUMMYFUNCTION("""COMPUTED_VALUE"""),1060.32)</f>
        <v>1060.32</v>
      </c>
      <c r="F2262" s="2">
        <f>IFERROR(__xludf.DUMMYFUNCTION("""COMPUTED_VALUE"""),2673083.0)</f>
        <v>2673083</v>
      </c>
    </row>
    <row r="2263">
      <c r="A2263" s="3">
        <f>IFERROR(__xludf.DUMMYFUNCTION("""COMPUTED_VALUE"""),41568.645833333336)</f>
        <v>41568.64583</v>
      </c>
      <c r="B2263" s="2">
        <f>IFERROR(__xludf.DUMMYFUNCTION("""COMPUTED_VALUE"""),1062.5)</f>
        <v>1062.5</v>
      </c>
      <c r="C2263" s="2">
        <f>IFERROR(__xludf.DUMMYFUNCTION("""COMPUTED_VALUE"""),1063.97)</f>
        <v>1063.97</v>
      </c>
      <c r="D2263" s="2">
        <f>IFERROR(__xludf.DUMMYFUNCTION("""COMPUTED_VALUE"""),1025.0)</f>
        <v>1025</v>
      </c>
      <c r="E2263" s="2">
        <f>IFERROR(__xludf.DUMMYFUNCTION("""COMPUTED_VALUE"""),1035.82)</f>
        <v>1035.82</v>
      </c>
      <c r="F2263" s="2">
        <f>IFERROR(__xludf.DUMMYFUNCTION("""COMPUTED_VALUE"""),1842686.0)</f>
        <v>1842686</v>
      </c>
    </row>
    <row r="2264">
      <c r="A2264" s="3">
        <f>IFERROR(__xludf.DUMMYFUNCTION("""COMPUTED_VALUE"""),41569.645833333336)</f>
        <v>41569.64583</v>
      </c>
      <c r="B2264" s="2">
        <f>IFERROR(__xludf.DUMMYFUNCTION("""COMPUTED_VALUE"""),1044.0)</f>
        <v>1044</v>
      </c>
      <c r="C2264" s="2">
        <f>IFERROR(__xludf.DUMMYFUNCTION("""COMPUTED_VALUE"""),1053.82)</f>
        <v>1053.82</v>
      </c>
      <c r="D2264" s="2">
        <f>IFERROR(__xludf.DUMMYFUNCTION("""COMPUTED_VALUE"""),1038.43)</f>
        <v>1038.43</v>
      </c>
      <c r="E2264" s="2">
        <f>IFERROR(__xludf.DUMMYFUNCTION("""COMPUTED_VALUE"""),1044.68)</f>
        <v>1044.68</v>
      </c>
      <c r="F2264" s="2">
        <f>IFERROR(__xludf.DUMMYFUNCTION("""COMPUTED_VALUE"""),1022307.0)</f>
        <v>1022307</v>
      </c>
    </row>
    <row r="2265">
      <c r="A2265" s="3">
        <f>IFERROR(__xludf.DUMMYFUNCTION("""COMPUTED_VALUE"""),41570.645833333336)</f>
        <v>41570.64583</v>
      </c>
      <c r="B2265" s="2">
        <f>IFERROR(__xludf.DUMMYFUNCTION("""COMPUTED_VALUE"""),1044.25)</f>
        <v>1044.25</v>
      </c>
      <c r="C2265" s="2">
        <f>IFERROR(__xludf.DUMMYFUNCTION("""COMPUTED_VALUE"""),1051.5)</f>
        <v>1051.5</v>
      </c>
      <c r="D2265" s="2">
        <f>IFERROR(__xludf.DUMMYFUNCTION("""COMPUTED_VALUE"""),1023.08)</f>
        <v>1023.08</v>
      </c>
      <c r="E2265" s="2">
        <f>IFERROR(__xludf.DUMMYFUNCTION("""COMPUTED_VALUE"""),1030.57)</f>
        <v>1030.57</v>
      </c>
      <c r="F2265" s="2">
        <f>IFERROR(__xludf.DUMMYFUNCTION("""COMPUTED_VALUE"""),1227748.0)</f>
        <v>1227748</v>
      </c>
    </row>
    <row r="2266">
      <c r="A2266" s="3">
        <f>IFERROR(__xludf.DUMMYFUNCTION("""COMPUTED_VALUE"""),41571.645833333336)</f>
        <v>41571.64583</v>
      </c>
      <c r="B2266" s="2">
        <f>IFERROR(__xludf.DUMMYFUNCTION("""COMPUTED_VALUE"""),1021.0)</f>
        <v>1021</v>
      </c>
      <c r="C2266" s="2">
        <f>IFERROR(__xludf.DUMMYFUNCTION("""COMPUTED_VALUE"""),1041.18)</f>
        <v>1041.18</v>
      </c>
      <c r="D2266" s="2">
        <f>IFERROR(__xludf.DUMMYFUNCTION("""COMPUTED_VALUE"""),1000.93)</f>
        <v>1000.93</v>
      </c>
      <c r="E2266" s="2">
        <f>IFERROR(__xludf.DUMMYFUNCTION("""COMPUTED_VALUE"""),1004.35)</f>
        <v>1004.35</v>
      </c>
      <c r="F2266" s="2">
        <f>IFERROR(__xludf.DUMMYFUNCTION("""COMPUTED_VALUE"""),1808879.0)</f>
        <v>1808879</v>
      </c>
    </row>
    <row r="2267">
      <c r="A2267" s="3">
        <f>IFERROR(__xludf.DUMMYFUNCTION("""COMPUTED_VALUE"""),41572.645833333336)</f>
        <v>41572.64583</v>
      </c>
      <c r="B2267" s="2">
        <f>IFERROR(__xludf.DUMMYFUNCTION("""COMPUTED_VALUE"""),997.5)</f>
        <v>997.5</v>
      </c>
      <c r="C2267" s="2">
        <f>IFERROR(__xludf.DUMMYFUNCTION("""COMPUTED_VALUE"""),1036.0)</f>
        <v>1036</v>
      </c>
      <c r="D2267" s="2">
        <f>IFERROR(__xludf.DUMMYFUNCTION("""COMPUTED_VALUE"""),997.5)</f>
        <v>997.5</v>
      </c>
      <c r="E2267" s="2">
        <f>IFERROR(__xludf.DUMMYFUNCTION("""COMPUTED_VALUE"""),1033.88)</f>
        <v>1033.88</v>
      </c>
      <c r="F2267" s="2">
        <f>IFERROR(__xludf.DUMMYFUNCTION("""COMPUTED_VALUE"""),1263701.0)</f>
        <v>1263701</v>
      </c>
    </row>
    <row r="2268">
      <c r="A2268" s="3">
        <f>IFERROR(__xludf.DUMMYFUNCTION("""COMPUTED_VALUE"""),41575.645833333336)</f>
        <v>41575.64583</v>
      </c>
      <c r="B2268" s="2">
        <f>IFERROR(__xludf.DUMMYFUNCTION("""COMPUTED_VALUE"""),1034.0)</f>
        <v>1034</v>
      </c>
      <c r="C2268" s="2">
        <f>IFERROR(__xludf.DUMMYFUNCTION("""COMPUTED_VALUE"""),1044.9)</f>
        <v>1044.9</v>
      </c>
      <c r="D2268" s="2">
        <f>IFERROR(__xludf.DUMMYFUNCTION("""COMPUTED_VALUE"""),1026.28)</f>
        <v>1026.28</v>
      </c>
      <c r="E2268" s="2">
        <f>IFERROR(__xludf.DUMMYFUNCTION("""COMPUTED_VALUE"""),1031.97)</f>
        <v>1031.97</v>
      </c>
      <c r="F2268" s="2">
        <f>IFERROR(__xludf.DUMMYFUNCTION("""COMPUTED_VALUE"""),901971.0)</f>
        <v>901971</v>
      </c>
    </row>
    <row r="2269">
      <c r="A2269" s="3">
        <f>IFERROR(__xludf.DUMMYFUNCTION("""COMPUTED_VALUE"""),41576.645833333336)</f>
        <v>41576.64583</v>
      </c>
      <c r="B2269" s="2">
        <f>IFERROR(__xludf.DUMMYFUNCTION("""COMPUTED_VALUE"""),1032.5)</f>
        <v>1032.5</v>
      </c>
      <c r="C2269" s="2">
        <f>IFERROR(__xludf.DUMMYFUNCTION("""COMPUTED_VALUE"""),1042.9)</f>
        <v>1042.9</v>
      </c>
      <c r="D2269" s="2">
        <f>IFERROR(__xludf.DUMMYFUNCTION("""COMPUTED_VALUE"""),1023.95)</f>
        <v>1023.95</v>
      </c>
      <c r="E2269" s="2">
        <f>IFERROR(__xludf.DUMMYFUNCTION("""COMPUTED_VALUE"""),1034.9)</f>
        <v>1034.9</v>
      </c>
      <c r="F2269" s="2">
        <f>IFERROR(__xludf.DUMMYFUNCTION("""COMPUTED_VALUE"""),914538.0)</f>
        <v>914538</v>
      </c>
    </row>
    <row r="2270">
      <c r="A2270" s="3">
        <f>IFERROR(__xludf.DUMMYFUNCTION("""COMPUTED_VALUE"""),41577.645833333336)</f>
        <v>41577.64583</v>
      </c>
      <c r="B2270" s="2">
        <f>IFERROR(__xludf.DUMMYFUNCTION("""COMPUTED_VALUE"""),1035.13)</f>
        <v>1035.13</v>
      </c>
      <c r="C2270" s="2">
        <f>IFERROR(__xludf.DUMMYFUNCTION("""COMPUTED_VALUE"""),1050.0)</f>
        <v>1050</v>
      </c>
      <c r="D2270" s="2">
        <f>IFERROR(__xludf.DUMMYFUNCTION("""COMPUTED_VALUE"""),1035.13)</f>
        <v>1035.13</v>
      </c>
      <c r="E2270" s="2">
        <f>IFERROR(__xludf.DUMMYFUNCTION("""COMPUTED_VALUE"""),1045.97)</f>
        <v>1045.97</v>
      </c>
      <c r="F2270" s="2">
        <f>IFERROR(__xludf.DUMMYFUNCTION("""COMPUTED_VALUE"""),1057437.0)</f>
        <v>1057437</v>
      </c>
    </row>
    <row r="2271">
      <c r="A2271" s="3">
        <f>IFERROR(__xludf.DUMMYFUNCTION("""COMPUTED_VALUE"""),41578.645833333336)</f>
        <v>41578.64583</v>
      </c>
      <c r="B2271" s="2">
        <f>IFERROR(__xludf.DUMMYFUNCTION("""COMPUTED_VALUE"""),1044.5)</f>
        <v>1044.5</v>
      </c>
      <c r="C2271" s="2">
        <f>IFERROR(__xludf.DUMMYFUNCTION("""COMPUTED_VALUE"""),1064.5)</f>
        <v>1064.5</v>
      </c>
      <c r="D2271" s="2">
        <f>IFERROR(__xludf.DUMMYFUNCTION("""COMPUTED_VALUE"""),1039.7)</f>
        <v>1039.7</v>
      </c>
      <c r="E2271" s="2">
        <f>IFERROR(__xludf.DUMMYFUNCTION("""COMPUTED_VALUE"""),1056.03)</f>
        <v>1056.03</v>
      </c>
      <c r="F2271" s="2">
        <f>IFERROR(__xludf.DUMMYFUNCTION("""COMPUTED_VALUE"""),1761538.0)</f>
        <v>1761538</v>
      </c>
    </row>
    <row r="2272">
      <c r="A2272" s="3">
        <f>IFERROR(__xludf.DUMMYFUNCTION("""COMPUTED_VALUE"""),41579.645833333336)</f>
        <v>41579.64583</v>
      </c>
      <c r="B2272" s="2">
        <f>IFERROR(__xludf.DUMMYFUNCTION("""COMPUTED_VALUE"""),1055.0)</f>
        <v>1055</v>
      </c>
      <c r="C2272" s="2">
        <f>IFERROR(__xludf.DUMMYFUNCTION("""COMPUTED_VALUE"""),1070.97)</f>
        <v>1070.97</v>
      </c>
      <c r="D2272" s="2">
        <f>IFERROR(__xludf.DUMMYFUNCTION("""COMPUTED_VALUE"""),1045.55)</f>
        <v>1045.55</v>
      </c>
      <c r="E2272" s="2">
        <f>IFERROR(__xludf.DUMMYFUNCTION("""COMPUTED_VALUE"""),1048.8)</f>
        <v>1048.8</v>
      </c>
      <c r="F2272" s="2">
        <f>IFERROR(__xludf.DUMMYFUNCTION("""COMPUTED_VALUE"""),673240.0)</f>
        <v>673240</v>
      </c>
    </row>
    <row r="2273">
      <c r="A2273" s="3">
        <f>IFERROR(__xludf.DUMMYFUNCTION("""COMPUTED_VALUE"""),41583.645833333336)</f>
        <v>41583.64583</v>
      </c>
      <c r="B2273" s="2">
        <f>IFERROR(__xludf.DUMMYFUNCTION("""COMPUTED_VALUE"""),1050.0)</f>
        <v>1050</v>
      </c>
      <c r="C2273" s="2">
        <f>IFERROR(__xludf.DUMMYFUNCTION("""COMPUTED_VALUE"""),1052.5)</f>
        <v>1052.5</v>
      </c>
      <c r="D2273" s="2">
        <f>IFERROR(__xludf.DUMMYFUNCTION("""COMPUTED_VALUE"""),1015.85)</f>
        <v>1015.85</v>
      </c>
      <c r="E2273" s="2">
        <f>IFERROR(__xludf.DUMMYFUNCTION("""COMPUTED_VALUE"""),1021.0)</f>
        <v>1021</v>
      </c>
      <c r="F2273" s="2">
        <f>IFERROR(__xludf.DUMMYFUNCTION("""COMPUTED_VALUE"""),1130643.0)</f>
        <v>1130643</v>
      </c>
    </row>
    <row r="2274">
      <c r="A2274" s="3">
        <f>IFERROR(__xludf.DUMMYFUNCTION("""COMPUTED_VALUE"""),41584.645833333336)</f>
        <v>41584.64583</v>
      </c>
      <c r="B2274" s="2">
        <f>IFERROR(__xludf.DUMMYFUNCTION("""COMPUTED_VALUE"""),1031.5)</f>
        <v>1031.5</v>
      </c>
      <c r="C2274" s="2">
        <f>IFERROR(__xludf.DUMMYFUNCTION("""COMPUTED_VALUE"""),1051.78)</f>
        <v>1051.78</v>
      </c>
      <c r="D2274" s="2">
        <f>IFERROR(__xludf.DUMMYFUNCTION("""COMPUTED_VALUE"""),1029.53)</f>
        <v>1029.53</v>
      </c>
      <c r="E2274" s="2">
        <f>IFERROR(__xludf.DUMMYFUNCTION("""COMPUTED_VALUE"""),1045.55)</f>
        <v>1045.55</v>
      </c>
      <c r="F2274" s="2">
        <f>IFERROR(__xludf.DUMMYFUNCTION("""COMPUTED_VALUE"""),833875.0)</f>
        <v>833875</v>
      </c>
    </row>
    <row r="2275">
      <c r="A2275" s="3">
        <f>IFERROR(__xludf.DUMMYFUNCTION("""COMPUTED_VALUE"""),41585.645833333336)</f>
        <v>41585.64583</v>
      </c>
      <c r="B2275" s="2">
        <f>IFERROR(__xludf.DUMMYFUNCTION("""COMPUTED_VALUE"""),1050.0)</f>
        <v>1050</v>
      </c>
      <c r="C2275" s="2">
        <f>IFERROR(__xludf.DUMMYFUNCTION("""COMPUTED_VALUE"""),1074.07)</f>
        <v>1074.07</v>
      </c>
      <c r="D2275" s="2">
        <f>IFERROR(__xludf.DUMMYFUNCTION("""COMPUTED_VALUE"""),1040.15)</f>
        <v>1040.15</v>
      </c>
      <c r="E2275" s="2">
        <f>IFERROR(__xludf.DUMMYFUNCTION("""COMPUTED_VALUE"""),1060.97)</f>
        <v>1060.97</v>
      </c>
      <c r="F2275" s="2">
        <f>IFERROR(__xludf.DUMMYFUNCTION("""COMPUTED_VALUE"""),978474.0)</f>
        <v>978474</v>
      </c>
    </row>
    <row r="2276">
      <c r="A2276" s="3">
        <f>IFERROR(__xludf.DUMMYFUNCTION("""COMPUTED_VALUE"""),41586.645833333336)</f>
        <v>41586.64583</v>
      </c>
      <c r="B2276" s="2">
        <f>IFERROR(__xludf.DUMMYFUNCTION("""COMPUTED_VALUE"""),1065.0)</f>
        <v>1065</v>
      </c>
      <c r="C2276" s="2">
        <f>IFERROR(__xludf.DUMMYFUNCTION("""COMPUTED_VALUE"""),1065.88)</f>
        <v>1065.88</v>
      </c>
      <c r="D2276" s="2">
        <f>IFERROR(__xludf.DUMMYFUNCTION("""COMPUTED_VALUE"""),1035.6)</f>
        <v>1035.6</v>
      </c>
      <c r="E2276" s="2">
        <f>IFERROR(__xludf.DUMMYFUNCTION("""COMPUTED_VALUE"""),1045.43)</f>
        <v>1045.43</v>
      </c>
      <c r="F2276" s="2">
        <f>IFERROR(__xludf.DUMMYFUNCTION("""COMPUTED_VALUE"""),804673.0)</f>
        <v>804673</v>
      </c>
    </row>
    <row r="2277">
      <c r="A2277" s="3">
        <f>IFERROR(__xludf.DUMMYFUNCTION("""COMPUTED_VALUE"""),41589.645833333336)</f>
        <v>41589.64583</v>
      </c>
      <c r="B2277" s="2">
        <f>IFERROR(__xludf.DUMMYFUNCTION("""COMPUTED_VALUE"""),1045.0)</f>
        <v>1045</v>
      </c>
      <c r="C2277" s="2">
        <f>IFERROR(__xludf.DUMMYFUNCTION("""COMPUTED_VALUE"""),1070.0)</f>
        <v>1070</v>
      </c>
      <c r="D2277" s="2">
        <f>IFERROR(__xludf.DUMMYFUNCTION("""COMPUTED_VALUE"""),1025.0)</f>
        <v>1025</v>
      </c>
      <c r="E2277" s="2">
        <f>IFERROR(__xludf.DUMMYFUNCTION("""COMPUTED_VALUE"""),1047.32)</f>
        <v>1047.32</v>
      </c>
      <c r="F2277" s="2">
        <f>IFERROR(__xludf.DUMMYFUNCTION("""COMPUTED_VALUE"""),980569.0)</f>
        <v>980569</v>
      </c>
    </row>
    <row r="2278">
      <c r="A2278" s="3">
        <f>IFERROR(__xludf.DUMMYFUNCTION("""COMPUTED_VALUE"""),41590.645833333336)</f>
        <v>41590.64583</v>
      </c>
      <c r="B2278" s="2">
        <f>IFERROR(__xludf.DUMMYFUNCTION("""COMPUTED_VALUE"""),1048.43)</f>
        <v>1048.43</v>
      </c>
      <c r="C2278" s="2">
        <f>IFERROR(__xludf.DUMMYFUNCTION("""COMPUTED_VALUE"""),1060.85)</f>
        <v>1060.85</v>
      </c>
      <c r="D2278" s="2">
        <f>IFERROR(__xludf.DUMMYFUNCTION("""COMPUTED_VALUE"""),1039.5)</f>
        <v>1039.5</v>
      </c>
      <c r="E2278" s="2">
        <f>IFERROR(__xludf.DUMMYFUNCTION("""COMPUTED_VALUE"""),1043.57)</f>
        <v>1043.57</v>
      </c>
      <c r="F2278" s="2">
        <f>IFERROR(__xludf.DUMMYFUNCTION("""COMPUTED_VALUE"""),500341.0)</f>
        <v>500341</v>
      </c>
    </row>
    <row r="2279">
      <c r="A2279" s="3">
        <f>IFERROR(__xludf.DUMMYFUNCTION("""COMPUTED_VALUE"""),41591.645833333336)</f>
        <v>41591.64583</v>
      </c>
      <c r="B2279" s="2">
        <f>IFERROR(__xludf.DUMMYFUNCTION("""COMPUTED_VALUE"""),1049.47)</f>
        <v>1049.47</v>
      </c>
      <c r="C2279" s="2">
        <f>IFERROR(__xludf.DUMMYFUNCTION("""COMPUTED_VALUE"""),1053.1)</f>
        <v>1053.1</v>
      </c>
      <c r="D2279" s="2">
        <f>IFERROR(__xludf.DUMMYFUNCTION("""COMPUTED_VALUE"""),1021.83)</f>
        <v>1021.83</v>
      </c>
      <c r="E2279" s="2">
        <f>IFERROR(__xludf.DUMMYFUNCTION("""COMPUTED_VALUE"""),1024.5)</f>
        <v>1024.5</v>
      </c>
      <c r="F2279" s="2">
        <f>IFERROR(__xludf.DUMMYFUNCTION("""COMPUTED_VALUE"""),604169.0)</f>
        <v>604169</v>
      </c>
    </row>
    <row r="2280">
      <c r="A2280" s="3">
        <f>IFERROR(__xludf.DUMMYFUNCTION("""COMPUTED_VALUE"""),41592.645833333336)</f>
        <v>41592.64583</v>
      </c>
      <c r="B2280" s="2">
        <f>IFERROR(__xludf.DUMMYFUNCTION("""COMPUTED_VALUE"""),1036.0)</f>
        <v>1036</v>
      </c>
      <c r="C2280" s="2">
        <f>IFERROR(__xludf.DUMMYFUNCTION("""COMPUTED_VALUE"""),1036.0)</f>
        <v>1036</v>
      </c>
      <c r="D2280" s="2">
        <f>IFERROR(__xludf.DUMMYFUNCTION("""COMPUTED_VALUE"""),1010.93)</f>
        <v>1010.93</v>
      </c>
      <c r="E2280" s="2">
        <f>IFERROR(__xludf.DUMMYFUNCTION("""COMPUTED_VALUE"""),1013.1)</f>
        <v>1013.1</v>
      </c>
      <c r="F2280" s="2">
        <f>IFERROR(__xludf.DUMMYFUNCTION("""COMPUTED_VALUE"""),1064852.0)</f>
        <v>1064852</v>
      </c>
    </row>
    <row r="2281">
      <c r="A2281" s="3">
        <f>IFERROR(__xludf.DUMMYFUNCTION("""COMPUTED_VALUE"""),41596.645833333336)</f>
        <v>41596.64583</v>
      </c>
      <c r="B2281" s="2">
        <f>IFERROR(__xludf.DUMMYFUNCTION("""COMPUTED_VALUE"""),1023.0)</f>
        <v>1023</v>
      </c>
      <c r="C2281" s="2">
        <f>IFERROR(__xludf.DUMMYFUNCTION("""COMPUTED_VALUE"""),1029.95)</f>
        <v>1029.95</v>
      </c>
      <c r="D2281" s="2">
        <f>IFERROR(__xludf.DUMMYFUNCTION("""COMPUTED_VALUE"""),1016.13)</f>
        <v>1016.13</v>
      </c>
      <c r="E2281" s="2">
        <f>IFERROR(__xludf.DUMMYFUNCTION("""COMPUTED_VALUE"""),1022.0)</f>
        <v>1022</v>
      </c>
      <c r="F2281" s="2">
        <f>IFERROR(__xludf.DUMMYFUNCTION("""COMPUTED_VALUE"""),1415801.0)</f>
        <v>1415801</v>
      </c>
    </row>
    <row r="2282">
      <c r="A2282" s="3">
        <f>IFERROR(__xludf.DUMMYFUNCTION("""COMPUTED_VALUE"""),41597.645833333336)</f>
        <v>41597.64583</v>
      </c>
      <c r="B2282" s="2">
        <f>IFERROR(__xludf.DUMMYFUNCTION("""COMPUTED_VALUE"""),1024.97)</f>
        <v>1024.97</v>
      </c>
      <c r="C2282" s="2">
        <f>IFERROR(__xludf.DUMMYFUNCTION("""COMPUTED_VALUE"""),1027.5)</f>
        <v>1027.5</v>
      </c>
      <c r="D2282" s="2">
        <f>IFERROR(__xludf.DUMMYFUNCTION("""COMPUTED_VALUE"""),1010.6)</f>
        <v>1010.6</v>
      </c>
      <c r="E2282" s="2">
        <f>IFERROR(__xludf.DUMMYFUNCTION("""COMPUTED_VALUE"""),1014.95)</f>
        <v>1014.95</v>
      </c>
      <c r="F2282" s="2">
        <f>IFERROR(__xludf.DUMMYFUNCTION("""COMPUTED_VALUE"""),1038932.0)</f>
        <v>1038932</v>
      </c>
    </row>
    <row r="2283">
      <c r="A2283" s="3">
        <f>IFERROR(__xludf.DUMMYFUNCTION("""COMPUTED_VALUE"""),41598.645833333336)</f>
        <v>41598.64583</v>
      </c>
      <c r="B2283" s="2">
        <f>IFERROR(__xludf.DUMMYFUNCTION("""COMPUTED_VALUE"""),1023.43)</f>
        <v>1023.43</v>
      </c>
      <c r="C2283" s="2">
        <f>IFERROR(__xludf.DUMMYFUNCTION("""COMPUTED_VALUE"""),1024.95)</f>
        <v>1024.95</v>
      </c>
      <c r="D2283" s="2">
        <f>IFERROR(__xludf.DUMMYFUNCTION("""COMPUTED_VALUE"""),1008.5)</f>
        <v>1008.5</v>
      </c>
      <c r="E2283" s="2">
        <f>IFERROR(__xludf.DUMMYFUNCTION("""COMPUTED_VALUE"""),1011.8)</f>
        <v>1011.8</v>
      </c>
      <c r="F2283" s="2">
        <f>IFERROR(__xludf.DUMMYFUNCTION("""COMPUTED_VALUE"""),829348.0)</f>
        <v>829348</v>
      </c>
    </row>
    <row r="2284">
      <c r="A2284" s="3">
        <f>IFERROR(__xludf.DUMMYFUNCTION("""COMPUTED_VALUE"""),41599.645833333336)</f>
        <v>41599.64583</v>
      </c>
      <c r="B2284" s="2">
        <f>IFERROR(__xludf.DUMMYFUNCTION("""COMPUTED_VALUE"""),1011.6)</f>
        <v>1011.6</v>
      </c>
      <c r="C2284" s="2">
        <f>IFERROR(__xludf.DUMMYFUNCTION("""COMPUTED_VALUE"""),1017.35)</f>
        <v>1017.35</v>
      </c>
      <c r="D2284" s="2">
        <f>IFERROR(__xludf.DUMMYFUNCTION("""COMPUTED_VALUE"""),990.0)</f>
        <v>990</v>
      </c>
      <c r="E2284" s="2">
        <f>IFERROR(__xludf.DUMMYFUNCTION("""COMPUTED_VALUE"""),993.3)</f>
        <v>993.3</v>
      </c>
      <c r="F2284" s="2">
        <f>IFERROR(__xludf.DUMMYFUNCTION("""COMPUTED_VALUE"""),1151441.0)</f>
        <v>1151441</v>
      </c>
    </row>
    <row r="2285">
      <c r="A2285" s="3">
        <f>IFERROR(__xludf.DUMMYFUNCTION("""COMPUTED_VALUE"""),41600.645833333336)</f>
        <v>41600.64583</v>
      </c>
      <c r="B2285" s="2">
        <f>IFERROR(__xludf.DUMMYFUNCTION("""COMPUTED_VALUE"""),995.5)</f>
        <v>995.5</v>
      </c>
      <c r="C2285" s="2">
        <f>IFERROR(__xludf.DUMMYFUNCTION("""COMPUTED_VALUE"""),1005.5)</f>
        <v>1005.5</v>
      </c>
      <c r="D2285" s="2">
        <f>IFERROR(__xludf.DUMMYFUNCTION("""COMPUTED_VALUE"""),992.55)</f>
        <v>992.55</v>
      </c>
      <c r="E2285" s="2">
        <f>IFERROR(__xludf.DUMMYFUNCTION("""COMPUTED_VALUE"""),1000.43)</f>
        <v>1000.43</v>
      </c>
      <c r="F2285" s="2">
        <f>IFERROR(__xludf.DUMMYFUNCTION("""COMPUTED_VALUE"""),747247.0)</f>
        <v>747247</v>
      </c>
    </row>
    <row r="2286">
      <c r="A2286" s="3">
        <f>IFERROR(__xludf.DUMMYFUNCTION("""COMPUTED_VALUE"""),41603.645833333336)</f>
        <v>41603.64583</v>
      </c>
      <c r="B2286" s="2">
        <f>IFERROR(__xludf.DUMMYFUNCTION("""COMPUTED_VALUE"""),1004.0)</f>
        <v>1004</v>
      </c>
      <c r="C2286" s="2">
        <f>IFERROR(__xludf.DUMMYFUNCTION("""COMPUTED_VALUE"""),1013.43)</f>
        <v>1013.43</v>
      </c>
      <c r="D2286" s="2">
        <f>IFERROR(__xludf.DUMMYFUNCTION("""COMPUTED_VALUE"""),996.55)</f>
        <v>996.55</v>
      </c>
      <c r="E2286" s="2">
        <f>IFERROR(__xludf.DUMMYFUNCTION("""COMPUTED_VALUE"""),1006.63)</f>
        <v>1006.63</v>
      </c>
      <c r="F2286" s="2">
        <f>IFERROR(__xludf.DUMMYFUNCTION("""COMPUTED_VALUE"""),975499.0)</f>
        <v>975499</v>
      </c>
    </row>
    <row r="2287">
      <c r="A2287" s="3">
        <f>IFERROR(__xludf.DUMMYFUNCTION("""COMPUTED_VALUE"""),41604.645833333336)</f>
        <v>41604.64583</v>
      </c>
      <c r="B2287" s="2">
        <f>IFERROR(__xludf.DUMMYFUNCTION("""COMPUTED_VALUE"""),1001.55)</f>
        <v>1001.55</v>
      </c>
      <c r="C2287" s="2">
        <f>IFERROR(__xludf.DUMMYFUNCTION("""COMPUTED_VALUE"""),1008.23)</f>
        <v>1008.23</v>
      </c>
      <c r="D2287" s="2">
        <f>IFERROR(__xludf.DUMMYFUNCTION("""COMPUTED_VALUE"""),993.5)</f>
        <v>993.5</v>
      </c>
      <c r="E2287" s="2">
        <f>IFERROR(__xludf.DUMMYFUNCTION("""COMPUTED_VALUE"""),996.85)</f>
        <v>996.85</v>
      </c>
      <c r="F2287" s="2">
        <f>IFERROR(__xludf.DUMMYFUNCTION("""COMPUTED_VALUE"""),1023706.0)</f>
        <v>1023706</v>
      </c>
    </row>
    <row r="2288">
      <c r="A2288" s="3">
        <f>IFERROR(__xludf.DUMMYFUNCTION("""COMPUTED_VALUE"""),41605.645833333336)</f>
        <v>41605.64583</v>
      </c>
      <c r="B2288" s="2">
        <f>IFERROR(__xludf.DUMMYFUNCTION("""COMPUTED_VALUE"""),1004.5)</f>
        <v>1004.5</v>
      </c>
      <c r="C2288" s="2">
        <f>IFERROR(__xludf.DUMMYFUNCTION("""COMPUTED_VALUE"""),1006.85)</f>
        <v>1006.85</v>
      </c>
      <c r="D2288" s="2">
        <f>IFERROR(__xludf.DUMMYFUNCTION("""COMPUTED_VALUE"""),987.5)</f>
        <v>987.5</v>
      </c>
      <c r="E2288" s="2">
        <f>IFERROR(__xludf.DUMMYFUNCTION("""COMPUTED_VALUE"""),993.23)</f>
        <v>993.23</v>
      </c>
      <c r="F2288" s="2">
        <f>IFERROR(__xludf.DUMMYFUNCTION("""COMPUTED_VALUE"""),1060489.0)</f>
        <v>1060489</v>
      </c>
    </row>
    <row r="2289">
      <c r="A2289" s="3">
        <f>IFERROR(__xludf.DUMMYFUNCTION("""COMPUTED_VALUE"""),41606.645833333336)</f>
        <v>41606.64583</v>
      </c>
      <c r="B2289" s="2">
        <f>IFERROR(__xludf.DUMMYFUNCTION("""COMPUTED_VALUE"""),996.55)</f>
        <v>996.55</v>
      </c>
      <c r="C2289" s="2">
        <f>IFERROR(__xludf.DUMMYFUNCTION("""COMPUTED_VALUE"""),998.28)</f>
        <v>998.28</v>
      </c>
      <c r="D2289" s="2">
        <f>IFERROR(__xludf.DUMMYFUNCTION("""COMPUTED_VALUE"""),985.0)</f>
        <v>985</v>
      </c>
      <c r="E2289" s="2">
        <f>IFERROR(__xludf.DUMMYFUNCTION("""COMPUTED_VALUE"""),992.3)</f>
        <v>992.3</v>
      </c>
      <c r="F2289" s="2">
        <f>IFERROR(__xludf.DUMMYFUNCTION("""COMPUTED_VALUE"""),1402861.0)</f>
        <v>1402861</v>
      </c>
    </row>
    <row r="2290">
      <c r="A2290" s="3">
        <f>IFERROR(__xludf.DUMMYFUNCTION("""COMPUTED_VALUE"""),41607.645833333336)</f>
        <v>41607.64583</v>
      </c>
      <c r="B2290" s="2">
        <f>IFERROR(__xludf.DUMMYFUNCTION("""COMPUTED_VALUE"""),996.0)</f>
        <v>996</v>
      </c>
      <c r="C2290" s="2">
        <f>IFERROR(__xludf.DUMMYFUNCTION("""COMPUTED_VALUE"""),1007.35)</f>
        <v>1007.35</v>
      </c>
      <c r="D2290" s="2">
        <f>IFERROR(__xludf.DUMMYFUNCTION("""COMPUTED_VALUE"""),990.9)</f>
        <v>990.9</v>
      </c>
      <c r="E2290" s="2">
        <f>IFERROR(__xludf.DUMMYFUNCTION("""COMPUTED_VALUE"""),1002.18)</f>
        <v>1002.18</v>
      </c>
      <c r="F2290" s="2">
        <f>IFERROR(__xludf.DUMMYFUNCTION("""COMPUTED_VALUE"""),962406.0)</f>
        <v>962406</v>
      </c>
    </row>
    <row r="2291">
      <c r="A2291" s="3">
        <f>IFERROR(__xludf.DUMMYFUNCTION("""COMPUTED_VALUE"""),41610.645833333336)</f>
        <v>41610.64583</v>
      </c>
      <c r="B2291" s="2">
        <f>IFERROR(__xludf.DUMMYFUNCTION("""COMPUTED_VALUE"""),997.5)</f>
        <v>997.5</v>
      </c>
      <c r="C2291" s="2">
        <f>IFERROR(__xludf.DUMMYFUNCTION("""COMPUTED_VALUE"""),1010.5)</f>
        <v>1010.5</v>
      </c>
      <c r="D2291" s="2">
        <f>IFERROR(__xludf.DUMMYFUNCTION("""COMPUTED_VALUE"""),997.5)</f>
        <v>997.5</v>
      </c>
      <c r="E2291" s="2">
        <f>IFERROR(__xludf.DUMMYFUNCTION("""COMPUTED_VALUE"""),1006.95)</f>
        <v>1006.95</v>
      </c>
      <c r="F2291" s="2">
        <f>IFERROR(__xludf.DUMMYFUNCTION("""COMPUTED_VALUE"""),626630.0)</f>
        <v>626630</v>
      </c>
    </row>
    <row r="2292">
      <c r="A2292" s="3">
        <f>IFERROR(__xludf.DUMMYFUNCTION("""COMPUTED_VALUE"""),41611.645833333336)</f>
        <v>41611.64583</v>
      </c>
      <c r="B2292" s="2">
        <f>IFERROR(__xludf.DUMMYFUNCTION("""COMPUTED_VALUE"""),1008.03)</f>
        <v>1008.03</v>
      </c>
      <c r="C2292" s="2">
        <f>IFERROR(__xludf.DUMMYFUNCTION("""COMPUTED_VALUE"""),1021.0)</f>
        <v>1021</v>
      </c>
      <c r="D2292" s="2">
        <f>IFERROR(__xludf.DUMMYFUNCTION("""COMPUTED_VALUE"""),1007.53)</f>
        <v>1007.53</v>
      </c>
      <c r="E2292" s="2">
        <f>IFERROR(__xludf.DUMMYFUNCTION("""COMPUTED_VALUE"""),1010.4)</f>
        <v>1010.4</v>
      </c>
      <c r="F2292" s="2">
        <f>IFERROR(__xludf.DUMMYFUNCTION("""COMPUTED_VALUE"""),724592.0)</f>
        <v>724592</v>
      </c>
    </row>
    <row r="2293">
      <c r="A2293" s="3">
        <f>IFERROR(__xludf.DUMMYFUNCTION("""COMPUTED_VALUE"""),41612.645833333336)</f>
        <v>41612.64583</v>
      </c>
      <c r="B2293" s="2">
        <f>IFERROR(__xludf.DUMMYFUNCTION("""COMPUTED_VALUE"""),1009.95)</f>
        <v>1009.95</v>
      </c>
      <c r="C2293" s="2">
        <f>IFERROR(__xludf.DUMMYFUNCTION("""COMPUTED_VALUE"""),1015.8)</f>
        <v>1015.8</v>
      </c>
      <c r="D2293" s="2">
        <f>IFERROR(__xludf.DUMMYFUNCTION("""COMPUTED_VALUE"""),996.83)</f>
        <v>996.83</v>
      </c>
      <c r="E2293" s="2">
        <f>IFERROR(__xludf.DUMMYFUNCTION("""COMPUTED_VALUE"""),1000.03)</f>
        <v>1000.03</v>
      </c>
      <c r="F2293" s="2">
        <f>IFERROR(__xludf.DUMMYFUNCTION("""COMPUTED_VALUE"""),759518.0)</f>
        <v>759518</v>
      </c>
    </row>
    <row r="2294">
      <c r="A2294" s="3">
        <f>IFERROR(__xludf.DUMMYFUNCTION("""COMPUTED_VALUE"""),41613.645833333336)</f>
        <v>41613.64583</v>
      </c>
      <c r="B2294" s="2">
        <f>IFERROR(__xludf.DUMMYFUNCTION("""COMPUTED_VALUE"""),1008.0)</f>
        <v>1008</v>
      </c>
      <c r="C2294" s="2">
        <f>IFERROR(__xludf.DUMMYFUNCTION("""COMPUTED_VALUE"""),1016.78)</f>
        <v>1016.78</v>
      </c>
      <c r="D2294" s="2">
        <f>IFERROR(__xludf.DUMMYFUNCTION("""COMPUTED_VALUE"""),991.53)</f>
        <v>991.53</v>
      </c>
      <c r="E2294" s="2">
        <f>IFERROR(__xludf.DUMMYFUNCTION("""COMPUTED_VALUE"""),993.58)</f>
        <v>993.58</v>
      </c>
      <c r="F2294" s="2">
        <f>IFERROR(__xludf.DUMMYFUNCTION("""COMPUTED_VALUE"""),698595.0)</f>
        <v>698595</v>
      </c>
    </row>
    <row r="2295">
      <c r="A2295" s="3">
        <f>IFERROR(__xludf.DUMMYFUNCTION("""COMPUTED_VALUE"""),41614.645833333336)</f>
        <v>41614.64583</v>
      </c>
      <c r="B2295" s="2">
        <f>IFERROR(__xludf.DUMMYFUNCTION("""COMPUTED_VALUE"""),995.5)</f>
        <v>995.5</v>
      </c>
      <c r="C2295" s="2">
        <f>IFERROR(__xludf.DUMMYFUNCTION("""COMPUTED_VALUE"""),1005.0)</f>
        <v>1005</v>
      </c>
      <c r="D2295" s="2">
        <f>IFERROR(__xludf.DUMMYFUNCTION("""COMPUTED_VALUE"""),995.5)</f>
        <v>995.5</v>
      </c>
      <c r="E2295" s="2">
        <f>IFERROR(__xludf.DUMMYFUNCTION("""COMPUTED_VALUE"""),1000.15)</f>
        <v>1000.15</v>
      </c>
      <c r="F2295" s="2">
        <f>IFERROR(__xludf.DUMMYFUNCTION("""COMPUTED_VALUE"""),723481.0)</f>
        <v>723481</v>
      </c>
    </row>
    <row r="2296">
      <c r="A2296" s="3">
        <f>IFERROR(__xludf.DUMMYFUNCTION("""COMPUTED_VALUE"""),41617.645833333336)</f>
        <v>41617.64583</v>
      </c>
      <c r="B2296" s="2">
        <f>IFERROR(__xludf.DUMMYFUNCTION("""COMPUTED_VALUE"""),1014.5)</f>
        <v>1014.5</v>
      </c>
      <c r="C2296" s="2">
        <f>IFERROR(__xludf.DUMMYFUNCTION("""COMPUTED_VALUE"""),1014.98)</f>
        <v>1014.98</v>
      </c>
      <c r="D2296" s="2">
        <f>IFERROR(__xludf.DUMMYFUNCTION("""COMPUTED_VALUE"""),1000.0)</f>
        <v>1000</v>
      </c>
      <c r="E2296" s="2">
        <f>IFERROR(__xludf.DUMMYFUNCTION("""COMPUTED_VALUE"""),1002.43)</f>
        <v>1002.43</v>
      </c>
      <c r="F2296" s="2">
        <f>IFERROR(__xludf.DUMMYFUNCTION("""COMPUTED_VALUE"""),913170.0)</f>
        <v>913170</v>
      </c>
    </row>
    <row r="2297">
      <c r="A2297" s="3">
        <f>IFERROR(__xludf.DUMMYFUNCTION("""COMPUTED_VALUE"""),41618.645833333336)</f>
        <v>41618.64583</v>
      </c>
      <c r="B2297" s="2">
        <f>IFERROR(__xludf.DUMMYFUNCTION("""COMPUTED_VALUE"""),1000.0)</f>
        <v>1000</v>
      </c>
      <c r="C2297" s="2">
        <f>IFERROR(__xludf.DUMMYFUNCTION("""COMPUTED_VALUE"""),1044.5)</f>
        <v>1044.5</v>
      </c>
      <c r="D2297" s="2">
        <f>IFERROR(__xludf.DUMMYFUNCTION("""COMPUTED_VALUE"""),1000.0)</f>
        <v>1000</v>
      </c>
      <c r="E2297" s="2">
        <f>IFERROR(__xludf.DUMMYFUNCTION("""COMPUTED_VALUE"""),1041.38)</f>
        <v>1041.38</v>
      </c>
      <c r="F2297" s="2">
        <f>IFERROR(__xludf.DUMMYFUNCTION("""COMPUTED_VALUE"""),1826667.0)</f>
        <v>1826667</v>
      </c>
    </row>
    <row r="2298">
      <c r="A2298" s="3">
        <f>IFERROR(__xludf.DUMMYFUNCTION("""COMPUTED_VALUE"""),41619.645833333336)</f>
        <v>41619.64583</v>
      </c>
      <c r="B2298" s="2">
        <f>IFERROR(__xludf.DUMMYFUNCTION("""COMPUTED_VALUE"""),1039.5)</f>
        <v>1039.5</v>
      </c>
      <c r="C2298" s="2">
        <f>IFERROR(__xludf.DUMMYFUNCTION("""COMPUTED_VALUE"""),1043.43)</f>
        <v>1043.43</v>
      </c>
      <c r="D2298" s="2">
        <f>IFERROR(__xludf.DUMMYFUNCTION("""COMPUTED_VALUE"""),1021.5)</f>
        <v>1021.5</v>
      </c>
      <c r="E2298" s="2">
        <f>IFERROR(__xludf.DUMMYFUNCTION("""COMPUTED_VALUE"""),1029.03)</f>
        <v>1029.03</v>
      </c>
      <c r="F2298" s="2">
        <f>IFERROR(__xludf.DUMMYFUNCTION("""COMPUTED_VALUE"""),778031.0)</f>
        <v>778031</v>
      </c>
    </row>
    <row r="2299">
      <c r="A2299" s="3">
        <f>IFERROR(__xludf.DUMMYFUNCTION("""COMPUTED_VALUE"""),41620.645833333336)</f>
        <v>41620.64583</v>
      </c>
      <c r="B2299" s="2">
        <f>IFERROR(__xludf.DUMMYFUNCTION("""COMPUTED_VALUE"""),1022.5)</f>
        <v>1022.5</v>
      </c>
      <c r="C2299" s="2">
        <f>IFERROR(__xludf.DUMMYFUNCTION("""COMPUTED_VALUE"""),1032.0)</f>
        <v>1032</v>
      </c>
      <c r="D2299" s="2">
        <f>IFERROR(__xludf.DUMMYFUNCTION("""COMPUTED_VALUE"""),1012.55)</f>
        <v>1012.55</v>
      </c>
      <c r="E2299" s="2">
        <f>IFERROR(__xludf.DUMMYFUNCTION("""COMPUTED_VALUE"""),1014.45)</f>
        <v>1014.45</v>
      </c>
      <c r="F2299" s="2">
        <f>IFERROR(__xludf.DUMMYFUNCTION("""COMPUTED_VALUE"""),827982.0)</f>
        <v>827982</v>
      </c>
    </row>
    <row r="2300">
      <c r="A2300" s="3">
        <f>IFERROR(__xludf.DUMMYFUNCTION("""COMPUTED_VALUE"""),41621.645833333336)</f>
        <v>41621.64583</v>
      </c>
      <c r="B2300" s="2">
        <f>IFERROR(__xludf.DUMMYFUNCTION("""COMPUTED_VALUE"""),1018.98)</f>
        <v>1018.98</v>
      </c>
      <c r="C2300" s="2">
        <f>IFERROR(__xludf.DUMMYFUNCTION("""COMPUTED_VALUE"""),1022.5)</f>
        <v>1022.5</v>
      </c>
      <c r="D2300" s="2">
        <f>IFERROR(__xludf.DUMMYFUNCTION("""COMPUTED_VALUE"""),997.5)</f>
        <v>997.5</v>
      </c>
      <c r="E2300" s="2">
        <f>IFERROR(__xludf.DUMMYFUNCTION("""COMPUTED_VALUE"""),1000.9)</f>
        <v>1000.9</v>
      </c>
      <c r="F2300" s="2">
        <f>IFERROR(__xludf.DUMMYFUNCTION("""COMPUTED_VALUE"""),1731675.0)</f>
        <v>1731675</v>
      </c>
    </row>
    <row r="2301">
      <c r="A2301" s="3">
        <f>IFERROR(__xludf.DUMMYFUNCTION("""COMPUTED_VALUE"""),41624.645833333336)</f>
        <v>41624.64583</v>
      </c>
      <c r="B2301" s="2">
        <f>IFERROR(__xludf.DUMMYFUNCTION("""COMPUTED_VALUE"""),1006.85)</f>
        <v>1006.85</v>
      </c>
      <c r="C2301" s="2">
        <f>IFERROR(__xludf.DUMMYFUNCTION("""COMPUTED_VALUE"""),1019.9)</f>
        <v>1019.9</v>
      </c>
      <c r="D2301" s="2">
        <f>IFERROR(__xludf.DUMMYFUNCTION("""COMPUTED_VALUE"""),1002.58)</f>
        <v>1002.58</v>
      </c>
      <c r="E2301" s="2">
        <f>IFERROR(__xludf.DUMMYFUNCTION("""COMPUTED_VALUE"""),1009.58)</f>
        <v>1009.58</v>
      </c>
      <c r="F2301" s="2">
        <f>IFERROR(__xludf.DUMMYFUNCTION("""COMPUTED_VALUE"""),1429250.0)</f>
        <v>1429250</v>
      </c>
    </row>
    <row r="2302">
      <c r="A2302" s="3">
        <f>IFERROR(__xludf.DUMMYFUNCTION("""COMPUTED_VALUE"""),41625.645833333336)</f>
        <v>41625.64583</v>
      </c>
      <c r="B2302" s="2">
        <f>IFERROR(__xludf.DUMMYFUNCTION("""COMPUTED_VALUE"""),1015.8)</f>
        <v>1015.8</v>
      </c>
      <c r="C2302" s="2">
        <f>IFERROR(__xludf.DUMMYFUNCTION("""COMPUTED_VALUE"""),1032.93)</f>
        <v>1032.93</v>
      </c>
      <c r="D2302" s="2">
        <f>IFERROR(__xludf.DUMMYFUNCTION("""COMPUTED_VALUE"""),1015.0)</f>
        <v>1015</v>
      </c>
      <c r="E2302" s="2">
        <f>IFERROR(__xludf.DUMMYFUNCTION("""COMPUTED_VALUE"""),1022.68)</f>
        <v>1022.68</v>
      </c>
      <c r="F2302" s="2">
        <f>IFERROR(__xludf.DUMMYFUNCTION("""COMPUTED_VALUE"""),1497737.0)</f>
        <v>1497737</v>
      </c>
    </row>
    <row r="2303">
      <c r="A2303" s="3">
        <f>IFERROR(__xludf.DUMMYFUNCTION("""COMPUTED_VALUE"""),41626.645833333336)</f>
        <v>41626.64583</v>
      </c>
      <c r="B2303" s="2">
        <f>IFERROR(__xludf.DUMMYFUNCTION("""COMPUTED_VALUE"""),1020.0)</f>
        <v>1020</v>
      </c>
      <c r="C2303" s="2">
        <f>IFERROR(__xludf.DUMMYFUNCTION("""COMPUTED_VALUE"""),1035.5)</f>
        <v>1035.5</v>
      </c>
      <c r="D2303" s="2">
        <f>IFERROR(__xludf.DUMMYFUNCTION("""COMPUTED_VALUE"""),1019.0)</f>
        <v>1019</v>
      </c>
      <c r="E2303" s="2">
        <f>IFERROR(__xludf.DUMMYFUNCTION("""COMPUTED_VALUE"""),1027.9)</f>
        <v>1027.9</v>
      </c>
      <c r="F2303" s="2">
        <f>IFERROR(__xludf.DUMMYFUNCTION("""COMPUTED_VALUE"""),793995.0)</f>
        <v>793995</v>
      </c>
    </row>
    <row r="2304">
      <c r="A2304" s="3">
        <f>IFERROR(__xludf.DUMMYFUNCTION("""COMPUTED_VALUE"""),41627.645833333336)</f>
        <v>41627.64583</v>
      </c>
      <c r="B2304" s="2">
        <f>IFERROR(__xludf.DUMMYFUNCTION("""COMPUTED_VALUE"""),1037.97)</f>
        <v>1037.97</v>
      </c>
      <c r="C2304" s="2">
        <f>IFERROR(__xludf.DUMMYFUNCTION("""COMPUTED_VALUE"""),1055.0)</f>
        <v>1055</v>
      </c>
      <c r="D2304" s="2">
        <f>IFERROR(__xludf.DUMMYFUNCTION("""COMPUTED_VALUE"""),1031.32)</f>
        <v>1031.32</v>
      </c>
      <c r="E2304" s="2">
        <f>IFERROR(__xludf.DUMMYFUNCTION("""COMPUTED_VALUE"""),1040.75)</f>
        <v>1040.75</v>
      </c>
      <c r="F2304" s="2">
        <f>IFERROR(__xludf.DUMMYFUNCTION("""COMPUTED_VALUE"""),1080993.0)</f>
        <v>1080993</v>
      </c>
    </row>
    <row r="2305">
      <c r="A2305" s="3">
        <f>IFERROR(__xludf.DUMMYFUNCTION("""COMPUTED_VALUE"""),41628.645833333336)</f>
        <v>41628.64583</v>
      </c>
      <c r="B2305" s="2">
        <f>IFERROR(__xludf.DUMMYFUNCTION("""COMPUTED_VALUE"""),1044.05)</f>
        <v>1044.05</v>
      </c>
      <c r="C2305" s="2">
        <f>IFERROR(__xludf.DUMMYFUNCTION("""COMPUTED_VALUE"""),1065.0)</f>
        <v>1065</v>
      </c>
      <c r="D2305" s="2">
        <f>IFERROR(__xludf.DUMMYFUNCTION("""COMPUTED_VALUE"""),1042.93)</f>
        <v>1042.93</v>
      </c>
      <c r="E2305" s="2">
        <f>IFERROR(__xludf.DUMMYFUNCTION("""COMPUTED_VALUE"""),1060.28)</f>
        <v>1060.28</v>
      </c>
      <c r="F2305" s="2">
        <f>IFERROR(__xludf.DUMMYFUNCTION("""COMPUTED_VALUE"""),982906.0)</f>
        <v>982906</v>
      </c>
    </row>
    <row r="2306">
      <c r="A2306" s="3">
        <f>IFERROR(__xludf.DUMMYFUNCTION("""COMPUTED_VALUE"""),41631.645833333336)</f>
        <v>41631.64583</v>
      </c>
      <c r="B2306" s="2">
        <f>IFERROR(__xludf.DUMMYFUNCTION("""COMPUTED_VALUE"""),1064.97)</f>
        <v>1064.97</v>
      </c>
      <c r="C2306" s="2">
        <f>IFERROR(__xludf.DUMMYFUNCTION("""COMPUTED_VALUE"""),1071.72)</f>
        <v>1071.72</v>
      </c>
      <c r="D2306" s="2">
        <f>IFERROR(__xludf.DUMMYFUNCTION("""COMPUTED_VALUE"""),1048.97)</f>
        <v>1048.97</v>
      </c>
      <c r="E2306" s="2">
        <f>IFERROR(__xludf.DUMMYFUNCTION("""COMPUTED_VALUE"""),1054.53)</f>
        <v>1054.53</v>
      </c>
      <c r="F2306" s="2">
        <f>IFERROR(__xludf.DUMMYFUNCTION("""COMPUTED_VALUE"""),660612.0)</f>
        <v>660612</v>
      </c>
    </row>
    <row r="2307">
      <c r="A2307" s="3">
        <f>IFERROR(__xludf.DUMMYFUNCTION("""COMPUTED_VALUE"""),41632.645833333336)</f>
        <v>41632.64583</v>
      </c>
      <c r="B2307" s="2">
        <f>IFERROR(__xludf.DUMMYFUNCTION("""COMPUTED_VALUE"""),1059.9)</f>
        <v>1059.9</v>
      </c>
      <c r="C2307" s="2">
        <f>IFERROR(__xludf.DUMMYFUNCTION("""COMPUTED_VALUE"""),1064.5)</f>
        <v>1064.5</v>
      </c>
      <c r="D2307" s="2">
        <f>IFERROR(__xludf.DUMMYFUNCTION("""COMPUTED_VALUE"""),1052.13)</f>
        <v>1052.13</v>
      </c>
      <c r="E2307" s="2">
        <f>IFERROR(__xludf.DUMMYFUNCTION("""COMPUTED_VALUE"""),1055.35)</f>
        <v>1055.35</v>
      </c>
      <c r="F2307" s="2">
        <f>IFERROR(__xludf.DUMMYFUNCTION("""COMPUTED_VALUE"""),435078.0)</f>
        <v>435078</v>
      </c>
    </row>
    <row r="2308">
      <c r="A2308" s="3">
        <f>IFERROR(__xludf.DUMMYFUNCTION("""COMPUTED_VALUE"""),41634.645833333336)</f>
        <v>41634.64583</v>
      </c>
      <c r="B2308" s="2">
        <f>IFERROR(__xludf.DUMMYFUNCTION("""COMPUTED_VALUE"""),1057.5)</f>
        <v>1057.5</v>
      </c>
      <c r="C2308" s="2">
        <f>IFERROR(__xludf.DUMMYFUNCTION("""COMPUTED_VALUE"""),1058.5)</f>
        <v>1058.5</v>
      </c>
      <c r="D2308" s="2">
        <f>IFERROR(__xludf.DUMMYFUNCTION("""COMPUTED_VALUE"""),1045.72)</f>
        <v>1045.72</v>
      </c>
      <c r="E2308" s="2">
        <f>IFERROR(__xludf.DUMMYFUNCTION("""COMPUTED_VALUE"""),1050.15)</f>
        <v>1050.15</v>
      </c>
      <c r="F2308" s="2">
        <f>IFERROR(__xludf.DUMMYFUNCTION("""COMPUTED_VALUE"""),1148597.0)</f>
        <v>1148597</v>
      </c>
    </row>
    <row r="2309">
      <c r="A2309" s="3">
        <f>IFERROR(__xludf.DUMMYFUNCTION("""COMPUTED_VALUE"""),41635.645833333336)</f>
        <v>41635.64583</v>
      </c>
      <c r="B2309" s="2">
        <f>IFERROR(__xludf.DUMMYFUNCTION("""COMPUTED_VALUE"""),1053.5)</f>
        <v>1053.5</v>
      </c>
      <c r="C2309" s="2">
        <f>IFERROR(__xludf.DUMMYFUNCTION("""COMPUTED_VALUE"""),1084.95)</f>
        <v>1084.95</v>
      </c>
      <c r="D2309" s="2">
        <f>IFERROR(__xludf.DUMMYFUNCTION("""COMPUTED_VALUE"""),1052.5)</f>
        <v>1052.5</v>
      </c>
      <c r="E2309" s="2">
        <f>IFERROR(__xludf.DUMMYFUNCTION("""COMPUTED_VALUE"""),1080.32)</f>
        <v>1080.32</v>
      </c>
      <c r="F2309" s="2">
        <f>IFERROR(__xludf.DUMMYFUNCTION("""COMPUTED_VALUE"""),1239973.0)</f>
        <v>1239973</v>
      </c>
    </row>
    <row r="2310">
      <c r="A2310" s="3">
        <f>IFERROR(__xludf.DUMMYFUNCTION("""COMPUTED_VALUE"""),41638.645833333336)</f>
        <v>41638.64583</v>
      </c>
      <c r="B2310" s="2">
        <f>IFERROR(__xludf.DUMMYFUNCTION("""COMPUTED_VALUE"""),1085.0)</f>
        <v>1085</v>
      </c>
      <c r="C2310" s="2">
        <f>IFERROR(__xludf.DUMMYFUNCTION("""COMPUTED_VALUE"""),1087.63)</f>
        <v>1087.63</v>
      </c>
      <c r="D2310" s="2">
        <f>IFERROR(__xludf.DUMMYFUNCTION("""COMPUTED_VALUE"""),1073.35)</f>
        <v>1073.35</v>
      </c>
      <c r="E2310" s="2">
        <f>IFERROR(__xludf.DUMMYFUNCTION("""COMPUTED_VALUE"""),1078.03)</f>
        <v>1078.03</v>
      </c>
      <c r="F2310" s="2">
        <f>IFERROR(__xludf.DUMMYFUNCTION("""COMPUTED_VALUE"""),834388.0)</f>
        <v>834388</v>
      </c>
    </row>
    <row r="2311">
      <c r="A2311" s="3">
        <f>IFERROR(__xludf.DUMMYFUNCTION("""COMPUTED_VALUE"""),41639.645833333336)</f>
        <v>41639.64583</v>
      </c>
      <c r="B2311" s="2">
        <f>IFERROR(__xludf.DUMMYFUNCTION("""COMPUTED_VALUE"""),1080.05)</f>
        <v>1080.05</v>
      </c>
      <c r="C2311" s="2">
        <f>IFERROR(__xludf.DUMMYFUNCTION("""COMPUTED_VALUE"""),1092.47)</f>
        <v>1092.47</v>
      </c>
      <c r="D2311" s="2">
        <f>IFERROR(__xludf.DUMMYFUNCTION("""COMPUTED_VALUE"""),1075.45)</f>
        <v>1075.45</v>
      </c>
      <c r="E2311" s="2">
        <f>IFERROR(__xludf.DUMMYFUNCTION("""COMPUTED_VALUE"""),1086.03)</f>
        <v>1086.03</v>
      </c>
      <c r="F2311" s="2">
        <f>IFERROR(__xludf.DUMMYFUNCTION("""COMPUTED_VALUE"""),622888.0)</f>
        <v>622888</v>
      </c>
    </row>
    <row r="2312">
      <c r="A2312" s="3">
        <f>IFERROR(__xludf.DUMMYFUNCTION("""COMPUTED_VALUE"""),41640.645833333336)</f>
        <v>41640.64583</v>
      </c>
      <c r="B2312" s="2">
        <f>IFERROR(__xludf.DUMMYFUNCTION("""COMPUTED_VALUE"""),1090.05)</f>
        <v>1090.05</v>
      </c>
      <c r="C2312" s="2">
        <f>IFERROR(__xludf.DUMMYFUNCTION("""COMPUTED_VALUE"""),1092.25)</f>
        <v>1092.25</v>
      </c>
      <c r="D2312" s="2">
        <f>IFERROR(__xludf.DUMMYFUNCTION("""COMPUTED_VALUE"""),1075.55)</f>
        <v>1075.55</v>
      </c>
      <c r="E2312" s="2">
        <f>IFERROR(__xludf.DUMMYFUNCTION("""COMPUTED_VALUE"""),1076.65)</f>
        <v>1076.65</v>
      </c>
      <c r="F2312" s="2">
        <f>IFERROR(__xludf.DUMMYFUNCTION("""COMPUTED_VALUE"""),264976.0)</f>
        <v>264976</v>
      </c>
    </row>
    <row r="2313">
      <c r="A2313" s="3">
        <f>IFERROR(__xludf.DUMMYFUNCTION("""COMPUTED_VALUE"""),41641.645833333336)</f>
        <v>41641.64583</v>
      </c>
      <c r="B2313" s="2">
        <f>IFERROR(__xludf.DUMMYFUNCTION("""COMPUTED_VALUE"""),1083.0)</f>
        <v>1083</v>
      </c>
      <c r="C2313" s="2">
        <f>IFERROR(__xludf.DUMMYFUNCTION("""COMPUTED_VALUE"""),1094.5)</f>
        <v>1094.5</v>
      </c>
      <c r="D2313" s="2">
        <f>IFERROR(__xludf.DUMMYFUNCTION("""COMPUTED_VALUE"""),1078.07)</f>
        <v>1078.07</v>
      </c>
      <c r="E2313" s="2">
        <f>IFERROR(__xludf.DUMMYFUNCTION("""COMPUTED_VALUE"""),1083.5)</f>
        <v>1083.5</v>
      </c>
      <c r="F2313" s="2">
        <f>IFERROR(__xludf.DUMMYFUNCTION("""COMPUTED_VALUE"""),863474.0)</f>
        <v>863474</v>
      </c>
    </row>
    <row r="2314">
      <c r="A2314" s="3">
        <f>IFERROR(__xludf.DUMMYFUNCTION("""COMPUTED_VALUE"""),41642.645833333336)</f>
        <v>41642.64583</v>
      </c>
      <c r="B2314" s="2">
        <f>IFERROR(__xludf.DUMMYFUNCTION("""COMPUTED_VALUE"""),1082.35)</f>
        <v>1082.35</v>
      </c>
      <c r="C2314" s="2">
        <f>IFERROR(__xludf.DUMMYFUNCTION("""COMPUTED_VALUE"""),1114.55)</f>
        <v>1114.55</v>
      </c>
      <c r="D2314" s="2">
        <f>IFERROR(__xludf.DUMMYFUNCTION("""COMPUTED_VALUE"""),1073.63)</f>
        <v>1073.63</v>
      </c>
      <c r="E2314" s="2">
        <f>IFERROR(__xludf.DUMMYFUNCTION("""COMPUTED_VALUE"""),1111.1)</f>
        <v>1111.1</v>
      </c>
      <c r="F2314" s="2">
        <f>IFERROR(__xludf.DUMMYFUNCTION("""COMPUTED_VALUE"""),1309087.0)</f>
        <v>1309087</v>
      </c>
    </row>
    <row r="2315">
      <c r="A2315" s="3">
        <f>IFERROR(__xludf.DUMMYFUNCTION("""COMPUTED_VALUE"""),41645.645833333336)</f>
        <v>41645.64583</v>
      </c>
      <c r="B2315" s="2">
        <f>IFERROR(__xludf.DUMMYFUNCTION("""COMPUTED_VALUE"""),1114.5)</f>
        <v>1114.5</v>
      </c>
      <c r="C2315" s="2">
        <f>IFERROR(__xludf.DUMMYFUNCTION("""COMPUTED_VALUE"""),1122.0)</f>
        <v>1122</v>
      </c>
      <c r="D2315" s="2">
        <f>IFERROR(__xludf.DUMMYFUNCTION("""COMPUTED_VALUE"""),1098.5)</f>
        <v>1098.5</v>
      </c>
      <c r="E2315" s="2">
        <f>IFERROR(__xludf.DUMMYFUNCTION("""COMPUTED_VALUE"""),1119.8)</f>
        <v>1119.8</v>
      </c>
      <c r="F2315" s="2">
        <f>IFERROR(__xludf.DUMMYFUNCTION("""COMPUTED_VALUE"""),1155905.0)</f>
        <v>1155905</v>
      </c>
    </row>
    <row r="2316">
      <c r="A2316" s="3">
        <f>IFERROR(__xludf.DUMMYFUNCTION("""COMPUTED_VALUE"""),41646.645833333336)</f>
        <v>41646.64583</v>
      </c>
      <c r="B2316" s="2">
        <f>IFERROR(__xludf.DUMMYFUNCTION("""COMPUTED_VALUE"""),1120.0)</f>
        <v>1120</v>
      </c>
      <c r="C2316" s="2">
        <f>IFERROR(__xludf.DUMMYFUNCTION("""COMPUTED_VALUE"""),1128.22)</f>
        <v>1128.22</v>
      </c>
      <c r="D2316" s="2">
        <f>IFERROR(__xludf.DUMMYFUNCTION("""COMPUTED_VALUE"""),1099.5)</f>
        <v>1099.5</v>
      </c>
      <c r="E2316" s="2">
        <f>IFERROR(__xludf.DUMMYFUNCTION("""COMPUTED_VALUE"""),1103.07)</f>
        <v>1103.07</v>
      </c>
      <c r="F2316" s="2">
        <f>IFERROR(__xludf.DUMMYFUNCTION("""COMPUTED_VALUE"""),1448743.0)</f>
        <v>1448743</v>
      </c>
    </row>
    <row r="2317">
      <c r="A2317" s="3">
        <f>IFERROR(__xludf.DUMMYFUNCTION("""COMPUTED_VALUE"""),41647.645833333336)</f>
        <v>41647.64583</v>
      </c>
      <c r="B2317" s="2">
        <f>IFERROR(__xludf.DUMMYFUNCTION("""COMPUTED_VALUE"""),1106.0)</f>
        <v>1106</v>
      </c>
      <c r="C2317" s="2">
        <f>IFERROR(__xludf.DUMMYFUNCTION("""COMPUTED_VALUE"""),1122.0)</f>
        <v>1122</v>
      </c>
      <c r="D2317" s="2">
        <f>IFERROR(__xludf.DUMMYFUNCTION("""COMPUTED_VALUE"""),1105.0)</f>
        <v>1105</v>
      </c>
      <c r="E2317" s="2">
        <f>IFERROR(__xludf.DUMMYFUNCTION("""COMPUTED_VALUE"""),1116.32)</f>
        <v>1116.32</v>
      </c>
      <c r="F2317" s="2">
        <f>IFERROR(__xludf.DUMMYFUNCTION("""COMPUTED_VALUE"""),1275010.0)</f>
        <v>1275010</v>
      </c>
    </row>
    <row r="2318">
      <c r="A2318" s="3">
        <f>IFERROR(__xludf.DUMMYFUNCTION("""COMPUTED_VALUE"""),41648.645833333336)</f>
        <v>41648.64583</v>
      </c>
      <c r="B2318" s="2">
        <f>IFERROR(__xludf.DUMMYFUNCTION("""COMPUTED_VALUE"""),1114.38)</f>
        <v>1114.38</v>
      </c>
      <c r="C2318" s="2">
        <f>IFERROR(__xludf.DUMMYFUNCTION("""COMPUTED_VALUE"""),1127.75)</f>
        <v>1127.75</v>
      </c>
      <c r="D2318" s="2">
        <f>IFERROR(__xludf.DUMMYFUNCTION("""COMPUTED_VALUE"""),1111.05)</f>
        <v>1111.05</v>
      </c>
      <c r="E2318" s="2">
        <f>IFERROR(__xludf.DUMMYFUNCTION("""COMPUTED_VALUE"""),1120.97)</f>
        <v>1120.97</v>
      </c>
      <c r="F2318" s="2">
        <f>IFERROR(__xludf.DUMMYFUNCTION("""COMPUTED_VALUE"""),1291103.0)</f>
        <v>1291103</v>
      </c>
    </row>
    <row r="2319">
      <c r="A2319" s="3">
        <f>IFERROR(__xludf.DUMMYFUNCTION("""COMPUTED_VALUE"""),41649.645833333336)</f>
        <v>41649.64583</v>
      </c>
      <c r="B2319" s="2">
        <f>IFERROR(__xludf.DUMMYFUNCTION("""COMPUTED_VALUE"""),1130.0)</f>
        <v>1130</v>
      </c>
      <c r="C2319" s="2">
        <f>IFERROR(__xludf.DUMMYFUNCTION("""COMPUTED_VALUE"""),1154.9)</f>
        <v>1154.9</v>
      </c>
      <c r="D2319" s="2">
        <f>IFERROR(__xludf.DUMMYFUNCTION("""COMPUTED_VALUE"""),1117.5)</f>
        <v>1117.5</v>
      </c>
      <c r="E2319" s="2">
        <f>IFERROR(__xludf.DUMMYFUNCTION("""COMPUTED_VALUE"""),1140.45)</f>
        <v>1140.45</v>
      </c>
      <c r="F2319" s="2">
        <f>IFERROR(__xludf.DUMMYFUNCTION("""COMPUTED_VALUE"""),1684667.0)</f>
        <v>1684667</v>
      </c>
    </row>
    <row r="2320">
      <c r="A2320" s="3">
        <f>IFERROR(__xludf.DUMMYFUNCTION("""COMPUTED_VALUE"""),41652.645833333336)</f>
        <v>41652.64583</v>
      </c>
      <c r="B2320" s="2">
        <f>IFERROR(__xludf.DUMMYFUNCTION("""COMPUTED_VALUE"""),1142.5)</f>
        <v>1142.5</v>
      </c>
      <c r="C2320" s="2">
        <f>IFERROR(__xludf.DUMMYFUNCTION("""COMPUTED_VALUE"""),1192.0)</f>
        <v>1192</v>
      </c>
      <c r="D2320" s="2">
        <f>IFERROR(__xludf.DUMMYFUNCTION("""COMPUTED_VALUE"""),1142.5)</f>
        <v>1142.5</v>
      </c>
      <c r="E2320" s="2">
        <f>IFERROR(__xludf.DUMMYFUNCTION("""COMPUTED_VALUE"""),1184.38)</f>
        <v>1184.38</v>
      </c>
      <c r="F2320" s="2">
        <f>IFERROR(__xludf.DUMMYFUNCTION("""COMPUTED_VALUE"""),1907158.0)</f>
        <v>1907158</v>
      </c>
    </row>
    <row r="2321">
      <c r="A2321" s="3">
        <f>IFERROR(__xludf.DUMMYFUNCTION("""COMPUTED_VALUE"""),41653.645833333336)</f>
        <v>41653.64583</v>
      </c>
      <c r="B2321" s="2">
        <f>IFERROR(__xludf.DUMMYFUNCTION("""COMPUTED_VALUE"""),1186.0)</f>
        <v>1186</v>
      </c>
      <c r="C2321" s="2">
        <f>IFERROR(__xludf.DUMMYFUNCTION("""COMPUTED_VALUE"""),1192.4)</f>
        <v>1192.4</v>
      </c>
      <c r="D2321" s="2">
        <f>IFERROR(__xludf.DUMMYFUNCTION("""COMPUTED_VALUE"""),1160.0)</f>
        <v>1160</v>
      </c>
      <c r="E2321" s="2">
        <f>IFERROR(__xludf.DUMMYFUNCTION("""COMPUTED_VALUE"""),1163.38)</f>
        <v>1163.38</v>
      </c>
      <c r="F2321" s="2">
        <f>IFERROR(__xludf.DUMMYFUNCTION("""COMPUTED_VALUE"""),1487482.0)</f>
        <v>1487482</v>
      </c>
    </row>
    <row r="2322">
      <c r="A2322" s="3">
        <f>IFERROR(__xludf.DUMMYFUNCTION("""COMPUTED_VALUE"""),41654.645833333336)</f>
        <v>41654.64583</v>
      </c>
      <c r="B2322" s="2">
        <f>IFERROR(__xludf.DUMMYFUNCTION("""COMPUTED_VALUE"""),1171.22)</f>
        <v>1171.22</v>
      </c>
      <c r="C2322" s="2">
        <f>IFERROR(__xludf.DUMMYFUNCTION("""COMPUTED_VALUE"""),1189.1)</f>
        <v>1189.1</v>
      </c>
      <c r="D2322" s="2">
        <f>IFERROR(__xludf.DUMMYFUNCTION("""COMPUTED_VALUE"""),1163.5)</f>
        <v>1163.5</v>
      </c>
      <c r="E2322" s="2">
        <f>IFERROR(__xludf.DUMMYFUNCTION("""COMPUTED_VALUE"""),1176.8)</f>
        <v>1176.8</v>
      </c>
      <c r="F2322" s="2">
        <f>IFERROR(__xludf.DUMMYFUNCTION("""COMPUTED_VALUE"""),1524427.0)</f>
        <v>1524427</v>
      </c>
    </row>
    <row r="2323">
      <c r="A2323" s="3">
        <f>IFERROR(__xludf.DUMMYFUNCTION("""COMPUTED_VALUE"""),41655.645833333336)</f>
        <v>41655.64583</v>
      </c>
      <c r="B2323" s="2">
        <f>IFERROR(__xludf.DUMMYFUNCTION("""COMPUTED_VALUE"""),1190.0)</f>
        <v>1190</v>
      </c>
      <c r="C2323" s="2">
        <f>IFERROR(__xludf.DUMMYFUNCTION("""COMPUTED_VALUE"""),1190.05)</f>
        <v>1190.05</v>
      </c>
      <c r="D2323" s="2">
        <f>IFERROR(__xludf.DUMMYFUNCTION("""COMPUTED_VALUE"""),1162.5)</f>
        <v>1162.5</v>
      </c>
      <c r="E2323" s="2">
        <f>IFERROR(__xludf.DUMMYFUNCTION("""COMPUTED_VALUE"""),1175.15)</f>
        <v>1175.15</v>
      </c>
      <c r="F2323" s="2">
        <f>IFERROR(__xludf.DUMMYFUNCTION("""COMPUTED_VALUE"""),1498981.0)</f>
        <v>1498981</v>
      </c>
    </row>
    <row r="2324">
      <c r="A2324" s="3">
        <f>IFERROR(__xludf.DUMMYFUNCTION("""COMPUTED_VALUE"""),41656.645833333336)</f>
        <v>41656.64583</v>
      </c>
      <c r="B2324" s="2">
        <f>IFERROR(__xludf.DUMMYFUNCTION("""COMPUTED_VALUE"""),1149.0)</f>
        <v>1149</v>
      </c>
      <c r="C2324" s="2">
        <f>IFERROR(__xludf.DUMMYFUNCTION("""COMPUTED_VALUE"""),1149.0)</f>
        <v>1149</v>
      </c>
      <c r="D2324" s="2">
        <f>IFERROR(__xludf.DUMMYFUNCTION("""COMPUTED_VALUE"""),1103.03)</f>
        <v>1103.03</v>
      </c>
      <c r="E2324" s="2">
        <f>IFERROR(__xludf.DUMMYFUNCTION("""COMPUTED_VALUE"""),1106.53)</f>
        <v>1106.53</v>
      </c>
      <c r="F2324" s="2">
        <f>IFERROR(__xludf.DUMMYFUNCTION("""COMPUTED_VALUE"""),3782378.0)</f>
        <v>3782378</v>
      </c>
    </row>
    <row r="2325">
      <c r="A2325" s="3">
        <f>IFERROR(__xludf.DUMMYFUNCTION("""COMPUTED_VALUE"""),41659.645833333336)</f>
        <v>41659.64583</v>
      </c>
      <c r="B2325" s="2">
        <f>IFERROR(__xludf.DUMMYFUNCTION("""COMPUTED_VALUE"""),1109.47)</f>
        <v>1109.47</v>
      </c>
      <c r="C2325" s="2">
        <f>IFERROR(__xludf.DUMMYFUNCTION("""COMPUTED_VALUE"""),1175.0)</f>
        <v>1175</v>
      </c>
      <c r="D2325" s="2">
        <f>IFERROR(__xludf.DUMMYFUNCTION("""COMPUTED_VALUE"""),1107.75)</f>
        <v>1107.75</v>
      </c>
      <c r="E2325" s="2">
        <f>IFERROR(__xludf.DUMMYFUNCTION("""COMPUTED_VALUE"""),1169.1)</f>
        <v>1169.1</v>
      </c>
      <c r="F2325" s="2">
        <f>IFERROR(__xludf.DUMMYFUNCTION("""COMPUTED_VALUE"""),3005279.0)</f>
        <v>3005279</v>
      </c>
    </row>
    <row r="2326">
      <c r="A2326" s="3">
        <f>IFERROR(__xludf.DUMMYFUNCTION("""COMPUTED_VALUE"""),41660.645833333336)</f>
        <v>41660.64583</v>
      </c>
      <c r="B2326" s="2">
        <f>IFERROR(__xludf.DUMMYFUNCTION("""COMPUTED_VALUE"""),1167.0)</f>
        <v>1167</v>
      </c>
      <c r="C2326" s="2">
        <f>IFERROR(__xludf.DUMMYFUNCTION("""COMPUTED_VALUE"""),1169.63)</f>
        <v>1169.63</v>
      </c>
      <c r="D2326" s="2">
        <f>IFERROR(__xludf.DUMMYFUNCTION("""COMPUTED_VALUE"""),1137.55)</f>
        <v>1137.55</v>
      </c>
      <c r="E2326" s="2">
        <f>IFERROR(__xludf.DUMMYFUNCTION("""COMPUTED_VALUE"""),1140.15)</f>
        <v>1140.15</v>
      </c>
      <c r="F2326" s="2">
        <f>IFERROR(__xludf.DUMMYFUNCTION("""COMPUTED_VALUE"""),1566141.0)</f>
        <v>1566141</v>
      </c>
    </row>
    <row r="2327">
      <c r="A2327" s="3">
        <f>IFERROR(__xludf.DUMMYFUNCTION("""COMPUTED_VALUE"""),41661.645833333336)</f>
        <v>41661.64583</v>
      </c>
      <c r="B2327" s="2">
        <f>IFERROR(__xludf.DUMMYFUNCTION("""COMPUTED_VALUE"""),1143.55)</f>
        <v>1143.55</v>
      </c>
      <c r="C2327" s="2">
        <f>IFERROR(__xludf.DUMMYFUNCTION("""COMPUTED_VALUE"""),1148.43)</f>
        <v>1148.43</v>
      </c>
      <c r="D2327" s="2">
        <f>IFERROR(__xludf.DUMMYFUNCTION("""COMPUTED_VALUE"""),1132.05)</f>
        <v>1132.05</v>
      </c>
      <c r="E2327" s="2">
        <f>IFERROR(__xludf.DUMMYFUNCTION("""COMPUTED_VALUE"""),1137.03)</f>
        <v>1137.03</v>
      </c>
      <c r="F2327" s="2">
        <f>IFERROR(__xludf.DUMMYFUNCTION("""COMPUTED_VALUE"""),1192015.0)</f>
        <v>1192015</v>
      </c>
    </row>
    <row r="2328">
      <c r="A2328" s="3">
        <f>IFERROR(__xludf.DUMMYFUNCTION("""COMPUTED_VALUE"""),41662.645833333336)</f>
        <v>41662.64583</v>
      </c>
      <c r="B2328" s="2">
        <f>IFERROR(__xludf.DUMMYFUNCTION("""COMPUTED_VALUE"""),1134.05)</f>
        <v>1134.05</v>
      </c>
      <c r="C2328" s="2">
        <f>IFERROR(__xludf.DUMMYFUNCTION("""COMPUTED_VALUE"""),1138.35)</f>
        <v>1138.35</v>
      </c>
      <c r="D2328" s="2">
        <f>IFERROR(__xludf.DUMMYFUNCTION("""COMPUTED_VALUE"""),1118.65)</f>
        <v>1118.65</v>
      </c>
      <c r="E2328" s="2">
        <f>IFERROR(__xludf.DUMMYFUNCTION("""COMPUTED_VALUE"""),1126.22)</f>
        <v>1126.22</v>
      </c>
      <c r="F2328" s="2">
        <f>IFERROR(__xludf.DUMMYFUNCTION("""COMPUTED_VALUE"""),1145381.0)</f>
        <v>1145381</v>
      </c>
    </row>
    <row r="2329">
      <c r="A2329" s="3">
        <f>IFERROR(__xludf.DUMMYFUNCTION("""COMPUTED_VALUE"""),41663.645833333336)</f>
        <v>41663.64583</v>
      </c>
      <c r="B2329" s="2">
        <f>IFERROR(__xludf.DUMMYFUNCTION("""COMPUTED_VALUE"""),1122.0)</f>
        <v>1122</v>
      </c>
      <c r="C2329" s="2">
        <f>IFERROR(__xludf.DUMMYFUNCTION("""COMPUTED_VALUE"""),1141.63)</f>
        <v>1141.63</v>
      </c>
      <c r="D2329" s="2">
        <f>IFERROR(__xludf.DUMMYFUNCTION("""COMPUTED_VALUE"""),1117.5)</f>
        <v>1117.5</v>
      </c>
      <c r="E2329" s="2">
        <f>IFERROR(__xludf.DUMMYFUNCTION("""COMPUTED_VALUE"""),1124.35)</f>
        <v>1124.35</v>
      </c>
      <c r="F2329" s="2">
        <f>IFERROR(__xludf.DUMMYFUNCTION("""COMPUTED_VALUE"""),925133.0)</f>
        <v>925133</v>
      </c>
    </row>
    <row r="2330">
      <c r="A2330" s="3">
        <f>IFERROR(__xludf.DUMMYFUNCTION("""COMPUTED_VALUE"""),41666.645833333336)</f>
        <v>41666.64583</v>
      </c>
      <c r="B2330" s="2">
        <f>IFERROR(__xludf.DUMMYFUNCTION("""COMPUTED_VALUE"""),1113.0)</f>
        <v>1113</v>
      </c>
      <c r="C2330" s="2">
        <f>IFERROR(__xludf.DUMMYFUNCTION("""COMPUTED_VALUE"""),1129.75)</f>
        <v>1129.75</v>
      </c>
      <c r="D2330" s="2">
        <f>IFERROR(__xludf.DUMMYFUNCTION("""COMPUTED_VALUE"""),1110.05)</f>
        <v>1110.05</v>
      </c>
      <c r="E2330" s="2">
        <f>IFERROR(__xludf.DUMMYFUNCTION("""COMPUTED_VALUE"""),1114.8)</f>
        <v>1114.8</v>
      </c>
      <c r="F2330" s="2">
        <f>IFERROR(__xludf.DUMMYFUNCTION("""COMPUTED_VALUE"""),1266474.0)</f>
        <v>1266474</v>
      </c>
    </row>
    <row r="2331">
      <c r="A2331" s="3">
        <f>IFERROR(__xludf.DUMMYFUNCTION("""COMPUTED_VALUE"""),41667.645833333336)</f>
        <v>41667.64583</v>
      </c>
      <c r="B2331" s="2">
        <f>IFERROR(__xludf.DUMMYFUNCTION("""COMPUTED_VALUE"""),1116.0)</f>
        <v>1116</v>
      </c>
      <c r="C2331" s="2">
        <f>IFERROR(__xludf.DUMMYFUNCTION("""COMPUTED_VALUE"""),1123.93)</f>
        <v>1123.93</v>
      </c>
      <c r="D2331" s="2">
        <f>IFERROR(__xludf.DUMMYFUNCTION("""COMPUTED_VALUE"""),1098.05)</f>
        <v>1098.05</v>
      </c>
      <c r="E2331" s="2">
        <f>IFERROR(__xludf.DUMMYFUNCTION("""COMPUTED_VALUE"""),1106.18)</f>
        <v>1106.18</v>
      </c>
      <c r="F2331" s="2">
        <f>IFERROR(__xludf.DUMMYFUNCTION("""COMPUTED_VALUE"""),1426083.0)</f>
        <v>1426083</v>
      </c>
    </row>
    <row r="2332">
      <c r="A2332" s="3">
        <f>IFERROR(__xludf.DUMMYFUNCTION("""COMPUTED_VALUE"""),41668.645833333336)</f>
        <v>41668.64583</v>
      </c>
      <c r="B2332" s="2">
        <f>IFERROR(__xludf.DUMMYFUNCTION("""COMPUTED_VALUE"""),1120.0)</f>
        <v>1120</v>
      </c>
      <c r="C2332" s="2">
        <f>IFERROR(__xludf.DUMMYFUNCTION("""COMPUTED_VALUE"""),1120.0)</f>
        <v>1120</v>
      </c>
      <c r="D2332" s="2">
        <f>IFERROR(__xludf.DUMMYFUNCTION("""COMPUTED_VALUE"""),1102.5)</f>
        <v>1102.5</v>
      </c>
      <c r="E2332" s="2">
        <f>IFERROR(__xludf.DUMMYFUNCTION("""COMPUTED_VALUE"""),1104.9)</f>
        <v>1104.9</v>
      </c>
      <c r="F2332" s="2">
        <f>IFERROR(__xludf.DUMMYFUNCTION("""COMPUTED_VALUE"""),849038.0)</f>
        <v>849038</v>
      </c>
    </row>
    <row r="2333">
      <c r="A2333" s="3">
        <f>IFERROR(__xludf.DUMMYFUNCTION("""COMPUTED_VALUE"""),41669.645833333336)</f>
        <v>41669.64583</v>
      </c>
      <c r="B2333" s="2">
        <f>IFERROR(__xludf.DUMMYFUNCTION("""COMPUTED_VALUE"""),1099.03)</f>
        <v>1099.03</v>
      </c>
      <c r="C2333" s="2">
        <f>IFERROR(__xludf.DUMMYFUNCTION("""COMPUTED_VALUE"""),1113.5)</f>
        <v>1113.5</v>
      </c>
      <c r="D2333" s="2">
        <f>IFERROR(__xludf.DUMMYFUNCTION("""COMPUTED_VALUE"""),1095.0)</f>
        <v>1095</v>
      </c>
      <c r="E2333" s="2">
        <f>IFERROR(__xludf.DUMMYFUNCTION("""COMPUTED_VALUE"""),1108.8)</f>
        <v>1108.8</v>
      </c>
      <c r="F2333" s="2">
        <f>IFERROR(__xludf.DUMMYFUNCTION("""COMPUTED_VALUE"""),1112625.0)</f>
        <v>1112625</v>
      </c>
    </row>
    <row r="2334">
      <c r="A2334" s="3">
        <f>IFERROR(__xludf.DUMMYFUNCTION("""COMPUTED_VALUE"""),41670.645833333336)</f>
        <v>41670.64583</v>
      </c>
      <c r="B2334" s="2">
        <f>IFERROR(__xludf.DUMMYFUNCTION("""COMPUTED_VALUE"""),1112.55)</f>
        <v>1112.55</v>
      </c>
      <c r="C2334" s="2">
        <f>IFERROR(__xludf.DUMMYFUNCTION("""COMPUTED_VALUE"""),1134.9)</f>
        <v>1134.9</v>
      </c>
      <c r="D2334" s="2">
        <f>IFERROR(__xludf.DUMMYFUNCTION("""COMPUTED_VALUE"""),1110.5)</f>
        <v>1110.5</v>
      </c>
      <c r="E2334" s="2">
        <f>IFERROR(__xludf.DUMMYFUNCTION("""COMPUTED_VALUE"""),1120.53)</f>
        <v>1120.53</v>
      </c>
      <c r="F2334" s="2">
        <f>IFERROR(__xludf.DUMMYFUNCTION("""COMPUTED_VALUE"""),1087123.0)</f>
        <v>1087123</v>
      </c>
    </row>
    <row r="2335">
      <c r="A2335" s="3">
        <f>IFERROR(__xludf.DUMMYFUNCTION("""COMPUTED_VALUE"""),41673.645833333336)</f>
        <v>41673.64583</v>
      </c>
      <c r="B2335" s="2">
        <f>IFERROR(__xludf.DUMMYFUNCTION("""COMPUTED_VALUE"""),1111.0)</f>
        <v>1111</v>
      </c>
      <c r="C2335" s="2">
        <f>IFERROR(__xludf.DUMMYFUNCTION("""COMPUTED_VALUE"""),1122.13)</f>
        <v>1122.13</v>
      </c>
      <c r="D2335" s="2">
        <f>IFERROR(__xludf.DUMMYFUNCTION("""COMPUTED_VALUE"""),1095.4)</f>
        <v>1095.4</v>
      </c>
      <c r="E2335" s="2">
        <f>IFERROR(__xludf.DUMMYFUNCTION("""COMPUTED_VALUE"""),1097.22)</f>
        <v>1097.22</v>
      </c>
      <c r="F2335" s="2">
        <f>IFERROR(__xludf.DUMMYFUNCTION("""COMPUTED_VALUE"""),681240.0)</f>
        <v>681240</v>
      </c>
    </row>
    <row r="2336">
      <c r="A2336" s="3">
        <f>IFERROR(__xludf.DUMMYFUNCTION("""COMPUTED_VALUE"""),41674.645833333336)</f>
        <v>41674.64583</v>
      </c>
      <c r="B2336" s="2">
        <f>IFERROR(__xludf.DUMMYFUNCTION("""COMPUTED_VALUE"""),1087.0)</f>
        <v>1087</v>
      </c>
      <c r="C2336" s="2">
        <f>IFERROR(__xludf.DUMMYFUNCTION("""COMPUTED_VALUE"""),1087.5)</f>
        <v>1087.5</v>
      </c>
      <c r="D2336" s="2">
        <f>IFERROR(__xludf.DUMMYFUNCTION("""COMPUTED_VALUE"""),1056.03)</f>
        <v>1056.03</v>
      </c>
      <c r="E2336" s="2">
        <f>IFERROR(__xludf.DUMMYFUNCTION("""COMPUTED_VALUE"""),1075.68)</f>
        <v>1075.68</v>
      </c>
      <c r="F2336" s="2">
        <f>IFERROR(__xludf.DUMMYFUNCTION("""COMPUTED_VALUE"""),1347083.0)</f>
        <v>1347083</v>
      </c>
    </row>
    <row r="2337">
      <c r="A2337" s="3">
        <f>IFERROR(__xludf.DUMMYFUNCTION("""COMPUTED_VALUE"""),41675.645833333336)</f>
        <v>41675.64583</v>
      </c>
      <c r="B2337" s="2">
        <f>IFERROR(__xludf.DUMMYFUNCTION("""COMPUTED_VALUE"""),1081.9)</f>
        <v>1081.9</v>
      </c>
      <c r="C2337" s="2">
        <f>IFERROR(__xludf.DUMMYFUNCTION("""COMPUTED_VALUE"""),1100.0)</f>
        <v>1100</v>
      </c>
      <c r="D2337" s="2">
        <f>IFERROR(__xludf.DUMMYFUNCTION("""COMPUTED_VALUE"""),1070.0)</f>
        <v>1070</v>
      </c>
      <c r="E2337" s="2">
        <f>IFERROR(__xludf.DUMMYFUNCTION("""COMPUTED_VALUE"""),1097.2)</f>
        <v>1097.2</v>
      </c>
      <c r="F2337" s="2">
        <f>IFERROR(__xludf.DUMMYFUNCTION("""COMPUTED_VALUE"""),926825.0)</f>
        <v>926825</v>
      </c>
    </row>
    <row r="2338">
      <c r="A2338" s="3">
        <f>IFERROR(__xludf.DUMMYFUNCTION("""COMPUTED_VALUE"""),41676.645833333336)</f>
        <v>41676.64583</v>
      </c>
      <c r="B2338" s="2">
        <f>IFERROR(__xludf.DUMMYFUNCTION("""COMPUTED_VALUE"""),1090.0)</f>
        <v>1090</v>
      </c>
      <c r="C2338" s="2">
        <f>IFERROR(__xludf.DUMMYFUNCTION("""COMPUTED_VALUE"""),1094.95)</f>
        <v>1094.95</v>
      </c>
      <c r="D2338" s="2">
        <f>IFERROR(__xludf.DUMMYFUNCTION("""COMPUTED_VALUE"""),1072.5)</f>
        <v>1072.5</v>
      </c>
      <c r="E2338" s="2">
        <f>IFERROR(__xludf.DUMMYFUNCTION("""COMPUTED_VALUE"""),1087.63)</f>
        <v>1087.63</v>
      </c>
      <c r="F2338" s="2">
        <f>IFERROR(__xludf.DUMMYFUNCTION("""COMPUTED_VALUE"""),961326.0)</f>
        <v>961326</v>
      </c>
    </row>
    <row r="2339">
      <c r="A2339" s="3">
        <f>IFERROR(__xludf.DUMMYFUNCTION("""COMPUTED_VALUE"""),41677.645833333336)</f>
        <v>41677.64583</v>
      </c>
      <c r="B2339" s="2">
        <f>IFERROR(__xludf.DUMMYFUNCTION("""COMPUTED_VALUE"""),1095.0)</f>
        <v>1095</v>
      </c>
      <c r="C2339" s="2">
        <f>IFERROR(__xludf.DUMMYFUNCTION("""COMPUTED_VALUE"""),1097.5)</f>
        <v>1097.5</v>
      </c>
      <c r="D2339" s="2">
        <f>IFERROR(__xludf.DUMMYFUNCTION("""COMPUTED_VALUE"""),1065.5)</f>
        <v>1065.5</v>
      </c>
      <c r="E2339" s="2">
        <f>IFERROR(__xludf.DUMMYFUNCTION("""COMPUTED_VALUE"""),1072.2)</f>
        <v>1072.2</v>
      </c>
      <c r="F2339" s="2">
        <f>IFERROR(__xludf.DUMMYFUNCTION("""COMPUTED_VALUE"""),995456.0)</f>
        <v>995456</v>
      </c>
    </row>
    <row r="2340">
      <c r="A2340" s="3">
        <f>IFERROR(__xludf.DUMMYFUNCTION("""COMPUTED_VALUE"""),41680.645833333336)</f>
        <v>41680.64583</v>
      </c>
      <c r="B2340" s="2">
        <f>IFERROR(__xludf.DUMMYFUNCTION("""COMPUTED_VALUE"""),1072.0)</f>
        <v>1072</v>
      </c>
      <c r="C2340" s="2">
        <f>IFERROR(__xludf.DUMMYFUNCTION("""COMPUTED_VALUE"""),1072.0)</f>
        <v>1072</v>
      </c>
      <c r="D2340" s="2">
        <f>IFERROR(__xludf.DUMMYFUNCTION("""COMPUTED_VALUE"""),1042.55)</f>
        <v>1042.55</v>
      </c>
      <c r="E2340" s="2">
        <f>IFERROR(__xludf.DUMMYFUNCTION("""COMPUTED_VALUE"""),1046.78)</f>
        <v>1046.78</v>
      </c>
      <c r="F2340" s="2">
        <f>IFERROR(__xludf.DUMMYFUNCTION("""COMPUTED_VALUE"""),2009635.0)</f>
        <v>2009635</v>
      </c>
    </row>
    <row r="2341">
      <c r="A2341" s="3">
        <f>IFERROR(__xludf.DUMMYFUNCTION("""COMPUTED_VALUE"""),41681.645833333336)</f>
        <v>41681.64583</v>
      </c>
      <c r="B2341" s="2">
        <f>IFERROR(__xludf.DUMMYFUNCTION("""COMPUTED_VALUE"""),1050.0)</f>
        <v>1050</v>
      </c>
      <c r="C2341" s="2">
        <f>IFERROR(__xludf.DUMMYFUNCTION("""COMPUTED_VALUE"""),1063.25)</f>
        <v>1063.25</v>
      </c>
      <c r="D2341" s="2">
        <f>IFERROR(__xludf.DUMMYFUNCTION("""COMPUTED_VALUE"""),1048.0)</f>
        <v>1048</v>
      </c>
      <c r="E2341" s="2">
        <f>IFERROR(__xludf.DUMMYFUNCTION("""COMPUTED_VALUE"""),1050.85)</f>
        <v>1050.85</v>
      </c>
      <c r="F2341" s="2">
        <f>IFERROR(__xludf.DUMMYFUNCTION("""COMPUTED_VALUE"""),1784393.0)</f>
        <v>1784393</v>
      </c>
    </row>
    <row r="2342">
      <c r="A2342" s="3">
        <f>IFERROR(__xludf.DUMMYFUNCTION("""COMPUTED_VALUE"""),41682.645833333336)</f>
        <v>41682.64583</v>
      </c>
      <c r="B2342" s="2">
        <f>IFERROR(__xludf.DUMMYFUNCTION("""COMPUTED_VALUE"""),1059.0)</f>
        <v>1059</v>
      </c>
      <c r="C2342" s="2">
        <f>IFERROR(__xludf.DUMMYFUNCTION("""COMPUTED_VALUE"""),1061.8)</f>
        <v>1061.8</v>
      </c>
      <c r="D2342" s="2">
        <f>IFERROR(__xludf.DUMMYFUNCTION("""COMPUTED_VALUE"""),1047.5)</f>
        <v>1047.5</v>
      </c>
      <c r="E2342" s="2">
        <f>IFERROR(__xludf.DUMMYFUNCTION("""COMPUTED_VALUE"""),1052.72)</f>
        <v>1052.72</v>
      </c>
      <c r="F2342" s="2">
        <f>IFERROR(__xludf.DUMMYFUNCTION("""COMPUTED_VALUE"""),1537174.0)</f>
        <v>1537174</v>
      </c>
    </row>
    <row r="2343">
      <c r="A2343" s="3">
        <f>IFERROR(__xludf.DUMMYFUNCTION("""COMPUTED_VALUE"""),41683.645833333336)</f>
        <v>41683.64583</v>
      </c>
      <c r="B2343" s="2">
        <f>IFERROR(__xludf.DUMMYFUNCTION("""COMPUTED_VALUE"""),1053.5)</f>
        <v>1053.5</v>
      </c>
      <c r="C2343" s="2">
        <f>IFERROR(__xludf.DUMMYFUNCTION("""COMPUTED_VALUE"""),1069.2)</f>
        <v>1069.2</v>
      </c>
      <c r="D2343" s="2">
        <f>IFERROR(__xludf.DUMMYFUNCTION("""COMPUTED_VALUE"""),1048.25)</f>
        <v>1048.25</v>
      </c>
      <c r="E2343" s="2">
        <f>IFERROR(__xludf.DUMMYFUNCTION("""COMPUTED_VALUE"""),1066.88)</f>
        <v>1066.88</v>
      </c>
      <c r="F2343" s="2">
        <f>IFERROR(__xludf.DUMMYFUNCTION("""COMPUTED_VALUE"""),1047175.0)</f>
        <v>1047175</v>
      </c>
    </row>
    <row r="2344">
      <c r="A2344" s="3">
        <f>IFERROR(__xludf.DUMMYFUNCTION("""COMPUTED_VALUE"""),41684.645833333336)</f>
        <v>41684.64583</v>
      </c>
      <c r="B2344" s="2">
        <f>IFERROR(__xludf.DUMMYFUNCTION("""COMPUTED_VALUE"""),1068.95)</f>
        <v>1068.95</v>
      </c>
      <c r="C2344" s="2">
        <f>IFERROR(__xludf.DUMMYFUNCTION("""COMPUTED_VALUE"""),1092.38)</f>
        <v>1092.38</v>
      </c>
      <c r="D2344" s="2">
        <f>IFERROR(__xludf.DUMMYFUNCTION("""COMPUTED_VALUE"""),1064.05)</f>
        <v>1064.05</v>
      </c>
      <c r="E2344" s="2">
        <f>IFERROR(__xludf.DUMMYFUNCTION("""COMPUTED_VALUE"""),1083.95)</f>
        <v>1083.95</v>
      </c>
      <c r="F2344" s="2">
        <f>IFERROR(__xludf.DUMMYFUNCTION("""COMPUTED_VALUE"""),955031.0)</f>
        <v>955031</v>
      </c>
    </row>
    <row r="2345">
      <c r="A2345" s="3">
        <f>IFERROR(__xludf.DUMMYFUNCTION("""COMPUTED_VALUE"""),41687.645833333336)</f>
        <v>41687.64583</v>
      </c>
      <c r="B2345" s="2">
        <f>IFERROR(__xludf.DUMMYFUNCTION("""COMPUTED_VALUE"""),1080.0)</f>
        <v>1080</v>
      </c>
      <c r="C2345" s="2">
        <f>IFERROR(__xludf.DUMMYFUNCTION("""COMPUTED_VALUE"""),1093.0)</f>
        <v>1093</v>
      </c>
      <c r="D2345" s="2">
        <f>IFERROR(__xludf.DUMMYFUNCTION("""COMPUTED_VALUE"""),1073.6)</f>
        <v>1073.6</v>
      </c>
      <c r="E2345" s="2">
        <f>IFERROR(__xludf.DUMMYFUNCTION("""COMPUTED_VALUE"""),1082.7)</f>
        <v>1082.7</v>
      </c>
      <c r="F2345" s="2">
        <f>IFERROR(__xludf.DUMMYFUNCTION("""COMPUTED_VALUE"""),835197.0)</f>
        <v>835197</v>
      </c>
    </row>
    <row r="2346">
      <c r="A2346" s="3">
        <f>IFERROR(__xludf.DUMMYFUNCTION("""COMPUTED_VALUE"""),41688.645833333336)</f>
        <v>41688.64583</v>
      </c>
      <c r="B2346" s="2">
        <f>IFERROR(__xludf.DUMMYFUNCTION("""COMPUTED_VALUE"""),1082.5)</f>
        <v>1082.5</v>
      </c>
      <c r="C2346" s="2">
        <f>IFERROR(__xludf.DUMMYFUNCTION("""COMPUTED_VALUE"""),1095.5)</f>
        <v>1095.5</v>
      </c>
      <c r="D2346" s="2">
        <f>IFERROR(__xludf.DUMMYFUNCTION("""COMPUTED_VALUE"""),1077.93)</f>
        <v>1077.93</v>
      </c>
      <c r="E2346" s="2">
        <f>IFERROR(__xludf.DUMMYFUNCTION("""COMPUTED_VALUE"""),1083.0)</f>
        <v>1083</v>
      </c>
      <c r="F2346" s="2">
        <f>IFERROR(__xludf.DUMMYFUNCTION("""COMPUTED_VALUE"""),763458.0)</f>
        <v>763458</v>
      </c>
    </row>
    <row r="2347">
      <c r="A2347" s="3">
        <f>IFERROR(__xludf.DUMMYFUNCTION("""COMPUTED_VALUE"""),41690.645833333336)</f>
        <v>41690.64583</v>
      </c>
      <c r="B2347" s="2">
        <f>IFERROR(__xludf.DUMMYFUNCTION("""COMPUTED_VALUE"""),1103.0)</f>
        <v>1103</v>
      </c>
      <c r="C2347" s="2">
        <f>IFERROR(__xludf.DUMMYFUNCTION("""COMPUTED_VALUE"""),1111.0)</f>
        <v>1111</v>
      </c>
      <c r="D2347" s="2">
        <f>IFERROR(__xludf.DUMMYFUNCTION("""COMPUTED_VALUE"""),1091.4)</f>
        <v>1091.4</v>
      </c>
      <c r="E2347" s="2">
        <f>IFERROR(__xludf.DUMMYFUNCTION("""COMPUTED_VALUE"""),1094.68)</f>
        <v>1094.68</v>
      </c>
      <c r="F2347" s="2">
        <f>IFERROR(__xludf.DUMMYFUNCTION("""COMPUTED_VALUE"""),793962.0)</f>
        <v>793962</v>
      </c>
    </row>
    <row r="2348">
      <c r="A2348" s="3">
        <f>IFERROR(__xludf.DUMMYFUNCTION("""COMPUTED_VALUE"""),41691.645833333336)</f>
        <v>41691.64583</v>
      </c>
      <c r="B2348" s="2">
        <f>IFERROR(__xludf.DUMMYFUNCTION("""COMPUTED_VALUE"""),1099.0)</f>
        <v>1099</v>
      </c>
      <c r="C2348" s="2">
        <f>IFERROR(__xludf.DUMMYFUNCTION("""COMPUTED_VALUE"""),1106.5)</f>
        <v>1106.5</v>
      </c>
      <c r="D2348" s="2">
        <f>IFERROR(__xludf.DUMMYFUNCTION("""COMPUTED_VALUE"""),1095.38)</f>
        <v>1095.38</v>
      </c>
      <c r="E2348" s="2">
        <f>IFERROR(__xludf.DUMMYFUNCTION("""COMPUTED_VALUE"""),1102.85)</f>
        <v>1102.85</v>
      </c>
      <c r="F2348" s="2">
        <f>IFERROR(__xludf.DUMMYFUNCTION("""COMPUTED_VALUE"""),858930.0)</f>
        <v>858930</v>
      </c>
    </row>
    <row r="2349">
      <c r="A2349" s="3">
        <f>IFERROR(__xludf.DUMMYFUNCTION("""COMPUTED_VALUE"""),41694.645833333336)</f>
        <v>41694.64583</v>
      </c>
      <c r="B2349" s="2">
        <f>IFERROR(__xludf.DUMMYFUNCTION("""COMPUTED_VALUE"""),1102.0)</f>
        <v>1102</v>
      </c>
      <c r="C2349" s="2">
        <f>IFERROR(__xludf.DUMMYFUNCTION("""COMPUTED_VALUE"""),1102.63)</f>
        <v>1102.63</v>
      </c>
      <c r="D2349" s="2">
        <f>IFERROR(__xludf.DUMMYFUNCTION("""COMPUTED_VALUE"""),1085.05)</f>
        <v>1085.05</v>
      </c>
      <c r="E2349" s="2">
        <f>IFERROR(__xludf.DUMMYFUNCTION("""COMPUTED_VALUE"""),1088.95)</f>
        <v>1088.95</v>
      </c>
      <c r="F2349" s="2">
        <f>IFERROR(__xludf.DUMMYFUNCTION("""COMPUTED_VALUE"""),1225212.0)</f>
        <v>1225212</v>
      </c>
    </row>
    <row r="2350">
      <c r="A2350" s="3">
        <f>IFERROR(__xludf.DUMMYFUNCTION("""COMPUTED_VALUE"""),41695.645833333336)</f>
        <v>41695.64583</v>
      </c>
      <c r="B2350" s="2">
        <f>IFERROR(__xludf.DUMMYFUNCTION("""COMPUTED_VALUE"""),1094.5)</f>
        <v>1094.5</v>
      </c>
      <c r="C2350" s="2">
        <f>IFERROR(__xludf.DUMMYFUNCTION("""COMPUTED_VALUE"""),1099.75)</f>
        <v>1099.75</v>
      </c>
      <c r="D2350" s="2">
        <f>IFERROR(__xludf.DUMMYFUNCTION("""COMPUTED_VALUE"""),1090.0)</f>
        <v>1090</v>
      </c>
      <c r="E2350" s="2">
        <f>IFERROR(__xludf.DUMMYFUNCTION("""COMPUTED_VALUE"""),1094.45)</f>
        <v>1094.45</v>
      </c>
      <c r="F2350" s="2">
        <f>IFERROR(__xludf.DUMMYFUNCTION("""COMPUTED_VALUE"""),1652687.0)</f>
        <v>1652687</v>
      </c>
    </row>
    <row r="2351">
      <c r="A2351" s="3">
        <f>IFERROR(__xludf.DUMMYFUNCTION("""COMPUTED_VALUE"""),41696.645833333336)</f>
        <v>41696.64583</v>
      </c>
      <c r="B2351" s="2">
        <f>IFERROR(__xludf.DUMMYFUNCTION("""COMPUTED_VALUE"""),1097.0)</f>
        <v>1097</v>
      </c>
      <c r="C2351" s="2">
        <f>IFERROR(__xludf.DUMMYFUNCTION("""COMPUTED_VALUE"""),1097.5)</f>
        <v>1097.5</v>
      </c>
      <c r="D2351" s="2">
        <f>IFERROR(__xludf.DUMMYFUNCTION("""COMPUTED_VALUE"""),1088.57)</f>
        <v>1088.57</v>
      </c>
      <c r="E2351" s="2">
        <f>IFERROR(__xludf.DUMMYFUNCTION("""COMPUTED_VALUE"""),1091.07)</f>
        <v>1091.07</v>
      </c>
      <c r="F2351" s="2">
        <f>IFERROR(__xludf.DUMMYFUNCTION("""COMPUTED_VALUE"""),1929856.0)</f>
        <v>1929856</v>
      </c>
    </row>
    <row r="2352">
      <c r="A2352" s="3">
        <f>IFERROR(__xludf.DUMMYFUNCTION("""COMPUTED_VALUE"""),41698.645833333336)</f>
        <v>41698.64583</v>
      </c>
      <c r="B2352" s="2">
        <f>IFERROR(__xludf.DUMMYFUNCTION("""COMPUTED_VALUE"""),1080.5)</f>
        <v>1080.5</v>
      </c>
      <c r="C2352" s="2">
        <f>IFERROR(__xludf.DUMMYFUNCTION("""COMPUTED_VALUE"""),1140.0)</f>
        <v>1140</v>
      </c>
      <c r="D2352" s="2">
        <f>IFERROR(__xludf.DUMMYFUNCTION("""COMPUTED_VALUE"""),1080.07)</f>
        <v>1080.07</v>
      </c>
      <c r="E2352" s="2">
        <f>IFERROR(__xludf.DUMMYFUNCTION("""COMPUTED_VALUE"""),1137.88)</f>
        <v>1137.88</v>
      </c>
      <c r="F2352" s="2">
        <f>IFERROR(__xludf.DUMMYFUNCTION("""COMPUTED_VALUE"""),1994096.0)</f>
        <v>1994096</v>
      </c>
    </row>
    <row r="2353">
      <c r="A2353" s="3">
        <f>IFERROR(__xludf.DUMMYFUNCTION("""COMPUTED_VALUE"""),41701.645833333336)</f>
        <v>41701.64583</v>
      </c>
      <c r="B2353" s="2">
        <f>IFERROR(__xludf.DUMMYFUNCTION("""COMPUTED_VALUE"""),1135.9)</f>
        <v>1135.9</v>
      </c>
      <c r="C2353" s="2">
        <f>IFERROR(__xludf.DUMMYFUNCTION("""COMPUTED_VALUE"""),1149.5)</f>
        <v>1149.5</v>
      </c>
      <c r="D2353" s="2">
        <f>IFERROR(__xludf.DUMMYFUNCTION("""COMPUTED_VALUE"""),1114.0)</f>
        <v>1114</v>
      </c>
      <c r="E2353" s="2">
        <f>IFERROR(__xludf.DUMMYFUNCTION("""COMPUTED_VALUE"""),1120.03)</f>
        <v>1120.03</v>
      </c>
      <c r="F2353" s="2">
        <f>IFERROR(__xludf.DUMMYFUNCTION("""COMPUTED_VALUE"""),803039.0)</f>
        <v>803039</v>
      </c>
    </row>
    <row r="2354">
      <c r="A2354" s="3">
        <f>IFERROR(__xludf.DUMMYFUNCTION("""COMPUTED_VALUE"""),41702.645833333336)</f>
        <v>41702.64583</v>
      </c>
      <c r="B2354" s="2">
        <f>IFERROR(__xludf.DUMMYFUNCTION("""COMPUTED_VALUE"""),1116.6)</f>
        <v>1116.6</v>
      </c>
      <c r="C2354" s="2">
        <f>IFERROR(__xludf.DUMMYFUNCTION("""COMPUTED_VALUE"""),1127.0)</f>
        <v>1127</v>
      </c>
      <c r="D2354" s="2">
        <f>IFERROR(__xludf.DUMMYFUNCTION("""COMPUTED_VALUE"""),1112.0)</f>
        <v>1112</v>
      </c>
      <c r="E2354" s="2">
        <f>IFERROR(__xludf.DUMMYFUNCTION("""COMPUTED_VALUE"""),1120.32)</f>
        <v>1120.32</v>
      </c>
      <c r="F2354" s="2">
        <f>IFERROR(__xludf.DUMMYFUNCTION("""COMPUTED_VALUE"""),1015166.0)</f>
        <v>1015166</v>
      </c>
    </row>
    <row r="2355">
      <c r="A2355" s="3">
        <f>IFERROR(__xludf.DUMMYFUNCTION("""COMPUTED_VALUE"""),41703.645833333336)</f>
        <v>41703.64583</v>
      </c>
      <c r="B2355" s="2">
        <f>IFERROR(__xludf.DUMMYFUNCTION("""COMPUTED_VALUE"""),1127.43)</f>
        <v>1127.43</v>
      </c>
      <c r="C2355" s="2">
        <f>IFERROR(__xludf.DUMMYFUNCTION("""COMPUTED_VALUE"""),1143.13)</f>
        <v>1143.13</v>
      </c>
      <c r="D2355" s="2">
        <f>IFERROR(__xludf.DUMMYFUNCTION("""COMPUTED_VALUE"""),1121.28)</f>
        <v>1121.28</v>
      </c>
      <c r="E2355" s="2">
        <f>IFERROR(__xludf.DUMMYFUNCTION("""COMPUTED_VALUE"""),1125.95)</f>
        <v>1125.95</v>
      </c>
      <c r="F2355" s="2">
        <f>IFERROR(__xludf.DUMMYFUNCTION("""COMPUTED_VALUE"""),1151003.0)</f>
        <v>1151003</v>
      </c>
    </row>
    <row r="2356">
      <c r="A2356" s="3">
        <f>IFERROR(__xludf.DUMMYFUNCTION("""COMPUTED_VALUE"""),41704.645833333336)</f>
        <v>41704.64583</v>
      </c>
      <c r="B2356" s="2">
        <f>IFERROR(__xludf.DUMMYFUNCTION("""COMPUTED_VALUE"""),1126.43)</f>
        <v>1126.43</v>
      </c>
      <c r="C2356" s="2">
        <f>IFERROR(__xludf.DUMMYFUNCTION("""COMPUTED_VALUE"""),1130.0)</f>
        <v>1130</v>
      </c>
      <c r="D2356" s="2">
        <f>IFERROR(__xludf.DUMMYFUNCTION("""COMPUTED_VALUE"""),1116.07)</f>
        <v>1116.07</v>
      </c>
      <c r="E2356" s="2">
        <f>IFERROR(__xludf.DUMMYFUNCTION("""COMPUTED_VALUE"""),1120.38)</f>
        <v>1120.38</v>
      </c>
      <c r="F2356" s="2">
        <f>IFERROR(__xludf.DUMMYFUNCTION("""COMPUTED_VALUE"""),657281.0)</f>
        <v>657281</v>
      </c>
    </row>
    <row r="2357">
      <c r="A2357" s="3">
        <f>IFERROR(__xludf.DUMMYFUNCTION("""COMPUTED_VALUE"""),41705.645833333336)</f>
        <v>41705.64583</v>
      </c>
      <c r="B2357" s="2">
        <f>IFERROR(__xludf.DUMMYFUNCTION("""COMPUTED_VALUE"""),1122.75)</f>
        <v>1122.75</v>
      </c>
      <c r="C2357" s="2">
        <f>IFERROR(__xludf.DUMMYFUNCTION("""COMPUTED_VALUE"""),1125.03)</f>
        <v>1125.03</v>
      </c>
      <c r="D2357" s="2">
        <f>IFERROR(__xludf.DUMMYFUNCTION("""COMPUTED_VALUE"""),1076.4)</f>
        <v>1076.4</v>
      </c>
      <c r="E2357" s="2">
        <f>IFERROR(__xludf.DUMMYFUNCTION("""COMPUTED_VALUE"""),1114.25)</f>
        <v>1114.25</v>
      </c>
      <c r="F2357" s="2">
        <f>IFERROR(__xludf.DUMMYFUNCTION("""COMPUTED_VALUE"""),2349236.0)</f>
        <v>2349236</v>
      </c>
    </row>
    <row r="2358">
      <c r="A2358" s="3">
        <f>IFERROR(__xludf.DUMMYFUNCTION("""COMPUTED_VALUE"""),41708.645833333336)</f>
        <v>41708.64583</v>
      </c>
      <c r="B2358" s="2">
        <f>IFERROR(__xludf.DUMMYFUNCTION("""COMPUTED_VALUE"""),1114.05)</f>
        <v>1114.05</v>
      </c>
      <c r="C2358" s="2">
        <f>IFERROR(__xludf.DUMMYFUNCTION("""COMPUTED_VALUE"""),1114.25)</f>
        <v>1114.25</v>
      </c>
      <c r="D2358" s="2">
        <f>IFERROR(__xludf.DUMMYFUNCTION("""COMPUTED_VALUE"""),1067.5)</f>
        <v>1067.5</v>
      </c>
      <c r="E2358" s="2">
        <f>IFERROR(__xludf.DUMMYFUNCTION("""COMPUTED_VALUE"""),1071.32)</f>
        <v>1071.32</v>
      </c>
      <c r="F2358" s="2">
        <f>IFERROR(__xludf.DUMMYFUNCTION("""COMPUTED_VALUE"""),1914884.0)</f>
        <v>1914884</v>
      </c>
    </row>
    <row r="2359">
      <c r="A2359" s="3">
        <f>IFERROR(__xludf.DUMMYFUNCTION("""COMPUTED_VALUE"""),41709.645833333336)</f>
        <v>41709.64583</v>
      </c>
      <c r="B2359" s="2">
        <f>IFERROR(__xludf.DUMMYFUNCTION("""COMPUTED_VALUE"""),1077.5)</f>
        <v>1077.5</v>
      </c>
      <c r="C2359" s="2">
        <f>IFERROR(__xludf.DUMMYFUNCTION("""COMPUTED_VALUE"""),1088.82)</f>
        <v>1088.82</v>
      </c>
      <c r="D2359" s="2">
        <f>IFERROR(__xludf.DUMMYFUNCTION("""COMPUTED_VALUE"""),1061.0)</f>
        <v>1061</v>
      </c>
      <c r="E2359" s="2">
        <f>IFERROR(__xludf.DUMMYFUNCTION("""COMPUTED_VALUE"""),1075.82)</f>
        <v>1075.82</v>
      </c>
      <c r="F2359" s="2">
        <f>IFERROR(__xludf.DUMMYFUNCTION("""COMPUTED_VALUE"""),1275127.0)</f>
        <v>1275127</v>
      </c>
    </row>
    <row r="2360">
      <c r="A2360" s="3">
        <f>IFERROR(__xludf.DUMMYFUNCTION("""COMPUTED_VALUE"""),41710.645833333336)</f>
        <v>41710.64583</v>
      </c>
      <c r="B2360" s="2">
        <f>IFERROR(__xludf.DUMMYFUNCTION("""COMPUTED_VALUE"""),1076.5)</f>
        <v>1076.5</v>
      </c>
      <c r="C2360" s="2">
        <f>IFERROR(__xludf.DUMMYFUNCTION("""COMPUTED_VALUE"""),1094.88)</f>
        <v>1094.88</v>
      </c>
      <c r="D2360" s="2">
        <f>IFERROR(__xludf.DUMMYFUNCTION("""COMPUTED_VALUE"""),1076.5)</f>
        <v>1076.5</v>
      </c>
      <c r="E2360" s="2">
        <f>IFERROR(__xludf.DUMMYFUNCTION("""COMPUTED_VALUE"""),1089.72)</f>
        <v>1089.72</v>
      </c>
      <c r="F2360" s="2">
        <f>IFERROR(__xludf.DUMMYFUNCTION("""COMPUTED_VALUE"""),834894.0)</f>
        <v>834894</v>
      </c>
    </row>
    <row r="2361">
      <c r="A2361" s="3">
        <f>IFERROR(__xludf.DUMMYFUNCTION("""COMPUTED_VALUE"""),41711.645833333336)</f>
        <v>41711.64583</v>
      </c>
      <c r="B2361" s="2">
        <f>IFERROR(__xludf.DUMMYFUNCTION("""COMPUTED_VALUE"""),1074.03)</f>
        <v>1074.03</v>
      </c>
      <c r="C2361" s="2">
        <f>IFERROR(__xludf.DUMMYFUNCTION("""COMPUTED_VALUE"""),1101.0)</f>
        <v>1101</v>
      </c>
      <c r="D2361" s="2">
        <f>IFERROR(__xludf.DUMMYFUNCTION("""COMPUTED_VALUE"""),1068.43)</f>
        <v>1068.43</v>
      </c>
      <c r="E2361" s="2">
        <f>IFERROR(__xludf.DUMMYFUNCTION("""COMPUTED_VALUE"""),1074.78)</f>
        <v>1074.78</v>
      </c>
      <c r="F2361" s="2">
        <f>IFERROR(__xludf.DUMMYFUNCTION("""COMPUTED_VALUE"""),1009942.0)</f>
        <v>1009942</v>
      </c>
    </row>
    <row r="2362">
      <c r="A2362" s="3">
        <f>IFERROR(__xludf.DUMMYFUNCTION("""COMPUTED_VALUE"""),41712.645833333336)</f>
        <v>41712.64583</v>
      </c>
      <c r="B2362" s="2">
        <f>IFERROR(__xludf.DUMMYFUNCTION("""COMPUTED_VALUE"""),1070.5)</f>
        <v>1070.5</v>
      </c>
      <c r="C2362" s="2">
        <f>IFERROR(__xludf.DUMMYFUNCTION("""COMPUTED_VALUE"""),1080.25)</f>
        <v>1080.25</v>
      </c>
      <c r="D2362" s="2">
        <f>IFERROR(__xludf.DUMMYFUNCTION("""COMPUTED_VALUE"""),1062.15)</f>
        <v>1062.15</v>
      </c>
      <c r="E2362" s="2">
        <f>IFERROR(__xludf.DUMMYFUNCTION("""COMPUTED_VALUE"""),1069.78)</f>
        <v>1069.78</v>
      </c>
      <c r="F2362" s="2">
        <f>IFERROR(__xludf.DUMMYFUNCTION("""COMPUTED_VALUE"""),1080623.0)</f>
        <v>1080623</v>
      </c>
    </row>
    <row r="2363">
      <c r="A2363" s="3">
        <f>IFERROR(__xludf.DUMMYFUNCTION("""COMPUTED_VALUE"""),41716.645833333336)</f>
        <v>41716.64583</v>
      </c>
      <c r="B2363" s="2">
        <f>IFERROR(__xludf.DUMMYFUNCTION("""COMPUTED_VALUE"""),1067.75)</f>
        <v>1067.75</v>
      </c>
      <c r="C2363" s="2">
        <f>IFERROR(__xludf.DUMMYFUNCTION("""COMPUTED_VALUE"""),1075.9)</f>
        <v>1075.9</v>
      </c>
      <c r="D2363" s="2">
        <f>IFERROR(__xludf.DUMMYFUNCTION("""COMPUTED_VALUE"""),1052.13)</f>
        <v>1052.13</v>
      </c>
      <c r="E2363" s="2">
        <f>IFERROR(__xludf.DUMMYFUNCTION("""COMPUTED_VALUE"""),1061.0)</f>
        <v>1061</v>
      </c>
      <c r="F2363" s="2">
        <f>IFERROR(__xludf.DUMMYFUNCTION("""COMPUTED_VALUE"""),1282921.0)</f>
        <v>1282921</v>
      </c>
    </row>
    <row r="2364">
      <c r="A2364" s="3">
        <f>IFERROR(__xludf.DUMMYFUNCTION("""COMPUTED_VALUE"""),41717.645833333336)</f>
        <v>41717.64583</v>
      </c>
      <c r="B2364" s="2">
        <f>IFERROR(__xludf.DUMMYFUNCTION("""COMPUTED_VALUE"""),1037.5)</f>
        <v>1037.5</v>
      </c>
      <c r="C2364" s="2">
        <f>IFERROR(__xludf.DUMMYFUNCTION("""COMPUTED_VALUE"""),1037.5)</f>
        <v>1037.5</v>
      </c>
      <c r="D2364" s="2">
        <f>IFERROR(__xludf.DUMMYFUNCTION("""COMPUTED_VALUE"""),1006.53)</f>
        <v>1006.53</v>
      </c>
      <c r="E2364" s="2">
        <f>IFERROR(__xludf.DUMMYFUNCTION("""COMPUTED_VALUE"""),1019.7)</f>
        <v>1019.7</v>
      </c>
      <c r="F2364" s="2">
        <f>IFERROR(__xludf.DUMMYFUNCTION("""COMPUTED_VALUE"""),4326331.0)</f>
        <v>4326331</v>
      </c>
    </row>
    <row r="2365">
      <c r="A2365" s="3">
        <f>IFERROR(__xludf.DUMMYFUNCTION("""COMPUTED_VALUE"""),41718.645833333336)</f>
        <v>41718.64583</v>
      </c>
      <c r="B2365" s="2">
        <f>IFERROR(__xludf.DUMMYFUNCTION("""COMPUTED_VALUE"""),1019.0)</f>
        <v>1019</v>
      </c>
      <c r="C2365" s="2">
        <f>IFERROR(__xludf.DUMMYFUNCTION("""COMPUTED_VALUE"""),1061.45)</f>
        <v>1061.45</v>
      </c>
      <c r="D2365" s="2">
        <f>IFERROR(__xludf.DUMMYFUNCTION("""COMPUTED_VALUE"""),1005.7)</f>
        <v>1005.7</v>
      </c>
      <c r="E2365" s="2">
        <f>IFERROR(__xludf.DUMMYFUNCTION("""COMPUTED_VALUE"""),1054.1)</f>
        <v>1054.1</v>
      </c>
      <c r="F2365" s="2">
        <f>IFERROR(__xludf.DUMMYFUNCTION("""COMPUTED_VALUE"""),2864478.0)</f>
        <v>2864478</v>
      </c>
    </row>
    <row r="2366">
      <c r="A2366" s="3">
        <f>IFERROR(__xludf.DUMMYFUNCTION("""COMPUTED_VALUE"""),41719.645833333336)</f>
        <v>41719.64583</v>
      </c>
      <c r="B2366" s="2">
        <f>IFERROR(__xludf.DUMMYFUNCTION("""COMPUTED_VALUE"""),1062.5)</f>
        <v>1062.5</v>
      </c>
      <c r="C2366" s="2">
        <f>IFERROR(__xludf.DUMMYFUNCTION("""COMPUTED_VALUE"""),1072.5)</f>
        <v>1072.5</v>
      </c>
      <c r="D2366" s="2">
        <f>IFERROR(__xludf.DUMMYFUNCTION("""COMPUTED_VALUE"""),1042.5)</f>
        <v>1042.5</v>
      </c>
      <c r="E2366" s="2">
        <f>IFERROR(__xludf.DUMMYFUNCTION("""COMPUTED_VALUE"""),1063.5)</f>
        <v>1063.5</v>
      </c>
      <c r="F2366" s="2">
        <f>IFERROR(__xludf.DUMMYFUNCTION("""COMPUTED_VALUE"""),2340388.0)</f>
        <v>2340388</v>
      </c>
    </row>
    <row r="2367">
      <c r="A2367" s="3">
        <f>IFERROR(__xludf.DUMMYFUNCTION("""COMPUTED_VALUE"""),41722.645833333336)</f>
        <v>41722.64583</v>
      </c>
      <c r="B2367" s="2">
        <f>IFERROR(__xludf.DUMMYFUNCTION("""COMPUTED_VALUE"""),1068.47)</f>
        <v>1068.47</v>
      </c>
      <c r="C2367" s="2">
        <f>IFERROR(__xludf.DUMMYFUNCTION("""COMPUTED_VALUE"""),1078.97)</f>
        <v>1078.97</v>
      </c>
      <c r="D2367" s="2">
        <f>IFERROR(__xludf.DUMMYFUNCTION("""COMPUTED_VALUE"""),1063.07)</f>
        <v>1063.07</v>
      </c>
      <c r="E2367" s="2">
        <f>IFERROR(__xludf.DUMMYFUNCTION("""COMPUTED_VALUE"""),1076.3)</f>
        <v>1076.3</v>
      </c>
      <c r="F2367" s="2">
        <f>IFERROR(__xludf.DUMMYFUNCTION("""COMPUTED_VALUE"""),1091507.0)</f>
        <v>1091507</v>
      </c>
    </row>
    <row r="2368">
      <c r="A2368" s="3">
        <f>IFERROR(__xludf.DUMMYFUNCTION("""COMPUTED_VALUE"""),41723.645833333336)</f>
        <v>41723.64583</v>
      </c>
      <c r="B2368" s="2">
        <f>IFERROR(__xludf.DUMMYFUNCTION("""COMPUTED_VALUE"""),1072.0)</f>
        <v>1072</v>
      </c>
      <c r="C2368" s="2">
        <f>IFERROR(__xludf.DUMMYFUNCTION("""COMPUTED_VALUE"""),1086.0)</f>
        <v>1086</v>
      </c>
      <c r="D2368" s="2">
        <f>IFERROR(__xludf.DUMMYFUNCTION("""COMPUTED_VALUE"""),1065.0)</f>
        <v>1065</v>
      </c>
      <c r="E2368" s="2">
        <f>IFERROR(__xludf.DUMMYFUNCTION("""COMPUTED_VALUE"""),1073.32)</f>
        <v>1073.32</v>
      </c>
      <c r="F2368" s="2">
        <f>IFERROR(__xludf.DUMMYFUNCTION("""COMPUTED_VALUE"""),1124984.0)</f>
        <v>1124984</v>
      </c>
    </row>
    <row r="2369">
      <c r="A2369" s="3">
        <f>IFERROR(__xludf.DUMMYFUNCTION("""COMPUTED_VALUE"""),41724.645833333336)</f>
        <v>41724.64583</v>
      </c>
      <c r="B2369" s="2">
        <f>IFERROR(__xludf.DUMMYFUNCTION("""COMPUTED_VALUE"""),1074.03)</f>
        <v>1074.03</v>
      </c>
      <c r="C2369" s="2">
        <f>IFERROR(__xludf.DUMMYFUNCTION("""COMPUTED_VALUE"""),1079.25)</f>
        <v>1079.25</v>
      </c>
      <c r="D2369" s="2">
        <f>IFERROR(__xludf.DUMMYFUNCTION("""COMPUTED_VALUE"""),1043.78)</f>
        <v>1043.78</v>
      </c>
      <c r="E2369" s="2">
        <f>IFERROR(__xludf.DUMMYFUNCTION("""COMPUTED_VALUE"""),1046.75)</f>
        <v>1046.75</v>
      </c>
      <c r="F2369" s="2">
        <f>IFERROR(__xludf.DUMMYFUNCTION("""COMPUTED_VALUE"""),1596175.0)</f>
        <v>1596175</v>
      </c>
    </row>
    <row r="2370">
      <c r="A2370" s="3">
        <f>IFERROR(__xludf.DUMMYFUNCTION("""COMPUTED_VALUE"""),41725.645833333336)</f>
        <v>41725.64583</v>
      </c>
      <c r="B2370" s="2">
        <f>IFERROR(__xludf.DUMMYFUNCTION("""COMPUTED_VALUE"""),1050.47)</f>
        <v>1050.47</v>
      </c>
      <c r="C2370" s="2">
        <f>IFERROR(__xludf.DUMMYFUNCTION("""COMPUTED_VALUE"""),1057.5)</f>
        <v>1057.5</v>
      </c>
      <c r="D2370" s="2">
        <f>IFERROR(__xludf.DUMMYFUNCTION("""COMPUTED_VALUE"""),1032.53)</f>
        <v>1032.53</v>
      </c>
      <c r="E2370" s="2">
        <f>IFERROR(__xludf.DUMMYFUNCTION("""COMPUTED_VALUE"""),1047.13)</f>
        <v>1047.13</v>
      </c>
      <c r="F2370" s="2">
        <f>IFERROR(__xludf.DUMMYFUNCTION("""COMPUTED_VALUE"""),2506238.0)</f>
        <v>2506238</v>
      </c>
    </row>
    <row r="2371">
      <c r="A2371" s="3">
        <f>IFERROR(__xludf.DUMMYFUNCTION("""COMPUTED_VALUE"""),41726.645833333336)</f>
        <v>41726.64583</v>
      </c>
      <c r="B2371" s="2">
        <f>IFERROR(__xludf.DUMMYFUNCTION("""COMPUTED_VALUE"""),1048.5)</f>
        <v>1048.5</v>
      </c>
      <c r="C2371" s="2">
        <f>IFERROR(__xludf.DUMMYFUNCTION("""COMPUTED_VALUE"""),1061.43)</f>
        <v>1061.43</v>
      </c>
      <c r="D2371" s="2">
        <f>IFERROR(__xludf.DUMMYFUNCTION("""COMPUTED_VALUE"""),1040.03)</f>
        <v>1040.03</v>
      </c>
      <c r="E2371" s="2">
        <f>IFERROR(__xludf.DUMMYFUNCTION("""COMPUTED_VALUE"""),1051.05)</f>
        <v>1051.05</v>
      </c>
      <c r="F2371" s="2">
        <f>IFERROR(__xludf.DUMMYFUNCTION("""COMPUTED_VALUE"""),1485581.0)</f>
        <v>1485581</v>
      </c>
    </row>
    <row r="2372">
      <c r="A2372" s="3">
        <f>IFERROR(__xludf.DUMMYFUNCTION("""COMPUTED_VALUE"""),41729.645833333336)</f>
        <v>41729.64583</v>
      </c>
      <c r="B2372" s="2">
        <f>IFERROR(__xludf.DUMMYFUNCTION("""COMPUTED_VALUE"""),1052.0)</f>
        <v>1052</v>
      </c>
      <c r="C2372" s="2">
        <f>IFERROR(__xludf.DUMMYFUNCTION("""COMPUTED_VALUE"""),1072.47)</f>
        <v>1072.47</v>
      </c>
      <c r="D2372" s="2">
        <f>IFERROR(__xludf.DUMMYFUNCTION("""COMPUTED_VALUE"""),1041.0)</f>
        <v>1041</v>
      </c>
      <c r="E2372" s="2">
        <f>IFERROR(__xludf.DUMMYFUNCTION("""COMPUTED_VALUE"""),1066.57)</f>
        <v>1066.57</v>
      </c>
      <c r="F2372" s="2">
        <f>IFERROR(__xludf.DUMMYFUNCTION("""COMPUTED_VALUE"""),1341634.0)</f>
        <v>1341634</v>
      </c>
    </row>
    <row r="2373">
      <c r="A2373" s="3">
        <f>IFERROR(__xludf.DUMMYFUNCTION("""COMPUTED_VALUE"""),41730.645833333336)</f>
        <v>41730.64583</v>
      </c>
      <c r="B2373" s="2">
        <f>IFERROR(__xludf.DUMMYFUNCTION("""COMPUTED_VALUE"""),1072.5)</f>
        <v>1072.5</v>
      </c>
      <c r="C2373" s="2">
        <f>IFERROR(__xludf.DUMMYFUNCTION("""COMPUTED_VALUE"""),1092.5)</f>
        <v>1092.5</v>
      </c>
      <c r="D2373" s="2">
        <f>IFERROR(__xludf.DUMMYFUNCTION("""COMPUTED_VALUE"""),1072.45)</f>
        <v>1072.45</v>
      </c>
      <c r="E2373" s="2">
        <f>IFERROR(__xludf.DUMMYFUNCTION("""COMPUTED_VALUE"""),1088.35)</f>
        <v>1088.35</v>
      </c>
      <c r="F2373" s="2">
        <f>IFERROR(__xludf.DUMMYFUNCTION("""COMPUTED_VALUE"""),1377966.0)</f>
        <v>1377966</v>
      </c>
    </row>
    <row r="2374">
      <c r="A2374" s="3">
        <f>IFERROR(__xludf.DUMMYFUNCTION("""COMPUTED_VALUE"""),41731.645833333336)</f>
        <v>41731.64583</v>
      </c>
      <c r="B2374" s="2">
        <f>IFERROR(__xludf.DUMMYFUNCTION("""COMPUTED_VALUE"""),1095.0)</f>
        <v>1095</v>
      </c>
      <c r="C2374" s="2">
        <f>IFERROR(__xludf.DUMMYFUNCTION("""COMPUTED_VALUE"""),1101.0)</f>
        <v>1101</v>
      </c>
      <c r="D2374" s="2">
        <f>IFERROR(__xludf.DUMMYFUNCTION("""COMPUTED_VALUE"""),1080.53)</f>
        <v>1080.53</v>
      </c>
      <c r="E2374" s="2">
        <f>IFERROR(__xludf.DUMMYFUNCTION("""COMPUTED_VALUE"""),1086.13)</f>
        <v>1086.13</v>
      </c>
      <c r="F2374" s="2">
        <f>IFERROR(__xludf.DUMMYFUNCTION("""COMPUTED_VALUE"""),1881508.0)</f>
        <v>1881508</v>
      </c>
    </row>
    <row r="2375">
      <c r="A2375" s="3">
        <f>IFERROR(__xludf.DUMMYFUNCTION("""COMPUTED_VALUE"""),41732.645833333336)</f>
        <v>41732.64583</v>
      </c>
      <c r="B2375" s="2">
        <f>IFERROR(__xludf.DUMMYFUNCTION("""COMPUTED_VALUE"""),1086.43)</f>
        <v>1086.43</v>
      </c>
      <c r="C2375" s="2">
        <f>IFERROR(__xludf.DUMMYFUNCTION("""COMPUTED_VALUE"""),1091.0)</f>
        <v>1091</v>
      </c>
      <c r="D2375" s="2">
        <f>IFERROR(__xludf.DUMMYFUNCTION("""COMPUTED_VALUE"""),1073.8)</f>
        <v>1073.8</v>
      </c>
      <c r="E2375" s="2">
        <f>IFERROR(__xludf.DUMMYFUNCTION("""COMPUTED_VALUE"""),1083.25)</f>
        <v>1083.25</v>
      </c>
      <c r="F2375" s="2">
        <f>IFERROR(__xludf.DUMMYFUNCTION("""COMPUTED_VALUE"""),790597.0)</f>
        <v>790597</v>
      </c>
    </row>
    <row r="2376">
      <c r="A2376" s="3">
        <f>IFERROR(__xludf.DUMMYFUNCTION("""COMPUTED_VALUE"""),41733.645833333336)</f>
        <v>41733.64583</v>
      </c>
      <c r="B2376" s="2">
        <f>IFERROR(__xludf.DUMMYFUNCTION("""COMPUTED_VALUE"""),1086.0)</f>
        <v>1086</v>
      </c>
      <c r="C2376" s="2">
        <f>IFERROR(__xludf.DUMMYFUNCTION("""COMPUTED_VALUE"""),1093.5)</f>
        <v>1093.5</v>
      </c>
      <c r="D2376" s="2">
        <f>IFERROR(__xludf.DUMMYFUNCTION("""COMPUTED_VALUE"""),1065.0)</f>
        <v>1065</v>
      </c>
      <c r="E2376" s="2">
        <f>IFERROR(__xludf.DUMMYFUNCTION("""COMPUTED_VALUE"""),1069.43)</f>
        <v>1069.43</v>
      </c>
      <c r="F2376" s="2">
        <f>IFERROR(__xludf.DUMMYFUNCTION("""COMPUTED_VALUE"""),847328.0)</f>
        <v>847328</v>
      </c>
    </row>
    <row r="2377">
      <c r="A2377" s="3">
        <f>IFERROR(__xludf.DUMMYFUNCTION("""COMPUTED_VALUE"""),41736.645833333336)</f>
        <v>41736.64583</v>
      </c>
      <c r="B2377" s="2">
        <f>IFERROR(__xludf.DUMMYFUNCTION("""COMPUTED_VALUE"""),1065.05)</f>
        <v>1065.05</v>
      </c>
      <c r="C2377" s="2">
        <f>IFERROR(__xludf.DUMMYFUNCTION("""COMPUTED_VALUE"""),1082.97)</f>
        <v>1082.97</v>
      </c>
      <c r="D2377" s="2">
        <f>IFERROR(__xludf.DUMMYFUNCTION("""COMPUTED_VALUE"""),1060.35)</f>
        <v>1060.35</v>
      </c>
      <c r="E2377" s="2">
        <f>IFERROR(__xludf.DUMMYFUNCTION("""COMPUTED_VALUE"""),1076.9)</f>
        <v>1076.9</v>
      </c>
      <c r="F2377" s="2">
        <f>IFERROR(__xludf.DUMMYFUNCTION("""COMPUTED_VALUE"""),1297493.0)</f>
        <v>1297493</v>
      </c>
    </row>
    <row r="2378">
      <c r="A2378" s="3">
        <f>IFERROR(__xludf.DUMMYFUNCTION("""COMPUTED_VALUE"""),41738.645833333336)</f>
        <v>41738.64583</v>
      </c>
      <c r="B2378" s="2">
        <f>IFERROR(__xludf.DUMMYFUNCTION("""COMPUTED_VALUE"""),1076.0)</f>
        <v>1076</v>
      </c>
      <c r="C2378" s="2">
        <f>IFERROR(__xludf.DUMMYFUNCTION("""COMPUTED_VALUE"""),1081.0)</f>
        <v>1081</v>
      </c>
      <c r="D2378" s="2">
        <f>IFERROR(__xludf.DUMMYFUNCTION("""COMPUTED_VALUE"""),1052.5)</f>
        <v>1052.5</v>
      </c>
      <c r="E2378" s="2">
        <f>IFERROR(__xludf.DUMMYFUNCTION("""COMPUTED_VALUE"""),1070.2)</f>
        <v>1070.2</v>
      </c>
      <c r="F2378" s="2">
        <f>IFERROR(__xludf.DUMMYFUNCTION("""COMPUTED_VALUE"""),1675250.0)</f>
        <v>1675250</v>
      </c>
    </row>
    <row r="2379">
      <c r="A2379" s="3">
        <f>IFERROR(__xludf.DUMMYFUNCTION("""COMPUTED_VALUE"""),41739.645833333336)</f>
        <v>41739.64583</v>
      </c>
      <c r="B2379" s="2">
        <f>IFERROR(__xludf.DUMMYFUNCTION("""COMPUTED_VALUE"""),1070.2)</f>
        <v>1070.2</v>
      </c>
      <c r="C2379" s="2">
        <f>IFERROR(__xludf.DUMMYFUNCTION("""COMPUTED_VALUE"""),1074.32)</f>
        <v>1074.32</v>
      </c>
      <c r="D2379" s="2">
        <f>IFERROR(__xludf.DUMMYFUNCTION("""COMPUTED_VALUE"""),1057.6)</f>
        <v>1057.6</v>
      </c>
      <c r="E2379" s="2">
        <f>IFERROR(__xludf.DUMMYFUNCTION("""COMPUTED_VALUE"""),1063.07)</f>
        <v>1063.07</v>
      </c>
      <c r="F2379" s="2">
        <f>IFERROR(__xludf.DUMMYFUNCTION("""COMPUTED_VALUE"""),1076443.0)</f>
        <v>1076443</v>
      </c>
    </row>
    <row r="2380">
      <c r="A2380" s="3">
        <f>IFERROR(__xludf.DUMMYFUNCTION("""COMPUTED_VALUE"""),41740.645833333336)</f>
        <v>41740.64583</v>
      </c>
      <c r="B2380" s="2">
        <f>IFERROR(__xludf.DUMMYFUNCTION("""COMPUTED_VALUE"""),1059.0)</f>
        <v>1059</v>
      </c>
      <c r="C2380" s="2">
        <f>IFERROR(__xludf.DUMMYFUNCTION("""COMPUTED_VALUE"""),1087.45)</f>
        <v>1087.45</v>
      </c>
      <c r="D2380" s="2">
        <f>IFERROR(__xludf.DUMMYFUNCTION("""COMPUTED_VALUE"""),1050.0)</f>
        <v>1050</v>
      </c>
      <c r="E2380" s="2">
        <f>IFERROR(__xludf.DUMMYFUNCTION("""COMPUTED_VALUE"""),1082.05)</f>
        <v>1082.05</v>
      </c>
      <c r="F2380" s="2">
        <f>IFERROR(__xludf.DUMMYFUNCTION("""COMPUTED_VALUE"""),1170371.0)</f>
        <v>1170371</v>
      </c>
    </row>
    <row r="2381">
      <c r="A2381" s="3">
        <f>IFERROR(__xludf.DUMMYFUNCTION("""COMPUTED_VALUE"""),41744.645833333336)</f>
        <v>41744.64583</v>
      </c>
      <c r="B2381" s="2">
        <f>IFERROR(__xludf.DUMMYFUNCTION("""COMPUTED_VALUE"""),1090.5)</f>
        <v>1090.5</v>
      </c>
      <c r="C2381" s="2">
        <f>IFERROR(__xludf.DUMMYFUNCTION("""COMPUTED_VALUE"""),1129.0)</f>
        <v>1129</v>
      </c>
      <c r="D2381" s="2">
        <f>IFERROR(__xludf.DUMMYFUNCTION("""COMPUTED_VALUE"""),1087.03)</f>
        <v>1087.03</v>
      </c>
      <c r="E2381" s="2">
        <f>IFERROR(__xludf.DUMMYFUNCTION("""COMPUTED_VALUE"""),1126.38)</f>
        <v>1126.38</v>
      </c>
      <c r="F2381" s="2">
        <f>IFERROR(__xludf.DUMMYFUNCTION("""COMPUTED_VALUE"""),1798622.0)</f>
        <v>1798622</v>
      </c>
    </row>
    <row r="2382">
      <c r="A2382" s="3">
        <f>IFERROR(__xludf.DUMMYFUNCTION("""COMPUTED_VALUE"""),41745.645833333336)</f>
        <v>41745.64583</v>
      </c>
      <c r="B2382" s="2">
        <f>IFERROR(__xludf.DUMMYFUNCTION("""COMPUTED_VALUE"""),1132.0)</f>
        <v>1132</v>
      </c>
      <c r="C2382" s="2">
        <f>IFERROR(__xludf.DUMMYFUNCTION("""COMPUTED_VALUE"""),1132.0)</f>
        <v>1132</v>
      </c>
      <c r="D2382" s="2">
        <f>IFERROR(__xludf.DUMMYFUNCTION("""COMPUTED_VALUE"""),1092.1)</f>
        <v>1092.1</v>
      </c>
      <c r="E2382" s="2">
        <f>IFERROR(__xludf.DUMMYFUNCTION("""COMPUTED_VALUE"""),1098.15)</f>
        <v>1098.15</v>
      </c>
      <c r="F2382" s="2">
        <f>IFERROR(__xludf.DUMMYFUNCTION("""COMPUTED_VALUE"""),1737955.0)</f>
        <v>1737955</v>
      </c>
    </row>
    <row r="2383">
      <c r="A2383" s="3">
        <f>IFERROR(__xludf.DUMMYFUNCTION("""COMPUTED_VALUE"""),41746.645833333336)</f>
        <v>41746.64583</v>
      </c>
      <c r="B2383" s="2">
        <f>IFERROR(__xludf.DUMMYFUNCTION("""COMPUTED_VALUE"""),1110.0)</f>
        <v>1110</v>
      </c>
      <c r="C2383" s="2">
        <f>IFERROR(__xludf.DUMMYFUNCTION("""COMPUTED_VALUE"""),1113.5)</f>
        <v>1113.5</v>
      </c>
      <c r="D2383" s="2">
        <f>IFERROR(__xludf.DUMMYFUNCTION("""COMPUTED_VALUE"""),1071.35)</f>
        <v>1071.35</v>
      </c>
      <c r="E2383" s="2">
        <f>IFERROR(__xludf.DUMMYFUNCTION("""COMPUTED_VALUE"""),1111.45)</f>
        <v>1111.45</v>
      </c>
      <c r="F2383" s="2">
        <f>IFERROR(__xludf.DUMMYFUNCTION("""COMPUTED_VALUE"""),3840719.0)</f>
        <v>3840719</v>
      </c>
    </row>
    <row r="2384">
      <c r="A2384" s="3">
        <f>IFERROR(__xludf.DUMMYFUNCTION("""COMPUTED_VALUE"""),41750.645833333336)</f>
        <v>41750.64583</v>
      </c>
      <c r="B2384" s="2">
        <f>IFERROR(__xludf.DUMMYFUNCTION("""COMPUTED_VALUE"""),1110.0)</f>
        <v>1110</v>
      </c>
      <c r="C2384" s="2">
        <f>IFERROR(__xludf.DUMMYFUNCTION("""COMPUTED_VALUE"""),1121.45)</f>
        <v>1121.45</v>
      </c>
      <c r="D2384" s="2">
        <f>IFERROR(__xludf.DUMMYFUNCTION("""COMPUTED_VALUE"""),1105.65)</f>
        <v>1105.65</v>
      </c>
      <c r="E2384" s="2">
        <f>IFERROR(__xludf.DUMMYFUNCTION("""COMPUTED_VALUE"""),1110.88)</f>
        <v>1110.88</v>
      </c>
      <c r="F2384" s="2">
        <f>IFERROR(__xludf.DUMMYFUNCTION("""COMPUTED_VALUE"""),921297.0)</f>
        <v>921297</v>
      </c>
    </row>
    <row r="2385">
      <c r="A2385" s="3">
        <f>IFERROR(__xludf.DUMMYFUNCTION("""COMPUTED_VALUE"""),41751.645833333336)</f>
        <v>41751.64583</v>
      </c>
      <c r="B2385" s="2">
        <f>IFERROR(__xludf.DUMMYFUNCTION("""COMPUTED_VALUE"""),1116.97)</f>
        <v>1116.97</v>
      </c>
      <c r="C2385" s="2">
        <f>IFERROR(__xludf.DUMMYFUNCTION("""COMPUTED_VALUE"""),1124.95)</f>
        <v>1124.95</v>
      </c>
      <c r="D2385" s="2">
        <f>IFERROR(__xludf.DUMMYFUNCTION("""COMPUTED_VALUE"""),1109.95)</f>
        <v>1109.95</v>
      </c>
      <c r="E2385" s="2">
        <f>IFERROR(__xludf.DUMMYFUNCTION("""COMPUTED_VALUE"""),1110.53)</f>
        <v>1110.53</v>
      </c>
      <c r="F2385" s="2">
        <f>IFERROR(__xludf.DUMMYFUNCTION("""COMPUTED_VALUE"""),743137.0)</f>
        <v>743137</v>
      </c>
    </row>
    <row r="2386">
      <c r="A2386" s="3">
        <f>IFERROR(__xludf.DUMMYFUNCTION("""COMPUTED_VALUE"""),41752.645833333336)</f>
        <v>41752.64583</v>
      </c>
      <c r="B2386" s="2">
        <f>IFERROR(__xludf.DUMMYFUNCTION("""COMPUTED_VALUE"""),1115.7)</f>
        <v>1115.7</v>
      </c>
      <c r="C2386" s="2">
        <f>IFERROR(__xludf.DUMMYFUNCTION("""COMPUTED_VALUE"""),1121.95)</f>
        <v>1121.95</v>
      </c>
      <c r="D2386" s="2">
        <f>IFERROR(__xludf.DUMMYFUNCTION("""COMPUTED_VALUE"""),1100.55)</f>
        <v>1100.55</v>
      </c>
      <c r="E2386" s="2">
        <f>IFERROR(__xludf.DUMMYFUNCTION("""COMPUTED_VALUE"""),1106.88)</f>
        <v>1106.88</v>
      </c>
      <c r="F2386" s="2">
        <f>IFERROR(__xludf.DUMMYFUNCTION("""COMPUTED_VALUE"""),969496.0)</f>
        <v>969496</v>
      </c>
    </row>
    <row r="2387">
      <c r="A2387" s="3">
        <f>IFERROR(__xludf.DUMMYFUNCTION("""COMPUTED_VALUE"""),41754.645833333336)</f>
        <v>41754.64583</v>
      </c>
      <c r="B2387" s="2">
        <f>IFERROR(__xludf.DUMMYFUNCTION("""COMPUTED_VALUE"""),1113.5)</f>
        <v>1113.5</v>
      </c>
      <c r="C2387" s="2">
        <f>IFERROR(__xludf.DUMMYFUNCTION("""COMPUTED_VALUE"""),1117.5)</f>
        <v>1117.5</v>
      </c>
      <c r="D2387" s="2">
        <f>IFERROR(__xludf.DUMMYFUNCTION("""COMPUTED_VALUE"""),1096.6)</f>
        <v>1096.6</v>
      </c>
      <c r="E2387" s="2">
        <f>IFERROR(__xludf.DUMMYFUNCTION("""COMPUTED_VALUE"""),1102.63)</f>
        <v>1102.63</v>
      </c>
      <c r="F2387" s="2">
        <f>IFERROR(__xludf.DUMMYFUNCTION("""COMPUTED_VALUE"""),1580224.0)</f>
        <v>1580224</v>
      </c>
    </row>
    <row r="2388">
      <c r="A2388" s="3">
        <f>IFERROR(__xludf.DUMMYFUNCTION("""COMPUTED_VALUE"""),41757.645833333336)</f>
        <v>41757.64583</v>
      </c>
      <c r="B2388" s="2">
        <f>IFERROR(__xludf.DUMMYFUNCTION("""COMPUTED_VALUE"""),1102.63)</f>
        <v>1102.63</v>
      </c>
      <c r="C2388" s="2">
        <f>IFERROR(__xludf.DUMMYFUNCTION("""COMPUTED_VALUE"""),1111.35)</f>
        <v>1111.35</v>
      </c>
      <c r="D2388" s="2">
        <f>IFERROR(__xludf.DUMMYFUNCTION("""COMPUTED_VALUE"""),1090.05)</f>
        <v>1090.05</v>
      </c>
      <c r="E2388" s="2">
        <f>IFERROR(__xludf.DUMMYFUNCTION("""COMPUTED_VALUE"""),1095.68)</f>
        <v>1095.68</v>
      </c>
      <c r="F2388" s="2">
        <f>IFERROR(__xludf.DUMMYFUNCTION("""COMPUTED_VALUE"""),1275383.0)</f>
        <v>1275383</v>
      </c>
    </row>
    <row r="2389">
      <c r="A2389" s="3">
        <f>IFERROR(__xludf.DUMMYFUNCTION("""COMPUTED_VALUE"""),41758.645833333336)</f>
        <v>41758.64583</v>
      </c>
      <c r="B2389" s="2">
        <f>IFERROR(__xludf.DUMMYFUNCTION("""COMPUTED_VALUE"""),1093.0)</f>
        <v>1093</v>
      </c>
      <c r="C2389" s="2">
        <f>IFERROR(__xludf.DUMMYFUNCTION("""COMPUTED_VALUE"""),1103.18)</f>
        <v>1103.18</v>
      </c>
      <c r="D2389" s="2">
        <f>IFERROR(__xludf.DUMMYFUNCTION("""COMPUTED_VALUE"""),1088.45)</f>
        <v>1088.45</v>
      </c>
      <c r="E2389" s="2">
        <f>IFERROR(__xludf.DUMMYFUNCTION("""COMPUTED_VALUE"""),1097.13)</f>
        <v>1097.13</v>
      </c>
      <c r="F2389" s="2">
        <f>IFERROR(__xludf.DUMMYFUNCTION("""COMPUTED_VALUE"""),923090.0)</f>
        <v>923090</v>
      </c>
    </row>
    <row r="2390">
      <c r="A2390" s="3">
        <f>IFERROR(__xludf.DUMMYFUNCTION("""COMPUTED_VALUE"""),41759.645833333336)</f>
        <v>41759.64583</v>
      </c>
      <c r="B2390" s="2">
        <f>IFERROR(__xludf.DUMMYFUNCTION("""COMPUTED_VALUE"""),1092.55)</f>
        <v>1092.55</v>
      </c>
      <c r="C2390" s="2">
        <f>IFERROR(__xludf.DUMMYFUNCTION("""COMPUTED_VALUE"""),1102.8)</f>
        <v>1102.8</v>
      </c>
      <c r="D2390" s="2">
        <f>IFERROR(__xludf.DUMMYFUNCTION("""COMPUTED_VALUE"""),1090.5)</f>
        <v>1090.5</v>
      </c>
      <c r="E2390" s="2">
        <f>IFERROR(__xludf.DUMMYFUNCTION("""COMPUTED_VALUE"""),1094.6)</f>
        <v>1094.6</v>
      </c>
      <c r="F2390" s="2">
        <f>IFERROR(__xludf.DUMMYFUNCTION("""COMPUTED_VALUE"""),1198689.0)</f>
        <v>1198689</v>
      </c>
    </row>
    <row r="2391">
      <c r="A2391" s="3">
        <f>IFERROR(__xludf.DUMMYFUNCTION("""COMPUTED_VALUE"""),41761.645833333336)</f>
        <v>41761.64583</v>
      </c>
      <c r="B2391" s="2">
        <f>IFERROR(__xludf.DUMMYFUNCTION("""COMPUTED_VALUE"""),1090.63)</f>
        <v>1090.63</v>
      </c>
      <c r="C2391" s="2">
        <f>IFERROR(__xludf.DUMMYFUNCTION("""COMPUTED_VALUE"""),1109.95)</f>
        <v>1109.95</v>
      </c>
      <c r="D2391" s="2">
        <f>IFERROR(__xludf.DUMMYFUNCTION("""COMPUTED_VALUE"""),1090.63)</f>
        <v>1090.63</v>
      </c>
      <c r="E2391" s="2">
        <f>IFERROR(__xludf.DUMMYFUNCTION("""COMPUTED_VALUE"""),1104.22)</f>
        <v>1104.22</v>
      </c>
      <c r="F2391" s="2">
        <f>IFERROR(__xludf.DUMMYFUNCTION("""COMPUTED_VALUE"""),958889.0)</f>
        <v>958889</v>
      </c>
    </row>
    <row r="2392">
      <c r="A2392" s="3">
        <f>IFERROR(__xludf.DUMMYFUNCTION("""COMPUTED_VALUE"""),41764.645833333336)</f>
        <v>41764.64583</v>
      </c>
      <c r="B2392" s="2">
        <f>IFERROR(__xludf.DUMMYFUNCTION("""COMPUTED_VALUE"""),1105.4)</f>
        <v>1105.4</v>
      </c>
      <c r="C2392" s="2">
        <f>IFERROR(__xludf.DUMMYFUNCTION("""COMPUTED_VALUE"""),1114.5)</f>
        <v>1114.5</v>
      </c>
      <c r="D2392" s="2">
        <f>IFERROR(__xludf.DUMMYFUNCTION("""COMPUTED_VALUE"""),1102.07)</f>
        <v>1102.07</v>
      </c>
      <c r="E2392" s="2">
        <f>IFERROR(__xludf.DUMMYFUNCTION("""COMPUTED_VALUE"""),1106.85)</f>
        <v>1106.85</v>
      </c>
      <c r="F2392" s="2">
        <f>IFERROR(__xludf.DUMMYFUNCTION("""COMPUTED_VALUE"""),657239.0)</f>
        <v>657239</v>
      </c>
    </row>
    <row r="2393">
      <c r="A2393" s="3">
        <f>IFERROR(__xludf.DUMMYFUNCTION("""COMPUTED_VALUE"""),41765.645833333336)</f>
        <v>41765.64583</v>
      </c>
      <c r="B2393" s="2">
        <f>IFERROR(__xludf.DUMMYFUNCTION("""COMPUTED_VALUE"""),1106.85)</f>
        <v>1106.85</v>
      </c>
      <c r="C2393" s="2">
        <f>IFERROR(__xludf.DUMMYFUNCTION("""COMPUTED_VALUE"""),1110.8)</f>
        <v>1110.8</v>
      </c>
      <c r="D2393" s="2">
        <f>IFERROR(__xludf.DUMMYFUNCTION("""COMPUTED_VALUE"""),1095.0)</f>
        <v>1095</v>
      </c>
      <c r="E2393" s="2">
        <f>IFERROR(__xludf.DUMMYFUNCTION("""COMPUTED_VALUE"""),1099.45)</f>
        <v>1099.45</v>
      </c>
      <c r="F2393" s="2">
        <f>IFERROR(__xludf.DUMMYFUNCTION("""COMPUTED_VALUE"""),480616.0)</f>
        <v>480616</v>
      </c>
    </row>
    <row r="2394">
      <c r="A2394" s="3">
        <f>IFERROR(__xludf.DUMMYFUNCTION("""COMPUTED_VALUE"""),41766.645833333336)</f>
        <v>41766.64583</v>
      </c>
      <c r="B2394" s="2">
        <f>IFERROR(__xludf.DUMMYFUNCTION("""COMPUTED_VALUE"""),1095.53)</f>
        <v>1095.53</v>
      </c>
      <c r="C2394" s="2">
        <f>IFERROR(__xludf.DUMMYFUNCTION("""COMPUTED_VALUE"""),1101.5)</f>
        <v>1101.5</v>
      </c>
      <c r="D2394" s="2">
        <f>IFERROR(__xludf.DUMMYFUNCTION("""COMPUTED_VALUE"""),1070.05)</f>
        <v>1070.05</v>
      </c>
      <c r="E2394" s="2">
        <f>IFERROR(__xludf.DUMMYFUNCTION("""COMPUTED_VALUE"""),1082.78)</f>
        <v>1082.78</v>
      </c>
      <c r="F2394" s="2">
        <f>IFERROR(__xludf.DUMMYFUNCTION("""COMPUTED_VALUE"""),2358091.0)</f>
        <v>2358091</v>
      </c>
    </row>
    <row r="2395">
      <c r="A2395" s="3">
        <f>IFERROR(__xludf.DUMMYFUNCTION("""COMPUTED_VALUE"""),41767.645833333336)</f>
        <v>41767.64583</v>
      </c>
      <c r="B2395" s="2">
        <f>IFERROR(__xludf.DUMMYFUNCTION("""COMPUTED_VALUE"""),1082.55)</f>
        <v>1082.55</v>
      </c>
      <c r="C2395" s="2">
        <f>IFERROR(__xludf.DUMMYFUNCTION("""COMPUTED_VALUE"""),1090.9)</f>
        <v>1090.9</v>
      </c>
      <c r="D2395" s="2">
        <f>IFERROR(__xludf.DUMMYFUNCTION("""COMPUTED_VALUE"""),1073.82)</f>
        <v>1073.82</v>
      </c>
      <c r="E2395" s="2">
        <f>IFERROR(__xludf.DUMMYFUNCTION("""COMPUTED_VALUE"""),1081.03)</f>
        <v>1081.03</v>
      </c>
      <c r="F2395" s="2">
        <f>IFERROR(__xludf.DUMMYFUNCTION("""COMPUTED_VALUE"""),1303450.0)</f>
        <v>1303450</v>
      </c>
    </row>
    <row r="2396">
      <c r="A2396" s="3">
        <f>IFERROR(__xludf.DUMMYFUNCTION("""COMPUTED_VALUE"""),41768.645833333336)</f>
        <v>41768.64583</v>
      </c>
      <c r="B2396" s="2">
        <f>IFERROR(__xludf.DUMMYFUNCTION("""COMPUTED_VALUE"""),1076.0)</f>
        <v>1076</v>
      </c>
      <c r="C2396" s="2">
        <f>IFERROR(__xludf.DUMMYFUNCTION("""COMPUTED_VALUE"""),1092.35)</f>
        <v>1092.35</v>
      </c>
      <c r="D2396" s="2">
        <f>IFERROR(__xludf.DUMMYFUNCTION("""COMPUTED_VALUE"""),1076.0)</f>
        <v>1076</v>
      </c>
      <c r="E2396" s="2">
        <f>IFERROR(__xludf.DUMMYFUNCTION("""COMPUTED_VALUE"""),1079.95)</f>
        <v>1079.95</v>
      </c>
      <c r="F2396" s="2">
        <f>IFERROR(__xludf.DUMMYFUNCTION("""COMPUTED_VALUE"""),899720.0)</f>
        <v>899720</v>
      </c>
    </row>
    <row r="2397">
      <c r="A2397" s="3">
        <f>IFERROR(__xludf.DUMMYFUNCTION("""COMPUTED_VALUE"""),41771.645833333336)</f>
        <v>41771.64583</v>
      </c>
      <c r="B2397" s="2">
        <f>IFERROR(__xludf.DUMMYFUNCTION("""COMPUTED_VALUE"""),1076.5)</f>
        <v>1076.5</v>
      </c>
      <c r="C2397" s="2">
        <f>IFERROR(__xludf.DUMMYFUNCTION("""COMPUTED_VALUE"""),1083.35)</f>
        <v>1083.35</v>
      </c>
      <c r="D2397" s="2">
        <f>IFERROR(__xludf.DUMMYFUNCTION("""COMPUTED_VALUE"""),1061.57)</f>
        <v>1061.57</v>
      </c>
      <c r="E2397" s="2">
        <f>IFERROR(__xludf.DUMMYFUNCTION("""COMPUTED_VALUE"""),1079.68)</f>
        <v>1079.68</v>
      </c>
      <c r="F2397" s="2">
        <f>IFERROR(__xludf.DUMMYFUNCTION("""COMPUTED_VALUE"""),1443032.0)</f>
        <v>1443032</v>
      </c>
    </row>
    <row r="2398">
      <c r="A2398" s="3">
        <f>IFERROR(__xludf.DUMMYFUNCTION("""COMPUTED_VALUE"""),41772.645833333336)</f>
        <v>41772.64583</v>
      </c>
      <c r="B2398" s="2">
        <f>IFERROR(__xludf.DUMMYFUNCTION("""COMPUTED_VALUE"""),1082.9)</f>
        <v>1082.9</v>
      </c>
      <c r="C2398" s="2">
        <f>IFERROR(__xludf.DUMMYFUNCTION("""COMPUTED_VALUE"""),1119.5)</f>
        <v>1119.5</v>
      </c>
      <c r="D2398" s="2">
        <f>IFERROR(__xludf.DUMMYFUNCTION("""COMPUTED_VALUE"""),1082.9)</f>
        <v>1082.9</v>
      </c>
      <c r="E2398" s="2">
        <f>IFERROR(__xludf.DUMMYFUNCTION("""COMPUTED_VALUE"""),1105.47)</f>
        <v>1105.47</v>
      </c>
      <c r="F2398" s="2">
        <f>IFERROR(__xludf.DUMMYFUNCTION("""COMPUTED_VALUE"""),1273742.0)</f>
        <v>1273742</v>
      </c>
    </row>
    <row r="2399">
      <c r="A2399" s="3">
        <f>IFERROR(__xludf.DUMMYFUNCTION("""COMPUTED_VALUE"""),41773.645833333336)</f>
        <v>41773.64583</v>
      </c>
      <c r="B2399" s="2">
        <f>IFERROR(__xludf.DUMMYFUNCTION("""COMPUTED_VALUE"""),1107.2)</f>
        <v>1107.2</v>
      </c>
      <c r="C2399" s="2">
        <f>IFERROR(__xludf.DUMMYFUNCTION("""COMPUTED_VALUE"""),1118.85)</f>
        <v>1118.85</v>
      </c>
      <c r="D2399" s="2">
        <f>IFERROR(__xludf.DUMMYFUNCTION("""COMPUTED_VALUE"""),1100.55)</f>
        <v>1100.55</v>
      </c>
      <c r="E2399" s="2">
        <f>IFERROR(__xludf.DUMMYFUNCTION("""COMPUTED_VALUE"""),1108.05)</f>
        <v>1108.05</v>
      </c>
      <c r="F2399" s="2">
        <f>IFERROR(__xludf.DUMMYFUNCTION("""COMPUTED_VALUE"""),694614.0)</f>
        <v>694614</v>
      </c>
    </row>
    <row r="2400">
      <c r="A2400" s="3">
        <f>IFERROR(__xludf.DUMMYFUNCTION("""COMPUTED_VALUE"""),41774.645833333336)</f>
        <v>41774.64583</v>
      </c>
      <c r="B2400" s="2">
        <f>IFERROR(__xludf.DUMMYFUNCTION("""COMPUTED_VALUE"""),1108.05)</f>
        <v>1108.05</v>
      </c>
      <c r="C2400" s="2">
        <f>IFERROR(__xludf.DUMMYFUNCTION("""COMPUTED_VALUE"""),1112.5)</f>
        <v>1112.5</v>
      </c>
      <c r="D2400" s="2">
        <f>IFERROR(__xludf.DUMMYFUNCTION("""COMPUTED_VALUE"""),1085.57)</f>
        <v>1085.57</v>
      </c>
      <c r="E2400" s="2">
        <f>IFERROR(__xludf.DUMMYFUNCTION("""COMPUTED_VALUE"""),1096.57)</f>
        <v>1096.57</v>
      </c>
      <c r="F2400" s="2">
        <f>IFERROR(__xludf.DUMMYFUNCTION("""COMPUTED_VALUE"""),1260098.0)</f>
        <v>1260098</v>
      </c>
    </row>
    <row r="2401">
      <c r="A2401" s="3">
        <f>IFERROR(__xludf.DUMMYFUNCTION("""COMPUTED_VALUE"""),41775.645833333336)</f>
        <v>41775.64583</v>
      </c>
      <c r="B2401" s="2">
        <f>IFERROR(__xludf.DUMMYFUNCTION("""COMPUTED_VALUE"""),1100.03)</f>
        <v>1100.03</v>
      </c>
      <c r="C2401" s="2">
        <f>IFERROR(__xludf.DUMMYFUNCTION("""COMPUTED_VALUE"""),1126.7)</f>
        <v>1126.7</v>
      </c>
      <c r="D2401" s="2">
        <f>IFERROR(__xludf.DUMMYFUNCTION("""COMPUTED_VALUE"""),1050.13)</f>
        <v>1050.13</v>
      </c>
      <c r="E2401" s="2">
        <f>IFERROR(__xludf.DUMMYFUNCTION("""COMPUTED_VALUE"""),1080.38)</f>
        <v>1080.38</v>
      </c>
      <c r="F2401" s="2">
        <f>IFERROR(__xludf.DUMMYFUNCTION("""COMPUTED_VALUE"""),2620899.0)</f>
        <v>2620899</v>
      </c>
    </row>
    <row r="2402">
      <c r="A2402" s="3">
        <f>IFERROR(__xludf.DUMMYFUNCTION("""COMPUTED_VALUE"""),41778.645833333336)</f>
        <v>41778.64583</v>
      </c>
      <c r="B2402" s="2">
        <f>IFERROR(__xludf.DUMMYFUNCTION("""COMPUTED_VALUE"""),1075.0)</f>
        <v>1075</v>
      </c>
      <c r="C2402" s="2">
        <f>IFERROR(__xludf.DUMMYFUNCTION("""COMPUTED_VALUE"""),1080.0)</f>
        <v>1080</v>
      </c>
      <c r="D2402" s="2">
        <f>IFERROR(__xludf.DUMMYFUNCTION("""COMPUTED_VALUE"""),999.75)</f>
        <v>999.75</v>
      </c>
      <c r="E2402" s="2">
        <f>IFERROR(__xludf.DUMMYFUNCTION("""COMPUTED_VALUE"""),1018.35)</f>
        <v>1018.35</v>
      </c>
      <c r="F2402" s="2">
        <f>IFERROR(__xludf.DUMMYFUNCTION("""COMPUTED_VALUE"""),3258303.0)</f>
        <v>3258303</v>
      </c>
    </row>
    <row r="2403">
      <c r="A2403" s="3">
        <f>IFERROR(__xludf.DUMMYFUNCTION("""COMPUTED_VALUE"""),41779.645833333336)</f>
        <v>41779.64583</v>
      </c>
      <c r="B2403" s="2">
        <f>IFERROR(__xludf.DUMMYFUNCTION("""COMPUTED_VALUE"""),1014.0)</f>
        <v>1014</v>
      </c>
      <c r="C2403" s="2">
        <f>IFERROR(__xludf.DUMMYFUNCTION("""COMPUTED_VALUE"""),1080.0)</f>
        <v>1080</v>
      </c>
      <c r="D2403" s="2">
        <f>IFERROR(__xludf.DUMMYFUNCTION("""COMPUTED_VALUE"""),1014.0)</f>
        <v>1014</v>
      </c>
      <c r="E2403" s="2">
        <f>IFERROR(__xludf.DUMMYFUNCTION("""COMPUTED_VALUE"""),1034.1)</f>
        <v>1034.1</v>
      </c>
      <c r="F2403" s="2">
        <f>IFERROR(__xludf.DUMMYFUNCTION("""COMPUTED_VALUE"""),2351057.0)</f>
        <v>2351057</v>
      </c>
    </row>
    <row r="2404">
      <c r="A2404" s="3">
        <f>IFERROR(__xludf.DUMMYFUNCTION("""COMPUTED_VALUE"""),41780.645833333336)</f>
        <v>41780.64583</v>
      </c>
      <c r="B2404" s="2">
        <f>IFERROR(__xludf.DUMMYFUNCTION("""COMPUTED_VALUE"""),1030.6)</f>
        <v>1030.6</v>
      </c>
      <c r="C2404" s="2">
        <f>IFERROR(__xludf.DUMMYFUNCTION("""COMPUTED_VALUE"""),1044.5)</f>
        <v>1044.5</v>
      </c>
      <c r="D2404" s="2">
        <f>IFERROR(__xludf.DUMMYFUNCTION("""COMPUTED_VALUE"""),1027.9)</f>
        <v>1027.9</v>
      </c>
      <c r="E2404" s="2">
        <f>IFERROR(__xludf.DUMMYFUNCTION("""COMPUTED_VALUE"""),1041.43)</f>
        <v>1041.43</v>
      </c>
      <c r="F2404" s="2">
        <f>IFERROR(__xludf.DUMMYFUNCTION("""COMPUTED_VALUE"""),2058473.0)</f>
        <v>2058473</v>
      </c>
    </row>
    <row r="2405">
      <c r="A2405" s="3">
        <f>IFERROR(__xludf.DUMMYFUNCTION("""COMPUTED_VALUE"""),41781.645833333336)</f>
        <v>41781.64583</v>
      </c>
      <c r="B2405" s="2">
        <f>IFERROR(__xludf.DUMMYFUNCTION("""COMPUTED_VALUE"""),1048.38)</f>
        <v>1048.38</v>
      </c>
      <c r="C2405" s="2">
        <f>IFERROR(__xludf.DUMMYFUNCTION("""COMPUTED_VALUE"""),1062.0)</f>
        <v>1062</v>
      </c>
      <c r="D2405" s="2">
        <f>IFERROR(__xludf.DUMMYFUNCTION("""COMPUTED_VALUE"""),1037.55)</f>
        <v>1037.55</v>
      </c>
      <c r="E2405" s="2">
        <f>IFERROR(__xludf.DUMMYFUNCTION("""COMPUTED_VALUE"""),1055.97)</f>
        <v>1055.97</v>
      </c>
      <c r="F2405" s="2">
        <f>IFERROR(__xludf.DUMMYFUNCTION("""COMPUTED_VALUE"""),2108421.0)</f>
        <v>2108421</v>
      </c>
    </row>
    <row r="2406">
      <c r="A2406" s="3">
        <f>IFERROR(__xludf.DUMMYFUNCTION("""COMPUTED_VALUE"""),41782.645833333336)</f>
        <v>41782.64583</v>
      </c>
      <c r="B2406" s="2">
        <f>IFERROR(__xludf.DUMMYFUNCTION("""COMPUTED_VALUE"""),1059.5)</f>
        <v>1059.5</v>
      </c>
      <c r="C2406" s="2">
        <f>IFERROR(__xludf.DUMMYFUNCTION("""COMPUTED_VALUE"""),1074.5)</f>
        <v>1074.5</v>
      </c>
      <c r="D2406" s="2">
        <f>IFERROR(__xludf.DUMMYFUNCTION("""COMPUTED_VALUE"""),1048.0)</f>
        <v>1048</v>
      </c>
      <c r="E2406" s="2">
        <f>IFERROR(__xludf.DUMMYFUNCTION("""COMPUTED_VALUE"""),1063.95)</f>
        <v>1063.95</v>
      </c>
      <c r="F2406" s="2">
        <f>IFERROR(__xludf.DUMMYFUNCTION("""COMPUTED_VALUE"""),1547390.0)</f>
        <v>1547390</v>
      </c>
    </row>
    <row r="2407">
      <c r="A2407" s="3">
        <f>IFERROR(__xludf.DUMMYFUNCTION("""COMPUTED_VALUE"""),41785.645833333336)</f>
        <v>41785.64583</v>
      </c>
      <c r="B2407" s="2">
        <f>IFERROR(__xludf.DUMMYFUNCTION("""COMPUTED_VALUE"""),1074.5)</f>
        <v>1074.5</v>
      </c>
      <c r="C2407" s="2">
        <f>IFERROR(__xludf.DUMMYFUNCTION("""COMPUTED_VALUE"""),1084.8)</f>
        <v>1084.8</v>
      </c>
      <c r="D2407" s="2">
        <f>IFERROR(__xludf.DUMMYFUNCTION("""COMPUTED_VALUE"""),1066.8)</f>
        <v>1066.8</v>
      </c>
      <c r="E2407" s="2">
        <f>IFERROR(__xludf.DUMMYFUNCTION("""COMPUTED_VALUE"""),1077.0)</f>
        <v>1077</v>
      </c>
      <c r="F2407" s="2">
        <f>IFERROR(__xludf.DUMMYFUNCTION("""COMPUTED_VALUE"""),1325425.0)</f>
        <v>1325425</v>
      </c>
    </row>
    <row r="2408">
      <c r="A2408" s="3">
        <f>IFERROR(__xludf.DUMMYFUNCTION("""COMPUTED_VALUE"""),41786.645833333336)</f>
        <v>41786.64583</v>
      </c>
      <c r="B2408" s="2">
        <f>IFERROR(__xludf.DUMMYFUNCTION("""COMPUTED_VALUE"""),1080.07)</f>
        <v>1080.07</v>
      </c>
      <c r="C2408" s="2">
        <f>IFERROR(__xludf.DUMMYFUNCTION("""COMPUTED_VALUE"""),1092.3)</f>
        <v>1092.3</v>
      </c>
      <c r="D2408" s="2">
        <f>IFERROR(__xludf.DUMMYFUNCTION("""COMPUTED_VALUE"""),1059.0)</f>
        <v>1059</v>
      </c>
      <c r="E2408" s="2">
        <f>IFERROR(__xludf.DUMMYFUNCTION("""COMPUTED_VALUE"""),1065.72)</f>
        <v>1065.72</v>
      </c>
      <c r="F2408" s="2">
        <f>IFERROR(__xludf.DUMMYFUNCTION("""COMPUTED_VALUE"""),897547.0)</f>
        <v>897547</v>
      </c>
    </row>
    <row r="2409">
      <c r="A2409" s="3">
        <f>IFERROR(__xludf.DUMMYFUNCTION("""COMPUTED_VALUE"""),41787.645833333336)</f>
        <v>41787.64583</v>
      </c>
      <c r="B2409" s="2">
        <f>IFERROR(__xludf.DUMMYFUNCTION("""COMPUTED_VALUE"""),1070.0)</f>
        <v>1070</v>
      </c>
      <c r="C2409" s="2">
        <f>IFERROR(__xludf.DUMMYFUNCTION("""COMPUTED_VALUE"""),1079.38)</f>
        <v>1079.38</v>
      </c>
      <c r="D2409" s="2">
        <f>IFERROR(__xludf.DUMMYFUNCTION("""COMPUTED_VALUE"""),1061.22)</f>
        <v>1061.22</v>
      </c>
      <c r="E2409" s="2">
        <f>IFERROR(__xludf.DUMMYFUNCTION("""COMPUTED_VALUE"""),1075.28)</f>
        <v>1075.28</v>
      </c>
      <c r="F2409" s="2">
        <f>IFERROR(__xludf.DUMMYFUNCTION("""COMPUTED_VALUE"""),943744.0)</f>
        <v>943744</v>
      </c>
    </row>
    <row r="2410">
      <c r="A2410" s="3">
        <f>IFERROR(__xludf.DUMMYFUNCTION("""COMPUTED_VALUE"""),41788.645833333336)</f>
        <v>41788.64583</v>
      </c>
      <c r="B2410" s="2">
        <f>IFERROR(__xludf.DUMMYFUNCTION("""COMPUTED_VALUE"""),1072.5)</f>
        <v>1072.5</v>
      </c>
      <c r="C2410" s="2">
        <f>IFERROR(__xludf.DUMMYFUNCTION("""COMPUTED_VALUE"""),1090.0)</f>
        <v>1090</v>
      </c>
      <c r="D2410" s="2">
        <f>IFERROR(__xludf.DUMMYFUNCTION("""COMPUTED_VALUE"""),1067.6)</f>
        <v>1067.6</v>
      </c>
      <c r="E2410" s="2">
        <f>IFERROR(__xludf.DUMMYFUNCTION("""COMPUTED_VALUE"""),1079.97)</f>
        <v>1079.97</v>
      </c>
      <c r="F2410" s="2">
        <f>IFERROR(__xludf.DUMMYFUNCTION("""COMPUTED_VALUE"""),1410355.0)</f>
        <v>1410355</v>
      </c>
    </row>
    <row r="2411">
      <c r="A2411" s="3">
        <f>IFERROR(__xludf.DUMMYFUNCTION("""COMPUTED_VALUE"""),41789.645833333336)</f>
        <v>41789.64583</v>
      </c>
      <c r="B2411" s="2">
        <f>IFERROR(__xludf.DUMMYFUNCTION("""COMPUTED_VALUE"""),1079.4)</f>
        <v>1079.4</v>
      </c>
      <c r="C2411" s="2">
        <f>IFERROR(__xludf.DUMMYFUNCTION("""COMPUTED_VALUE"""),1083.5)</f>
        <v>1083.5</v>
      </c>
      <c r="D2411" s="2">
        <f>IFERROR(__xludf.DUMMYFUNCTION("""COMPUTED_VALUE"""),1065.07)</f>
        <v>1065.07</v>
      </c>
      <c r="E2411" s="2">
        <f>IFERROR(__xludf.DUMMYFUNCTION("""COMPUTED_VALUE"""),1070.68)</f>
        <v>1070.68</v>
      </c>
      <c r="F2411" s="2">
        <f>IFERROR(__xludf.DUMMYFUNCTION("""COMPUTED_VALUE"""),1292824.0)</f>
        <v>1292824</v>
      </c>
    </row>
    <row r="2412">
      <c r="A2412" s="3">
        <f>IFERROR(__xludf.DUMMYFUNCTION("""COMPUTED_VALUE"""),41792.645833333336)</f>
        <v>41792.64583</v>
      </c>
      <c r="B2412" s="2">
        <f>IFERROR(__xludf.DUMMYFUNCTION("""COMPUTED_VALUE"""),1072.0)</f>
        <v>1072</v>
      </c>
      <c r="C2412" s="2">
        <f>IFERROR(__xludf.DUMMYFUNCTION("""COMPUTED_VALUE"""),1078.88)</f>
        <v>1078.88</v>
      </c>
      <c r="D2412" s="2">
        <f>IFERROR(__xludf.DUMMYFUNCTION("""COMPUTED_VALUE"""),1058.03)</f>
        <v>1058.03</v>
      </c>
      <c r="E2412" s="2">
        <f>IFERROR(__xludf.DUMMYFUNCTION("""COMPUTED_VALUE"""),1064.93)</f>
        <v>1064.93</v>
      </c>
      <c r="F2412" s="2">
        <f>IFERROR(__xludf.DUMMYFUNCTION("""COMPUTED_VALUE"""),547579.0)</f>
        <v>547579</v>
      </c>
    </row>
    <row r="2413">
      <c r="A2413" s="3">
        <f>IFERROR(__xludf.DUMMYFUNCTION("""COMPUTED_VALUE"""),41793.645833333336)</f>
        <v>41793.64583</v>
      </c>
      <c r="B2413" s="2">
        <f>IFERROR(__xludf.DUMMYFUNCTION("""COMPUTED_VALUE"""),1064.93)</f>
        <v>1064.93</v>
      </c>
      <c r="C2413" s="2">
        <f>IFERROR(__xludf.DUMMYFUNCTION("""COMPUTED_VALUE"""),1069.0)</f>
        <v>1069</v>
      </c>
      <c r="D2413" s="2">
        <f>IFERROR(__xludf.DUMMYFUNCTION("""COMPUTED_VALUE"""),1052.6)</f>
        <v>1052.6</v>
      </c>
      <c r="E2413" s="2">
        <f>IFERROR(__xludf.DUMMYFUNCTION("""COMPUTED_VALUE"""),1064.3)</f>
        <v>1064.3</v>
      </c>
      <c r="F2413" s="2">
        <f>IFERROR(__xludf.DUMMYFUNCTION("""COMPUTED_VALUE"""),1242314.0)</f>
        <v>1242314</v>
      </c>
    </row>
    <row r="2414">
      <c r="A2414" s="3">
        <f>IFERROR(__xludf.DUMMYFUNCTION("""COMPUTED_VALUE"""),41794.645833333336)</f>
        <v>41794.64583</v>
      </c>
      <c r="B2414" s="2">
        <f>IFERROR(__xludf.DUMMYFUNCTION("""COMPUTED_VALUE"""),1065.0)</f>
        <v>1065</v>
      </c>
      <c r="C2414" s="2">
        <f>IFERROR(__xludf.DUMMYFUNCTION("""COMPUTED_VALUE"""),1067.45)</f>
        <v>1067.45</v>
      </c>
      <c r="D2414" s="2">
        <f>IFERROR(__xludf.DUMMYFUNCTION("""COMPUTED_VALUE"""),1038.5)</f>
        <v>1038.5</v>
      </c>
      <c r="E2414" s="2">
        <f>IFERROR(__xludf.DUMMYFUNCTION("""COMPUTED_VALUE"""),1044.63)</f>
        <v>1044.63</v>
      </c>
      <c r="F2414" s="2">
        <f>IFERROR(__xludf.DUMMYFUNCTION("""COMPUTED_VALUE"""),1070531.0)</f>
        <v>1070531</v>
      </c>
    </row>
    <row r="2415">
      <c r="A2415" s="3">
        <f>IFERROR(__xludf.DUMMYFUNCTION("""COMPUTED_VALUE"""),41795.645833333336)</f>
        <v>41795.64583</v>
      </c>
      <c r="B2415" s="2">
        <f>IFERROR(__xludf.DUMMYFUNCTION("""COMPUTED_VALUE"""),1041.55)</f>
        <v>1041.55</v>
      </c>
      <c r="C2415" s="2">
        <f>IFERROR(__xludf.DUMMYFUNCTION("""COMPUTED_VALUE"""),1058.2)</f>
        <v>1058.2</v>
      </c>
      <c r="D2415" s="2">
        <f>IFERROR(__xludf.DUMMYFUNCTION("""COMPUTED_VALUE"""),1034.0)</f>
        <v>1034</v>
      </c>
      <c r="E2415" s="2">
        <f>IFERROR(__xludf.DUMMYFUNCTION("""COMPUTED_VALUE"""),1052.07)</f>
        <v>1052.07</v>
      </c>
      <c r="F2415" s="2">
        <f>IFERROR(__xludf.DUMMYFUNCTION("""COMPUTED_VALUE"""),2174235.0)</f>
        <v>2174235</v>
      </c>
    </row>
    <row r="2416">
      <c r="A2416" s="3">
        <f>IFERROR(__xludf.DUMMYFUNCTION("""COMPUTED_VALUE"""),41796.645833333336)</f>
        <v>41796.64583</v>
      </c>
      <c r="B2416" s="2">
        <f>IFERROR(__xludf.DUMMYFUNCTION("""COMPUTED_VALUE"""),1050.07)</f>
        <v>1050.07</v>
      </c>
      <c r="C2416" s="2">
        <f>IFERROR(__xludf.DUMMYFUNCTION("""COMPUTED_VALUE"""),1053.9)</f>
        <v>1053.9</v>
      </c>
      <c r="D2416" s="2">
        <f>IFERROR(__xludf.DUMMYFUNCTION("""COMPUTED_VALUE"""),1028.0)</f>
        <v>1028</v>
      </c>
      <c r="E2416" s="2">
        <f>IFERROR(__xludf.DUMMYFUNCTION("""COMPUTED_VALUE"""),1042.13)</f>
        <v>1042.13</v>
      </c>
      <c r="F2416" s="2">
        <f>IFERROR(__xludf.DUMMYFUNCTION("""COMPUTED_VALUE"""),1680793.0)</f>
        <v>1680793</v>
      </c>
    </row>
    <row r="2417">
      <c r="A2417" s="3">
        <f>IFERROR(__xludf.DUMMYFUNCTION("""COMPUTED_VALUE"""),41799.645833333336)</f>
        <v>41799.64583</v>
      </c>
      <c r="B2417" s="2">
        <f>IFERROR(__xludf.DUMMYFUNCTION("""COMPUTED_VALUE"""),1043.5)</f>
        <v>1043.5</v>
      </c>
      <c r="C2417" s="2">
        <f>IFERROR(__xludf.DUMMYFUNCTION("""COMPUTED_VALUE"""),1059.0)</f>
        <v>1059</v>
      </c>
      <c r="D2417" s="2">
        <f>IFERROR(__xludf.DUMMYFUNCTION("""COMPUTED_VALUE"""),1040.0)</f>
        <v>1040</v>
      </c>
      <c r="E2417" s="2">
        <f>IFERROR(__xludf.DUMMYFUNCTION("""COMPUTED_VALUE"""),1056.9)</f>
        <v>1056.9</v>
      </c>
      <c r="F2417" s="2">
        <f>IFERROR(__xludf.DUMMYFUNCTION("""COMPUTED_VALUE"""),1333098.0)</f>
        <v>1333098</v>
      </c>
    </row>
    <row r="2418">
      <c r="A2418" s="3">
        <f>IFERROR(__xludf.DUMMYFUNCTION("""COMPUTED_VALUE"""),41800.645833333336)</f>
        <v>41800.64583</v>
      </c>
      <c r="B2418" s="2">
        <f>IFERROR(__xludf.DUMMYFUNCTION("""COMPUTED_VALUE"""),1057.5)</f>
        <v>1057.5</v>
      </c>
      <c r="C2418" s="2">
        <f>IFERROR(__xludf.DUMMYFUNCTION("""COMPUTED_VALUE"""),1080.47)</f>
        <v>1080.47</v>
      </c>
      <c r="D2418" s="2">
        <f>IFERROR(__xludf.DUMMYFUNCTION("""COMPUTED_VALUE"""),1057.5)</f>
        <v>1057.5</v>
      </c>
      <c r="E2418" s="2">
        <f>IFERROR(__xludf.DUMMYFUNCTION("""COMPUTED_VALUE"""),1079.07)</f>
        <v>1079.07</v>
      </c>
      <c r="F2418" s="2">
        <f>IFERROR(__xludf.DUMMYFUNCTION("""COMPUTED_VALUE"""),1314034.0)</f>
        <v>1314034</v>
      </c>
    </row>
    <row r="2419">
      <c r="A2419" s="3">
        <f>IFERROR(__xludf.DUMMYFUNCTION("""COMPUTED_VALUE"""),41801.645833333336)</f>
        <v>41801.64583</v>
      </c>
      <c r="B2419" s="2">
        <f>IFERROR(__xludf.DUMMYFUNCTION("""COMPUTED_VALUE"""),1082.5)</f>
        <v>1082.5</v>
      </c>
      <c r="C2419" s="2">
        <f>IFERROR(__xludf.DUMMYFUNCTION("""COMPUTED_VALUE"""),1107.0)</f>
        <v>1107</v>
      </c>
      <c r="D2419" s="2">
        <f>IFERROR(__xludf.DUMMYFUNCTION("""COMPUTED_VALUE"""),1069.1)</f>
        <v>1069.1</v>
      </c>
      <c r="E2419" s="2">
        <f>IFERROR(__xludf.DUMMYFUNCTION("""COMPUTED_VALUE"""),1103.47)</f>
        <v>1103.47</v>
      </c>
      <c r="F2419" s="2">
        <f>IFERROR(__xludf.DUMMYFUNCTION("""COMPUTED_VALUE"""),1772281.0)</f>
        <v>1772281</v>
      </c>
    </row>
    <row r="2420">
      <c r="A2420" s="3">
        <f>IFERROR(__xludf.DUMMYFUNCTION("""COMPUTED_VALUE"""),41802.645833333336)</f>
        <v>41802.64583</v>
      </c>
      <c r="B2420" s="2">
        <f>IFERROR(__xludf.DUMMYFUNCTION("""COMPUTED_VALUE"""),1124.5)</f>
        <v>1124.5</v>
      </c>
      <c r="C2420" s="2">
        <f>IFERROR(__xludf.DUMMYFUNCTION("""COMPUTED_VALUE"""),1127.0)</f>
        <v>1127</v>
      </c>
      <c r="D2420" s="2">
        <f>IFERROR(__xludf.DUMMYFUNCTION("""COMPUTED_VALUE"""),1091.9)</f>
        <v>1091.9</v>
      </c>
      <c r="E2420" s="2">
        <f>IFERROR(__xludf.DUMMYFUNCTION("""COMPUTED_VALUE"""),1118.68)</f>
        <v>1118.68</v>
      </c>
      <c r="F2420" s="2">
        <f>IFERROR(__xludf.DUMMYFUNCTION("""COMPUTED_VALUE"""),1367169.0)</f>
        <v>1367169</v>
      </c>
    </row>
    <row r="2421">
      <c r="A2421" s="3">
        <f>IFERROR(__xludf.DUMMYFUNCTION("""COMPUTED_VALUE"""),41803.645833333336)</f>
        <v>41803.64583</v>
      </c>
      <c r="B2421" s="2">
        <f>IFERROR(__xludf.DUMMYFUNCTION("""COMPUTED_VALUE"""),1119.0)</f>
        <v>1119</v>
      </c>
      <c r="C2421" s="2">
        <f>IFERROR(__xludf.DUMMYFUNCTION("""COMPUTED_VALUE"""),1119.5)</f>
        <v>1119.5</v>
      </c>
      <c r="D2421" s="2">
        <f>IFERROR(__xludf.DUMMYFUNCTION("""COMPUTED_VALUE"""),1092.53)</f>
        <v>1092.53</v>
      </c>
      <c r="E2421" s="2">
        <f>IFERROR(__xludf.DUMMYFUNCTION("""COMPUTED_VALUE"""),1106.78)</f>
        <v>1106.78</v>
      </c>
      <c r="F2421" s="2">
        <f>IFERROR(__xludf.DUMMYFUNCTION("""COMPUTED_VALUE"""),952011.0)</f>
        <v>952011</v>
      </c>
    </row>
    <row r="2422">
      <c r="A2422" s="3">
        <f>IFERROR(__xludf.DUMMYFUNCTION("""COMPUTED_VALUE"""),41806.645833333336)</f>
        <v>41806.64583</v>
      </c>
      <c r="B2422" s="2">
        <f>IFERROR(__xludf.DUMMYFUNCTION("""COMPUTED_VALUE"""),1105.0)</f>
        <v>1105</v>
      </c>
      <c r="C2422" s="2">
        <f>IFERROR(__xludf.DUMMYFUNCTION("""COMPUTED_VALUE"""),1138.47)</f>
        <v>1138.47</v>
      </c>
      <c r="D2422" s="2">
        <f>IFERROR(__xludf.DUMMYFUNCTION("""COMPUTED_VALUE"""),1105.0)</f>
        <v>1105</v>
      </c>
      <c r="E2422" s="2">
        <f>IFERROR(__xludf.DUMMYFUNCTION("""COMPUTED_VALUE"""),1134.88)</f>
        <v>1134.88</v>
      </c>
      <c r="F2422" s="2">
        <f>IFERROR(__xludf.DUMMYFUNCTION("""COMPUTED_VALUE"""),1219953.0)</f>
        <v>1219953</v>
      </c>
    </row>
    <row r="2423">
      <c r="A2423" s="3">
        <f>IFERROR(__xludf.DUMMYFUNCTION("""COMPUTED_VALUE"""),41807.645833333336)</f>
        <v>41807.64583</v>
      </c>
      <c r="B2423" s="2">
        <f>IFERROR(__xludf.DUMMYFUNCTION("""COMPUTED_VALUE"""),1142.45)</f>
        <v>1142.45</v>
      </c>
      <c r="C2423" s="2">
        <f>IFERROR(__xludf.DUMMYFUNCTION("""COMPUTED_VALUE"""),1148.5)</f>
        <v>1148.5</v>
      </c>
      <c r="D2423" s="2">
        <f>IFERROR(__xludf.DUMMYFUNCTION("""COMPUTED_VALUE"""),1135.5)</f>
        <v>1135.5</v>
      </c>
      <c r="E2423" s="2">
        <f>IFERROR(__xludf.DUMMYFUNCTION("""COMPUTED_VALUE"""),1139.93)</f>
        <v>1139.93</v>
      </c>
      <c r="F2423" s="2">
        <f>IFERROR(__xludf.DUMMYFUNCTION("""COMPUTED_VALUE"""),959072.0)</f>
        <v>959072</v>
      </c>
    </row>
    <row r="2424">
      <c r="A2424" s="3">
        <f>IFERROR(__xludf.DUMMYFUNCTION("""COMPUTED_VALUE"""),41808.645833333336)</f>
        <v>41808.64583</v>
      </c>
      <c r="B2424" s="2">
        <f>IFERROR(__xludf.DUMMYFUNCTION("""COMPUTED_VALUE"""),1146.5)</f>
        <v>1146.5</v>
      </c>
      <c r="C2424" s="2">
        <f>IFERROR(__xludf.DUMMYFUNCTION("""COMPUTED_VALUE"""),1146.5)</f>
        <v>1146.5</v>
      </c>
      <c r="D2424" s="2">
        <f>IFERROR(__xludf.DUMMYFUNCTION("""COMPUTED_VALUE"""),1110.65)</f>
        <v>1110.65</v>
      </c>
      <c r="E2424" s="2">
        <f>IFERROR(__xludf.DUMMYFUNCTION("""COMPUTED_VALUE"""),1113.53)</f>
        <v>1113.53</v>
      </c>
      <c r="F2424" s="2">
        <f>IFERROR(__xludf.DUMMYFUNCTION("""COMPUTED_VALUE"""),974412.0)</f>
        <v>974412</v>
      </c>
    </row>
    <row r="2425">
      <c r="A2425" s="3">
        <f>IFERROR(__xludf.DUMMYFUNCTION("""COMPUTED_VALUE"""),41809.645833333336)</f>
        <v>41809.64583</v>
      </c>
      <c r="B2425" s="2">
        <f>IFERROR(__xludf.DUMMYFUNCTION("""COMPUTED_VALUE"""),1115.0)</f>
        <v>1115</v>
      </c>
      <c r="C2425" s="2">
        <f>IFERROR(__xludf.DUMMYFUNCTION("""COMPUTED_VALUE"""),1144.5)</f>
        <v>1144.5</v>
      </c>
      <c r="D2425" s="2">
        <f>IFERROR(__xludf.DUMMYFUNCTION("""COMPUTED_VALUE"""),1105.05)</f>
        <v>1105.05</v>
      </c>
      <c r="E2425" s="2">
        <f>IFERROR(__xludf.DUMMYFUNCTION("""COMPUTED_VALUE"""),1138.03)</f>
        <v>1138.03</v>
      </c>
      <c r="F2425" s="2">
        <f>IFERROR(__xludf.DUMMYFUNCTION("""COMPUTED_VALUE"""),948177.0)</f>
        <v>948177</v>
      </c>
    </row>
    <row r="2426">
      <c r="A2426" s="3">
        <f>IFERROR(__xludf.DUMMYFUNCTION("""COMPUTED_VALUE"""),41810.645833333336)</f>
        <v>41810.64583</v>
      </c>
      <c r="B2426" s="2">
        <f>IFERROR(__xludf.DUMMYFUNCTION("""COMPUTED_VALUE"""),1142.45)</f>
        <v>1142.45</v>
      </c>
      <c r="C2426" s="2">
        <f>IFERROR(__xludf.DUMMYFUNCTION("""COMPUTED_VALUE"""),1149.5)</f>
        <v>1149.5</v>
      </c>
      <c r="D2426" s="2">
        <f>IFERROR(__xludf.DUMMYFUNCTION("""COMPUTED_VALUE"""),1131.0)</f>
        <v>1131</v>
      </c>
      <c r="E2426" s="2">
        <f>IFERROR(__xludf.DUMMYFUNCTION("""COMPUTED_VALUE"""),1146.2)</f>
        <v>1146.2</v>
      </c>
      <c r="F2426" s="2">
        <f>IFERROR(__xludf.DUMMYFUNCTION("""COMPUTED_VALUE"""),577837.0)</f>
        <v>577837</v>
      </c>
    </row>
    <row r="2427">
      <c r="A2427" s="3">
        <f>IFERROR(__xludf.DUMMYFUNCTION("""COMPUTED_VALUE"""),41813.645833333336)</f>
        <v>41813.64583</v>
      </c>
      <c r="B2427" s="2">
        <f>IFERROR(__xludf.DUMMYFUNCTION("""COMPUTED_VALUE"""),1146.5)</f>
        <v>1146.5</v>
      </c>
      <c r="C2427" s="2">
        <f>IFERROR(__xludf.DUMMYFUNCTION("""COMPUTED_VALUE"""),1149.95)</f>
        <v>1149.95</v>
      </c>
      <c r="D2427" s="2">
        <f>IFERROR(__xludf.DUMMYFUNCTION("""COMPUTED_VALUE"""),1127.03)</f>
        <v>1127.03</v>
      </c>
      <c r="E2427" s="2">
        <f>IFERROR(__xludf.DUMMYFUNCTION("""COMPUTED_VALUE"""),1134.43)</f>
        <v>1134.43</v>
      </c>
      <c r="F2427" s="2">
        <f>IFERROR(__xludf.DUMMYFUNCTION("""COMPUTED_VALUE"""),631367.0)</f>
        <v>631367</v>
      </c>
    </row>
    <row r="2428">
      <c r="A2428" s="3">
        <f>IFERROR(__xludf.DUMMYFUNCTION("""COMPUTED_VALUE"""),41814.645833333336)</f>
        <v>41814.64583</v>
      </c>
      <c r="B2428" s="2">
        <f>IFERROR(__xludf.DUMMYFUNCTION("""COMPUTED_VALUE"""),1134.5)</f>
        <v>1134.5</v>
      </c>
      <c r="C2428" s="2">
        <f>IFERROR(__xludf.DUMMYFUNCTION("""COMPUTED_VALUE"""),1159.75)</f>
        <v>1159.75</v>
      </c>
      <c r="D2428" s="2">
        <f>IFERROR(__xludf.DUMMYFUNCTION("""COMPUTED_VALUE"""),1127.5)</f>
        <v>1127.5</v>
      </c>
      <c r="E2428" s="2">
        <f>IFERROR(__xludf.DUMMYFUNCTION("""COMPUTED_VALUE"""),1154.53)</f>
        <v>1154.53</v>
      </c>
      <c r="F2428" s="2">
        <f>IFERROR(__xludf.DUMMYFUNCTION("""COMPUTED_VALUE"""),739550.0)</f>
        <v>739550</v>
      </c>
    </row>
    <row r="2429">
      <c r="A2429" s="3">
        <f>IFERROR(__xludf.DUMMYFUNCTION("""COMPUTED_VALUE"""),41815.645833333336)</f>
        <v>41815.64583</v>
      </c>
      <c r="B2429" s="2">
        <f>IFERROR(__xludf.DUMMYFUNCTION("""COMPUTED_VALUE"""),1155.0)</f>
        <v>1155</v>
      </c>
      <c r="C2429" s="2">
        <f>IFERROR(__xludf.DUMMYFUNCTION("""COMPUTED_VALUE"""),1160.0)</f>
        <v>1160</v>
      </c>
      <c r="D2429" s="2">
        <f>IFERROR(__xludf.DUMMYFUNCTION("""COMPUTED_VALUE"""),1146.5)</f>
        <v>1146.5</v>
      </c>
      <c r="E2429" s="2">
        <f>IFERROR(__xludf.DUMMYFUNCTION("""COMPUTED_VALUE"""),1155.28)</f>
        <v>1155.28</v>
      </c>
      <c r="F2429" s="2">
        <f>IFERROR(__xludf.DUMMYFUNCTION("""COMPUTED_VALUE"""),514211.0)</f>
        <v>514211</v>
      </c>
    </row>
    <row r="2430">
      <c r="A2430" s="3">
        <f>IFERROR(__xludf.DUMMYFUNCTION("""COMPUTED_VALUE"""),41816.645833333336)</f>
        <v>41816.64583</v>
      </c>
      <c r="B2430" s="2">
        <f>IFERROR(__xludf.DUMMYFUNCTION("""COMPUTED_VALUE"""),1148.0)</f>
        <v>1148</v>
      </c>
      <c r="C2430" s="2">
        <f>IFERROR(__xludf.DUMMYFUNCTION("""COMPUTED_VALUE"""),1172.07)</f>
        <v>1172.07</v>
      </c>
      <c r="D2430" s="2">
        <f>IFERROR(__xludf.DUMMYFUNCTION("""COMPUTED_VALUE"""),1145.57)</f>
        <v>1145.57</v>
      </c>
      <c r="E2430" s="2">
        <f>IFERROR(__xludf.DUMMYFUNCTION("""COMPUTED_VALUE"""),1153.82)</f>
        <v>1153.82</v>
      </c>
      <c r="F2430" s="2">
        <f>IFERROR(__xludf.DUMMYFUNCTION("""COMPUTED_VALUE"""),1018091.0)</f>
        <v>1018091</v>
      </c>
    </row>
    <row r="2431">
      <c r="A2431" s="3">
        <f>IFERROR(__xludf.DUMMYFUNCTION("""COMPUTED_VALUE"""),41817.645833333336)</f>
        <v>41817.64583</v>
      </c>
      <c r="B2431" s="2">
        <f>IFERROR(__xludf.DUMMYFUNCTION("""COMPUTED_VALUE"""),1158.5)</f>
        <v>1158.5</v>
      </c>
      <c r="C2431" s="2">
        <f>IFERROR(__xludf.DUMMYFUNCTION("""COMPUTED_VALUE"""),1203.45)</f>
        <v>1203.45</v>
      </c>
      <c r="D2431" s="2">
        <f>IFERROR(__xludf.DUMMYFUNCTION("""COMPUTED_VALUE"""),1157.5)</f>
        <v>1157.5</v>
      </c>
      <c r="E2431" s="2">
        <f>IFERROR(__xludf.DUMMYFUNCTION("""COMPUTED_VALUE"""),1199.78)</f>
        <v>1199.78</v>
      </c>
      <c r="F2431" s="2">
        <f>IFERROR(__xludf.DUMMYFUNCTION("""COMPUTED_VALUE"""),1529418.0)</f>
        <v>1529418</v>
      </c>
    </row>
    <row r="2432">
      <c r="A2432" s="3">
        <f>IFERROR(__xludf.DUMMYFUNCTION("""COMPUTED_VALUE"""),41820.645833333336)</f>
        <v>41820.64583</v>
      </c>
      <c r="B2432" s="2">
        <f>IFERROR(__xludf.DUMMYFUNCTION("""COMPUTED_VALUE"""),1200.28)</f>
        <v>1200.28</v>
      </c>
      <c r="C2432" s="2">
        <f>IFERROR(__xludf.DUMMYFUNCTION("""COMPUTED_VALUE"""),1217.5)</f>
        <v>1217.5</v>
      </c>
      <c r="D2432" s="2">
        <f>IFERROR(__xludf.DUMMYFUNCTION("""COMPUTED_VALUE"""),1188.3)</f>
        <v>1188.3</v>
      </c>
      <c r="E2432" s="2">
        <f>IFERROR(__xludf.DUMMYFUNCTION("""COMPUTED_VALUE"""),1212.7)</f>
        <v>1212.7</v>
      </c>
      <c r="F2432" s="2">
        <f>IFERROR(__xludf.DUMMYFUNCTION("""COMPUTED_VALUE"""),1073235.0)</f>
        <v>1073235</v>
      </c>
    </row>
    <row r="2433">
      <c r="A2433" s="3">
        <f>IFERROR(__xludf.DUMMYFUNCTION("""COMPUTED_VALUE"""),41821.645833333336)</f>
        <v>41821.64583</v>
      </c>
      <c r="B2433" s="2">
        <f>IFERROR(__xludf.DUMMYFUNCTION("""COMPUTED_VALUE"""),1209.45)</f>
        <v>1209.45</v>
      </c>
      <c r="C2433" s="2">
        <f>IFERROR(__xludf.DUMMYFUNCTION("""COMPUTED_VALUE"""),1209.5)</f>
        <v>1209.5</v>
      </c>
      <c r="D2433" s="2">
        <f>IFERROR(__xludf.DUMMYFUNCTION("""COMPUTED_VALUE"""),1191.15)</f>
        <v>1191.15</v>
      </c>
      <c r="E2433" s="2">
        <f>IFERROR(__xludf.DUMMYFUNCTION("""COMPUTED_VALUE"""),1195.38)</f>
        <v>1195.38</v>
      </c>
      <c r="F2433" s="2">
        <f>IFERROR(__xludf.DUMMYFUNCTION("""COMPUTED_VALUE"""),546395.0)</f>
        <v>546395</v>
      </c>
    </row>
    <row r="2434">
      <c r="A2434" s="3">
        <f>IFERROR(__xludf.DUMMYFUNCTION("""COMPUTED_VALUE"""),41822.645833333336)</f>
        <v>41822.64583</v>
      </c>
      <c r="B2434" s="2">
        <f>IFERROR(__xludf.DUMMYFUNCTION("""COMPUTED_VALUE"""),1200.0)</f>
        <v>1200</v>
      </c>
      <c r="C2434" s="2">
        <f>IFERROR(__xludf.DUMMYFUNCTION("""COMPUTED_VALUE"""),1205.88)</f>
        <v>1205.88</v>
      </c>
      <c r="D2434" s="2">
        <f>IFERROR(__xludf.DUMMYFUNCTION("""COMPUTED_VALUE"""),1191.75)</f>
        <v>1191.75</v>
      </c>
      <c r="E2434" s="2">
        <f>IFERROR(__xludf.DUMMYFUNCTION("""COMPUTED_VALUE"""),1200.8)</f>
        <v>1200.8</v>
      </c>
      <c r="F2434" s="2">
        <f>IFERROR(__xludf.DUMMYFUNCTION("""COMPUTED_VALUE"""),453870.0)</f>
        <v>453870</v>
      </c>
    </row>
    <row r="2435">
      <c r="A2435" s="3">
        <f>IFERROR(__xludf.DUMMYFUNCTION("""COMPUTED_VALUE"""),41823.645833333336)</f>
        <v>41823.64583</v>
      </c>
      <c r="B2435" s="2">
        <f>IFERROR(__xludf.DUMMYFUNCTION("""COMPUTED_VALUE"""),1199.5)</f>
        <v>1199.5</v>
      </c>
      <c r="C2435" s="2">
        <f>IFERROR(__xludf.DUMMYFUNCTION("""COMPUTED_VALUE"""),1222.5)</f>
        <v>1222.5</v>
      </c>
      <c r="D2435" s="2">
        <f>IFERROR(__xludf.DUMMYFUNCTION("""COMPUTED_VALUE"""),1196.0)</f>
        <v>1196</v>
      </c>
      <c r="E2435" s="2">
        <f>IFERROR(__xludf.DUMMYFUNCTION("""COMPUTED_VALUE"""),1208.95)</f>
        <v>1208.95</v>
      </c>
      <c r="F2435" s="2">
        <f>IFERROR(__xludf.DUMMYFUNCTION("""COMPUTED_VALUE"""),763381.0)</f>
        <v>763381</v>
      </c>
    </row>
    <row r="2436">
      <c r="A2436" s="3">
        <f>IFERROR(__xludf.DUMMYFUNCTION("""COMPUTED_VALUE"""),41824.645833333336)</f>
        <v>41824.64583</v>
      </c>
      <c r="B2436" s="2">
        <f>IFERROR(__xludf.DUMMYFUNCTION("""COMPUTED_VALUE"""),1206.2)</f>
        <v>1206.2</v>
      </c>
      <c r="C2436" s="2">
        <f>IFERROR(__xludf.DUMMYFUNCTION("""COMPUTED_VALUE"""),1212.75)</f>
        <v>1212.75</v>
      </c>
      <c r="D2436" s="2">
        <f>IFERROR(__xludf.DUMMYFUNCTION("""COMPUTED_VALUE"""),1200.5)</f>
        <v>1200.5</v>
      </c>
      <c r="E2436" s="2">
        <f>IFERROR(__xludf.DUMMYFUNCTION("""COMPUTED_VALUE"""),1205.25)</f>
        <v>1205.25</v>
      </c>
      <c r="F2436" s="2">
        <f>IFERROR(__xludf.DUMMYFUNCTION("""COMPUTED_VALUE"""),268068.0)</f>
        <v>268068</v>
      </c>
    </row>
    <row r="2437">
      <c r="A2437" s="3">
        <f>IFERROR(__xludf.DUMMYFUNCTION("""COMPUTED_VALUE"""),41827.645833333336)</f>
        <v>41827.64583</v>
      </c>
      <c r="B2437" s="2">
        <f>IFERROR(__xludf.DUMMYFUNCTION("""COMPUTED_VALUE"""),1210.03)</f>
        <v>1210.03</v>
      </c>
      <c r="C2437" s="2">
        <f>IFERROR(__xludf.DUMMYFUNCTION("""COMPUTED_VALUE"""),1249.0)</f>
        <v>1249</v>
      </c>
      <c r="D2437" s="2">
        <f>IFERROR(__xludf.DUMMYFUNCTION("""COMPUTED_VALUE"""),1205.2)</f>
        <v>1205.2</v>
      </c>
      <c r="E2437" s="2">
        <f>IFERROR(__xludf.DUMMYFUNCTION("""COMPUTED_VALUE"""),1244.28)</f>
        <v>1244.28</v>
      </c>
      <c r="F2437" s="2">
        <f>IFERROR(__xludf.DUMMYFUNCTION("""COMPUTED_VALUE"""),1102451.0)</f>
        <v>1102451</v>
      </c>
    </row>
    <row r="2438">
      <c r="A2438" s="3">
        <f>IFERROR(__xludf.DUMMYFUNCTION("""COMPUTED_VALUE"""),41828.645833333336)</f>
        <v>41828.64583</v>
      </c>
      <c r="B2438" s="2">
        <f>IFERROR(__xludf.DUMMYFUNCTION("""COMPUTED_VALUE"""),1242.47)</f>
        <v>1242.47</v>
      </c>
      <c r="C2438" s="2">
        <f>IFERROR(__xludf.DUMMYFUNCTION("""COMPUTED_VALUE"""),1243.07)</f>
        <v>1243.07</v>
      </c>
      <c r="D2438" s="2">
        <f>IFERROR(__xludf.DUMMYFUNCTION("""COMPUTED_VALUE"""),1216.63)</f>
        <v>1216.63</v>
      </c>
      <c r="E2438" s="2">
        <f>IFERROR(__xludf.DUMMYFUNCTION("""COMPUTED_VALUE"""),1224.72)</f>
        <v>1224.72</v>
      </c>
      <c r="F2438" s="2">
        <f>IFERROR(__xludf.DUMMYFUNCTION("""COMPUTED_VALUE"""),1250294.0)</f>
        <v>1250294</v>
      </c>
    </row>
    <row r="2439">
      <c r="A2439" s="3">
        <f>IFERROR(__xludf.DUMMYFUNCTION("""COMPUTED_VALUE"""),41829.645833333336)</f>
        <v>41829.64583</v>
      </c>
      <c r="B2439" s="2">
        <f>IFERROR(__xludf.DUMMYFUNCTION("""COMPUTED_VALUE"""),1235.0)</f>
        <v>1235</v>
      </c>
      <c r="C2439" s="2">
        <f>IFERROR(__xludf.DUMMYFUNCTION("""COMPUTED_VALUE"""),1236.32)</f>
        <v>1236.32</v>
      </c>
      <c r="D2439" s="2">
        <f>IFERROR(__xludf.DUMMYFUNCTION("""COMPUTED_VALUE"""),1190.8)</f>
        <v>1190.8</v>
      </c>
      <c r="E2439" s="2">
        <f>IFERROR(__xludf.DUMMYFUNCTION("""COMPUTED_VALUE"""),1199.07)</f>
        <v>1199.07</v>
      </c>
      <c r="F2439" s="2">
        <f>IFERROR(__xludf.DUMMYFUNCTION("""COMPUTED_VALUE"""),777121.0)</f>
        <v>777121</v>
      </c>
    </row>
    <row r="2440">
      <c r="A2440" s="3">
        <f>IFERROR(__xludf.DUMMYFUNCTION("""COMPUTED_VALUE"""),41830.645833333336)</f>
        <v>41830.64583</v>
      </c>
      <c r="B2440" s="2">
        <f>IFERROR(__xludf.DUMMYFUNCTION("""COMPUTED_VALUE"""),1199.78)</f>
        <v>1199.78</v>
      </c>
      <c r="C2440" s="2">
        <f>IFERROR(__xludf.DUMMYFUNCTION("""COMPUTED_VALUE"""),1209.8)</f>
        <v>1209.8</v>
      </c>
      <c r="D2440" s="2">
        <f>IFERROR(__xludf.DUMMYFUNCTION("""COMPUTED_VALUE"""),1167.5)</f>
        <v>1167.5</v>
      </c>
      <c r="E2440" s="2">
        <f>IFERROR(__xludf.DUMMYFUNCTION("""COMPUTED_VALUE"""),1175.9)</f>
        <v>1175.9</v>
      </c>
      <c r="F2440" s="2">
        <f>IFERROR(__xludf.DUMMYFUNCTION("""COMPUTED_VALUE"""),995281.0)</f>
        <v>995281</v>
      </c>
    </row>
    <row r="2441">
      <c r="A2441" s="3">
        <f>IFERROR(__xludf.DUMMYFUNCTION("""COMPUTED_VALUE"""),41831.645833333336)</f>
        <v>41831.64583</v>
      </c>
      <c r="B2441" s="2">
        <f>IFERROR(__xludf.DUMMYFUNCTION("""COMPUTED_VALUE"""),1185.5)</f>
        <v>1185.5</v>
      </c>
      <c r="C2441" s="2">
        <f>IFERROR(__xludf.DUMMYFUNCTION("""COMPUTED_VALUE"""),1205.0)</f>
        <v>1205</v>
      </c>
      <c r="D2441" s="2">
        <f>IFERROR(__xludf.DUMMYFUNCTION("""COMPUTED_VALUE"""),1180.55)</f>
        <v>1180.55</v>
      </c>
      <c r="E2441" s="2">
        <f>IFERROR(__xludf.DUMMYFUNCTION("""COMPUTED_VALUE"""),1197.22)</f>
        <v>1197.22</v>
      </c>
      <c r="F2441" s="2">
        <f>IFERROR(__xludf.DUMMYFUNCTION("""COMPUTED_VALUE"""),664723.0)</f>
        <v>664723</v>
      </c>
    </row>
    <row r="2442">
      <c r="A2442" s="3">
        <f>IFERROR(__xludf.DUMMYFUNCTION("""COMPUTED_VALUE"""),41834.645833333336)</f>
        <v>41834.64583</v>
      </c>
      <c r="B2442" s="2">
        <f>IFERROR(__xludf.DUMMYFUNCTION("""COMPUTED_VALUE"""),1209.4)</f>
        <v>1209.4</v>
      </c>
      <c r="C2442" s="2">
        <f>IFERROR(__xludf.DUMMYFUNCTION("""COMPUTED_VALUE"""),1219.5)</f>
        <v>1219.5</v>
      </c>
      <c r="D2442" s="2">
        <f>IFERROR(__xludf.DUMMYFUNCTION("""COMPUTED_VALUE"""),1192.63)</f>
        <v>1192.63</v>
      </c>
      <c r="E2442" s="2">
        <f>IFERROR(__xludf.DUMMYFUNCTION("""COMPUTED_VALUE"""),1213.13)</f>
        <v>1213.13</v>
      </c>
      <c r="F2442" s="2">
        <f>IFERROR(__xludf.DUMMYFUNCTION("""COMPUTED_VALUE"""),793962.0)</f>
        <v>793962</v>
      </c>
    </row>
    <row r="2443">
      <c r="A2443" s="3">
        <f>IFERROR(__xludf.DUMMYFUNCTION("""COMPUTED_VALUE"""),41835.645833333336)</f>
        <v>41835.64583</v>
      </c>
      <c r="B2443" s="2">
        <f>IFERROR(__xludf.DUMMYFUNCTION("""COMPUTED_VALUE"""),1213.1)</f>
        <v>1213.1</v>
      </c>
      <c r="C2443" s="2">
        <f>IFERROR(__xludf.DUMMYFUNCTION("""COMPUTED_VALUE"""),1215.0)</f>
        <v>1215</v>
      </c>
      <c r="D2443" s="2">
        <f>IFERROR(__xludf.DUMMYFUNCTION("""COMPUTED_VALUE"""),1196.88)</f>
        <v>1196.88</v>
      </c>
      <c r="E2443" s="2">
        <f>IFERROR(__xludf.DUMMYFUNCTION("""COMPUTED_VALUE"""),1199.65)</f>
        <v>1199.65</v>
      </c>
      <c r="F2443" s="2">
        <f>IFERROR(__xludf.DUMMYFUNCTION("""COMPUTED_VALUE"""),694828.0)</f>
        <v>694828</v>
      </c>
    </row>
    <row r="2444">
      <c r="A2444" s="3">
        <f>IFERROR(__xludf.DUMMYFUNCTION("""COMPUTED_VALUE"""),41836.645833333336)</f>
        <v>41836.64583</v>
      </c>
      <c r="B2444" s="2">
        <f>IFERROR(__xludf.DUMMYFUNCTION("""COMPUTED_VALUE"""),1204.82)</f>
        <v>1204.82</v>
      </c>
      <c r="C2444" s="2">
        <f>IFERROR(__xludf.DUMMYFUNCTION("""COMPUTED_VALUE"""),1212.0)</f>
        <v>1212</v>
      </c>
      <c r="D2444" s="2">
        <f>IFERROR(__xludf.DUMMYFUNCTION("""COMPUTED_VALUE"""),1193.43)</f>
        <v>1193.43</v>
      </c>
      <c r="E2444" s="2">
        <f>IFERROR(__xludf.DUMMYFUNCTION("""COMPUTED_VALUE"""),1200.93)</f>
        <v>1200.93</v>
      </c>
      <c r="F2444" s="2">
        <f>IFERROR(__xludf.DUMMYFUNCTION("""COMPUTED_VALUE"""),703620.0)</f>
        <v>703620</v>
      </c>
    </row>
    <row r="2445">
      <c r="A2445" s="3">
        <f>IFERROR(__xludf.DUMMYFUNCTION("""COMPUTED_VALUE"""),41837.645833333336)</f>
        <v>41837.64583</v>
      </c>
      <c r="B2445" s="2">
        <f>IFERROR(__xludf.DUMMYFUNCTION("""COMPUTED_VALUE"""),1205.0)</f>
        <v>1205</v>
      </c>
      <c r="C2445" s="2">
        <f>IFERROR(__xludf.DUMMYFUNCTION("""COMPUTED_VALUE"""),1214.9)</f>
        <v>1214.9</v>
      </c>
      <c r="D2445" s="2">
        <f>IFERROR(__xludf.DUMMYFUNCTION("""COMPUTED_VALUE"""),1187.5)</f>
        <v>1187.5</v>
      </c>
      <c r="E2445" s="2">
        <f>IFERROR(__xludf.DUMMYFUNCTION("""COMPUTED_VALUE"""),1190.97)</f>
        <v>1190.97</v>
      </c>
      <c r="F2445" s="2">
        <f>IFERROR(__xludf.DUMMYFUNCTION("""COMPUTED_VALUE"""),895110.0)</f>
        <v>895110</v>
      </c>
    </row>
    <row r="2446">
      <c r="A2446" s="3">
        <f>IFERROR(__xludf.DUMMYFUNCTION("""COMPUTED_VALUE"""),41838.645833333336)</f>
        <v>41838.64583</v>
      </c>
      <c r="B2446" s="2">
        <f>IFERROR(__xludf.DUMMYFUNCTION("""COMPUTED_VALUE"""),1226.0)</f>
        <v>1226</v>
      </c>
      <c r="C2446" s="2">
        <f>IFERROR(__xludf.DUMMYFUNCTION("""COMPUTED_VALUE"""),1242.5)</f>
        <v>1242.5</v>
      </c>
      <c r="D2446" s="2">
        <f>IFERROR(__xludf.DUMMYFUNCTION("""COMPUTED_VALUE"""),1217.5)</f>
        <v>1217.5</v>
      </c>
      <c r="E2446" s="2">
        <f>IFERROR(__xludf.DUMMYFUNCTION("""COMPUTED_VALUE"""),1220.6)</f>
        <v>1220.6</v>
      </c>
      <c r="F2446" s="2">
        <f>IFERROR(__xludf.DUMMYFUNCTION("""COMPUTED_VALUE"""),1753744.0)</f>
        <v>1753744</v>
      </c>
    </row>
    <row r="2447">
      <c r="A2447" s="3">
        <f>IFERROR(__xludf.DUMMYFUNCTION("""COMPUTED_VALUE"""),41841.645833333336)</f>
        <v>41841.64583</v>
      </c>
      <c r="B2447" s="2">
        <f>IFERROR(__xludf.DUMMYFUNCTION("""COMPUTED_VALUE"""),1234.0)</f>
        <v>1234</v>
      </c>
      <c r="C2447" s="2">
        <f>IFERROR(__xludf.DUMMYFUNCTION("""COMPUTED_VALUE"""),1234.93)</f>
        <v>1234.93</v>
      </c>
      <c r="D2447" s="2">
        <f>IFERROR(__xludf.DUMMYFUNCTION("""COMPUTED_VALUE"""),1221.53)</f>
        <v>1221.53</v>
      </c>
      <c r="E2447" s="2">
        <f>IFERROR(__xludf.DUMMYFUNCTION("""COMPUTED_VALUE"""),1231.88)</f>
        <v>1231.88</v>
      </c>
      <c r="F2447" s="2">
        <f>IFERROR(__xludf.DUMMYFUNCTION("""COMPUTED_VALUE"""),490536.0)</f>
        <v>490536</v>
      </c>
    </row>
    <row r="2448">
      <c r="A2448" s="3">
        <f>IFERROR(__xludf.DUMMYFUNCTION("""COMPUTED_VALUE"""),41842.645833333336)</f>
        <v>41842.64583</v>
      </c>
      <c r="B2448" s="2">
        <f>IFERROR(__xludf.DUMMYFUNCTION("""COMPUTED_VALUE"""),1232.5)</f>
        <v>1232.5</v>
      </c>
      <c r="C2448" s="2">
        <f>IFERROR(__xludf.DUMMYFUNCTION("""COMPUTED_VALUE"""),1270.0)</f>
        <v>1270</v>
      </c>
      <c r="D2448" s="2">
        <f>IFERROR(__xludf.DUMMYFUNCTION("""COMPUTED_VALUE"""),1230.95)</f>
        <v>1230.95</v>
      </c>
      <c r="E2448" s="2">
        <f>IFERROR(__xludf.DUMMYFUNCTION("""COMPUTED_VALUE"""),1266.2)</f>
        <v>1266.2</v>
      </c>
      <c r="F2448" s="2">
        <f>IFERROR(__xludf.DUMMYFUNCTION("""COMPUTED_VALUE"""),1199508.0)</f>
        <v>1199508</v>
      </c>
    </row>
    <row r="2449">
      <c r="A2449" s="3">
        <f>IFERROR(__xludf.DUMMYFUNCTION("""COMPUTED_VALUE"""),41843.645833333336)</f>
        <v>41843.64583</v>
      </c>
      <c r="B2449" s="2">
        <f>IFERROR(__xludf.DUMMYFUNCTION("""COMPUTED_VALUE"""),1270.0)</f>
        <v>1270</v>
      </c>
      <c r="C2449" s="2">
        <f>IFERROR(__xludf.DUMMYFUNCTION("""COMPUTED_VALUE"""),1298.15)</f>
        <v>1298.15</v>
      </c>
      <c r="D2449" s="2">
        <f>IFERROR(__xludf.DUMMYFUNCTION("""COMPUTED_VALUE"""),1266.15)</f>
        <v>1266.15</v>
      </c>
      <c r="E2449" s="2">
        <f>IFERROR(__xludf.DUMMYFUNCTION("""COMPUTED_VALUE"""),1293.07)</f>
        <v>1293.07</v>
      </c>
      <c r="F2449" s="2">
        <f>IFERROR(__xludf.DUMMYFUNCTION("""COMPUTED_VALUE"""),1032929.0)</f>
        <v>1032929</v>
      </c>
    </row>
    <row r="2450">
      <c r="A2450" s="3">
        <f>IFERROR(__xludf.DUMMYFUNCTION("""COMPUTED_VALUE"""),41844.645833333336)</f>
        <v>41844.64583</v>
      </c>
      <c r="B2450" s="2">
        <f>IFERROR(__xludf.DUMMYFUNCTION("""COMPUTED_VALUE"""),1297.45)</f>
        <v>1297.45</v>
      </c>
      <c r="C2450" s="2">
        <f>IFERROR(__xludf.DUMMYFUNCTION("""COMPUTED_VALUE"""),1301.0)</f>
        <v>1301</v>
      </c>
      <c r="D2450" s="2">
        <f>IFERROR(__xludf.DUMMYFUNCTION("""COMPUTED_VALUE"""),1283.5)</f>
        <v>1283.5</v>
      </c>
      <c r="E2450" s="2">
        <f>IFERROR(__xludf.DUMMYFUNCTION("""COMPUTED_VALUE"""),1297.6)</f>
        <v>1297.6</v>
      </c>
      <c r="F2450" s="2">
        <f>IFERROR(__xludf.DUMMYFUNCTION("""COMPUTED_VALUE"""),740709.0)</f>
        <v>740709</v>
      </c>
    </row>
    <row r="2451">
      <c r="A2451" s="3">
        <f>IFERROR(__xludf.DUMMYFUNCTION("""COMPUTED_VALUE"""),41845.645833333336)</f>
        <v>41845.64583</v>
      </c>
      <c r="B2451" s="2">
        <f>IFERROR(__xludf.DUMMYFUNCTION("""COMPUTED_VALUE"""),1297.0)</f>
        <v>1297</v>
      </c>
      <c r="C2451" s="2">
        <f>IFERROR(__xludf.DUMMYFUNCTION("""COMPUTED_VALUE"""),1307.18)</f>
        <v>1307.18</v>
      </c>
      <c r="D2451" s="2">
        <f>IFERROR(__xludf.DUMMYFUNCTION("""COMPUTED_VALUE"""),1283.5)</f>
        <v>1283.5</v>
      </c>
      <c r="E2451" s="2">
        <f>IFERROR(__xludf.DUMMYFUNCTION("""COMPUTED_VALUE"""),1302.88)</f>
        <v>1302.88</v>
      </c>
      <c r="F2451" s="2">
        <f>IFERROR(__xludf.DUMMYFUNCTION("""COMPUTED_VALUE"""),903457.0)</f>
        <v>903457</v>
      </c>
    </row>
    <row r="2452">
      <c r="A2452" s="3">
        <f>IFERROR(__xludf.DUMMYFUNCTION("""COMPUTED_VALUE"""),41848.645833333336)</f>
        <v>41848.64583</v>
      </c>
      <c r="B2452" s="2">
        <f>IFERROR(__xludf.DUMMYFUNCTION("""COMPUTED_VALUE"""),1288.57)</f>
        <v>1288.57</v>
      </c>
      <c r="C2452" s="2">
        <f>IFERROR(__xludf.DUMMYFUNCTION("""COMPUTED_VALUE"""),1299.82)</f>
        <v>1299.82</v>
      </c>
      <c r="D2452" s="2">
        <f>IFERROR(__xludf.DUMMYFUNCTION("""COMPUTED_VALUE"""),1277.5)</f>
        <v>1277.5</v>
      </c>
      <c r="E2452" s="2">
        <f>IFERROR(__xludf.DUMMYFUNCTION("""COMPUTED_VALUE"""),1294.65)</f>
        <v>1294.65</v>
      </c>
      <c r="F2452" s="2">
        <f>IFERROR(__xludf.DUMMYFUNCTION("""COMPUTED_VALUE"""),657461.0)</f>
        <v>657461</v>
      </c>
    </row>
    <row r="2453">
      <c r="A2453" s="3">
        <f>IFERROR(__xludf.DUMMYFUNCTION("""COMPUTED_VALUE"""),41850.645833333336)</f>
        <v>41850.64583</v>
      </c>
      <c r="B2453" s="2">
        <f>IFERROR(__xludf.DUMMYFUNCTION("""COMPUTED_VALUE"""),1292.4)</f>
        <v>1292.4</v>
      </c>
      <c r="C2453" s="2">
        <f>IFERROR(__xludf.DUMMYFUNCTION("""COMPUTED_VALUE"""),1305.0)</f>
        <v>1305</v>
      </c>
      <c r="D2453" s="2">
        <f>IFERROR(__xludf.DUMMYFUNCTION("""COMPUTED_VALUE"""),1286.3)</f>
        <v>1286.3</v>
      </c>
      <c r="E2453" s="2">
        <f>IFERROR(__xludf.DUMMYFUNCTION("""COMPUTED_VALUE"""),1297.53)</f>
        <v>1297.53</v>
      </c>
      <c r="F2453" s="2">
        <f>IFERROR(__xludf.DUMMYFUNCTION("""COMPUTED_VALUE"""),949626.0)</f>
        <v>949626</v>
      </c>
    </row>
    <row r="2454">
      <c r="A2454" s="3">
        <f>IFERROR(__xludf.DUMMYFUNCTION("""COMPUTED_VALUE"""),41851.645833333336)</f>
        <v>41851.64583</v>
      </c>
      <c r="B2454" s="2">
        <f>IFERROR(__xludf.DUMMYFUNCTION("""COMPUTED_VALUE"""),1287.55)</f>
        <v>1287.55</v>
      </c>
      <c r="C2454" s="2">
        <f>IFERROR(__xludf.DUMMYFUNCTION("""COMPUTED_VALUE"""),1299.0)</f>
        <v>1299</v>
      </c>
      <c r="D2454" s="2">
        <f>IFERROR(__xludf.DUMMYFUNCTION("""COMPUTED_VALUE"""),1284.63)</f>
        <v>1284.63</v>
      </c>
      <c r="E2454" s="2">
        <f>IFERROR(__xludf.DUMMYFUNCTION("""COMPUTED_VALUE"""),1290.03)</f>
        <v>1290.03</v>
      </c>
      <c r="F2454" s="2">
        <f>IFERROR(__xludf.DUMMYFUNCTION("""COMPUTED_VALUE"""),1203605.0)</f>
        <v>1203605</v>
      </c>
    </row>
    <row r="2455">
      <c r="A2455" s="3">
        <f>IFERROR(__xludf.DUMMYFUNCTION("""COMPUTED_VALUE"""),41852.645833333336)</f>
        <v>41852.64583</v>
      </c>
      <c r="B2455" s="2">
        <f>IFERROR(__xludf.DUMMYFUNCTION("""COMPUTED_VALUE"""),1287.5)</f>
        <v>1287.5</v>
      </c>
      <c r="C2455" s="2">
        <f>IFERROR(__xludf.DUMMYFUNCTION("""COMPUTED_VALUE"""),1293.97)</f>
        <v>1293.97</v>
      </c>
      <c r="D2455" s="2">
        <f>IFERROR(__xludf.DUMMYFUNCTION("""COMPUTED_VALUE"""),1255.0)</f>
        <v>1255</v>
      </c>
      <c r="E2455" s="2">
        <f>IFERROR(__xludf.DUMMYFUNCTION("""COMPUTED_VALUE"""),1258.2)</f>
        <v>1258.2</v>
      </c>
      <c r="F2455" s="2">
        <f>IFERROR(__xludf.DUMMYFUNCTION("""COMPUTED_VALUE"""),1190941.0)</f>
        <v>1190941</v>
      </c>
    </row>
    <row r="2456">
      <c r="A2456" s="3">
        <f>IFERROR(__xludf.DUMMYFUNCTION("""COMPUTED_VALUE"""),41855.645833333336)</f>
        <v>41855.64583</v>
      </c>
      <c r="B2456" s="2">
        <f>IFERROR(__xludf.DUMMYFUNCTION("""COMPUTED_VALUE"""),1266.0)</f>
        <v>1266</v>
      </c>
      <c r="C2456" s="2">
        <f>IFERROR(__xludf.DUMMYFUNCTION("""COMPUTED_VALUE"""),1270.95)</f>
        <v>1270.95</v>
      </c>
      <c r="D2456" s="2">
        <f>IFERROR(__xludf.DUMMYFUNCTION("""COMPUTED_VALUE"""),1244.0)</f>
        <v>1244</v>
      </c>
      <c r="E2456" s="2">
        <f>IFERROR(__xludf.DUMMYFUNCTION("""COMPUTED_VALUE"""),1263.03)</f>
        <v>1263.03</v>
      </c>
      <c r="F2456" s="2">
        <f>IFERROR(__xludf.DUMMYFUNCTION("""COMPUTED_VALUE"""),914318.0)</f>
        <v>914318</v>
      </c>
    </row>
    <row r="2457">
      <c r="A2457" s="3">
        <f>IFERROR(__xludf.DUMMYFUNCTION("""COMPUTED_VALUE"""),41856.645833333336)</f>
        <v>41856.64583</v>
      </c>
      <c r="B2457" s="2">
        <f>IFERROR(__xludf.DUMMYFUNCTION("""COMPUTED_VALUE"""),1272.45)</f>
        <v>1272.45</v>
      </c>
      <c r="C2457" s="2">
        <f>IFERROR(__xludf.DUMMYFUNCTION("""COMPUTED_VALUE"""),1272.5)</f>
        <v>1272.5</v>
      </c>
      <c r="D2457" s="2">
        <f>IFERROR(__xludf.DUMMYFUNCTION("""COMPUTED_VALUE"""),1245.05)</f>
        <v>1245.05</v>
      </c>
      <c r="E2457" s="2">
        <f>IFERROR(__xludf.DUMMYFUNCTION("""COMPUTED_VALUE"""),1261.85)</f>
        <v>1261.85</v>
      </c>
      <c r="F2457" s="2">
        <f>IFERROR(__xludf.DUMMYFUNCTION("""COMPUTED_VALUE"""),702328.0)</f>
        <v>702328</v>
      </c>
    </row>
    <row r="2458">
      <c r="A2458" s="3">
        <f>IFERROR(__xludf.DUMMYFUNCTION("""COMPUTED_VALUE"""),41857.645833333336)</f>
        <v>41857.64583</v>
      </c>
      <c r="B2458" s="2">
        <f>IFERROR(__xludf.DUMMYFUNCTION("""COMPUTED_VALUE"""),1258.07)</f>
        <v>1258.07</v>
      </c>
      <c r="C2458" s="2">
        <f>IFERROR(__xludf.DUMMYFUNCTION("""COMPUTED_VALUE"""),1267.43)</f>
        <v>1267.43</v>
      </c>
      <c r="D2458" s="2">
        <f>IFERROR(__xludf.DUMMYFUNCTION("""COMPUTED_VALUE"""),1245.13)</f>
        <v>1245.13</v>
      </c>
      <c r="E2458" s="2">
        <f>IFERROR(__xludf.DUMMYFUNCTION("""COMPUTED_VALUE"""),1253.32)</f>
        <v>1253.32</v>
      </c>
      <c r="F2458" s="2">
        <f>IFERROR(__xludf.DUMMYFUNCTION("""COMPUTED_VALUE"""),918781.0)</f>
        <v>918781</v>
      </c>
    </row>
    <row r="2459">
      <c r="A2459" s="3">
        <f>IFERROR(__xludf.DUMMYFUNCTION("""COMPUTED_VALUE"""),41858.645833333336)</f>
        <v>41858.64583</v>
      </c>
      <c r="B2459" s="2">
        <f>IFERROR(__xludf.DUMMYFUNCTION("""COMPUTED_VALUE"""),1245.0)</f>
        <v>1245</v>
      </c>
      <c r="C2459" s="2">
        <f>IFERROR(__xludf.DUMMYFUNCTION("""COMPUTED_VALUE"""),1247.5)</f>
        <v>1247.5</v>
      </c>
      <c r="D2459" s="2">
        <f>IFERROR(__xludf.DUMMYFUNCTION("""COMPUTED_VALUE"""),1229.53)</f>
        <v>1229.53</v>
      </c>
      <c r="E2459" s="2">
        <f>IFERROR(__xludf.DUMMYFUNCTION("""COMPUTED_VALUE"""),1234.9)</f>
        <v>1234.9</v>
      </c>
      <c r="F2459" s="2">
        <f>IFERROR(__xludf.DUMMYFUNCTION("""COMPUTED_VALUE"""),836328.0)</f>
        <v>836328</v>
      </c>
    </row>
    <row r="2460">
      <c r="A2460" s="3">
        <f>IFERROR(__xludf.DUMMYFUNCTION("""COMPUTED_VALUE"""),41859.645833333336)</f>
        <v>41859.64583</v>
      </c>
      <c r="B2460" s="2">
        <f>IFERROR(__xludf.DUMMYFUNCTION("""COMPUTED_VALUE"""),1232.5)</f>
        <v>1232.5</v>
      </c>
      <c r="C2460" s="2">
        <f>IFERROR(__xludf.DUMMYFUNCTION("""COMPUTED_VALUE"""),1253.85)</f>
        <v>1253.85</v>
      </c>
      <c r="D2460" s="2">
        <f>IFERROR(__xludf.DUMMYFUNCTION("""COMPUTED_VALUE"""),1232.5)</f>
        <v>1232.5</v>
      </c>
      <c r="E2460" s="2">
        <f>IFERROR(__xludf.DUMMYFUNCTION("""COMPUTED_VALUE"""),1239.35)</f>
        <v>1239.35</v>
      </c>
      <c r="F2460" s="2">
        <f>IFERROR(__xludf.DUMMYFUNCTION("""COMPUTED_VALUE"""),732395.0)</f>
        <v>732395</v>
      </c>
    </row>
    <row r="2461">
      <c r="A2461" s="3">
        <f>IFERROR(__xludf.DUMMYFUNCTION("""COMPUTED_VALUE"""),41862.645833333336)</f>
        <v>41862.64583</v>
      </c>
      <c r="B2461" s="2">
        <f>IFERROR(__xludf.DUMMYFUNCTION("""COMPUTED_VALUE"""),1245.45)</f>
        <v>1245.45</v>
      </c>
      <c r="C2461" s="2">
        <f>IFERROR(__xludf.DUMMYFUNCTION("""COMPUTED_VALUE"""),1247.78)</f>
        <v>1247.78</v>
      </c>
      <c r="D2461" s="2">
        <f>IFERROR(__xludf.DUMMYFUNCTION("""COMPUTED_VALUE"""),1227.5)</f>
        <v>1227.5</v>
      </c>
      <c r="E2461" s="2">
        <f>IFERROR(__xludf.DUMMYFUNCTION("""COMPUTED_VALUE"""),1234.2)</f>
        <v>1234.2</v>
      </c>
      <c r="F2461" s="2">
        <f>IFERROR(__xludf.DUMMYFUNCTION("""COMPUTED_VALUE"""),645448.0)</f>
        <v>645448</v>
      </c>
    </row>
    <row r="2462">
      <c r="A2462" s="3">
        <f>IFERROR(__xludf.DUMMYFUNCTION("""COMPUTED_VALUE"""),41863.645833333336)</f>
        <v>41863.64583</v>
      </c>
      <c r="B2462" s="2">
        <f>IFERROR(__xludf.DUMMYFUNCTION("""COMPUTED_VALUE"""),1244.95)</f>
        <v>1244.95</v>
      </c>
      <c r="C2462" s="2">
        <f>IFERROR(__xludf.DUMMYFUNCTION("""COMPUTED_VALUE"""),1244.95)</f>
        <v>1244.95</v>
      </c>
      <c r="D2462" s="2">
        <f>IFERROR(__xludf.DUMMYFUNCTION("""COMPUTED_VALUE"""),1220.1)</f>
        <v>1220.1</v>
      </c>
      <c r="E2462" s="2">
        <f>IFERROR(__xludf.DUMMYFUNCTION("""COMPUTED_VALUE"""),1235.88)</f>
        <v>1235.88</v>
      </c>
      <c r="F2462" s="2">
        <f>IFERROR(__xludf.DUMMYFUNCTION("""COMPUTED_VALUE"""),492276.0)</f>
        <v>492276</v>
      </c>
    </row>
    <row r="2463">
      <c r="A2463" s="3">
        <f>IFERROR(__xludf.DUMMYFUNCTION("""COMPUTED_VALUE"""),41864.645833333336)</f>
        <v>41864.64583</v>
      </c>
      <c r="B2463" s="2">
        <f>IFERROR(__xludf.DUMMYFUNCTION("""COMPUTED_VALUE"""),1235.0)</f>
        <v>1235</v>
      </c>
      <c r="C2463" s="2">
        <f>IFERROR(__xludf.DUMMYFUNCTION("""COMPUTED_VALUE"""),1265.0)</f>
        <v>1265</v>
      </c>
      <c r="D2463" s="2">
        <f>IFERROR(__xludf.DUMMYFUNCTION("""COMPUTED_VALUE"""),1235.0)</f>
        <v>1235</v>
      </c>
      <c r="E2463" s="2">
        <f>IFERROR(__xludf.DUMMYFUNCTION("""COMPUTED_VALUE"""),1250.03)</f>
        <v>1250.03</v>
      </c>
      <c r="F2463" s="2">
        <f>IFERROR(__xludf.DUMMYFUNCTION("""COMPUTED_VALUE"""),1384189.0)</f>
        <v>1384189</v>
      </c>
    </row>
    <row r="2464">
      <c r="A2464" s="3">
        <f>IFERROR(__xludf.DUMMYFUNCTION("""COMPUTED_VALUE"""),41865.645833333336)</f>
        <v>41865.64583</v>
      </c>
      <c r="B2464" s="2">
        <f>IFERROR(__xludf.DUMMYFUNCTION("""COMPUTED_VALUE"""),1257.0)</f>
        <v>1257</v>
      </c>
      <c r="C2464" s="2">
        <f>IFERROR(__xludf.DUMMYFUNCTION("""COMPUTED_VALUE"""),1266.0)</f>
        <v>1266</v>
      </c>
      <c r="D2464" s="2">
        <f>IFERROR(__xludf.DUMMYFUNCTION("""COMPUTED_VALUE"""),1245.03)</f>
        <v>1245.03</v>
      </c>
      <c r="E2464" s="2">
        <f>IFERROR(__xludf.DUMMYFUNCTION("""COMPUTED_VALUE"""),1249.88)</f>
        <v>1249.88</v>
      </c>
      <c r="F2464" s="2">
        <f>IFERROR(__xludf.DUMMYFUNCTION("""COMPUTED_VALUE"""),789028.0)</f>
        <v>789028</v>
      </c>
    </row>
    <row r="2465">
      <c r="A2465" s="3">
        <f>IFERROR(__xludf.DUMMYFUNCTION("""COMPUTED_VALUE"""),41869.645833333336)</f>
        <v>41869.64583</v>
      </c>
      <c r="B2465" s="2">
        <f>IFERROR(__xludf.DUMMYFUNCTION("""COMPUTED_VALUE"""),1245.53)</f>
        <v>1245.53</v>
      </c>
      <c r="C2465" s="2">
        <f>IFERROR(__xludf.DUMMYFUNCTION("""COMPUTED_VALUE"""),1252.5)</f>
        <v>1252.5</v>
      </c>
      <c r="D2465" s="2">
        <f>IFERROR(__xludf.DUMMYFUNCTION("""COMPUTED_VALUE"""),1235.0)</f>
        <v>1235</v>
      </c>
      <c r="E2465" s="2">
        <f>IFERROR(__xludf.DUMMYFUNCTION("""COMPUTED_VALUE"""),1243.8)</f>
        <v>1243.8</v>
      </c>
      <c r="F2465" s="2">
        <f>IFERROR(__xludf.DUMMYFUNCTION("""COMPUTED_VALUE"""),686630.0)</f>
        <v>686630</v>
      </c>
    </row>
    <row r="2466">
      <c r="A2466" s="3">
        <f>IFERROR(__xludf.DUMMYFUNCTION("""COMPUTED_VALUE"""),41870.645833333336)</f>
        <v>41870.64583</v>
      </c>
      <c r="B2466" s="2">
        <f>IFERROR(__xludf.DUMMYFUNCTION("""COMPUTED_VALUE"""),1250.0)</f>
        <v>1250</v>
      </c>
      <c r="C2466" s="2">
        <f>IFERROR(__xludf.DUMMYFUNCTION("""COMPUTED_VALUE"""),1252.45)</f>
        <v>1252.45</v>
      </c>
      <c r="D2466" s="2">
        <f>IFERROR(__xludf.DUMMYFUNCTION("""COMPUTED_VALUE"""),1217.5)</f>
        <v>1217.5</v>
      </c>
      <c r="E2466" s="2">
        <f>IFERROR(__xludf.DUMMYFUNCTION("""COMPUTED_VALUE"""),1219.25)</f>
        <v>1219.25</v>
      </c>
      <c r="F2466" s="2">
        <f>IFERROR(__xludf.DUMMYFUNCTION("""COMPUTED_VALUE"""),1617078.0)</f>
        <v>1617078</v>
      </c>
    </row>
    <row r="2467">
      <c r="A2467" s="3">
        <f>IFERROR(__xludf.DUMMYFUNCTION("""COMPUTED_VALUE"""),41871.645833333336)</f>
        <v>41871.64583</v>
      </c>
      <c r="B2467" s="2">
        <f>IFERROR(__xludf.DUMMYFUNCTION("""COMPUTED_VALUE"""),1222.25)</f>
        <v>1222.25</v>
      </c>
      <c r="C2467" s="2">
        <f>IFERROR(__xludf.DUMMYFUNCTION("""COMPUTED_VALUE"""),1227.53)</f>
        <v>1227.53</v>
      </c>
      <c r="D2467" s="2">
        <f>IFERROR(__xludf.DUMMYFUNCTION("""COMPUTED_VALUE"""),1215.03)</f>
        <v>1215.03</v>
      </c>
      <c r="E2467" s="2">
        <f>IFERROR(__xludf.DUMMYFUNCTION("""COMPUTED_VALUE"""),1218.1)</f>
        <v>1218.1</v>
      </c>
      <c r="F2467" s="2">
        <f>IFERROR(__xludf.DUMMYFUNCTION("""COMPUTED_VALUE"""),1028379.0)</f>
        <v>1028379</v>
      </c>
    </row>
    <row r="2468">
      <c r="A2468" s="3">
        <f>IFERROR(__xludf.DUMMYFUNCTION("""COMPUTED_VALUE"""),41872.645833333336)</f>
        <v>41872.64583</v>
      </c>
      <c r="B2468" s="2">
        <f>IFERROR(__xludf.DUMMYFUNCTION("""COMPUTED_VALUE"""),1223.5)</f>
        <v>1223.5</v>
      </c>
      <c r="C2468" s="2">
        <f>IFERROR(__xludf.DUMMYFUNCTION("""COMPUTED_VALUE"""),1230.0)</f>
        <v>1230</v>
      </c>
      <c r="D2468" s="2">
        <f>IFERROR(__xludf.DUMMYFUNCTION("""COMPUTED_VALUE"""),1215.0)</f>
        <v>1215</v>
      </c>
      <c r="E2468" s="2">
        <f>IFERROR(__xludf.DUMMYFUNCTION("""COMPUTED_VALUE"""),1216.22)</f>
        <v>1216.22</v>
      </c>
      <c r="F2468" s="2">
        <f>IFERROR(__xludf.DUMMYFUNCTION("""COMPUTED_VALUE"""),1132725.0)</f>
        <v>1132725</v>
      </c>
    </row>
    <row r="2469">
      <c r="A2469" s="3">
        <f>IFERROR(__xludf.DUMMYFUNCTION("""COMPUTED_VALUE"""),41873.645833333336)</f>
        <v>41873.64583</v>
      </c>
      <c r="B2469" s="2">
        <f>IFERROR(__xludf.DUMMYFUNCTION("""COMPUTED_VALUE"""),1222.0)</f>
        <v>1222</v>
      </c>
      <c r="C2469" s="2">
        <f>IFERROR(__xludf.DUMMYFUNCTION("""COMPUTED_VALUE"""),1234.1)</f>
        <v>1234.1</v>
      </c>
      <c r="D2469" s="2">
        <f>IFERROR(__xludf.DUMMYFUNCTION("""COMPUTED_VALUE"""),1217.9)</f>
        <v>1217.9</v>
      </c>
      <c r="E2469" s="2">
        <f>IFERROR(__xludf.DUMMYFUNCTION("""COMPUTED_VALUE"""),1232.1)</f>
        <v>1232.1</v>
      </c>
      <c r="F2469" s="2">
        <f>IFERROR(__xludf.DUMMYFUNCTION("""COMPUTED_VALUE"""),1548119.0)</f>
        <v>1548119</v>
      </c>
    </row>
    <row r="2470">
      <c r="A2470" s="3">
        <f>IFERROR(__xludf.DUMMYFUNCTION("""COMPUTED_VALUE"""),41876.645833333336)</f>
        <v>41876.64583</v>
      </c>
      <c r="B2470" s="2">
        <f>IFERROR(__xludf.DUMMYFUNCTION("""COMPUTED_VALUE"""),1235.0)</f>
        <v>1235</v>
      </c>
      <c r="C2470" s="2">
        <f>IFERROR(__xludf.DUMMYFUNCTION("""COMPUTED_VALUE"""),1264.25)</f>
        <v>1264.25</v>
      </c>
      <c r="D2470" s="2">
        <f>IFERROR(__xludf.DUMMYFUNCTION("""COMPUTED_VALUE"""),1233.45)</f>
        <v>1233.45</v>
      </c>
      <c r="E2470" s="2">
        <f>IFERROR(__xludf.DUMMYFUNCTION("""COMPUTED_VALUE"""),1261.03)</f>
        <v>1261.03</v>
      </c>
      <c r="F2470" s="2">
        <f>IFERROR(__xludf.DUMMYFUNCTION("""COMPUTED_VALUE"""),1571756.0)</f>
        <v>1571756</v>
      </c>
    </row>
    <row r="2471">
      <c r="A2471" s="3">
        <f>IFERROR(__xludf.DUMMYFUNCTION("""COMPUTED_VALUE"""),41877.645833333336)</f>
        <v>41877.64583</v>
      </c>
      <c r="B2471" s="2">
        <f>IFERROR(__xludf.DUMMYFUNCTION("""COMPUTED_VALUE"""),1264.5)</f>
        <v>1264.5</v>
      </c>
      <c r="C2471" s="2">
        <f>IFERROR(__xludf.DUMMYFUNCTION("""COMPUTED_VALUE"""),1275.0)</f>
        <v>1275</v>
      </c>
      <c r="D2471" s="2">
        <f>IFERROR(__xludf.DUMMYFUNCTION("""COMPUTED_VALUE"""),1250.0)</f>
        <v>1250</v>
      </c>
      <c r="E2471" s="2">
        <f>IFERROR(__xludf.DUMMYFUNCTION("""COMPUTED_VALUE"""),1266.9)</f>
        <v>1266.9</v>
      </c>
      <c r="F2471" s="2">
        <f>IFERROR(__xludf.DUMMYFUNCTION("""COMPUTED_VALUE"""),907745.0)</f>
        <v>907745</v>
      </c>
    </row>
    <row r="2472">
      <c r="A2472" s="3">
        <f>IFERROR(__xludf.DUMMYFUNCTION("""COMPUTED_VALUE"""),41878.645833333336)</f>
        <v>41878.64583</v>
      </c>
      <c r="B2472" s="2">
        <f>IFERROR(__xludf.DUMMYFUNCTION("""COMPUTED_VALUE"""),1267.0)</f>
        <v>1267</v>
      </c>
      <c r="C2472" s="2">
        <f>IFERROR(__xludf.DUMMYFUNCTION("""COMPUTED_VALUE"""),1283.7)</f>
        <v>1283.7</v>
      </c>
      <c r="D2472" s="2">
        <f>IFERROR(__xludf.DUMMYFUNCTION("""COMPUTED_VALUE"""),1257.03)</f>
        <v>1257.03</v>
      </c>
      <c r="E2472" s="2">
        <f>IFERROR(__xludf.DUMMYFUNCTION("""COMPUTED_VALUE"""),1274.97)</f>
        <v>1274.97</v>
      </c>
      <c r="F2472" s="2">
        <f>IFERROR(__xludf.DUMMYFUNCTION("""COMPUTED_VALUE"""),717730.0)</f>
        <v>717730</v>
      </c>
    </row>
    <row r="2473">
      <c r="A2473" s="3">
        <f>IFERROR(__xludf.DUMMYFUNCTION("""COMPUTED_VALUE"""),41879.645833333336)</f>
        <v>41879.64583</v>
      </c>
      <c r="B2473" s="2">
        <f>IFERROR(__xludf.DUMMYFUNCTION("""COMPUTED_VALUE"""),1273.5)</f>
        <v>1273.5</v>
      </c>
      <c r="C2473" s="2">
        <f>IFERROR(__xludf.DUMMYFUNCTION("""COMPUTED_VALUE"""),1274.65)</f>
        <v>1274.65</v>
      </c>
      <c r="D2473" s="2">
        <f>IFERROR(__xludf.DUMMYFUNCTION("""COMPUTED_VALUE"""),1256.5)</f>
        <v>1256.5</v>
      </c>
      <c r="E2473" s="2">
        <f>IFERROR(__xludf.DUMMYFUNCTION("""COMPUTED_VALUE"""),1261.18)</f>
        <v>1261.18</v>
      </c>
      <c r="F2473" s="2">
        <f>IFERROR(__xludf.DUMMYFUNCTION("""COMPUTED_VALUE"""),883144.0)</f>
        <v>883144</v>
      </c>
    </row>
    <row r="2474">
      <c r="A2474" s="3">
        <f>IFERROR(__xludf.DUMMYFUNCTION("""COMPUTED_VALUE"""),41883.645833333336)</f>
        <v>41883.64583</v>
      </c>
      <c r="B2474" s="2">
        <f>IFERROR(__xludf.DUMMYFUNCTION("""COMPUTED_VALUE"""),1262.7)</f>
        <v>1262.7</v>
      </c>
      <c r="C2474" s="2">
        <f>IFERROR(__xludf.DUMMYFUNCTION("""COMPUTED_VALUE"""),1280.0)</f>
        <v>1280</v>
      </c>
      <c r="D2474" s="2">
        <f>IFERROR(__xludf.DUMMYFUNCTION("""COMPUTED_VALUE"""),1261.53)</f>
        <v>1261.53</v>
      </c>
      <c r="E2474" s="2">
        <f>IFERROR(__xludf.DUMMYFUNCTION("""COMPUTED_VALUE"""),1268.57)</f>
        <v>1268.57</v>
      </c>
      <c r="F2474" s="2">
        <f>IFERROR(__xludf.DUMMYFUNCTION("""COMPUTED_VALUE"""),405074.0)</f>
        <v>405074</v>
      </c>
    </row>
    <row r="2475">
      <c r="A2475" s="3">
        <f>IFERROR(__xludf.DUMMYFUNCTION("""COMPUTED_VALUE"""),41884.645833333336)</f>
        <v>41884.64583</v>
      </c>
      <c r="B2475" s="2">
        <f>IFERROR(__xludf.DUMMYFUNCTION("""COMPUTED_VALUE"""),1272.9)</f>
        <v>1272.9</v>
      </c>
      <c r="C2475" s="2">
        <f>IFERROR(__xludf.DUMMYFUNCTION("""COMPUTED_VALUE"""),1277.4)</f>
        <v>1277.4</v>
      </c>
      <c r="D2475" s="2">
        <f>IFERROR(__xludf.DUMMYFUNCTION("""COMPUTED_VALUE"""),1257.05)</f>
        <v>1257.05</v>
      </c>
      <c r="E2475" s="2">
        <f>IFERROR(__xludf.DUMMYFUNCTION("""COMPUTED_VALUE"""),1268.95)</f>
        <v>1268.95</v>
      </c>
      <c r="F2475" s="2">
        <f>IFERROR(__xludf.DUMMYFUNCTION("""COMPUTED_VALUE"""),703970.0)</f>
        <v>703970</v>
      </c>
    </row>
    <row r="2476">
      <c r="A2476" s="3">
        <f>IFERROR(__xludf.DUMMYFUNCTION("""COMPUTED_VALUE"""),41885.645833333336)</f>
        <v>41885.64583</v>
      </c>
      <c r="B2476" s="2">
        <f>IFERROR(__xludf.DUMMYFUNCTION("""COMPUTED_VALUE"""),1269.5)</f>
        <v>1269.5</v>
      </c>
      <c r="C2476" s="2">
        <f>IFERROR(__xludf.DUMMYFUNCTION("""COMPUTED_VALUE"""),1308.0)</f>
        <v>1308</v>
      </c>
      <c r="D2476" s="2">
        <f>IFERROR(__xludf.DUMMYFUNCTION("""COMPUTED_VALUE"""),1269.5)</f>
        <v>1269.5</v>
      </c>
      <c r="E2476" s="2">
        <f>IFERROR(__xludf.DUMMYFUNCTION("""COMPUTED_VALUE"""),1303.2)</f>
        <v>1303.2</v>
      </c>
      <c r="F2476" s="2">
        <f>IFERROR(__xludf.DUMMYFUNCTION("""COMPUTED_VALUE"""),1530845.0)</f>
        <v>1530845</v>
      </c>
    </row>
    <row r="2477">
      <c r="A2477" s="3">
        <f>IFERROR(__xludf.DUMMYFUNCTION("""COMPUTED_VALUE"""),41886.645833333336)</f>
        <v>41886.64583</v>
      </c>
      <c r="B2477" s="2">
        <f>IFERROR(__xludf.DUMMYFUNCTION("""COMPUTED_VALUE"""),1311.0)</f>
        <v>1311</v>
      </c>
      <c r="C2477" s="2">
        <f>IFERROR(__xludf.DUMMYFUNCTION("""COMPUTED_VALUE"""),1313.73)</f>
        <v>1313.73</v>
      </c>
      <c r="D2477" s="2">
        <f>IFERROR(__xludf.DUMMYFUNCTION("""COMPUTED_VALUE"""),1288.72)</f>
        <v>1288.72</v>
      </c>
      <c r="E2477" s="2">
        <f>IFERROR(__xludf.DUMMYFUNCTION("""COMPUTED_VALUE"""),1292.38)</f>
        <v>1292.38</v>
      </c>
      <c r="F2477" s="2">
        <f>IFERROR(__xludf.DUMMYFUNCTION("""COMPUTED_VALUE"""),850799.0)</f>
        <v>850799</v>
      </c>
    </row>
    <row r="2478">
      <c r="A2478" s="3">
        <f>IFERROR(__xludf.DUMMYFUNCTION("""COMPUTED_VALUE"""),41887.645833333336)</f>
        <v>41887.64583</v>
      </c>
      <c r="B2478" s="2">
        <f>IFERROR(__xludf.DUMMYFUNCTION("""COMPUTED_VALUE"""),1299.95)</f>
        <v>1299.95</v>
      </c>
      <c r="C2478" s="2">
        <f>IFERROR(__xludf.DUMMYFUNCTION("""COMPUTED_VALUE"""),1310.9)</f>
        <v>1310.9</v>
      </c>
      <c r="D2478" s="2">
        <f>IFERROR(__xludf.DUMMYFUNCTION("""COMPUTED_VALUE"""),1291.53)</f>
        <v>1291.53</v>
      </c>
      <c r="E2478" s="2">
        <f>IFERROR(__xludf.DUMMYFUNCTION("""COMPUTED_VALUE"""),1299.3)</f>
        <v>1299.3</v>
      </c>
      <c r="F2478" s="2">
        <f>IFERROR(__xludf.DUMMYFUNCTION("""COMPUTED_VALUE"""),733530.0)</f>
        <v>733530</v>
      </c>
    </row>
    <row r="2479">
      <c r="A2479" s="3">
        <f>IFERROR(__xludf.DUMMYFUNCTION("""COMPUTED_VALUE"""),41890.645833333336)</f>
        <v>41890.64583</v>
      </c>
      <c r="B2479" s="2">
        <f>IFERROR(__xludf.DUMMYFUNCTION("""COMPUTED_VALUE"""),1306.0)</f>
        <v>1306</v>
      </c>
      <c r="C2479" s="2">
        <f>IFERROR(__xludf.DUMMYFUNCTION("""COMPUTED_VALUE"""),1325.0)</f>
        <v>1325</v>
      </c>
      <c r="D2479" s="2">
        <f>IFERROR(__xludf.DUMMYFUNCTION("""COMPUTED_VALUE"""),1299.53)</f>
        <v>1299.53</v>
      </c>
      <c r="E2479" s="2">
        <f>IFERROR(__xludf.DUMMYFUNCTION("""COMPUTED_VALUE"""),1321.35)</f>
        <v>1321.35</v>
      </c>
      <c r="F2479" s="2">
        <f>IFERROR(__xludf.DUMMYFUNCTION("""COMPUTED_VALUE"""),848671.0)</f>
        <v>848671</v>
      </c>
    </row>
    <row r="2480">
      <c r="A2480" s="3">
        <f>IFERROR(__xludf.DUMMYFUNCTION("""COMPUTED_VALUE"""),41891.645833333336)</f>
        <v>41891.64583</v>
      </c>
      <c r="B2480" s="2">
        <f>IFERROR(__xludf.DUMMYFUNCTION("""COMPUTED_VALUE"""),1326.0)</f>
        <v>1326</v>
      </c>
      <c r="C2480" s="2">
        <f>IFERROR(__xludf.DUMMYFUNCTION("""COMPUTED_VALUE"""),1333.5)</f>
        <v>1333.5</v>
      </c>
      <c r="D2480" s="2">
        <f>IFERROR(__xludf.DUMMYFUNCTION("""COMPUTED_VALUE"""),1312.55)</f>
        <v>1312.55</v>
      </c>
      <c r="E2480" s="2">
        <f>IFERROR(__xludf.DUMMYFUNCTION("""COMPUTED_VALUE"""),1315.63)</f>
        <v>1315.63</v>
      </c>
      <c r="F2480" s="2">
        <f>IFERROR(__xludf.DUMMYFUNCTION("""COMPUTED_VALUE"""),709049.0)</f>
        <v>709049</v>
      </c>
    </row>
    <row r="2481">
      <c r="A2481" s="3">
        <f>IFERROR(__xludf.DUMMYFUNCTION("""COMPUTED_VALUE"""),41892.645833333336)</f>
        <v>41892.64583</v>
      </c>
      <c r="B2481" s="2">
        <f>IFERROR(__xludf.DUMMYFUNCTION("""COMPUTED_VALUE"""),1319.0)</f>
        <v>1319</v>
      </c>
      <c r="C2481" s="2">
        <f>IFERROR(__xludf.DUMMYFUNCTION("""COMPUTED_VALUE"""),1321.38)</f>
        <v>1321.38</v>
      </c>
      <c r="D2481" s="2">
        <f>IFERROR(__xludf.DUMMYFUNCTION("""COMPUTED_VALUE"""),1295.6)</f>
        <v>1295.6</v>
      </c>
      <c r="E2481" s="2">
        <f>IFERROR(__xludf.DUMMYFUNCTION("""COMPUTED_VALUE"""),1300.07)</f>
        <v>1300.07</v>
      </c>
      <c r="F2481" s="2">
        <f>IFERROR(__xludf.DUMMYFUNCTION("""COMPUTED_VALUE"""),629384.0)</f>
        <v>629384</v>
      </c>
    </row>
    <row r="2482">
      <c r="A2482" s="3">
        <f>IFERROR(__xludf.DUMMYFUNCTION("""COMPUTED_VALUE"""),41893.645833333336)</f>
        <v>41893.64583</v>
      </c>
      <c r="B2482" s="2">
        <f>IFERROR(__xludf.DUMMYFUNCTION("""COMPUTED_VALUE"""),1305.0)</f>
        <v>1305</v>
      </c>
      <c r="C2482" s="2">
        <f>IFERROR(__xludf.DUMMYFUNCTION("""COMPUTED_VALUE"""),1312.2)</f>
        <v>1312.2</v>
      </c>
      <c r="D2482" s="2">
        <f>IFERROR(__xludf.DUMMYFUNCTION("""COMPUTED_VALUE"""),1295.75)</f>
        <v>1295.75</v>
      </c>
      <c r="E2482" s="2">
        <f>IFERROR(__xludf.DUMMYFUNCTION("""COMPUTED_VALUE"""),1299.18)</f>
        <v>1299.18</v>
      </c>
      <c r="F2482" s="2">
        <f>IFERROR(__xludf.DUMMYFUNCTION("""COMPUTED_VALUE"""),537811.0)</f>
        <v>537811</v>
      </c>
    </row>
    <row r="2483">
      <c r="A2483" s="3">
        <f>IFERROR(__xludf.DUMMYFUNCTION("""COMPUTED_VALUE"""),41894.645833333336)</f>
        <v>41894.64583</v>
      </c>
      <c r="B2483" s="2">
        <f>IFERROR(__xludf.DUMMYFUNCTION("""COMPUTED_VALUE"""),1305.0)</f>
        <v>1305</v>
      </c>
      <c r="C2483" s="2">
        <f>IFERROR(__xludf.DUMMYFUNCTION("""COMPUTED_VALUE"""),1312.18)</f>
        <v>1312.18</v>
      </c>
      <c r="D2483" s="2">
        <f>IFERROR(__xludf.DUMMYFUNCTION("""COMPUTED_VALUE"""),1296.6)</f>
        <v>1296.6</v>
      </c>
      <c r="E2483" s="2">
        <f>IFERROR(__xludf.DUMMYFUNCTION("""COMPUTED_VALUE"""),1303.8)</f>
        <v>1303.8</v>
      </c>
      <c r="F2483" s="2">
        <f>IFERROR(__xludf.DUMMYFUNCTION("""COMPUTED_VALUE"""),598105.0)</f>
        <v>598105</v>
      </c>
    </row>
    <row r="2484">
      <c r="A2484" s="3">
        <f>IFERROR(__xludf.DUMMYFUNCTION("""COMPUTED_VALUE"""),41897.645833333336)</f>
        <v>41897.64583</v>
      </c>
      <c r="B2484" s="2">
        <f>IFERROR(__xludf.DUMMYFUNCTION("""COMPUTED_VALUE"""),1307.0)</f>
        <v>1307</v>
      </c>
      <c r="C2484" s="2">
        <f>IFERROR(__xludf.DUMMYFUNCTION("""COMPUTED_VALUE"""),1309.3)</f>
        <v>1309.3</v>
      </c>
      <c r="D2484" s="2">
        <f>IFERROR(__xludf.DUMMYFUNCTION("""COMPUTED_VALUE"""),1277.0)</f>
        <v>1277</v>
      </c>
      <c r="E2484" s="2">
        <f>IFERROR(__xludf.DUMMYFUNCTION("""COMPUTED_VALUE"""),1279.15)</f>
        <v>1279.15</v>
      </c>
      <c r="F2484" s="2">
        <f>IFERROR(__xludf.DUMMYFUNCTION("""COMPUTED_VALUE"""),575772.0)</f>
        <v>575772</v>
      </c>
    </row>
    <row r="2485">
      <c r="A2485" s="3">
        <f>IFERROR(__xludf.DUMMYFUNCTION("""COMPUTED_VALUE"""),41898.645833333336)</f>
        <v>41898.64583</v>
      </c>
      <c r="B2485" s="2">
        <f>IFERROR(__xludf.DUMMYFUNCTION("""COMPUTED_VALUE"""),1283.0)</f>
        <v>1283</v>
      </c>
      <c r="C2485" s="2">
        <f>IFERROR(__xludf.DUMMYFUNCTION("""COMPUTED_VALUE"""),1287.5)</f>
        <v>1287.5</v>
      </c>
      <c r="D2485" s="2">
        <f>IFERROR(__xludf.DUMMYFUNCTION("""COMPUTED_VALUE"""),1272.0)</f>
        <v>1272</v>
      </c>
      <c r="E2485" s="2">
        <f>IFERROR(__xludf.DUMMYFUNCTION("""COMPUTED_VALUE"""),1275.43)</f>
        <v>1275.43</v>
      </c>
      <c r="F2485" s="2">
        <f>IFERROR(__xludf.DUMMYFUNCTION("""COMPUTED_VALUE"""),767804.0)</f>
        <v>767804</v>
      </c>
    </row>
    <row r="2486">
      <c r="A2486" s="3">
        <f>IFERROR(__xludf.DUMMYFUNCTION("""COMPUTED_VALUE"""),41899.645833333336)</f>
        <v>41899.64583</v>
      </c>
      <c r="B2486" s="2">
        <f>IFERROR(__xludf.DUMMYFUNCTION("""COMPUTED_VALUE"""),1280.5)</f>
        <v>1280.5</v>
      </c>
      <c r="C2486" s="2">
        <f>IFERROR(__xludf.DUMMYFUNCTION("""COMPUTED_VALUE"""),1302.38)</f>
        <v>1302.38</v>
      </c>
      <c r="D2486" s="2">
        <f>IFERROR(__xludf.DUMMYFUNCTION("""COMPUTED_VALUE"""),1280.5)</f>
        <v>1280.5</v>
      </c>
      <c r="E2486" s="2">
        <f>IFERROR(__xludf.DUMMYFUNCTION("""COMPUTED_VALUE"""),1295.6)</f>
        <v>1295.6</v>
      </c>
      <c r="F2486" s="2">
        <f>IFERROR(__xludf.DUMMYFUNCTION("""COMPUTED_VALUE"""),828850.0)</f>
        <v>828850</v>
      </c>
    </row>
    <row r="2487">
      <c r="A2487" s="3">
        <f>IFERROR(__xludf.DUMMYFUNCTION("""COMPUTED_VALUE"""),41900.645833333336)</f>
        <v>41900.64583</v>
      </c>
      <c r="B2487" s="2">
        <f>IFERROR(__xludf.DUMMYFUNCTION("""COMPUTED_VALUE"""),1295.85)</f>
        <v>1295.85</v>
      </c>
      <c r="C2487" s="2">
        <f>IFERROR(__xludf.DUMMYFUNCTION("""COMPUTED_VALUE"""),1325.9)</f>
        <v>1325.9</v>
      </c>
      <c r="D2487" s="2">
        <f>IFERROR(__xludf.DUMMYFUNCTION("""COMPUTED_VALUE"""),1290.5)</f>
        <v>1290.5</v>
      </c>
      <c r="E2487" s="2">
        <f>IFERROR(__xludf.DUMMYFUNCTION("""COMPUTED_VALUE"""),1321.15)</f>
        <v>1321.15</v>
      </c>
      <c r="F2487" s="2">
        <f>IFERROR(__xludf.DUMMYFUNCTION("""COMPUTED_VALUE"""),741539.0)</f>
        <v>741539</v>
      </c>
    </row>
    <row r="2488">
      <c r="A2488" s="3">
        <f>IFERROR(__xludf.DUMMYFUNCTION("""COMPUTED_VALUE"""),41901.645833333336)</f>
        <v>41901.64583</v>
      </c>
      <c r="B2488" s="2">
        <f>IFERROR(__xludf.DUMMYFUNCTION("""COMPUTED_VALUE"""),1321.5)</f>
        <v>1321.5</v>
      </c>
      <c r="C2488" s="2">
        <f>IFERROR(__xludf.DUMMYFUNCTION("""COMPUTED_VALUE"""),1370.0)</f>
        <v>1370</v>
      </c>
      <c r="D2488" s="2">
        <f>IFERROR(__xludf.DUMMYFUNCTION("""COMPUTED_VALUE"""),1321.0)</f>
        <v>1321</v>
      </c>
      <c r="E2488" s="2">
        <f>IFERROR(__xludf.DUMMYFUNCTION("""COMPUTED_VALUE"""),1357.1)</f>
        <v>1357.1</v>
      </c>
      <c r="F2488" s="2">
        <f>IFERROR(__xludf.DUMMYFUNCTION("""COMPUTED_VALUE"""),1793932.0)</f>
        <v>1793932</v>
      </c>
    </row>
    <row r="2489">
      <c r="A2489" s="3">
        <f>IFERROR(__xludf.DUMMYFUNCTION("""COMPUTED_VALUE"""),41904.645833333336)</f>
        <v>41904.64583</v>
      </c>
      <c r="B2489" s="2">
        <f>IFERROR(__xludf.DUMMYFUNCTION("""COMPUTED_VALUE"""),1357.0)</f>
        <v>1357</v>
      </c>
      <c r="C2489" s="2">
        <f>IFERROR(__xludf.DUMMYFUNCTION("""COMPUTED_VALUE"""),1367.0)</f>
        <v>1367</v>
      </c>
      <c r="D2489" s="2">
        <f>IFERROR(__xludf.DUMMYFUNCTION("""COMPUTED_VALUE"""),1338.13)</f>
        <v>1338.13</v>
      </c>
      <c r="E2489" s="2">
        <f>IFERROR(__xludf.DUMMYFUNCTION("""COMPUTED_VALUE"""),1360.9)</f>
        <v>1360.9</v>
      </c>
      <c r="F2489" s="2">
        <f>IFERROR(__xludf.DUMMYFUNCTION("""COMPUTED_VALUE"""),499792.0)</f>
        <v>499792</v>
      </c>
    </row>
    <row r="2490">
      <c r="A2490" s="3">
        <f>IFERROR(__xludf.DUMMYFUNCTION("""COMPUTED_VALUE"""),41905.645833333336)</f>
        <v>41905.64583</v>
      </c>
      <c r="B2490" s="2">
        <f>IFERROR(__xludf.DUMMYFUNCTION("""COMPUTED_VALUE"""),1362.0)</f>
        <v>1362</v>
      </c>
      <c r="C2490" s="2">
        <f>IFERROR(__xludf.DUMMYFUNCTION("""COMPUTED_VALUE"""),1391.23)</f>
        <v>1391.23</v>
      </c>
      <c r="D2490" s="2">
        <f>IFERROR(__xludf.DUMMYFUNCTION("""COMPUTED_VALUE"""),1341.65)</f>
        <v>1341.65</v>
      </c>
      <c r="E2490" s="2">
        <f>IFERROR(__xludf.DUMMYFUNCTION("""COMPUTED_VALUE"""),1344.1)</f>
        <v>1344.1</v>
      </c>
      <c r="F2490" s="2">
        <f>IFERROR(__xludf.DUMMYFUNCTION("""COMPUTED_VALUE"""),1027995.0)</f>
        <v>1027995</v>
      </c>
    </row>
    <row r="2491">
      <c r="A2491" s="3">
        <f>IFERROR(__xludf.DUMMYFUNCTION("""COMPUTED_VALUE"""),41906.645833333336)</f>
        <v>41906.64583</v>
      </c>
      <c r="B2491" s="2">
        <f>IFERROR(__xludf.DUMMYFUNCTION("""COMPUTED_VALUE"""),1346.5)</f>
        <v>1346.5</v>
      </c>
      <c r="C2491" s="2">
        <f>IFERROR(__xludf.DUMMYFUNCTION("""COMPUTED_VALUE"""),1353.48)</f>
        <v>1353.48</v>
      </c>
      <c r="D2491" s="2">
        <f>IFERROR(__xludf.DUMMYFUNCTION("""COMPUTED_VALUE"""),1316.38)</f>
        <v>1316.38</v>
      </c>
      <c r="E2491" s="2">
        <f>IFERROR(__xludf.DUMMYFUNCTION("""COMPUTED_VALUE"""),1321.5)</f>
        <v>1321.5</v>
      </c>
      <c r="F2491" s="2">
        <f>IFERROR(__xludf.DUMMYFUNCTION("""COMPUTED_VALUE"""),1221066.0)</f>
        <v>1221066</v>
      </c>
    </row>
    <row r="2492">
      <c r="A2492" s="3">
        <f>IFERROR(__xludf.DUMMYFUNCTION("""COMPUTED_VALUE"""),41907.645833333336)</f>
        <v>41907.64583</v>
      </c>
      <c r="B2492" s="2">
        <f>IFERROR(__xludf.DUMMYFUNCTION("""COMPUTED_VALUE"""),1330.48)</f>
        <v>1330.48</v>
      </c>
      <c r="C2492" s="2">
        <f>IFERROR(__xludf.DUMMYFUNCTION("""COMPUTED_VALUE"""),1362.5)</f>
        <v>1362.5</v>
      </c>
      <c r="D2492" s="2">
        <f>IFERROR(__xludf.DUMMYFUNCTION("""COMPUTED_VALUE"""),1330.0)</f>
        <v>1330</v>
      </c>
      <c r="E2492" s="2">
        <f>IFERROR(__xludf.DUMMYFUNCTION("""COMPUTED_VALUE"""),1354.3)</f>
        <v>1354.3</v>
      </c>
      <c r="F2492" s="2">
        <f>IFERROR(__xludf.DUMMYFUNCTION("""COMPUTED_VALUE"""),1236579.0)</f>
        <v>1236579</v>
      </c>
    </row>
    <row r="2493">
      <c r="A2493" s="3">
        <f>IFERROR(__xludf.DUMMYFUNCTION("""COMPUTED_VALUE"""),41908.645833333336)</f>
        <v>41908.64583</v>
      </c>
      <c r="B2493" s="2">
        <f>IFERROR(__xludf.DUMMYFUNCTION("""COMPUTED_VALUE"""),1355.0)</f>
        <v>1355</v>
      </c>
      <c r="C2493" s="2">
        <f>IFERROR(__xludf.DUMMYFUNCTION("""COMPUTED_VALUE"""),1362.45)</f>
        <v>1362.45</v>
      </c>
      <c r="D2493" s="2">
        <f>IFERROR(__xludf.DUMMYFUNCTION("""COMPUTED_VALUE"""),1335.05)</f>
        <v>1335.05</v>
      </c>
      <c r="E2493" s="2">
        <f>IFERROR(__xludf.DUMMYFUNCTION("""COMPUTED_VALUE"""),1342.0)</f>
        <v>1342</v>
      </c>
      <c r="F2493" s="2">
        <f>IFERROR(__xludf.DUMMYFUNCTION("""COMPUTED_VALUE"""),806356.0)</f>
        <v>806356</v>
      </c>
    </row>
    <row r="2494">
      <c r="A2494" s="3">
        <f>IFERROR(__xludf.DUMMYFUNCTION("""COMPUTED_VALUE"""),41911.645833333336)</f>
        <v>41911.64583</v>
      </c>
      <c r="B2494" s="2">
        <f>IFERROR(__xludf.DUMMYFUNCTION("""COMPUTED_VALUE"""),1347.7)</f>
        <v>1347.7</v>
      </c>
      <c r="C2494" s="2">
        <f>IFERROR(__xludf.DUMMYFUNCTION("""COMPUTED_VALUE"""),1387.73)</f>
        <v>1387.73</v>
      </c>
      <c r="D2494" s="2">
        <f>IFERROR(__xludf.DUMMYFUNCTION("""COMPUTED_VALUE"""),1337.65)</f>
        <v>1337.65</v>
      </c>
      <c r="E2494" s="2">
        <f>IFERROR(__xludf.DUMMYFUNCTION("""COMPUTED_VALUE"""),1383.98)</f>
        <v>1383.98</v>
      </c>
      <c r="F2494" s="2">
        <f>IFERROR(__xludf.DUMMYFUNCTION("""COMPUTED_VALUE"""),1044767.0)</f>
        <v>1044767</v>
      </c>
    </row>
    <row r="2495">
      <c r="A2495" s="3">
        <f>IFERROR(__xludf.DUMMYFUNCTION("""COMPUTED_VALUE"""),41912.645833333336)</f>
        <v>41912.64583</v>
      </c>
      <c r="B2495" s="2">
        <f>IFERROR(__xludf.DUMMYFUNCTION("""COMPUTED_VALUE"""),1386.48)</f>
        <v>1386.48</v>
      </c>
      <c r="C2495" s="2">
        <f>IFERROR(__xludf.DUMMYFUNCTION("""COMPUTED_VALUE"""),1388.32)</f>
        <v>1388.32</v>
      </c>
      <c r="D2495" s="2">
        <f>IFERROR(__xludf.DUMMYFUNCTION("""COMPUTED_VALUE"""),1354.07)</f>
        <v>1354.07</v>
      </c>
      <c r="E2495" s="2">
        <f>IFERROR(__xludf.DUMMYFUNCTION("""COMPUTED_VALUE"""),1368.3)</f>
        <v>1368.3</v>
      </c>
      <c r="F2495" s="2">
        <f>IFERROR(__xludf.DUMMYFUNCTION("""COMPUTED_VALUE"""),1394477.0)</f>
        <v>1394477</v>
      </c>
    </row>
    <row r="2496">
      <c r="A2496" s="3">
        <f>IFERROR(__xludf.DUMMYFUNCTION("""COMPUTED_VALUE"""),41913.645833333336)</f>
        <v>41913.64583</v>
      </c>
      <c r="B2496" s="2">
        <f>IFERROR(__xludf.DUMMYFUNCTION("""COMPUTED_VALUE"""),1376.0)</f>
        <v>1376</v>
      </c>
      <c r="C2496" s="2">
        <f>IFERROR(__xludf.DUMMYFUNCTION("""COMPUTED_VALUE"""),1401.0)</f>
        <v>1401</v>
      </c>
      <c r="D2496" s="2">
        <f>IFERROR(__xludf.DUMMYFUNCTION("""COMPUTED_VALUE"""),1368.5)</f>
        <v>1368.5</v>
      </c>
      <c r="E2496" s="2">
        <f>IFERROR(__xludf.DUMMYFUNCTION("""COMPUTED_VALUE"""),1387.8)</f>
        <v>1387.8</v>
      </c>
      <c r="F2496" s="2">
        <f>IFERROR(__xludf.DUMMYFUNCTION("""COMPUTED_VALUE"""),1071011.0)</f>
        <v>1071011</v>
      </c>
    </row>
    <row r="2497">
      <c r="A2497" s="3">
        <f>IFERROR(__xludf.DUMMYFUNCTION("""COMPUTED_VALUE"""),41919.645833333336)</f>
        <v>41919.64583</v>
      </c>
      <c r="B2497" s="2">
        <f>IFERROR(__xludf.DUMMYFUNCTION("""COMPUTED_VALUE"""),1369.8)</f>
        <v>1369.8</v>
      </c>
      <c r="C2497" s="2">
        <f>IFERROR(__xludf.DUMMYFUNCTION("""COMPUTED_VALUE"""),1419.85)</f>
        <v>1419.85</v>
      </c>
      <c r="D2497" s="2">
        <f>IFERROR(__xludf.DUMMYFUNCTION("""COMPUTED_VALUE"""),1362.8)</f>
        <v>1362.8</v>
      </c>
      <c r="E2497" s="2">
        <f>IFERROR(__xludf.DUMMYFUNCTION("""COMPUTED_VALUE"""),1365.68)</f>
        <v>1365.68</v>
      </c>
      <c r="F2497" s="2">
        <f>IFERROR(__xludf.DUMMYFUNCTION("""COMPUTED_VALUE"""),1728837.0)</f>
        <v>1728837</v>
      </c>
    </row>
    <row r="2498">
      <c r="A2498" s="3">
        <f>IFERROR(__xludf.DUMMYFUNCTION("""COMPUTED_VALUE"""),41920.645833333336)</f>
        <v>41920.64583</v>
      </c>
      <c r="B2498" s="2">
        <f>IFERROR(__xludf.DUMMYFUNCTION("""COMPUTED_VALUE"""),1369.0)</f>
        <v>1369</v>
      </c>
      <c r="C2498" s="2">
        <f>IFERROR(__xludf.DUMMYFUNCTION("""COMPUTED_VALUE"""),1369.98)</f>
        <v>1369.98</v>
      </c>
      <c r="D2498" s="2">
        <f>IFERROR(__xludf.DUMMYFUNCTION("""COMPUTED_VALUE"""),1324.63)</f>
        <v>1324.63</v>
      </c>
      <c r="E2498" s="2">
        <f>IFERROR(__xludf.DUMMYFUNCTION("""COMPUTED_VALUE"""),1341.6)</f>
        <v>1341.6</v>
      </c>
      <c r="F2498" s="2">
        <f>IFERROR(__xludf.DUMMYFUNCTION("""COMPUTED_VALUE"""),981221.0)</f>
        <v>981221</v>
      </c>
    </row>
    <row r="2499">
      <c r="A2499" s="3">
        <f>IFERROR(__xludf.DUMMYFUNCTION("""COMPUTED_VALUE"""),41921.645833333336)</f>
        <v>41921.64583</v>
      </c>
      <c r="B2499" s="2">
        <f>IFERROR(__xludf.DUMMYFUNCTION("""COMPUTED_VALUE"""),1354.0)</f>
        <v>1354</v>
      </c>
      <c r="C2499" s="2">
        <f>IFERROR(__xludf.DUMMYFUNCTION("""COMPUTED_VALUE"""),1361.65)</f>
        <v>1361.65</v>
      </c>
      <c r="D2499" s="2">
        <f>IFERROR(__xludf.DUMMYFUNCTION("""COMPUTED_VALUE"""),1343.25)</f>
        <v>1343.25</v>
      </c>
      <c r="E2499" s="2">
        <f>IFERROR(__xludf.DUMMYFUNCTION("""COMPUTED_VALUE"""),1353.03)</f>
        <v>1353.03</v>
      </c>
      <c r="F2499" s="2">
        <f>IFERROR(__xludf.DUMMYFUNCTION("""COMPUTED_VALUE"""),842588.0)</f>
        <v>842588</v>
      </c>
    </row>
    <row r="2500">
      <c r="A2500" s="3">
        <f>IFERROR(__xludf.DUMMYFUNCTION("""COMPUTED_VALUE"""),41922.645833333336)</f>
        <v>41922.64583</v>
      </c>
      <c r="B2500" s="2">
        <f>IFERROR(__xludf.DUMMYFUNCTION("""COMPUTED_VALUE"""),1353.0)</f>
        <v>1353</v>
      </c>
      <c r="C2500" s="2">
        <f>IFERROR(__xludf.DUMMYFUNCTION("""COMPUTED_VALUE"""),1363.73)</f>
        <v>1363.73</v>
      </c>
      <c r="D2500" s="2">
        <f>IFERROR(__xludf.DUMMYFUNCTION("""COMPUTED_VALUE"""),1334.25)</f>
        <v>1334.25</v>
      </c>
      <c r="E2500" s="2">
        <f>IFERROR(__xludf.DUMMYFUNCTION("""COMPUTED_VALUE"""),1339.25)</f>
        <v>1339.25</v>
      </c>
      <c r="F2500" s="2">
        <f>IFERROR(__xludf.DUMMYFUNCTION("""COMPUTED_VALUE"""),1172181.0)</f>
        <v>1172181</v>
      </c>
    </row>
    <row r="2501">
      <c r="A2501" s="3">
        <f>IFERROR(__xludf.DUMMYFUNCTION("""COMPUTED_VALUE"""),41925.645833333336)</f>
        <v>41925.64583</v>
      </c>
      <c r="B2501" s="2">
        <f>IFERROR(__xludf.DUMMYFUNCTION("""COMPUTED_VALUE"""),1340.0)</f>
        <v>1340</v>
      </c>
      <c r="C2501" s="2">
        <f>IFERROR(__xludf.DUMMYFUNCTION("""COMPUTED_VALUE"""),1362.4)</f>
        <v>1362.4</v>
      </c>
      <c r="D2501" s="2">
        <f>IFERROR(__xludf.DUMMYFUNCTION("""COMPUTED_VALUE"""),1335.0)</f>
        <v>1335</v>
      </c>
      <c r="E2501" s="2">
        <f>IFERROR(__xludf.DUMMYFUNCTION("""COMPUTED_VALUE"""),1358.28)</f>
        <v>1358.28</v>
      </c>
      <c r="F2501" s="2">
        <f>IFERROR(__xludf.DUMMYFUNCTION("""COMPUTED_VALUE"""),1104766.0)</f>
        <v>1104766</v>
      </c>
    </row>
    <row r="2502">
      <c r="A2502" s="3">
        <f>IFERROR(__xludf.DUMMYFUNCTION("""COMPUTED_VALUE"""),41926.645833333336)</f>
        <v>41926.64583</v>
      </c>
      <c r="B2502" s="2">
        <f>IFERROR(__xludf.DUMMYFUNCTION("""COMPUTED_VALUE"""),1365.0)</f>
        <v>1365</v>
      </c>
      <c r="C2502" s="2">
        <f>IFERROR(__xludf.DUMMYFUNCTION("""COMPUTED_VALUE"""),1367.85)</f>
        <v>1367.85</v>
      </c>
      <c r="D2502" s="2">
        <f>IFERROR(__xludf.DUMMYFUNCTION("""COMPUTED_VALUE"""),1339.4)</f>
        <v>1339.4</v>
      </c>
      <c r="E2502" s="2">
        <f>IFERROR(__xludf.DUMMYFUNCTION("""COMPUTED_VALUE"""),1349.6)</f>
        <v>1349.6</v>
      </c>
      <c r="F2502" s="2">
        <f>IFERROR(__xludf.DUMMYFUNCTION("""COMPUTED_VALUE"""),1184703.0)</f>
        <v>1184703</v>
      </c>
    </row>
    <row r="2503">
      <c r="A2503" s="3">
        <f>IFERROR(__xludf.DUMMYFUNCTION("""COMPUTED_VALUE"""),41928.645833333336)</f>
        <v>41928.64583</v>
      </c>
      <c r="B2503" s="2">
        <f>IFERROR(__xludf.DUMMYFUNCTION("""COMPUTED_VALUE"""),1365.0)</f>
        <v>1365</v>
      </c>
      <c r="C2503" s="2">
        <f>IFERROR(__xludf.DUMMYFUNCTION("""COMPUTED_VALUE"""),1379.3)</f>
        <v>1379.3</v>
      </c>
      <c r="D2503" s="2">
        <f>IFERROR(__xludf.DUMMYFUNCTION("""COMPUTED_VALUE"""),1332.13)</f>
        <v>1332.13</v>
      </c>
      <c r="E2503" s="2">
        <f>IFERROR(__xludf.DUMMYFUNCTION("""COMPUTED_VALUE"""),1339.05)</f>
        <v>1339.05</v>
      </c>
      <c r="F2503" s="2">
        <f>IFERROR(__xludf.DUMMYFUNCTION("""COMPUTED_VALUE"""),1924007.0)</f>
        <v>1924007</v>
      </c>
    </row>
    <row r="2504">
      <c r="A2504" s="3">
        <f>IFERROR(__xludf.DUMMYFUNCTION("""COMPUTED_VALUE"""),41929.645833333336)</f>
        <v>41929.64583</v>
      </c>
      <c r="B2504" s="2">
        <f>IFERROR(__xludf.DUMMYFUNCTION("""COMPUTED_VALUE"""),1237.5)</f>
        <v>1237.5</v>
      </c>
      <c r="C2504" s="2">
        <f>IFERROR(__xludf.DUMMYFUNCTION("""COMPUTED_VALUE"""),1255.68)</f>
        <v>1255.68</v>
      </c>
      <c r="D2504" s="2">
        <f>IFERROR(__xludf.DUMMYFUNCTION("""COMPUTED_VALUE"""),1215.0)</f>
        <v>1215</v>
      </c>
      <c r="E2504" s="2">
        <f>IFERROR(__xludf.DUMMYFUNCTION("""COMPUTED_VALUE"""),1220.57)</f>
        <v>1220.57</v>
      </c>
      <c r="F2504" s="2">
        <f>IFERROR(__xludf.DUMMYFUNCTION("""COMPUTED_VALUE"""),4946406.0)</f>
        <v>4946406</v>
      </c>
    </row>
    <row r="2505">
      <c r="A2505" s="3">
        <f>IFERROR(__xludf.DUMMYFUNCTION("""COMPUTED_VALUE"""),41932.645833333336)</f>
        <v>41932.64583</v>
      </c>
      <c r="B2505" s="2">
        <f>IFERROR(__xludf.DUMMYFUNCTION("""COMPUTED_VALUE"""),1245.0)</f>
        <v>1245</v>
      </c>
      <c r="C2505" s="2">
        <f>IFERROR(__xludf.DUMMYFUNCTION("""COMPUTED_VALUE"""),1246.8)</f>
        <v>1246.8</v>
      </c>
      <c r="D2505" s="2">
        <f>IFERROR(__xludf.DUMMYFUNCTION("""COMPUTED_VALUE"""),1208.97)</f>
        <v>1208.97</v>
      </c>
      <c r="E2505" s="2">
        <f>IFERROR(__xludf.DUMMYFUNCTION("""COMPUTED_VALUE"""),1211.65)</f>
        <v>1211.65</v>
      </c>
      <c r="F2505" s="2">
        <f>IFERROR(__xludf.DUMMYFUNCTION("""COMPUTED_VALUE"""),1699621.0)</f>
        <v>1699621</v>
      </c>
    </row>
    <row r="2506">
      <c r="A2506" s="3">
        <f>IFERROR(__xludf.DUMMYFUNCTION("""COMPUTED_VALUE"""),41933.645833333336)</f>
        <v>41933.64583</v>
      </c>
      <c r="B2506" s="2">
        <f>IFERROR(__xludf.DUMMYFUNCTION("""COMPUTED_VALUE"""),1212.93)</f>
        <v>1212.93</v>
      </c>
      <c r="C2506" s="2">
        <f>IFERROR(__xludf.DUMMYFUNCTION("""COMPUTED_VALUE"""),1221.88)</f>
        <v>1221.88</v>
      </c>
      <c r="D2506" s="2">
        <f>IFERROR(__xludf.DUMMYFUNCTION("""COMPUTED_VALUE"""),1207.5)</f>
        <v>1207.5</v>
      </c>
      <c r="E2506" s="2">
        <f>IFERROR(__xludf.DUMMYFUNCTION("""COMPUTED_VALUE"""),1216.7)</f>
        <v>1216.7</v>
      </c>
      <c r="F2506" s="2">
        <f>IFERROR(__xludf.DUMMYFUNCTION("""COMPUTED_VALUE"""),975366.0)</f>
        <v>975366</v>
      </c>
    </row>
    <row r="2507">
      <c r="A2507" s="3">
        <f>IFERROR(__xludf.DUMMYFUNCTION("""COMPUTED_VALUE"""),41934.645833333336)</f>
        <v>41934.64583</v>
      </c>
      <c r="B2507" s="2">
        <f>IFERROR(__xludf.DUMMYFUNCTION("""COMPUTED_VALUE"""),1242.5)</f>
        <v>1242.5</v>
      </c>
      <c r="C2507" s="2">
        <f>IFERROR(__xludf.DUMMYFUNCTION("""COMPUTED_VALUE"""),1244.5)</f>
        <v>1244.5</v>
      </c>
      <c r="D2507" s="2">
        <f>IFERROR(__xludf.DUMMYFUNCTION("""COMPUTED_VALUE"""),1222.55)</f>
        <v>1222.55</v>
      </c>
      <c r="E2507" s="2">
        <f>IFERROR(__xludf.DUMMYFUNCTION("""COMPUTED_VALUE"""),1225.93)</f>
        <v>1225.93</v>
      </c>
      <c r="F2507" s="2">
        <f>IFERROR(__xludf.DUMMYFUNCTION("""COMPUTED_VALUE"""),1033832.0)</f>
        <v>1033832</v>
      </c>
    </row>
    <row r="2508">
      <c r="A2508" s="3">
        <f>IFERROR(__xludf.DUMMYFUNCTION("""COMPUTED_VALUE"""),41935.645833333336)</f>
        <v>41935.64583</v>
      </c>
      <c r="B2508" s="2">
        <f>IFERROR(__xludf.DUMMYFUNCTION("""COMPUTED_VALUE"""),1232.5)</f>
        <v>1232.5</v>
      </c>
      <c r="C2508" s="2">
        <f>IFERROR(__xludf.DUMMYFUNCTION("""COMPUTED_VALUE"""),1233.68)</f>
        <v>1233.68</v>
      </c>
      <c r="D2508" s="2">
        <f>IFERROR(__xludf.DUMMYFUNCTION("""COMPUTED_VALUE"""),1227.5)</f>
        <v>1227.5</v>
      </c>
      <c r="E2508" s="2">
        <f>IFERROR(__xludf.DUMMYFUNCTION("""COMPUTED_VALUE"""),1232.55)</f>
        <v>1232.55</v>
      </c>
      <c r="F2508" s="2">
        <f>IFERROR(__xludf.DUMMYFUNCTION("""COMPUTED_VALUE"""),109922.0)</f>
        <v>109922</v>
      </c>
    </row>
    <row r="2509">
      <c r="A2509" s="3">
        <f>IFERROR(__xludf.DUMMYFUNCTION("""COMPUTED_VALUE"""),41939.645833333336)</f>
        <v>41939.64583</v>
      </c>
      <c r="B2509" s="2">
        <f>IFERROR(__xludf.DUMMYFUNCTION("""COMPUTED_VALUE"""),1259.5)</f>
        <v>1259.5</v>
      </c>
      <c r="C2509" s="2">
        <f>IFERROR(__xludf.DUMMYFUNCTION("""COMPUTED_VALUE"""),1259.85)</f>
        <v>1259.85</v>
      </c>
      <c r="D2509" s="2">
        <f>IFERROR(__xludf.DUMMYFUNCTION("""COMPUTED_VALUE"""),1222.47)</f>
        <v>1222.47</v>
      </c>
      <c r="E2509" s="2">
        <f>IFERROR(__xludf.DUMMYFUNCTION("""COMPUTED_VALUE"""),1228.57)</f>
        <v>1228.57</v>
      </c>
      <c r="F2509" s="2">
        <f>IFERROR(__xludf.DUMMYFUNCTION("""COMPUTED_VALUE"""),1398604.0)</f>
        <v>1398604</v>
      </c>
    </row>
    <row r="2510">
      <c r="A2510" s="3">
        <f>IFERROR(__xludf.DUMMYFUNCTION("""COMPUTED_VALUE"""),41940.645833333336)</f>
        <v>41940.64583</v>
      </c>
      <c r="B2510" s="2">
        <f>IFERROR(__xludf.DUMMYFUNCTION("""COMPUTED_VALUE"""),1242.45)</f>
        <v>1242.45</v>
      </c>
      <c r="C2510" s="2">
        <f>IFERROR(__xludf.DUMMYFUNCTION("""COMPUTED_VALUE"""),1242.45)</f>
        <v>1242.45</v>
      </c>
      <c r="D2510" s="2">
        <f>IFERROR(__xludf.DUMMYFUNCTION("""COMPUTED_VALUE"""),1226.72)</f>
        <v>1226.72</v>
      </c>
      <c r="E2510" s="2">
        <f>IFERROR(__xludf.DUMMYFUNCTION("""COMPUTED_VALUE"""),1239.3)</f>
        <v>1239.3</v>
      </c>
      <c r="F2510" s="2">
        <f>IFERROR(__xludf.DUMMYFUNCTION("""COMPUTED_VALUE"""),1144979.0)</f>
        <v>1144979</v>
      </c>
    </row>
    <row r="2511">
      <c r="A2511" s="3">
        <f>IFERROR(__xludf.DUMMYFUNCTION("""COMPUTED_VALUE"""),41941.645833333336)</f>
        <v>41941.64583</v>
      </c>
      <c r="B2511" s="2">
        <f>IFERROR(__xludf.DUMMYFUNCTION("""COMPUTED_VALUE"""),1237.5)</f>
        <v>1237.5</v>
      </c>
      <c r="C2511" s="2">
        <f>IFERROR(__xludf.DUMMYFUNCTION("""COMPUTED_VALUE"""),1257.0)</f>
        <v>1257</v>
      </c>
      <c r="D2511" s="2">
        <f>IFERROR(__xludf.DUMMYFUNCTION("""COMPUTED_VALUE"""),1236.5)</f>
        <v>1236.5</v>
      </c>
      <c r="E2511" s="2">
        <f>IFERROR(__xludf.DUMMYFUNCTION("""COMPUTED_VALUE"""),1253.03)</f>
        <v>1253.03</v>
      </c>
      <c r="F2511" s="2">
        <f>IFERROR(__xludf.DUMMYFUNCTION("""COMPUTED_VALUE"""),1212508.0)</f>
        <v>1212508</v>
      </c>
    </row>
    <row r="2512">
      <c r="A2512" s="3">
        <f>IFERROR(__xludf.DUMMYFUNCTION("""COMPUTED_VALUE"""),41942.645833333336)</f>
        <v>41942.64583</v>
      </c>
      <c r="B2512" s="2">
        <f>IFERROR(__xludf.DUMMYFUNCTION("""COMPUTED_VALUE"""),1260.9)</f>
        <v>1260.9</v>
      </c>
      <c r="C2512" s="2">
        <f>IFERROR(__xludf.DUMMYFUNCTION("""COMPUTED_VALUE"""),1287.45)</f>
        <v>1287.45</v>
      </c>
      <c r="D2512" s="2">
        <f>IFERROR(__xludf.DUMMYFUNCTION("""COMPUTED_VALUE"""),1254.5)</f>
        <v>1254.5</v>
      </c>
      <c r="E2512" s="2">
        <f>IFERROR(__xludf.DUMMYFUNCTION("""COMPUTED_VALUE"""),1279.1)</f>
        <v>1279.1</v>
      </c>
      <c r="F2512" s="2">
        <f>IFERROR(__xludf.DUMMYFUNCTION("""COMPUTED_VALUE"""),2055646.0)</f>
        <v>2055646</v>
      </c>
    </row>
    <row r="2513">
      <c r="A2513" s="3">
        <f>IFERROR(__xludf.DUMMYFUNCTION("""COMPUTED_VALUE"""),41943.645833333336)</f>
        <v>41943.64583</v>
      </c>
      <c r="B2513" s="2">
        <f>IFERROR(__xludf.DUMMYFUNCTION("""COMPUTED_VALUE"""),1280.5)</f>
        <v>1280.5</v>
      </c>
      <c r="C2513" s="2">
        <f>IFERROR(__xludf.DUMMYFUNCTION("""COMPUTED_VALUE"""),1310.0)</f>
        <v>1310</v>
      </c>
      <c r="D2513" s="2">
        <f>IFERROR(__xludf.DUMMYFUNCTION("""COMPUTED_VALUE"""),1280.5)</f>
        <v>1280.5</v>
      </c>
      <c r="E2513" s="2">
        <f>IFERROR(__xludf.DUMMYFUNCTION("""COMPUTED_VALUE"""),1303.93)</f>
        <v>1303.93</v>
      </c>
      <c r="F2513" s="2">
        <f>IFERROR(__xludf.DUMMYFUNCTION("""COMPUTED_VALUE"""),1585035.0)</f>
        <v>1585035</v>
      </c>
    </row>
    <row r="2514">
      <c r="A2514" s="3">
        <f>IFERROR(__xludf.DUMMYFUNCTION("""COMPUTED_VALUE"""),41946.645833333336)</f>
        <v>41946.64583</v>
      </c>
      <c r="B2514" s="2">
        <f>IFERROR(__xludf.DUMMYFUNCTION("""COMPUTED_VALUE"""),1324.5)</f>
        <v>1324.5</v>
      </c>
      <c r="C2514" s="2">
        <f>IFERROR(__xludf.DUMMYFUNCTION("""COMPUTED_VALUE"""),1324.5)</f>
        <v>1324.5</v>
      </c>
      <c r="D2514" s="2">
        <f>IFERROR(__xludf.DUMMYFUNCTION("""COMPUTED_VALUE"""),1290.25)</f>
        <v>1290.25</v>
      </c>
      <c r="E2514" s="2">
        <f>IFERROR(__xludf.DUMMYFUNCTION("""COMPUTED_VALUE"""),1295.18)</f>
        <v>1295.18</v>
      </c>
      <c r="F2514" s="2">
        <f>IFERROR(__xludf.DUMMYFUNCTION("""COMPUTED_VALUE"""),1270816.0)</f>
        <v>1270816</v>
      </c>
    </row>
    <row r="2515">
      <c r="A2515" s="3">
        <f>IFERROR(__xludf.DUMMYFUNCTION("""COMPUTED_VALUE"""),41948.645833333336)</f>
        <v>41948.64583</v>
      </c>
      <c r="B2515" s="2">
        <f>IFERROR(__xludf.DUMMYFUNCTION("""COMPUTED_VALUE"""),1319.0)</f>
        <v>1319</v>
      </c>
      <c r="C2515" s="2">
        <f>IFERROR(__xludf.DUMMYFUNCTION("""COMPUTED_VALUE"""),1319.0)</f>
        <v>1319</v>
      </c>
      <c r="D2515" s="2">
        <f>IFERROR(__xludf.DUMMYFUNCTION("""COMPUTED_VALUE"""),1295.0)</f>
        <v>1295</v>
      </c>
      <c r="E2515" s="2">
        <f>IFERROR(__xludf.DUMMYFUNCTION("""COMPUTED_VALUE"""),1299.75)</f>
        <v>1299.75</v>
      </c>
      <c r="F2515" s="2">
        <f>IFERROR(__xludf.DUMMYFUNCTION("""COMPUTED_VALUE"""),1155321.0)</f>
        <v>1155321</v>
      </c>
    </row>
    <row r="2516">
      <c r="A2516" s="3">
        <f>IFERROR(__xludf.DUMMYFUNCTION("""COMPUTED_VALUE"""),41950.645833333336)</f>
        <v>41950.64583</v>
      </c>
      <c r="B2516" s="2">
        <f>IFERROR(__xludf.DUMMYFUNCTION("""COMPUTED_VALUE"""),1302.4)</f>
        <v>1302.4</v>
      </c>
      <c r="C2516" s="2">
        <f>IFERROR(__xludf.DUMMYFUNCTION("""COMPUTED_VALUE"""),1307.85)</f>
        <v>1307.85</v>
      </c>
      <c r="D2516" s="2">
        <f>IFERROR(__xludf.DUMMYFUNCTION("""COMPUTED_VALUE"""),1278.5)</f>
        <v>1278.5</v>
      </c>
      <c r="E2516" s="2">
        <f>IFERROR(__xludf.DUMMYFUNCTION("""COMPUTED_VALUE"""),1286.43)</f>
        <v>1286.43</v>
      </c>
      <c r="F2516" s="2">
        <f>IFERROR(__xludf.DUMMYFUNCTION("""COMPUTED_VALUE"""),1063370.0)</f>
        <v>1063370</v>
      </c>
    </row>
    <row r="2517">
      <c r="A2517" s="3">
        <f>IFERROR(__xludf.DUMMYFUNCTION("""COMPUTED_VALUE"""),41953.64583333333)</f>
        <v>41953.64583</v>
      </c>
      <c r="B2517" s="2">
        <f>IFERROR(__xludf.DUMMYFUNCTION("""COMPUTED_VALUE"""),1287.55)</f>
        <v>1287.55</v>
      </c>
      <c r="C2517" s="2">
        <f>IFERROR(__xludf.DUMMYFUNCTION("""COMPUTED_VALUE"""),1291.0)</f>
        <v>1291</v>
      </c>
      <c r="D2517" s="2">
        <f>IFERROR(__xludf.DUMMYFUNCTION("""COMPUTED_VALUE"""),1275.5)</f>
        <v>1275.5</v>
      </c>
      <c r="E2517" s="2">
        <f>IFERROR(__xludf.DUMMYFUNCTION("""COMPUTED_VALUE"""),1284.82)</f>
        <v>1284.82</v>
      </c>
      <c r="F2517" s="2">
        <f>IFERROR(__xludf.DUMMYFUNCTION("""COMPUTED_VALUE"""),770982.0)</f>
        <v>770982</v>
      </c>
    </row>
    <row r="2518">
      <c r="A2518" s="3">
        <f>IFERROR(__xludf.DUMMYFUNCTION("""COMPUTED_VALUE"""),41954.64583333333)</f>
        <v>41954.64583</v>
      </c>
      <c r="B2518" s="2">
        <f>IFERROR(__xludf.DUMMYFUNCTION("""COMPUTED_VALUE"""),1289.0)</f>
        <v>1289</v>
      </c>
      <c r="C2518" s="2">
        <f>IFERROR(__xludf.DUMMYFUNCTION("""COMPUTED_VALUE"""),1297.0)</f>
        <v>1297</v>
      </c>
      <c r="D2518" s="2">
        <f>IFERROR(__xludf.DUMMYFUNCTION("""COMPUTED_VALUE"""),1277.7)</f>
        <v>1277.7</v>
      </c>
      <c r="E2518" s="2">
        <f>IFERROR(__xludf.DUMMYFUNCTION("""COMPUTED_VALUE"""),1290.35)</f>
        <v>1290.35</v>
      </c>
      <c r="F2518" s="2">
        <f>IFERROR(__xludf.DUMMYFUNCTION("""COMPUTED_VALUE"""),624970.0)</f>
        <v>624970</v>
      </c>
    </row>
    <row r="2519">
      <c r="A2519" s="3">
        <f>IFERROR(__xludf.DUMMYFUNCTION("""COMPUTED_VALUE"""),41955.64583333333)</f>
        <v>41955.64583</v>
      </c>
      <c r="B2519" s="2">
        <f>IFERROR(__xludf.DUMMYFUNCTION("""COMPUTED_VALUE"""),1290.0)</f>
        <v>1290</v>
      </c>
      <c r="C2519" s="2">
        <f>IFERROR(__xludf.DUMMYFUNCTION("""COMPUTED_VALUE"""),1305.5)</f>
        <v>1305.5</v>
      </c>
      <c r="D2519" s="2">
        <f>IFERROR(__xludf.DUMMYFUNCTION("""COMPUTED_VALUE"""),1287.5)</f>
        <v>1287.5</v>
      </c>
      <c r="E2519" s="2">
        <f>IFERROR(__xludf.DUMMYFUNCTION("""COMPUTED_VALUE"""),1295.88)</f>
        <v>1295.88</v>
      </c>
      <c r="F2519" s="2">
        <f>IFERROR(__xludf.DUMMYFUNCTION("""COMPUTED_VALUE"""),660291.0)</f>
        <v>660291</v>
      </c>
    </row>
    <row r="2520">
      <c r="A2520" s="3">
        <f>IFERROR(__xludf.DUMMYFUNCTION("""COMPUTED_VALUE"""),41956.64583333333)</f>
        <v>41956.64583</v>
      </c>
      <c r="B2520" s="2">
        <f>IFERROR(__xludf.DUMMYFUNCTION("""COMPUTED_VALUE"""),1297.5)</f>
        <v>1297.5</v>
      </c>
      <c r="C2520" s="2">
        <f>IFERROR(__xludf.DUMMYFUNCTION("""COMPUTED_VALUE"""),1302.45)</f>
        <v>1302.45</v>
      </c>
      <c r="D2520" s="2">
        <f>IFERROR(__xludf.DUMMYFUNCTION("""COMPUTED_VALUE"""),1282.57)</f>
        <v>1282.57</v>
      </c>
      <c r="E2520" s="2">
        <f>IFERROR(__xludf.DUMMYFUNCTION("""COMPUTED_VALUE"""),1294.22)</f>
        <v>1294.22</v>
      </c>
      <c r="F2520" s="2">
        <f>IFERROR(__xludf.DUMMYFUNCTION("""COMPUTED_VALUE"""),822770.0)</f>
        <v>822770</v>
      </c>
    </row>
    <row r="2521">
      <c r="A2521" s="3">
        <f>IFERROR(__xludf.DUMMYFUNCTION("""COMPUTED_VALUE"""),41957.64583333333)</f>
        <v>41957.64583</v>
      </c>
      <c r="B2521" s="2">
        <f>IFERROR(__xludf.DUMMYFUNCTION("""COMPUTED_VALUE"""),1292.6)</f>
        <v>1292.6</v>
      </c>
      <c r="C2521" s="2">
        <f>IFERROR(__xludf.DUMMYFUNCTION("""COMPUTED_VALUE"""),1305.57)</f>
        <v>1305.57</v>
      </c>
      <c r="D2521" s="2">
        <f>IFERROR(__xludf.DUMMYFUNCTION("""COMPUTED_VALUE"""),1287.5)</f>
        <v>1287.5</v>
      </c>
      <c r="E2521" s="2">
        <f>IFERROR(__xludf.DUMMYFUNCTION("""COMPUTED_VALUE"""),1303.22)</f>
        <v>1303.22</v>
      </c>
      <c r="F2521" s="2">
        <f>IFERROR(__xludf.DUMMYFUNCTION("""COMPUTED_VALUE"""),728587.0)</f>
        <v>728587</v>
      </c>
    </row>
    <row r="2522">
      <c r="A2522" s="3">
        <f>IFERROR(__xludf.DUMMYFUNCTION("""COMPUTED_VALUE"""),41960.64583333333)</f>
        <v>41960.64583</v>
      </c>
      <c r="B2522" s="2">
        <f>IFERROR(__xludf.DUMMYFUNCTION("""COMPUTED_VALUE"""),1297.55)</f>
        <v>1297.55</v>
      </c>
      <c r="C2522" s="2">
        <f>IFERROR(__xludf.DUMMYFUNCTION("""COMPUTED_VALUE"""),1312.5)</f>
        <v>1312.5</v>
      </c>
      <c r="D2522" s="2">
        <f>IFERROR(__xludf.DUMMYFUNCTION("""COMPUTED_VALUE"""),1296.13)</f>
        <v>1296.13</v>
      </c>
      <c r="E2522" s="2">
        <f>IFERROR(__xludf.DUMMYFUNCTION("""COMPUTED_VALUE"""),1309.15)</f>
        <v>1309.15</v>
      </c>
      <c r="F2522" s="2">
        <f>IFERROR(__xludf.DUMMYFUNCTION("""COMPUTED_VALUE"""),785276.0)</f>
        <v>785276</v>
      </c>
    </row>
    <row r="2523">
      <c r="A2523" s="3">
        <f>IFERROR(__xludf.DUMMYFUNCTION("""COMPUTED_VALUE"""),41961.64583333333)</f>
        <v>41961.64583</v>
      </c>
      <c r="B2523" s="2">
        <f>IFERROR(__xludf.DUMMYFUNCTION("""COMPUTED_VALUE"""),1310.0)</f>
        <v>1310</v>
      </c>
      <c r="C2523" s="2">
        <f>IFERROR(__xludf.DUMMYFUNCTION("""COMPUTED_VALUE"""),1313.32)</f>
        <v>1313.32</v>
      </c>
      <c r="D2523" s="2">
        <f>IFERROR(__xludf.DUMMYFUNCTION("""COMPUTED_VALUE"""),1289.88)</f>
        <v>1289.88</v>
      </c>
      <c r="E2523" s="2">
        <f>IFERROR(__xludf.DUMMYFUNCTION("""COMPUTED_VALUE"""),1292.93)</f>
        <v>1292.93</v>
      </c>
      <c r="F2523" s="2">
        <f>IFERROR(__xludf.DUMMYFUNCTION("""COMPUTED_VALUE"""),733513.0)</f>
        <v>733513</v>
      </c>
    </row>
    <row r="2524">
      <c r="A2524" s="3">
        <f>IFERROR(__xludf.DUMMYFUNCTION("""COMPUTED_VALUE"""),41962.64583333333)</f>
        <v>41962.64583</v>
      </c>
      <c r="B2524" s="2">
        <f>IFERROR(__xludf.DUMMYFUNCTION("""COMPUTED_VALUE"""),1299.0)</f>
        <v>1299</v>
      </c>
      <c r="C2524" s="2">
        <f>IFERROR(__xludf.DUMMYFUNCTION("""COMPUTED_VALUE"""),1299.0)</f>
        <v>1299</v>
      </c>
      <c r="D2524" s="2">
        <f>IFERROR(__xludf.DUMMYFUNCTION("""COMPUTED_VALUE"""),1278.72)</f>
        <v>1278.72</v>
      </c>
      <c r="E2524" s="2">
        <f>IFERROR(__xludf.DUMMYFUNCTION("""COMPUTED_VALUE"""),1286.88)</f>
        <v>1286.88</v>
      </c>
      <c r="F2524" s="2">
        <f>IFERROR(__xludf.DUMMYFUNCTION("""COMPUTED_VALUE"""),932873.0)</f>
        <v>932873</v>
      </c>
    </row>
    <row r="2525">
      <c r="A2525" s="3">
        <f>IFERROR(__xludf.DUMMYFUNCTION("""COMPUTED_VALUE"""),41963.64583333333)</f>
        <v>41963.64583</v>
      </c>
      <c r="B2525" s="2">
        <f>IFERROR(__xludf.DUMMYFUNCTION("""COMPUTED_VALUE"""),1294.0)</f>
        <v>1294</v>
      </c>
      <c r="C2525" s="2">
        <f>IFERROR(__xludf.DUMMYFUNCTION("""COMPUTED_VALUE"""),1305.13)</f>
        <v>1305.13</v>
      </c>
      <c r="D2525" s="2">
        <f>IFERROR(__xludf.DUMMYFUNCTION("""COMPUTED_VALUE"""),1280.28)</f>
        <v>1280.28</v>
      </c>
      <c r="E2525" s="2">
        <f>IFERROR(__xludf.DUMMYFUNCTION("""COMPUTED_VALUE"""),1302.72)</f>
        <v>1302.72</v>
      </c>
      <c r="F2525" s="2">
        <f>IFERROR(__xludf.DUMMYFUNCTION("""COMPUTED_VALUE"""),897693.0)</f>
        <v>897693</v>
      </c>
    </row>
    <row r="2526">
      <c r="A2526" s="3">
        <f>IFERROR(__xludf.DUMMYFUNCTION("""COMPUTED_VALUE"""),41964.64583333333)</f>
        <v>41964.64583</v>
      </c>
      <c r="B2526" s="2">
        <f>IFERROR(__xludf.DUMMYFUNCTION("""COMPUTED_VALUE"""),1304.0)</f>
        <v>1304</v>
      </c>
      <c r="C2526" s="2">
        <f>IFERROR(__xludf.DUMMYFUNCTION("""COMPUTED_VALUE"""),1320.0)</f>
        <v>1320</v>
      </c>
      <c r="D2526" s="2">
        <f>IFERROR(__xludf.DUMMYFUNCTION("""COMPUTED_VALUE"""),1293.32)</f>
        <v>1293.32</v>
      </c>
      <c r="E2526" s="2">
        <f>IFERROR(__xludf.DUMMYFUNCTION("""COMPUTED_VALUE"""),1311.07)</f>
        <v>1311.07</v>
      </c>
      <c r="F2526" s="2">
        <f>IFERROR(__xludf.DUMMYFUNCTION("""COMPUTED_VALUE"""),1000797.0)</f>
        <v>1000797</v>
      </c>
    </row>
    <row r="2527">
      <c r="A2527" s="3">
        <f>IFERROR(__xludf.DUMMYFUNCTION("""COMPUTED_VALUE"""),41967.64583333333)</f>
        <v>41967.64583</v>
      </c>
      <c r="B2527" s="2">
        <f>IFERROR(__xludf.DUMMYFUNCTION("""COMPUTED_VALUE"""),1311.0)</f>
        <v>1311</v>
      </c>
      <c r="C2527" s="2">
        <f>IFERROR(__xludf.DUMMYFUNCTION("""COMPUTED_VALUE"""),1332.5)</f>
        <v>1332.5</v>
      </c>
      <c r="D2527" s="2">
        <f>IFERROR(__xludf.DUMMYFUNCTION("""COMPUTED_VALUE"""),1311.0)</f>
        <v>1311</v>
      </c>
      <c r="E2527" s="2">
        <f>IFERROR(__xludf.DUMMYFUNCTION("""COMPUTED_VALUE"""),1328.85)</f>
        <v>1328.85</v>
      </c>
      <c r="F2527" s="2">
        <f>IFERROR(__xludf.DUMMYFUNCTION("""COMPUTED_VALUE"""),971383.0)</f>
        <v>971383</v>
      </c>
    </row>
    <row r="2528">
      <c r="A2528" s="3">
        <f>IFERROR(__xludf.DUMMYFUNCTION("""COMPUTED_VALUE"""),41968.64583333333)</f>
        <v>41968.64583</v>
      </c>
      <c r="B2528" s="2">
        <f>IFERROR(__xludf.DUMMYFUNCTION("""COMPUTED_VALUE"""),1330.0)</f>
        <v>1330</v>
      </c>
      <c r="C2528" s="2">
        <f>IFERROR(__xludf.DUMMYFUNCTION("""COMPUTED_VALUE"""),1339.7)</f>
        <v>1339.7</v>
      </c>
      <c r="D2528" s="2">
        <f>IFERROR(__xludf.DUMMYFUNCTION("""COMPUTED_VALUE"""),1308.0)</f>
        <v>1308</v>
      </c>
      <c r="E2528" s="2">
        <f>IFERROR(__xludf.DUMMYFUNCTION("""COMPUTED_VALUE"""),1318.0)</f>
        <v>1318</v>
      </c>
      <c r="F2528" s="2">
        <f>IFERROR(__xludf.DUMMYFUNCTION("""COMPUTED_VALUE"""),1185842.0)</f>
        <v>1185842</v>
      </c>
    </row>
    <row r="2529">
      <c r="A2529" s="3">
        <f>IFERROR(__xludf.DUMMYFUNCTION("""COMPUTED_VALUE"""),41969.64583333333)</f>
        <v>41969.64583</v>
      </c>
      <c r="B2529" s="2">
        <f>IFERROR(__xludf.DUMMYFUNCTION("""COMPUTED_VALUE"""),1315.03)</f>
        <v>1315.03</v>
      </c>
      <c r="C2529" s="2">
        <f>IFERROR(__xludf.DUMMYFUNCTION("""COMPUTED_VALUE"""),1328.18)</f>
        <v>1328.18</v>
      </c>
      <c r="D2529" s="2">
        <f>IFERROR(__xludf.DUMMYFUNCTION("""COMPUTED_VALUE"""),1307.5)</f>
        <v>1307.5</v>
      </c>
      <c r="E2529" s="2">
        <f>IFERROR(__xludf.DUMMYFUNCTION("""COMPUTED_VALUE"""),1313.65)</f>
        <v>1313.65</v>
      </c>
      <c r="F2529" s="2">
        <f>IFERROR(__xludf.DUMMYFUNCTION("""COMPUTED_VALUE"""),792400.0)</f>
        <v>792400</v>
      </c>
    </row>
    <row r="2530">
      <c r="A2530" s="3">
        <f>IFERROR(__xludf.DUMMYFUNCTION("""COMPUTED_VALUE"""),41970.64583333333)</f>
        <v>41970.64583</v>
      </c>
      <c r="B2530" s="2">
        <f>IFERROR(__xludf.DUMMYFUNCTION("""COMPUTED_VALUE"""),1313.65)</f>
        <v>1313.65</v>
      </c>
      <c r="C2530" s="2">
        <f>IFERROR(__xludf.DUMMYFUNCTION("""COMPUTED_VALUE"""),1334.0)</f>
        <v>1334</v>
      </c>
      <c r="D2530" s="2">
        <f>IFERROR(__xludf.DUMMYFUNCTION("""COMPUTED_VALUE"""),1312.65)</f>
        <v>1312.65</v>
      </c>
      <c r="E2530" s="2">
        <f>IFERROR(__xludf.DUMMYFUNCTION("""COMPUTED_VALUE"""),1326.65)</f>
        <v>1326.65</v>
      </c>
      <c r="F2530" s="2">
        <f>IFERROR(__xludf.DUMMYFUNCTION("""COMPUTED_VALUE"""),866209.0)</f>
        <v>866209</v>
      </c>
    </row>
    <row r="2531">
      <c r="A2531" s="3">
        <f>IFERROR(__xludf.DUMMYFUNCTION("""COMPUTED_VALUE"""),41971.64583333333)</f>
        <v>41971.64583</v>
      </c>
      <c r="B2531" s="2">
        <f>IFERROR(__xludf.DUMMYFUNCTION("""COMPUTED_VALUE"""),1329.18)</f>
        <v>1329.18</v>
      </c>
      <c r="C2531" s="2">
        <f>IFERROR(__xludf.DUMMYFUNCTION("""COMPUTED_VALUE"""),1345.95)</f>
        <v>1345.95</v>
      </c>
      <c r="D2531" s="2">
        <f>IFERROR(__xludf.DUMMYFUNCTION("""COMPUTED_VALUE"""),1317.68)</f>
        <v>1317.68</v>
      </c>
      <c r="E2531" s="2">
        <f>IFERROR(__xludf.DUMMYFUNCTION("""COMPUTED_VALUE"""),1321.5)</f>
        <v>1321.5</v>
      </c>
      <c r="F2531" s="2">
        <f>IFERROR(__xludf.DUMMYFUNCTION("""COMPUTED_VALUE"""),994884.0)</f>
        <v>994884</v>
      </c>
    </row>
    <row r="2532">
      <c r="A2532" s="3">
        <f>IFERROR(__xludf.DUMMYFUNCTION("""COMPUTED_VALUE"""),41974.64583333333)</f>
        <v>41974.64583</v>
      </c>
      <c r="B2532" s="2">
        <f>IFERROR(__xludf.DUMMYFUNCTION("""COMPUTED_VALUE"""),1325.25)</f>
        <v>1325.25</v>
      </c>
      <c r="C2532" s="2">
        <f>IFERROR(__xludf.DUMMYFUNCTION("""COMPUTED_VALUE"""),1350.0)</f>
        <v>1350</v>
      </c>
      <c r="D2532" s="2">
        <f>IFERROR(__xludf.DUMMYFUNCTION("""COMPUTED_VALUE"""),1322.63)</f>
        <v>1322.63</v>
      </c>
      <c r="E2532" s="2">
        <f>IFERROR(__xludf.DUMMYFUNCTION("""COMPUTED_VALUE"""),1346.48)</f>
        <v>1346.48</v>
      </c>
      <c r="F2532" s="2">
        <f>IFERROR(__xludf.DUMMYFUNCTION("""COMPUTED_VALUE"""),948177.0)</f>
        <v>948177</v>
      </c>
    </row>
    <row r="2533">
      <c r="A2533" s="3">
        <f>IFERROR(__xludf.DUMMYFUNCTION("""COMPUTED_VALUE"""),41975.64583333333)</f>
        <v>41975.64583</v>
      </c>
      <c r="B2533" s="2">
        <f>IFERROR(__xludf.DUMMYFUNCTION("""COMPUTED_VALUE"""),1346.5)</f>
        <v>1346.5</v>
      </c>
      <c r="C2533" s="2">
        <f>IFERROR(__xludf.DUMMYFUNCTION("""COMPUTED_VALUE"""),1355.48)</f>
        <v>1355.48</v>
      </c>
      <c r="D2533" s="2">
        <f>IFERROR(__xludf.DUMMYFUNCTION("""COMPUTED_VALUE"""),1324.68)</f>
        <v>1324.68</v>
      </c>
      <c r="E2533" s="2">
        <f>IFERROR(__xludf.DUMMYFUNCTION("""COMPUTED_VALUE"""),1328.65)</f>
        <v>1328.65</v>
      </c>
      <c r="F2533" s="2">
        <f>IFERROR(__xludf.DUMMYFUNCTION("""COMPUTED_VALUE"""),718286.0)</f>
        <v>718286</v>
      </c>
    </row>
    <row r="2534">
      <c r="A2534" s="3">
        <f>IFERROR(__xludf.DUMMYFUNCTION("""COMPUTED_VALUE"""),41976.64583333333)</f>
        <v>41976.64583</v>
      </c>
      <c r="B2534" s="2">
        <f>IFERROR(__xludf.DUMMYFUNCTION("""COMPUTED_VALUE"""),1335.95)</f>
        <v>1335.95</v>
      </c>
      <c r="C2534" s="2">
        <f>IFERROR(__xludf.DUMMYFUNCTION("""COMPUTED_VALUE"""),1336.7)</f>
        <v>1336.7</v>
      </c>
      <c r="D2534" s="2">
        <f>IFERROR(__xludf.DUMMYFUNCTION("""COMPUTED_VALUE"""),1309.25)</f>
        <v>1309.25</v>
      </c>
      <c r="E2534" s="2">
        <f>IFERROR(__xludf.DUMMYFUNCTION("""COMPUTED_VALUE"""),1317.68)</f>
        <v>1317.68</v>
      </c>
      <c r="F2534" s="2">
        <f>IFERROR(__xludf.DUMMYFUNCTION("""COMPUTED_VALUE"""),1547335.0)</f>
        <v>1547335</v>
      </c>
    </row>
    <row r="2535">
      <c r="A2535" s="3">
        <f>IFERROR(__xludf.DUMMYFUNCTION("""COMPUTED_VALUE"""),41977.64583333333)</f>
        <v>41977.64583</v>
      </c>
      <c r="B2535" s="2">
        <f>IFERROR(__xludf.DUMMYFUNCTION("""COMPUTED_VALUE"""),1332.0)</f>
        <v>1332</v>
      </c>
      <c r="C2535" s="2">
        <f>IFERROR(__xludf.DUMMYFUNCTION("""COMPUTED_VALUE"""),1333.5)</f>
        <v>1333.5</v>
      </c>
      <c r="D2535" s="2">
        <f>IFERROR(__xludf.DUMMYFUNCTION("""COMPUTED_VALUE"""),1314.95)</f>
        <v>1314.95</v>
      </c>
      <c r="E2535" s="2">
        <f>IFERROR(__xludf.DUMMYFUNCTION("""COMPUTED_VALUE"""),1318.98)</f>
        <v>1318.98</v>
      </c>
      <c r="F2535" s="2">
        <f>IFERROR(__xludf.DUMMYFUNCTION("""COMPUTED_VALUE"""),642654.0)</f>
        <v>642654</v>
      </c>
    </row>
    <row r="2536">
      <c r="A2536" s="3">
        <f>IFERROR(__xludf.DUMMYFUNCTION("""COMPUTED_VALUE"""),41978.64583333333)</f>
        <v>41978.64583</v>
      </c>
      <c r="B2536" s="2">
        <f>IFERROR(__xludf.DUMMYFUNCTION("""COMPUTED_VALUE"""),1320.45)</f>
        <v>1320.45</v>
      </c>
      <c r="C2536" s="2">
        <f>IFERROR(__xludf.DUMMYFUNCTION("""COMPUTED_VALUE"""),1324.9)</f>
        <v>1324.9</v>
      </c>
      <c r="D2536" s="2">
        <f>IFERROR(__xludf.DUMMYFUNCTION("""COMPUTED_VALUE"""),1286.07)</f>
        <v>1286.07</v>
      </c>
      <c r="E2536" s="2">
        <f>IFERROR(__xludf.DUMMYFUNCTION("""COMPUTED_VALUE"""),1289.47)</f>
        <v>1289.47</v>
      </c>
      <c r="F2536" s="2">
        <f>IFERROR(__xludf.DUMMYFUNCTION("""COMPUTED_VALUE"""),1179838.0)</f>
        <v>1179838</v>
      </c>
    </row>
    <row r="2537">
      <c r="A2537" s="3">
        <f>IFERROR(__xludf.DUMMYFUNCTION("""COMPUTED_VALUE"""),41981.64583333333)</f>
        <v>41981.64583</v>
      </c>
      <c r="B2537" s="2">
        <f>IFERROR(__xludf.DUMMYFUNCTION("""COMPUTED_VALUE"""),1297.5)</f>
        <v>1297.5</v>
      </c>
      <c r="C2537" s="2">
        <f>IFERROR(__xludf.DUMMYFUNCTION("""COMPUTED_VALUE"""),1297.5)</f>
        <v>1297.5</v>
      </c>
      <c r="D2537" s="2">
        <f>IFERROR(__xludf.DUMMYFUNCTION("""COMPUTED_VALUE"""),1250.82)</f>
        <v>1250.82</v>
      </c>
      <c r="E2537" s="2">
        <f>IFERROR(__xludf.DUMMYFUNCTION("""COMPUTED_VALUE"""),1256.4)</f>
        <v>1256.4</v>
      </c>
      <c r="F2537" s="2">
        <f>IFERROR(__xludf.DUMMYFUNCTION("""COMPUTED_VALUE"""),1616287.0)</f>
        <v>1616287</v>
      </c>
    </row>
    <row r="2538">
      <c r="A2538" s="3">
        <f>IFERROR(__xludf.DUMMYFUNCTION("""COMPUTED_VALUE"""),41982.64583333333)</f>
        <v>41982.64583</v>
      </c>
      <c r="B2538" s="2">
        <f>IFERROR(__xludf.DUMMYFUNCTION("""COMPUTED_VALUE"""),1258.0)</f>
        <v>1258</v>
      </c>
      <c r="C2538" s="2">
        <f>IFERROR(__xludf.DUMMYFUNCTION("""COMPUTED_VALUE"""),1279.5)</f>
        <v>1279.5</v>
      </c>
      <c r="D2538" s="2">
        <f>IFERROR(__xludf.DUMMYFUNCTION("""COMPUTED_VALUE"""),1254.55)</f>
        <v>1254.55</v>
      </c>
      <c r="E2538" s="2">
        <f>IFERROR(__xludf.DUMMYFUNCTION("""COMPUTED_VALUE"""),1257.43)</f>
        <v>1257.43</v>
      </c>
      <c r="F2538" s="2">
        <f>IFERROR(__xludf.DUMMYFUNCTION("""COMPUTED_VALUE"""),1243970.0)</f>
        <v>1243970</v>
      </c>
    </row>
    <row r="2539">
      <c r="A2539" s="3">
        <f>IFERROR(__xludf.DUMMYFUNCTION("""COMPUTED_VALUE"""),41983.64583333333)</f>
        <v>41983.64583</v>
      </c>
      <c r="B2539" s="2">
        <f>IFERROR(__xludf.DUMMYFUNCTION("""COMPUTED_VALUE"""),1257.5)</f>
        <v>1257.5</v>
      </c>
      <c r="C2539" s="2">
        <f>IFERROR(__xludf.DUMMYFUNCTION("""COMPUTED_VALUE"""),1265.95)</f>
        <v>1265.95</v>
      </c>
      <c r="D2539" s="2">
        <f>IFERROR(__xludf.DUMMYFUNCTION("""COMPUTED_VALUE"""),1248.1)</f>
        <v>1248.1</v>
      </c>
      <c r="E2539" s="2">
        <f>IFERROR(__xludf.DUMMYFUNCTION("""COMPUTED_VALUE"""),1253.95)</f>
        <v>1253.95</v>
      </c>
      <c r="F2539" s="2">
        <f>IFERROR(__xludf.DUMMYFUNCTION("""COMPUTED_VALUE"""),1043985.0)</f>
        <v>1043985</v>
      </c>
    </row>
    <row r="2540">
      <c r="A2540" s="3">
        <f>IFERROR(__xludf.DUMMYFUNCTION("""COMPUTED_VALUE"""),41984.64583333333)</f>
        <v>41984.64583</v>
      </c>
      <c r="B2540" s="2">
        <f>IFERROR(__xludf.DUMMYFUNCTION("""COMPUTED_VALUE"""),1250.3)</f>
        <v>1250.3</v>
      </c>
      <c r="C2540" s="2">
        <f>IFERROR(__xludf.DUMMYFUNCTION("""COMPUTED_VALUE"""),1261.45)</f>
        <v>1261.45</v>
      </c>
      <c r="D2540" s="2">
        <f>IFERROR(__xludf.DUMMYFUNCTION("""COMPUTED_VALUE"""),1243.5)</f>
        <v>1243.5</v>
      </c>
      <c r="E2540" s="2">
        <f>IFERROR(__xludf.DUMMYFUNCTION("""COMPUTED_VALUE"""),1246.07)</f>
        <v>1246.07</v>
      </c>
      <c r="F2540" s="2">
        <f>IFERROR(__xludf.DUMMYFUNCTION("""COMPUTED_VALUE"""),969411.0)</f>
        <v>969411</v>
      </c>
    </row>
    <row r="2541">
      <c r="A2541" s="3">
        <f>IFERROR(__xludf.DUMMYFUNCTION("""COMPUTED_VALUE"""),41985.64583333333)</f>
        <v>41985.64583</v>
      </c>
      <c r="B2541" s="2">
        <f>IFERROR(__xludf.DUMMYFUNCTION("""COMPUTED_VALUE"""),1250.0)</f>
        <v>1250</v>
      </c>
      <c r="C2541" s="2">
        <f>IFERROR(__xludf.DUMMYFUNCTION("""COMPUTED_VALUE"""),1260.0)</f>
        <v>1260</v>
      </c>
      <c r="D2541" s="2">
        <f>IFERROR(__xludf.DUMMYFUNCTION("""COMPUTED_VALUE"""),1211.32)</f>
        <v>1211.32</v>
      </c>
      <c r="E2541" s="2">
        <f>IFERROR(__xludf.DUMMYFUNCTION("""COMPUTED_VALUE"""),1225.35)</f>
        <v>1225.35</v>
      </c>
      <c r="F2541" s="2">
        <f>IFERROR(__xludf.DUMMYFUNCTION("""COMPUTED_VALUE"""),1190393.0)</f>
        <v>1190393</v>
      </c>
    </row>
    <row r="2542">
      <c r="A2542" s="3">
        <f>IFERROR(__xludf.DUMMYFUNCTION("""COMPUTED_VALUE"""),41988.64583333333)</f>
        <v>41988.64583</v>
      </c>
      <c r="B2542" s="2">
        <f>IFERROR(__xludf.DUMMYFUNCTION("""COMPUTED_VALUE"""),1192.45)</f>
        <v>1192.45</v>
      </c>
      <c r="C2542" s="2">
        <f>IFERROR(__xludf.DUMMYFUNCTION("""COMPUTED_VALUE"""),1192.5)</f>
        <v>1192.5</v>
      </c>
      <c r="D2542" s="2">
        <f>IFERROR(__xludf.DUMMYFUNCTION("""COMPUTED_VALUE"""),1176.13)</f>
        <v>1176.13</v>
      </c>
      <c r="E2542" s="2">
        <f>IFERROR(__xludf.DUMMYFUNCTION("""COMPUTED_VALUE"""),1179.32)</f>
        <v>1179.32</v>
      </c>
      <c r="F2542" s="2">
        <f>IFERROR(__xludf.DUMMYFUNCTION("""COMPUTED_VALUE"""),1743894.0)</f>
        <v>1743894</v>
      </c>
    </row>
    <row r="2543">
      <c r="A2543" s="3">
        <f>IFERROR(__xludf.DUMMYFUNCTION("""COMPUTED_VALUE"""),41989.64583333333)</f>
        <v>41989.64583</v>
      </c>
      <c r="B2543" s="2">
        <f>IFERROR(__xludf.DUMMYFUNCTION("""COMPUTED_VALUE"""),1175.0)</f>
        <v>1175</v>
      </c>
      <c r="C2543" s="2">
        <f>IFERROR(__xludf.DUMMYFUNCTION("""COMPUTED_VALUE"""),1229.63)</f>
        <v>1229.63</v>
      </c>
      <c r="D2543" s="2">
        <f>IFERROR(__xludf.DUMMYFUNCTION("""COMPUTED_VALUE"""),1172.5)</f>
        <v>1172.5</v>
      </c>
      <c r="E2543" s="2">
        <f>IFERROR(__xludf.DUMMYFUNCTION("""COMPUTED_VALUE"""),1221.53)</f>
        <v>1221.53</v>
      </c>
      <c r="F2543" s="2">
        <f>IFERROR(__xludf.DUMMYFUNCTION("""COMPUTED_VALUE"""),1669570.0)</f>
        <v>1669570</v>
      </c>
    </row>
    <row r="2544">
      <c r="A2544" s="3">
        <f>IFERROR(__xludf.DUMMYFUNCTION("""COMPUTED_VALUE"""),41990.64583333333)</f>
        <v>41990.64583</v>
      </c>
      <c r="B2544" s="2">
        <f>IFERROR(__xludf.DUMMYFUNCTION("""COMPUTED_VALUE"""),1226.7)</f>
        <v>1226.7</v>
      </c>
      <c r="C2544" s="2">
        <f>IFERROR(__xludf.DUMMYFUNCTION("""COMPUTED_VALUE"""),1235.0)</f>
        <v>1235</v>
      </c>
      <c r="D2544" s="2">
        <f>IFERROR(__xludf.DUMMYFUNCTION("""COMPUTED_VALUE"""),1202.63)</f>
        <v>1202.63</v>
      </c>
      <c r="E2544" s="2">
        <f>IFERROR(__xludf.DUMMYFUNCTION("""COMPUTED_VALUE"""),1222.05)</f>
        <v>1222.05</v>
      </c>
      <c r="F2544" s="2">
        <f>IFERROR(__xludf.DUMMYFUNCTION("""COMPUTED_VALUE"""),1143538.0)</f>
        <v>1143538</v>
      </c>
    </row>
    <row r="2545">
      <c r="A2545" s="3">
        <f>IFERROR(__xludf.DUMMYFUNCTION("""COMPUTED_VALUE"""),41991.64583333333)</f>
        <v>41991.64583</v>
      </c>
      <c r="B2545" s="2">
        <f>IFERROR(__xludf.DUMMYFUNCTION("""COMPUTED_VALUE"""),1227.55)</f>
        <v>1227.55</v>
      </c>
      <c r="C2545" s="2">
        <f>IFERROR(__xludf.DUMMYFUNCTION("""COMPUTED_VALUE"""),1234.25)</f>
        <v>1234.25</v>
      </c>
      <c r="D2545" s="2">
        <f>IFERROR(__xludf.DUMMYFUNCTION("""COMPUTED_VALUE"""),1217.4)</f>
        <v>1217.4</v>
      </c>
      <c r="E2545" s="2">
        <f>IFERROR(__xludf.DUMMYFUNCTION("""COMPUTED_VALUE"""),1230.35)</f>
        <v>1230.35</v>
      </c>
      <c r="F2545" s="2">
        <f>IFERROR(__xludf.DUMMYFUNCTION("""COMPUTED_VALUE"""),740722.0)</f>
        <v>740722</v>
      </c>
    </row>
    <row r="2546">
      <c r="A2546" s="3">
        <f>IFERROR(__xludf.DUMMYFUNCTION("""COMPUTED_VALUE"""),41992.64583333333)</f>
        <v>41992.64583</v>
      </c>
      <c r="B2546" s="2">
        <f>IFERROR(__xludf.DUMMYFUNCTION("""COMPUTED_VALUE"""),1235.65)</f>
        <v>1235.65</v>
      </c>
      <c r="C2546" s="2">
        <f>IFERROR(__xludf.DUMMYFUNCTION("""COMPUTED_VALUE"""),1261.88)</f>
        <v>1261.88</v>
      </c>
      <c r="D2546" s="2">
        <f>IFERROR(__xludf.DUMMYFUNCTION("""COMPUTED_VALUE"""),1234.0)</f>
        <v>1234</v>
      </c>
      <c r="E2546" s="2">
        <f>IFERROR(__xludf.DUMMYFUNCTION("""COMPUTED_VALUE"""),1255.28)</f>
        <v>1255.28</v>
      </c>
      <c r="F2546" s="2">
        <f>IFERROR(__xludf.DUMMYFUNCTION("""COMPUTED_VALUE"""),951565.0)</f>
        <v>951565</v>
      </c>
    </row>
    <row r="2547">
      <c r="A2547" s="3">
        <f>IFERROR(__xludf.DUMMYFUNCTION("""COMPUTED_VALUE"""),41995.64583333333)</f>
        <v>41995.64583</v>
      </c>
      <c r="B2547" s="2">
        <f>IFERROR(__xludf.DUMMYFUNCTION("""COMPUTED_VALUE"""),1263.0)</f>
        <v>1263</v>
      </c>
      <c r="C2547" s="2">
        <f>IFERROR(__xludf.DUMMYFUNCTION("""COMPUTED_VALUE"""),1264.5)</f>
        <v>1264.5</v>
      </c>
      <c r="D2547" s="2">
        <f>IFERROR(__xludf.DUMMYFUNCTION("""COMPUTED_VALUE"""),1237.2)</f>
        <v>1237.2</v>
      </c>
      <c r="E2547" s="2">
        <f>IFERROR(__xludf.DUMMYFUNCTION("""COMPUTED_VALUE"""),1256.7)</f>
        <v>1256.7</v>
      </c>
      <c r="F2547" s="2">
        <f>IFERROR(__xludf.DUMMYFUNCTION("""COMPUTED_VALUE"""),821977.0)</f>
        <v>821977</v>
      </c>
    </row>
    <row r="2548">
      <c r="A2548" s="3">
        <f>IFERROR(__xludf.DUMMYFUNCTION("""COMPUTED_VALUE"""),41996.64583333333)</f>
        <v>41996.64583</v>
      </c>
      <c r="B2548" s="2">
        <f>IFERROR(__xludf.DUMMYFUNCTION("""COMPUTED_VALUE"""),1250.0)</f>
        <v>1250</v>
      </c>
      <c r="C2548" s="2">
        <f>IFERROR(__xludf.DUMMYFUNCTION("""COMPUTED_VALUE"""),1268.32)</f>
        <v>1268.32</v>
      </c>
      <c r="D2548" s="2">
        <f>IFERROR(__xludf.DUMMYFUNCTION("""COMPUTED_VALUE"""),1247.3)</f>
        <v>1247.3</v>
      </c>
      <c r="E2548" s="2">
        <f>IFERROR(__xludf.DUMMYFUNCTION("""COMPUTED_VALUE"""),1258.35)</f>
        <v>1258.35</v>
      </c>
      <c r="F2548" s="2">
        <f>IFERROR(__xludf.DUMMYFUNCTION("""COMPUTED_VALUE"""),633238.0)</f>
        <v>633238</v>
      </c>
    </row>
    <row r="2549">
      <c r="A2549" s="3">
        <f>IFERROR(__xludf.DUMMYFUNCTION("""COMPUTED_VALUE"""),41997.64583333333)</f>
        <v>41997.64583</v>
      </c>
      <c r="B2549" s="2">
        <f>IFERROR(__xludf.DUMMYFUNCTION("""COMPUTED_VALUE"""),1257.5)</f>
        <v>1257.5</v>
      </c>
      <c r="C2549" s="2">
        <f>IFERROR(__xludf.DUMMYFUNCTION("""COMPUTED_VALUE"""),1260.43)</f>
        <v>1260.43</v>
      </c>
      <c r="D2549" s="2">
        <f>IFERROR(__xludf.DUMMYFUNCTION("""COMPUTED_VALUE"""),1232.82)</f>
        <v>1232.82</v>
      </c>
      <c r="E2549" s="2">
        <f>IFERROR(__xludf.DUMMYFUNCTION("""COMPUTED_VALUE"""),1239.95)</f>
        <v>1239.95</v>
      </c>
      <c r="F2549" s="2">
        <f>IFERROR(__xludf.DUMMYFUNCTION("""COMPUTED_VALUE"""),1644486.0)</f>
        <v>1644486</v>
      </c>
    </row>
    <row r="2550">
      <c r="A2550" s="3">
        <f>IFERROR(__xludf.DUMMYFUNCTION("""COMPUTED_VALUE"""),41999.64583333333)</f>
        <v>41999.64583</v>
      </c>
      <c r="B2550" s="2">
        <f>IFERROR(__xludf.DUMMYFUNCTION("""COMPUTED_VALUE"""),1243.0)</f>
        <v>1243</v>
      </c>
      <c r="C2550" s="2">
        <f>IFERROR(__xludf.DUMMYFUNCTION("""COMPUTED_VALUE"""),1255.0)</f>
        <v>1255</v>
      </c>
      <c r="D2550" s="2">
        <f>IFERROR(__xludf.DUMMYFUNCTION("""COMPUTED_VALUE"""),1232.5)</f>
        <v>1232.5</v>
      </c>
      <c r="E2550" s="2">
        <f>IFERROR(__xludf.DUMMYFUNCTION("""COMPUTED_VALUE"""),1252.5)</f>
        <v>1252.5</v>
      </c>
      <c r="F2550" s="2">
        <f>IFERROR(__xludf.DUMMYFUNCTION("""COMPUTED_VALUE"""),313103.0)</f>
        <v>313103</v>
      </c>
    </row>
    <row r="2551">
      <c r="A2551" s="3">
        <f>IFERROR(__xludf.DUMMYFUNCTION("""COMPUTED_VALUE"""),42002.64583333333)</f>
        <v>42002.64583</v>
      </c>
      <c r="B2551" s="2">
        <f>IFERROR(__xludf.DUMMYFUNCTION("""COMPUTED_VALUE"""),1254.0)</f>
        <v>1254</v>
      </c>
      <c r="C2551" s="2">
        <f>IFERROR(__xludf.DUMMYFUNCTION("""COMPUTED_VALUE"""),1268.47)</f>
        <v>1268.47</v>
      </c>
      <c r="D2551" s="2">
        <f>IFERROR(__xludf.DUMMYFUNCTION("""COMPUTED_VALUE"""),1253.5)</f>
        <v>1253.5</v>
      </c>
      <c r="E2551" s="2">
        <f>IFERROR(__xludf.DUMMYFUNCTION("""COMPUTED_VALUE"""),1261.45)</f>
        <v>1261.45</v>
      </c>
      <c r="F2551" s="2">
        <f>IFERROR(__xludf.DUMMYFUNCTION("""COMPUTED_VALUE"""),389460.0)</f>
        <v>389460</v>
      </c>
    </row>
    <row r="2552">
      <c r="A2552" s="3">
        <f>IFERROR(__xludf.DUMMYFUNCTION("""COMPUTED_VALUE"""),42003.64583333333)</f>
        <v>42003.64583</v>
      </c>
      <c r="B2552" s="2">
        <f>IFERROR(__xludf.DUMMYFUNCTION("""COMPUTED_VALUE"""),1262.5)</f>
        <v>1262.5</v>
      </c>
      <c r="C2552" s="2">
        <f>IFERROR(__xludf.DUMMYFUNCTION("""COMPUTED_VALUE"""),1271.22)</f>
        <v>1271.22</v>
      </c>
      <c r="D2552" s="2">
        <f>IFERROR(__xludf.DUMMYFUNCTION("""COMPUTED_VALUE"""),1258.0)</f>
        <v>1258</v>
      </c>
      <c r="E2552" s="2">
        <f>IFERROR(__xludf.DUMMYFUNCTION("""COMPUTED_VALUE"""),1265.03)</f>
        <v>1265.03</v>
      </c>
      <c r="F2552" s="2">
        <f>IFERROR(__xludf.DUMMYFUNCTION("""COMPUTED_VALUE"""),350671.0)</f>
        <v>350671</v>
      </c>
    </row>
    <row r="2553">
      <c r="A2553" s="3">
        <f>IFERROR(__xludf.DUMMYFUNCTION("""COMPUTED_VALUE"""),42004.64583333333)</f>
        <v>42004.64583</v>
      </c>
      <c r="B2553" s="2">
        <f>IFERROR(__xludf.DUMMYFUNCTION("""COMPUTED_VALUE"""),1266.35)</f>
        <v>1266.35</v>
      </c>
      <c r="C2553" s="2">
        <f>IFERROR(__xludf.DUMMYFUNCTION("""COMPUTED_VALUE"""),1283.2)</f>
        <v>1283.2</v>
      </c>
      <c r="D2553" s="2">
        <f>IFERROR(__xludf.DUMMYFUNCTION("""COMPUTED_VALUE"""),1262.5)</f>
        <v>1262.5</v>
      </c>
      <c r="E2553" s="2">
        <f>IFERROR(__xludf.DUMMYFUNCTION("""COMPUTED_VALUE"""),1279.13)</f>
        <v>1279.13</v>
      </c>
      <c r="F2553" s="2">
        <f>IFERROR(__xludf.DUMMYFUNCTION("""COMPUTED_VALUE"""),786896.0)</f>
        <v>786896</v>
      </c>
    </row>
    <row r="2554">
      <c r="A2554" s="3">
        <f>IFERROR(__xludf.DUMMYFUNCTION("""COMPUTED_VALUE"""),42005.64583333333)</f>
        <v>42005.64583</v>
      </c>
      <c r="B2554" s="2">
        <f>IFERROR(__xludf.DUMMYFUNCTION("""COMPUTED_VALUE"""),1283.5)</f>
        <v>1283.5</v>
      </c>
      <c r="C2554" s="2">
        <f>IFERROR(__xludf.DUMMYFUNCTION("""COMPUTED_VALUE"""),1283.5)</f>
        <v>1283.5</v>
      </c>
      <c r="D2554" s="2">
        <f>IFERROR(__xludf.DUMMYFUNCTION("""COMPUTED_VALUE"""),1270.5)</f>
        <v>1270.5</v>
      </c>
      <c r="E2554" s="2">
        <f>IFERROR(__xludf.DUMMYFUNCTION("""COMPUTED_VALUE"""),1272.78)</f>
        <v>1272.78</v>
      </c>
      <c r="F2554" s="2">
        <f>IFERROR(__xludf.DUMMYFUNCTION("""COMPUTED_VALUE"""),183415.0)</f>
        <v>183415</v>
      </c>
    </row>
    <row r="2555">
      <c r="A2555" s="3">
        <f>IFERROR(__xludf.DUMMYFUNCTION("""COMPUTED_VALUE"""),42006.64583333333)</f>
        <v>42006.64583</v>
      </c>
      <c r="B2555" s="2">
        <f>IFERROR(__xludf.DUMMYFUNCTION("""COMPUTED_VALUE"""),1275.5)</f>
        <v>1275.5</v>
      </c>
      <c r="C2555" s="2">
        <f>IFERROR(__xludf.DUMMYFUNCTION("""COMPUTED_VALUE"""),1295.47)</f>
        <v>1295.47</v>
      </c>
      <c r="D2555" s="2">
        <f>IFERROR(__xludf.DUMMYFUNCTION("""COMPUTED_VALUE"""),1275.3)</f>
        <v>1275.3</v>
      </c>
      <c r="E2555" s="2">
        <f>IFERROR(__xludf.DUMMYFUNCTION("""COMPUTED_VALUE"""),1289.72)</f>
        <v>1289.72</v>
      </c>
      <c r="F2555" s="2">
        <f>IFERROR(__xludf.DUMMYFUNCTION("""COMPUTED_VALUE"""),462870.0)</f>
        <v>462870</v>
      </c>
    </row>
    <row r="2556">
      <c r="A2556" s="3">
        <f>IFERROR(__xludf.DUMMYFUNCTION("""COMPUTED_VALUE"""),42009.64583333333)</f>
        <v>42009.64583</v>
      </c>
      <c r="B2556" s="2">
        <f>IFERROR(__xludf.DUMMYFUNCTION("""COMPUTED_VALUE"""),1290.5)</f>
        <v>1290.5</v>
      </c>
      <c r="C2556" s="2">
        <f>IFERROR(__xludf.DUMMYFUNCTION("""COMPUTED_VALUE"""),1299.95)</f>
        <v>1299.95</v>
      </c>
      <c r="D2556" s="2">
        <f>IFERROR(__xludf.DUMMYFUNCTION("""COMPUTED_VALUE"""),1262.33)</f>
        <v>1262.33</v>
      </c>
      <c r="E2556" s="2">
        <f>IFERROR(__xludf.DUMMYFUNCTION("""COMPUTED_VALUE"""),1270.13)</f>
        <v>1270.13</v>
      </c>
      <c r="F2556" s="2">
        <f>IFERROR(__xludf.DUMMYFUNCTION("""COMPUTED_VALUE"""),877121.0)</f>
        <v>877121</v>
      </c>
    </row>
    <row r="2557">
      <c r="A2557" s="3">
        <f>IFERROR(__xludf.DUMMYFUNCTION("""COMPUTED_VALUE"""),42010.64583333333)</f>
        <v>42010.64583</v>
      </c>
      <c r="B2557" s="2">
        <f>IFERROR(__xludf.DUMMYFUNCTION("""COMPUTED_VALUE"""),1264.55)</f>
        <v>1264.55</v>
      </c>
      <c r="C2557" s="2">
        <f>IFERROR(__xludf.DUMMYFUNCTION("""COMPUTED_VALUE"""),1264.55)</f>
        <v>1264.55</v>
      </c>
      <c r="D2557" s="2">
        <f>IFERROR(__xludf.DUMMYFUNCTION("""COMPUTED_VALUE"""),1220.0)</f>
        <v>1220</v>
      </c>
      <c r="E2557" s="2">
        <f>IFERROR(__xludf.DUMMYFUNCTION("""COMPUTED_VALUE"""),1223.3)</f>
        <v>1223.3</v>
      </c>
      <c r="F2557" s="2">
        <f>IFERROR(__xludf.DUMMYFUNCTION("""COMPUTED_VALUE"""),1211892.0)</f>
        <v>1211892</v>
      </c>
    </row>
    <row r="2558">
      <c r="A2558" s="3">
        <f>IFERROR(__xludf.DUMMYFUNCTION("""COMPUTED_VALUE"""),42011.64583333333)</f>
        <v>42011.64583</v>
      </c>
      <c r="B2558" s="2">
        <f>IFERROR(__xludf.DUMMYFUNCTION("""COMPUTED_VALUE"""),1235.0)</f>
        <v>1235</v>
      </c>
      <c r="C2558" s="2">
        <f>IFERROR(__xludf.DUMMYFUNCTION("""COMPUTED_VALUE"""),1239.58)</f>
        <v>1239.58</v>
      </c>
      <c r="D2558" s="2">
        <f>IFERROR(__xludf.DUMMYFUNCTION("""COMPUTED_VALUE"""),1203.72)</f>
        <v>1203.72</v>
      </c>
      <c r="E2558" s="2">
        <f>IFERROR(__xludf.DUMMYFUNCTION("""COMPUTED_VALUE"""),1208.85)</f>
        <v>1208.85</v>
      </c>
      <c r="F2558" s="2">
        <f>IFERROR(__xludf.DUMMYFUNCTION("""COMPUTED_VALUE"""),1318166.0)</f>
        <v>1318166</v>
      </c>
    </row>
    <row r="2559">
      <c r="A2559" s="3">
        <f>IFERROR(__xludf.DUMMYFUNCTION("""COMPUTED_VALUE"""),42012.64583333333)</f>
        <v>42012.64583</v>
      </c>
      <c r="B2559" s="2">
        <f>IFERROR(__xludf.DUMMYFUNCTION("""COMPUTED_VALUE"""),1221.2)</f>
        <v>1221.2</v>
      </c>
      <c r="C2559" s="2">
        <f>IFERROR(__xludf.DUMMYFUNCTION("""COMPUTED_VALUE"""),1224.5)</f>
        <v>1224.5</v>
      </c>
      <c r="D2559" s="2">
        <f>IFERROR(__xludf.DUMMYFUNCTION("""COMPUTED_VALUE"""),1210.28)</f>
        <v>1210.28</v>
      </c>
      <c r="E2559" s="2">
        <f>IFERROR(__xludf.DUMMYFUNCTION("""COMPUTED_VALUE"""),1221.9)</f>
        <v>1221.9</v>
      </c>
      <c r="F2559" s="2">
        <f>IFERROR(__xludf.DUMMYFUNCTION("""COMPUTED_VALUE"""),782704.0)</f>
        <v>782704</v>
      </c>
    </row>
    <row r="2560">
      <c r="A2560" s="3">
        <f>IFERROR(__xludf.DUMMYFUNCTION("""COMPUTED_VALUE"""),42013.64583333333)</f>
        <v>42013.64583</v>
      </c>
      <c r="B2560" s="2">
        <f>IFERROR(__xludf.DUMMYFUNCTION("""COMPUTED_VALUE"""),1227.5)</f>
        <v>1227.5</v>
      </c>
      <c r="C2560" s="2">
        <f>IFERROR(__xludf.DUMMYFUNCTION("""COMPUTED_VALUE"""),1259.95)</f>
        <v>1259.95</v>
      </c>
      <c r="D2560" s="2">
        <f>IFERROR(__xludf.DUMMYFUNCTION("""COMPUTED_VALUE"""),1225.0)</f>
        <v>1225</v>
      </c>
      <c r="E2560" s="2">
        <f>IFERROR(__xludf.DUMMYFUNCTION("""COMPUTED_VALUE"""),1256.15)</f>
        <v>1256.15</v>
      </c>
      <c r="F2560" s="2">
        <f>IFERROR(__xludf.DUMMYFUNCTION("""COMPUTED_VALUE"""),1598821.0)</f>
        <v>1598821</v>
      </c>
    </row>
    <row r="2561">
      <c r="A2561" s="3">
        <f>IFERROR(__xludf.DUMMYFUNCTION("""COMPUTED_VALUE"""),42016.64583333333)</f>
        <v>42016.64583</v>
      </c>
      <c r="B2561" s="2">
        <f>IFERROR(__xludf.DUMMYFUNCTION("""COMPUTED_VALUE"""),1258.5)</f>
        <v>1258.5</v>
      </c>
      <c r="C2561" s="2">
        <f>IFERROR(__xludf.DUMMYFUNCTION("""COMPUTED_VALUE"""),1264.0)</f>
        <v>1264</v>
      </c>
      <c r="D2561" s="2">
        <f>IFERROR(__xludf.DUMMYFUNCTION("""COMPUTED_VALUE"""),1240.13)</f>
        <v>1240.13</v>
      </c>
      <c r="E2561" s="2">
        <f>IFERROR(__xludf.DUMMYFUNCTION("""COMPUTED_VALUE"""),1254.85)</f>
        <v>1254.85</v>
      </c>
      <c r="F2561" s="2">
        <f>IFERROR(__xludf.DUMMYFUNCTION("""COMPUTED_VALUE"""),798003.0)</f>
        <v>798003</v>
      </c>
    </row>
    <row r="2562">
      <c r="A2562" s="3">
        <f>IFERROR(__xludf.DUMMYFUNCTION("""COMPUTED_VALUE"""),42017.64583333333)</f>
        <v>42017.64583</v>
      </c>
      <c r="B2562" s="2">
        <f>IFERROR(__xludf.DUMMYFUNCTION("""COMPUTED_VALUE"""),1260.0)</f>
        <v>1260</v>
      </c>
      <c r="C2562" s="2">
        <f>IFERROR(__xludf.DUMMYFUNCTION("""COMPUTED_VALUE"""),1265.2)</f>
        <v>1265.2</v>
      </c>
      <c r="D2562" s="2">
        <f>IFERROR(__xludf.DUMMYFUNCTION("""COMPUTED_VALUE"""),1240.05)</f>
        <v>1240.05</v>
      </c>
      <c r="E2562" s="2">
        <f>IFERROR(__xludf.DUMMYFUNCTION("""COMPUTED_VALUE"""),1248.95)</f>
        <v>1248.95</v>
      </c>
      <c r="F2562" s="2">
        <f>IFERROR(__xludf.DUMMYFUNCTION("""COMPUTED_VALUE"""),734216.0)</f>
        <v>734216</v>
      </c>
    </row>
    <row r="2563">
      <c r="A2563" s="3">
        <f>IFERROR(__xludf.DUMMYFUNCTION("""COMPUTED_VALUE"""),42018.64583333333)</f>
        <v>42018.64583</v>
      </c>
      <c r="B2563" s="2">
        <f>IFERROR(__xludf.DUMMYFUNCTION("""COMPUTED_VALUE"""),1258.0)</f>
        <v>1258</v>
      </c>
      <c r="C2563" s="2">
        <f>IFERROR(__xludf.DUMMYFUNCTION("""COMPUTED_VALUE"""),1265.9)</f>
        <v>1265.9</v>
      </c>
      <c r="D2563" s="2">
        <f>IFERROR(__xludf.DUMMYFUNCTION("""COMPUTED_VALUE"""),1250.25)</f>
        <v>1250.25</v>
      </c>
      <c r="E2563" s="2">
        <f>IFERROR(__xludf.DUMMYFUNCTION("""COMPUTED_VALUE"""),1260.97)</f>
        <v>1260.97</v>
      </c>
      <c r="F2563" s="2">
        <f>IFERROR(__xludf.DUMMYFUNCTION("""COMPUTED_VALUE"""),893548.0)</f>
        <v>893548</v>
      </c>
    </row>
    <row r="2564">
      <c r="A2564" s="3">
        <f>IFERROR(__xludf.DUMMYFUNCTION("""COMPUTED_VALUE"""),42019.64583333333)</f>
        <v>42019.64583</v>
      </c>
      <c r="B2564" s="2">
        <f>IFERROR(__xludf.DUMMYFUNCTION("""COMPUTED_VALUE"""),1266.5)</f>
        <v>1266.5</v>
      </c>
      <c r="C2564" s="2">
        <f>IFERROR(__xludf.DUMMYFUNCTION("""COMPUTED_VALUE"""),1290.88)</f>
        <v>1290.88</v>
      </c>
      <c r="D2564" s="2">
        <f>IFERROR(__xludf.DUMMYFUNCTION("""COMPUTED_VALUE"""),1261.63)</f>
        <v>1261.63</v>
      </c>
      <c r="E2564" s="2">
        <f>IFERROR(__xludf.DUMMYFUNCTION("""COMPUTED_VALUE"""),1269.55)</f>
        <v>1269.55</v>
      </c>
      <c r="F2564" s="2">
        <f>IFERROR(__xludf.DUMMYFUNCTION("""COMPUTED_VALUE"""),2504960.0)</f>
        <v>2504960</v>
      </c>
    </row>
    <row r="2565">
      <c r="A2565" s="3">
        <f>IFERROR(__xludf.DUMMYFUNCTION("""COMPUTED_VALUE"""),42020.64583333333)</f>
        <v>42020.64583</v>
      </c>
      <c r="B2565" s="2">
        <f>IFERROR(__xludf.DUMMYFUNCTION("""COMPUTED_VALUE"""),1271.85)</f>
        <v>1271.85</v>
      </c>
      <c r="C2565" s="2">
        <f>IFERROR(__xludf.DUMMYFUNCTION("""COMPUTED_VALUE"""),1272.5)</f>
        <v>1272.5</v>
      </c>
      <c r="D2565" s="2">
        <f>IFERROR(__xludf.DUMMYFUNCTION("""COMPUTED_VALUE"""),1242.15)</f>
        <v>1242.15</v>
      </c>
      <c r="E2565" s="2">
        <f>IFERROR(__xludf.DUMMYFUNCTION("""COMPUTED_VALUE"""),1266.08)</f>
        <v>1266.08</v>
      </c>
      <c r="F2565" s="2">
        <f>IFERROR(__xludf.DUMMYFUNCTION("""COMPUTED_VALUE"""),2646915.0)</f>
        <v>2646915</v>
      </c>
    </row>
    <row r="2566">
      <c r="A2566" s="3">
        <f>IFERROR(__xludf.DUMMYFUNCTION("""COMPUTED_VALUE"""),42023.64583333333)</f>
        <v>42023.64583</v>
      </c>
      <c r="B2566" s="2">
        <f>IFERROR(__xludf.DUMMYFUNCTION("""COMPUTED_VALUE"""),1268.0)</f>
        <v>1268</v>
      </c>
      <c r="C2566" s="2">
        <f>IFERROR(__xludf.DUMMYFUNCTION("""COMPUTED_VALUE"""),1275.5)</f>
        <v>1275.5</v>
      </c>
      <c r="D2566" s="2">
        <f>IFERROR(__xludf.DUMMYFUNCTION("""COMPUTED_VALUE"""),1251.5)</f>
        <v>1251.5</v>
      </c>
      <c r="E2566" s="2">
        <f>IFERROR(__xludf.DUMMYFUNCTION("""COMPUTED_VALUE"""),1255.5)</f>
        <v>1255.5</v>
      </c>
      <c r="F2566" s="2">
        <f>IFERROR(__xludf.DUMMYFUNCTION("""COMPUTED_VALUE"""),567537.0)</f>
        <v>567537</v>
      </c>
    </row>
    <row r="2567">
      <c r="A2567" s="3">
        <f>IFERROR(__xludf.DUMMYFUNCTION("""COMPUTED_VALUE"""),42024.64583333333)</f>
        <v>42024.64583</v>
      </c>
      <c r="B2567" s="2">
        <f>IFERROR(__xludf.DUMMYFUNCTION("""COMPUTED_VALUE"""),1260.0)</f>
        <v>1260</v>
      </c>
      <c r="C2567" s="2">
        <f>IFERROR(__xludf.DUMMYFUNCTION("""COMPUTED_VALUE"""),1265.0)</f>
        <v>1265</v>
      </c>
      <c r="D2567" s="2">
        <f>IFERROR(__xludf.DUMMYFUNCTION("""COMPUTED_VALUE"""),1241.63)</f>
        <v>1241.63</v>
      </c>
      <c r="E2567" s="2">
        <f>IFERROR(__xludf.DUMMYFUNCTION("""COMPUTED_VALUE"""),1250.22)</f>
        <v>1250.22</v>
      </c>
      <c r="F2567" s="2">
        <f>IFERROR(__xludf.DUMMYFUNCTION("""COMPUTED_VALUE"""),1029283.0)</f>
        <v>1029283</v>
      </c>
    </row>
    <row r="2568">
      <c r="A2568" s="3">
        <f>IFERROR(__xludf.DUMMYFUNCTION("""COMPUTED_VALUE"""),42025.64583333333)</f>
        <v>42025.64583</v>
      </c>
      <c r="B2568" s="2">
        <f>IFERROR(__xludf.DUMMYFUNCTION("""COMPUTED_VALUE"""),1261.0)</f>
        <v>1261</v>
      </c>
      <c r="C2568" s="2">
        <f>IFERROR(__xludf.DUMMYFUNCTION("""COMPUTED_VALUE"""),1261.0)</f>
        <v>1261</v>
      </c>
      <c r="D2568" s="2">
        <f>IFERROR(__xludf.DUMMYFUNCTION("""COMPUTED_VALUE"""),1244.13)</f>
        <v>1244.13</v>
      </c>
      <c r="E2568" s="2">
        <f>IFERROR(__xludf.DUMMYFUNCTION("""COMPUTED_VALUE"""),1256.9)</f>
        <v>1256.9</v>
      </c>
      <c r="F2568" s="2">
        <f>IFERROR(__xludf.DUMMYFUNCTION("""COMPUTED_VALUE"""),1155240.0)</f>
        <v>1155240</v>
      </c>
    </row>
    <row r="2569">
      <c r="A2569" s="3">
        <f>IFERROR(__xludf.DUMMYFUNCTION("""COMPUTED_VALUE"""),42026.64583333333)</f>
        <v>42026.64583</v>
      </c>
      <c r="B2569" s="2">
        <f>IFERROR(__xludf.DUMMYFUNCTION("""COMPUTED_VALUE"""),1258.25)</f>
        <v>1258.25</v>
      </c>
      <c r="C2569" s="2">
        <f>IFERROR(__xludf.DUMMYFUNCTION("""COMPUTED_VALUE"""),1260.63)</f>
        <v>1260.63</v>
      </c>
      <c r="D2569" s="2">
        <f>IFERROR(__xludf.DUMMYFUNCTION("""COMPUTED_VALUE"""),1247.75)</f>
        <v>1247.75</v>
      </c>
      <c r="E2569" s="2">
        <f>IFERROR(__xludf.DUMMYFUNCTION("""COMPUTED_VALUE"""),1256.78)</f>
        <v>1256.78</v>
      </c>
      <c r="F2569" s="2">
        <f>IFERROR(__xludf.DUMMYFUNCTION("""COMPUTED_VALUE"""),1056607.0)</f>
        <v>1056607</v>
      </c>
    </row>
    <row r="2570">
      <c r="A2570" s="3">
        <f>IFERROR(__xludf.DUMMYFUNCTION("""COMPUTED_VALUE"""),42027.64583333333)</f>
        <v>42027.64583</v>
      </c>
      <c r="B2570" s="2">
        <f>IFERROR(__xludf.DUMMYFUNCTION("""COMPUTED_VALUE"""),1257.0)</f>
        <v>1257</v>
      </c>
      <c r="C2570" s="2">
        <f>IFERROR(__xludf.DUMMYFUNCTION("""COMPUTED_VALUE"""),1266.03)</f>
        <v>1266.03</v>
      </c>
      <c r="D2570" s="2">
        <f>IFERROR(__xludf.DUMMYFUNCTION("""COMPUTED_VALUE"""),1248.05)</f>
        <v>1248.05</v>
      </c>
      <c r="E2570" s="2">
        <f>IFERROR(__xludf.DUMMYFUNCTION("""COMPUTED_VALUE"""),1251.8)</f>
        <v>1251.8</v>
      </c>
      <c r="F2570" s="2">
        <f>IFERROR(__xludf.DUMMYFUNCTION("""COMPUTED_VALUE"""),1575190.0)</f>
        <v>1575190</v>
      </c>
    </row>
    <row r="2571">
      <c r="A2571" s="3">
        <f>IFERROR(__xludf.DUMMYFUNCTION("""COMPUTED_VALUE"""),42031.64583333333)</f>
        <v>42031.64583</v>
      </c>
      <c r="B2571" s="2">
        <f>IFERROR(__xludf.DUMMYFUNCTION("""COMPUTED_VALUE"""),1256.18)</f>
        <v>1256.18</v>
      </c>
      <c r="C2571" s="2">
        <f>IFERROR(__xludf.DUMMYFUNCTION("""COMPUTED_VALUE"""),1257.5)</f>
        <v>1257.5</v>
      </c>
      <c r="D2571" s="2">
        <f>IFERROR(__xludf.DUMMYFUNCTION("""COMPUTED_VALUE"""),1244.78)</f>
        <v>1244.78</v>
      </c>
      <c r="E2571" s="2">
        <f>IFERROR(__xludf.DUMMYFUNCTION("""COMPUTED_VALUE"""),1251.03)</f>
        <v>1251.03</v>
      </c>
      <c r="F2571" s="2">
        <f>IFERROR(__xludf.DUMMYFUNCTION("""COMPUTED_VALUE"""),1369368.0)</f>
        <v>1369368</v>
      </c>
    </row>
    <row r="2572">
      <c r="A2572" s="3">
        <f>IFERROR(__xludf.DUMMYFUNCTION("""COMPUTED_VALUE"""),42032.64583333333)</f>
        <v>42032.64583</v>
      </c>
      <c r="B2572" s="2">
        <f>IFERROR(__xludf.DUMMYFUNCTION("""COMPUTED_VALUE"""),1251.5)</f>
        <v>1251.5</v>
      </c>
      <c r="C2572" s="2">
        <f>IFERROR(__xludf.DUMMYFUNCTION("""COMPUTED_VALUE"""),1272.45)</f>
        <v>1272.45</v>
      </c>
      <c r="D2572" s="2">
        <f>IFERROR(__xludf.DUMMYFUNCTION("""COMPUTED_VALUE"""),1251.45)</f>
        <v>1251.45</v>
      </c>
      <c r="E2572" s="2">
        <f>IFERROR(__xludf.DUMMYFUNCTION("""COMPUTED_VALUE"""),1269.8)</f>
        <v>1269.8</v>
      </c>
      <c r="F2572" s="2">
        <f>IFERROR(__xludf.DUMMYFUNCTION("""COMPUTED_VALUE"""),1560990.0)</f>
        <v>1560990</v>
      </c>
    </row>
    <row r="2573">
      <c r="A2573" s="3">
        <f>IFERROR(__xludf.DUMMYFUNCTION("""COMPUTED_VALUE"""),42033.64583333333)</f>
        <v>42033.64583</v>
      </c>
      <c r="B2573" s="2">
        <f>IFERROR(__xludf.DUMMYFUNCTION("""COMPUTED_VALUE"""),1269.0)</f>
        <v>1269</v>
      </c>
      <c r="C2573" s="2">
        <f>IFERROR(__xludf.DUMMYFUNCTION("""COMPUTED_VALUE"""),1284.35)</f>
        <v>1284.35</v>
      </c>
      <c r="D2573" s="2">
        <f>IFERROR(__xludf.DUMMYFUNCTION("""COMPUTED_VALUE"""),1256.45)</f>
        <v>1256.45</v>
      </c>
      <c r="E2573" s="2">
        <f>IFERROR(__xludf.DUMMYFUNCTION("""COMPUTED_VALUE"""),1272.33)</f>
        <v>1272.33</v>
      </c>
      <c r="F2573" s="2">
        <f>IFERROR(__xludf.DUMMYFUNCTION("""COMPUTED_VALUE"""),1867196.0)</f>
        <v>1867196</v>
      </c>
    </row>
    <row r="2574">
      <c r="A2574" s="3">
        <f>IFERROR(__xludf.DUMMYFUNCTION("""COMPUTED_VALUE"""),42034.64583333333)</f>
        <v>42034.64583</v>
      </c>
      <c r="B2574" s="2">
        <f>IFERROR(__xludf.DUMMYFUNCTION("""COMPUTED_VALUE"""),1280.35)</f>
        <v>1280.35</v>
      </c>
      <c r="C2574" s="2">
        <f>IFERROR(__xludf.DUMMYFUNCTION("""COMPUTED_VALUE"""),1287.5)</f>
        <v>1287.5</v>
      </c>
      <c r="D2574" s="2">
        <f>IFERROR(__xludf.DUMMYFUNCTION("""COMPUTED_VALUE"""),1235.0)</f>
        <v>1235</v>
      </c>
      <c r="E2574" s="2">
        <f>IFERROR(__xludf.DUMMYFUNCTION("""COMPUTED_VALUE"""),1241.03)</f>
        <v>1241.03</v>
      </c>
      <c r="F2574" s="2">
        <f>IFERROR(__xludf.DUMMYFUNCTION("""COMPUTED_VALUE"""),2908701.0)</f>
        <v>2908701</v>
      </c>
    </row>
    <row r="2575">
      <c r="A2575" s="3">
        <f>IFERROR(__xludf.DUMMYFUNCTION("""COMPUTED_VALUE"""),42037.64583333333)</f>
        <v>42037.64583</v>
      </c>
      <c r="B2575" s="2">
        <f>IFERROR(__xludf.DUMMYFUNCTION("""COMPUTED_VALUE"""),1241.0)</f>
        <v>1241</v>
      </c>
      <c r="C2575" s="2">
        <f>IFERROR(__xludf.DUMMYFUNCTION("""COMPUTED_VALUE"""),1260.72)</f>
        <v>1260.72</v>
      </c>
      <c r="D2575" s="2">
        <f>IFERROR(__xludf.DUMMYFUNCTION("""COMPUTED_VALUE"""),1231.03)</f>
        <v>1231.03</v>
      </c>
      <c r="E2575" s="2">
        <f>IFERROR(__xludf.DUMMYFUNCTION("""COMPUTED_VALUE"""),1257.1)</f>
        <v>1257.1</v>
      </c>
      <c r="F2575" s="2">
        <f>IFERROR(__xludf.DUMMYFUNCTION("""COMPUTED_VALUE"""),1590901.0)</f>
        <v>1590901</v>
      </c>
    </row>
    <row r="2576">
      <c r="A2576" s="3">
        <f>IFERROR(__xludf.DUMMYFUNCTION("""COMPUTED_VALUE"""),42038.64583333333)</f>
        <v>42038.64583</v>
      </c>
      <c r="B2576" s="2">
        <f>IFERROR(__xludf.DUMMYFUNCTION("""COMPUTED_VALUE"""),1255.83)</f>
        <v>1255.83</v>
      </c>
      <c r="C2576" s="2">
        <f>IFERROR(__xludf.DUMMYFUNCTION("""COMPUTED_VALUE"""),1282.5)</f>
        <v>1282.5</v>
      </c>
      <c r="D2576" s="2">
        <f>IFERROR(__xludf.DUMMYFUNCTION("""COMPUTED_VALUE"""),1253.55)</f>
        <v>1253.55</v>
      </c>
      <c r="E2576" s="2">
        <f>IFERROR(__xludf.DUMMYFUNCTION("""COMPUTED_VALUE"""),1279.13)</f>
        <v>1279.13</v>
      </c>
      <c r="F2576" s="2">
        <f>IFERROR(__xludf.DUMMYFUNCTION("""COMPUTED_VALUE"""),1172527.0)</f>
        <v>1172527</v>
      </c>
    </row>
    <row r="2577">
      <c r="A2577" s="3">
        <f>IFERROR(__xludf.DUMMYFUNCTION("""COMPUTED_VALUE"""),42039.64583333333)</f>
        <v>42039.64583</v>
      </c>
      <c r="B2577" s="2">
        <f>IFERROR(__xludf.DUMMYFUNCTION("""COMPUTED_VALUE"""),1284.0)</f>
        <v>1284</v>
      </c>
      <c r="C2577" s="2">
        <f>IFERROR(__xludf.DUMMYFUNCTION("""COMPUTED_VALUE"""),1285.85)</f>
        <v>1285.85</v>
      </c>
      <c r="D2577" s="2">
        <f>IFERROR(__xludf.DUMMYFUNCTION("""COMPUTED_VALUE"""),1251.05)</f>
        <v>1251.05</v>
      </c>
      <c r="E2577" s="2">
        <f>IFERROR(__xludf.DUMMYFUNCTION("""COMPUTED_VALUE"""),1257.15)</f>
        <v>1257.15</v>
      </c>
      <c r="F2577" s="2">
        <f>IFERROR(__xludf.DUMMYFUNCTION("""COMPUTED_VALUE"""),1122709.0)</f>
        <v>1122709</v>
      </c>
    </row>
    <row r="2578">
      <c r="A2578" s="3">
        <f>IFERROR(__xludf.DUMMYFUNCTION("""COMPUTED_VALUE"""),42040.64583333333)</f>
        <v>42040.64583</v>
      </c>
      <c r="B2578" s="2">
        <f>IFERROR(__xludf.DUMMYFUNCTION("""COMPUTED_VALUE"""),1260.0)</f>
        <v>1260</v>
      </c>
      <c r="C2578" s="2">
        <f>IFERROR(__xludf.DUMMYFUNCTION("""COMPUTED_VALUE"""),1295.85)</f>
        <v>1295.85</v>
      </c>
      <c r="D2578" s="2">
        <f>IFERROR(__xludf.DUMMYFUNCTION("""COMPUTED_VALUE"""),1259.5)</f>
        <v>1259.5</v>
      </c>
      <c r="E2578" s="2">
        <f>IFERROR(__xludf.DUMMYFUNCTION("""COMPUTED_VALUE"""),1276.2)</f>
        <v>1276.2</v>
      </c>
      <c r="F2578" s="2">
        <f>IFERROR(__xludf.DUMMYFUNCTION("""COMPUTED_VALUE"""),2265084.0)</f>
        <v>2265084</v>
      </c>
    </row>
    <row r="2579">
      <c r="A2579" s="3">
        <f>IFERROR(__xludf.DUMMYFUNCTION("""COMPUTED_VALUE"""),42041.64583333333)</f>
        <v>42041.64583</v>
      </c>
      <c r="B2579" s="2">
        <f>IFERROR(__xludf.DUMMYFUNCTION("""COMPUTED_VALUE"""),1276.5)</f>
        <v>1276.5</v>
      </c>
      <c r="C2579" s="2">
        <f>IFERROR(__xludf.DUMMYFUNCTION("""COMPUTED_VALUE"""),1297.4)</f>
        <v>1297.4</v>
      </c>
      <c r="D2579" s="2">
        <f>IFERROR(__xludf.DUMMYFUNCTION("""COMPUTED_VALUE"""),1275.43)</f>
        <v>1275.43</v>
      </c>
      <c r="E2579" s="2">
        <f>IFERROR(__xludf.DUMMYFUNCTION("""COMPUTED_VALUE"""),1287.88)</f>
        <v>1287.88</v>
      </c>
      <c r="F2579" s="2">
        <f>IFERROR(__xludf.DUMMYFUNCTION("""COMPUTED_VALUE"""),1068208.0)</f>
        <v>1068208</v>
      </c>
    </row>
    <row r="2580">
      <c r="A2580" s="3">
        <f>IFERROR(__xludf.DUMMYFUNCTION("""COMPUTED_VALUE"""),42044.64583333333)</f>
        <v>42044.64583</v>
      </c>
      <c r="B2580" s="2">
        <f>IFERROR(__xludf.DUMMYFUNCTION("""COMPUTED_VALUE"""),1280.75)</f>
        <v>1280.75</v>
      </c>
      <c r="C2580" s="2">
        <f>IFERROR(__xludf.DUMMYFUNCTION("""COMPUTED_VALUE"""),1284.55)</f>
        <v>1284.55</v>
      </c>
      <c r="D2580" s="2">
        <f>IFERROR(__xludf.DUMMYFUNCTION("""COMPUTED_VALUE"""),1250.0)</f>
        <v>1250</v>
      </c>
      <c r="E2580" s="2">
        <f>IFERROR(__xludf.DUMMYFUNCTION("""COMPUTED_VALUE"""),1256.45)</f>
        <v>1256.45</v>
      </c>
      <c r="F2580" s="2">
        <f>IFERROR(__xludf.DUMMYFUNCTION("""COMPUTED_VALUE"""),1038216.0)</f>
        <v>1038216</v>
      </c>
    </row>
    <row r="2581">
      <c r="A2581" s="3">
        <f>IFERROR(__xludf.DUMMYFUNCTION("""COMPUTED_VALUE"""),42045.64583333333)</f>
        <v>42045.64583</v>
      </c>
      <c r="B2581" s="2">
        <f>IFERROR(__xludf.DUMMYFUNCTION("""COMPUTED_VALUE"""),1255.0)</f>
        <v>1255</v>
      </c>
      <c r="C2581" s="2">
        <f>IFERROR(__xludf.DUMMYFUNCTION("""COMPUTED_VALUE"""),1263.13)</f>
        <v>1263.13</v>
      </c>
      <c r="D2581" s="2">
        <f>IFERROR(__xludf.DUMMYFUNCTION("""COMPUTED_VALUE"""),1216.5)</f>
        <v>1216.5</v>
      </c>
      <c r="E2581" s="2">
        <f>IFERROR(__xludf.DUMMYFUNCTION("""COMPUTED_VALUE"""),1220.58)</f>
        <v>1220.58</v>
      </c>
      <c r="F2581" s="2">
        <f>IFERROR(__xludf.DUMMYFUNCTION("""COMPUTED_VALUE"""),1899527.0)</f>
        <v>1899527</v>
      </c>
    </row>
    <row r="2582">
      <c r="A2582" s="3">
        <f>IFERROR(__xludf.DUMMYFUNCTION("""COMPUTED_VALUE"""),42046.64583333333)</f>
        <v>42046.64583</v>
      </c>
      <c r="B2582" s="2">
        <f>IFERROR(__xludf.DUMMYFUNCTION("""COMPUTED_VALUE"""),1227.53)</f>
        <v>1227.53</v>
      </c>
      <c r="C2582" s="2">
        <f>IFERROR(__xludf.DUMMYFUNCTION("""COMPUTED_VALUE"""),1243.63)</f>
        <v>1243.63</v>
      </c>
      <c r="D2582" s="2">
        <f>IFERROR(__xludf.DUMMYFUNCTION("""COMPUTED_VALUE"""),1223.63)</f>
        <v>1223.63</v>
      </c>
      <c r="E2582" s="2">
        <f>IFERROR(__xludf.DUMMYFUNCTION("""COMPUTED_VALUE"""),1229.95)</f>
        <v>1229.95</v>
      </c>
      <c r="F2582" s="2">
        <f>IFERROR(__xludf.DUMMYFUNCTION("""COMPUTED_VALUE"""),1468761.0)</f>
        <v>1468761</v>
      </c>
    </row>
    <row r="2583">
      <c r="A2583" s="3">
        <f>IFERROR(__xludf.DUMMYFUNCTION("""COMPUTED_VALUE"""),42047.64583333333)</f>
        <v>42047.64583</v>
      </c>
      <c r="B2583" s="2">
        <f>IFERROR(__xludf.DUMMYFUNCTION("""COMPUTED_VALUE"""),1239.9)</f>
        <v>1239.9</v>
      </c>
      <c r="C2583" s="2">
        <f>IFERROR(__xludf.DUMMYFUNCTION("""COMPUTED_VALUE"""),1239.9)</f>
        <v>1239.9</v>
      </c>
      <c r="D2583" s="2">
        <f>IFERROR(__xludf.DUMMYFUNCTION("""COMPUTED_VALUE"""),1223.5)</f>
        <v>1223.5</v>
      </c>
      <c r="E2583" s="2">
        <f>IFERROR(__xludf.DUMMYFUNCTION("""COMPUTED_VALUE"""),1231.08)</f>
        <v>1231.08</v>
      </c>
      <c r="F2583" s="2">
        <f>IFERROR(__xludf.DUMMYFUNCTION("""COMPUTED_VALUE"""),1553990.0)</f>
        <v>1553990</v>
      </c>
    </row>
    <row r="2584">
      <c r="A2584" s="3">
        <f>IFERROR(__xludf.DUMMYFUNCTION("""COMPUTED_VALUE"""),42048.64583333333)</f>
        <v>42048.64583</v>
      </c>
      <c r="B2584" s="2">
        <f>IFERROR(__xludf.DUMMYFUNCTION("""COMPUTED_VALUE"""),1235.0)</f>
        <v>1235</v>
      </c>
      <c r="C2584" s="2">
        <f>IFERROR(__xludf.DUMMYFUNCTION("""COMPUTED_VALUE"""),1273.88)</f>
        <v>1273.88</v>
      </c>
      <c r="D2584" s="2">
        <f>IFERROR(__xludf.DUMMYFUNCTION("""COMPUTED_VALUE"""),1230.13)</f>
        <v>1230.13</v>
      </c>
      <c r="E2584" s="2">
        <f>IFERROR(__xludf.DUMMYFUNCTION("""COMPUTED_VALUE"""),1269.38)</f>
        <v>1269.38</v>
      </c>
      <c r="F2584" s="2">
        <f>IFERROR(__xludf.DUMMYFUNCTION("""COMPUTED_VALUE"""),2079163.0)</f>
        <v>2079163</v>
      </c>
    </row>
    <row r="2585">
      <c r="A2585" s="3">
        <f>IFERROR(__xludf.DUMMYFUNCTION("""COMPUTED_VALUE"""),42051.64583333333)</f>
        <v>42051.64583</v>
      </c>
      <c r="B2585" s="2">
        <f>IFERROR(__xludf.DUMMYFUNCTION("""COMPUTED_VALUE"""),1280.0)</f>
        <v>1280</v>
      </c>
      <c r="C2585" s="2">
        <f>IFERROR(__xludf.DUMMYFUNCTION("""COMPUTED_VALUE"""),1297.5)</f>
        <v>1297.5</v>
      </c>
      <c r="D2585" s="2">
        <f>IFERROR(__xludf.DUMMYFUNCTION("""COMPUTED_VALUE"""),1277.5)</f>
        <v>1277.5</v>
      </c>
      <c r="E2585" s="2">
        <f>IFERROR(__xludf.DUMMYFUNCTION("""COMPUTED_VALUE"""),1292.4)</f>
        <v>1292.4</v>
      </c>
      <c r="F2585" s="2">
        <f>IFERROR(__xludf.DUMMYFUNCTION("""COMPUTED_VALUE"""),1182196.0)</f>
        <v>1182196</v>
      </c>
    </row>
    <row r="2586">
      <c r="A2586" s="3">
        <f>IFERROR(__xludf.DUMMYFUNCTION("""COMPUTED_VALUE"""),42053.64583333333)</f>
        <v>42053.64583</v>
      </c>
      <c r="B2586" s="2">
        <f>IFERROR(__xludf.DUMMYFUNCTION("""COMPUTED_VALUE"""),1292.53)</f>
        <v>1292.53</v>
      </c>
      <c r="C2586" s="2">
        <f>IFERROR(__xludf.DUMMYFUNCTION("""COMPUTED_VALUE"""),1321.5)</f>
        <v>1321.5</v>
      </c>
      <c r="D2586" s="2">
        <f>IFERROR(__xludf.DUMMYFUNCTION("""COMPUTED_VALUE"""),1282.63)</f>
        <v>1282.63</v>
      </c>
      <c r="E2586" s="2">
        <f>IFERROR(__xludf.DUMMYFUNCTION("""COMPUTED_VALUE"""),1317.83)</f>
        <v>1317.83</v>
      </c>
      <c r="F2586" s="2">
        <f>IFERROR(__xludf.DUMMYFUNCTION("""COMPUTED_VALUE"""),1330007.0)</f>
        <v>1330007</v>
      </c>
    </row>
    <row r="2587">
      <c r="A2587" s="3">
        <f>IFERROR(__xludf.DUMMYFUNCTION("""COMPUTED_VALUE"""),42054.64583333333)</f>
        <v>42054.64583</v>
      </c>
      <c r="B2587" s="2">
        <f>IFERROR(__xludf.DUMMYFUNCTION("""COMPUTED_VALUE"""),1318.0)</f>
        <v>1318</v>
      </c>
      <c r="C2587" s="2">
        <f>IFERROR(__xludf.DUMMYFUNCTION("""COMPUTED_VALUE"""),1343.65)</f>
        <v>1343.65</v>
      </c>
      <c r="D2587" s="2">
        <f>IFERROR(__xludf.DUMMYFUNCTION("""COMPUTED_VALUE"""),1317.5)</f>
        <v>1317.5</v>
      </c>
      <c r="E2587" s="2">
        <f>IFERROR(__xludf.DUMMYFUNCTION("""COMPUTED_VALUE"""),1340.53)</f>
        <v>1340.53</v>
      </c>
      <c r="F2587" s="2">
        <f>IFERROR(__xludf.DUMMYFUNCTION("""COMPUTED_VALUE"""),1309001.0)</f>
        <v>1309001</v>
      </c>
    </row>
    <row r="2588">
      <c r="A2588" s="3">
        <f>IFERROR(__xludf.DUMMYFUNCTION("""COMPUTED_VALUE"""),42055.64583333333)</f>
        <v>42055.64583</v>
      </c>
      <c r="B2588" s="2">
        <f>IFERROR(__xludf.DUMMYFUNCTION("""COMPUTED_VALUE"""),1349.4)</f>
        <v>1349.4</v>
      </c>
      <c r="C2588" s="2">
        <f>IFERROR(__xludf.DUMMYFUNCTION("""COMPUTED_VALUE"""),1349.4)</f>
        <v>1349.4</v>
      </c>
      <c r="D2588" s="2">
        <f>IFERROR(__xludf.DUMMYFUNCTION("""COMPUTED_VALUE"""),1321.13)</f>
        <v>1321.13</v>
      </c>
      <c r="E2588" s="2">
        <f>IFERROR(__xludf.DUMMYFUNCTION("""COMPUTED_VALUE"""),1337.78)</f>
        <v>1337.78</v>
      </c>
      <c r="F2588" s="2">
        <f>IFERROR(__xludf.DUMMYFUNCTION("""COMPUTED_VALUE"""),900794.0)</f>
        <v>900794</v>
      </c>
    </row>
    <row r="2589">
      <c r="A2589" s="3">
        <f>IFERROR(__xludf.DUMMYFUNCTION("""COMPUTED_VALUE"""),42058.64583333333)</f>
        <v>42058.64583</v>
      </c>
      <c r="B2589" s="2">
        <f>IFERROR(__xludf.DUMMYFUNCTION("""COMPUTED_VALUE"""),1335.5)</f>
        <v>1335.5</v>
      </c>
      <c r="C2589" s="2">
        <f>IFERROR(__xludf.DUMMYFUNCTION("""COMPUTED_VALUE"""),1361.0)</f>
        <v>1361</v>
      </c>
      <c r="D2589" s="2">
        <f>IFERROR(__xludf.DUMMYFUNCTION("""COMPUTED_VALUE"""),1335.5)</f>
        <v>1335.5</v>
      </c>
      <c r="E2589" s="2">
        <f>IFERROR(__xludf.DUMMYFUNCTION("""COMPUTED_VALUE"""),1348.33)</f>
        <v>1348.33</v>
      </c>
      <c r="F2589" s="2">
        <f>IFERROR(__xludf.DUMMYFUNCTION("""COMPUTED_VALUE"""),807446.0)</f>
        <v>807446</v>
      </c>
    </row>
    <row r="2590">
      <c r="A2590" s="3">
        <f>IFERROR(__xludf.DUMMYFUNCTION("""COMPUTED_VALUE"""),42059.64583333333)</f>
        <v>42059.64583</v>
      </c>
      <c r="B2590" s="2">
        <f>IFERROR(__xludf.DUMMYFUNCTION("""COMPUTED_VALUE"""),1347.0)</f>
        <v>1347</v>
      </c>
      <c r="C2590" s="2">
        <f>IFERROR(__xludf.DUMMYFUNCTION("""COMPUTED_VALUE"""),1365.0)</f>
        <v>1365</v>
      </c>
      <c r="D2590" s="2">
        <f>IFERROR(__xludf.DUMMYFUNCTION("""COMPUTED_VALUE"""),1339.5)</f>
        <v>1339.5</v>
      </c>
      <c r="E2590" s="2">
        <f>IFERROR(__xludf.DUMMYFUNCTION("""COMPUTED_VALUE"""),1352.38)</f>
        <v>1352.38</v>
      </c>
      <c r="F2590" s="2">
        <f>IFERROR(__xludf.DUMMYFUNCTION("""COMPUTED_VALUE"""),1099961.0)</f>
        <v>1099961</v>
      </c>
    </row>
    <row r="2591">
      <c r="A2591" s="3">
        <f>IFERROR(__xludf.DUMMYFUNCTION("""COMPUTED_VALUE"""),42060.64583333333)</f>
        <v>42060.64583</v>
      </c>
      <c r="B2591" s="2">
        <f>IFERROR(__xludf.DUMMYFUNCTION("""COMPUTED_VALUE"""),1355.0)</f>
        <v>1355</v>
      </c>
      <c r="C2591" s="2">
        <f>IFERROR(__xludf.DUMMYFUNCTION("""COMPUTED_VALUE"""),1361.0)</f>
        <v>1361</v>
      </c>
      <c r="D2591" s="2">
        <f>IFERROR(__xludf.DUMMYFUNCTION("""COMPUTED_VALUE"""),1333.93)</f>
        <v>1333.93</v>
      </c>
      <c r="E2591" s="2">
        <f>IFERROR(__xludf.DUMMYFUNCTION("""COMPUTED_VALUE"""),1336.1)</f>
        <v>1336.1</v>
      </c>
      <c r="F2591" s="2">
        <f>IFERROR(__xludf.DUMMYFUNCTION("""COMPUTED_VALUE"""),883997.0)</f>
        <v>883997</v>
      </c>
    </row>
    <row r="2592">
      <c r="A2592" s="3">
        <f>IFERROR(__xludf.DUMMYFUNCTION("""COMPUTED_VALUE"""),42061.64583333333)</f>
        <v>42061.64583</v>
      </c>
      <c r="B2592" s="2">
        <f>IFERROR(__xludf.DUMMYFUNCTION("""COMPUTED_VALUE"""),1339.5)</f>
        <v>1339.5</v>
      </c>
      <c r="C2592" s="2">
        <f>IFERROR(__xludf.DUMMYFUNCTION("""COMPUTED_VALUE"""),1346.38)</f>
        <v>1346.38</v>
      </c>
      <c r="D2592" s="2">
        <f>IFERROR(__xludf.DUMMYFUNCTION("""COMPUTED_VALUE"""),1312.68)</f>
        <v>1312.68</v>
      </c>
      <c r="E2592" s="2">
        <f>IFERROR(__xludf.DUMMYFUNCTION("""COMPUTED_VALUE"""),1328.23)</f>
        <v>1328.23</v>
      </c>
      <c r="F2592" s="2">
        <f>IFERROR(__xludf.DUMMYFUNCTION("""COMPUTED_VALUE"""),995997.0)</f>
        <v>995997</v>
      </c>
    </row>
    <row r="2593">
      <c r="A2593" s="3">
        <f>IFERROR(__xludf.DUMMYFUNCTION("""COMPUTED_VALUE"""),42062.64583333333)</f>
        <v>42062.64583</v>
      </c>
      <c r="B2593" s="2">
        <f>IFERROR(__xludf.DUMMYFUNCTION("""COMPUTED_VALUE"""),1329.73)</f>
        <v>1329.73</v>
      </c>
      <c r="C2593" s="2">
        <f>IFERROR(__xludf.DUMMYFUNCTION("""COMPUTED_VALUE"""),1337.88)</f>
        <v>1337.88</v>
      </c>
      <c r="D2593" s="2">
        <f>IFERROR(__xludf.DUMMYFUNCTION("""COMPUTED_VALUE"""),1308.15)</f>
        <v>1308.15</v>
      </c>
      <c r="E2593" s="2">
        <f>IFERROR(__xludf.DUMMYFUNCTION("""COMPUTED_VALUE"""),1331.18)</f>
        <v>1331.18</v>
      </c>
      <c r="F2593" s="2">
        <f>IFERROR(__xludf.DUMMYFUNCTION("""COMPUTED_VALUE"""),1438688.0)</f>
        <v>1438688</v>
      </c>
    </row>
    <row r="2594">
      <c r="A2594" s="3">
        <f>IFERROR(__xludf.DUMMYFUNCTION("""COMPUTED_VALUE"""),42065.64583333333)</f>
        <v>42065.64583</v>
      </c>
      <c r="B2594" s="2">
        <f>IFERROR(__xludf.DUMMYFUNCTION("""COMPUTED_VALUE"""),1339.85)</f>
        <v>1339.85</v>
      </c>
      <c r="C2594" s="2">
        <f>IFERROR(__xludf.DUMMYFUNCTION("""COMPUTED_VALUE"""),1354.48)</f>
        <v>1354.48</v>
      </c>
      <c r="D2594" s="2">
        <f>IFERROR(__xludf.DUMMYFUNCTION("""COMPUTED_VALUE"""),1326.28)</f>
        <v>1326.28</v>
      </c>
      <c r="E2594" s="2">
        <f>IFERROR(__xludf.DUMMYFUNCTION("""COMPUTED_VALUE"""),1334.7)</f>
        <v>1334.7</v>
      </c>
      <c r="F2594" s="2">
        <f>IFERROR(__xludf.DUMMYFUNCTION("""COMPUTED_VALUE"""),1088019.0)</f>
        <v>1088019</v>
      </c>
    </row>
    <row r="2595">
      <c r="A2595" s="3">
        <f>IFERROR(__xludf.DUMMYFUNCTION("""COMPUTED_VALUE"""),42066.64583333333)</f>
        <v>42066.64583</v>
      </c>
      <c r="B2595" s="2">
        <f>IFERROR(__xludf.DUMMYFUNCTION("""COMPUTED_VALUE"""),1341.0)</f>
        <v>1341</v>
      </c>
      <c r="C2595" s="2">
        <f>IFERROR(__xludf.DUMMYFUNCTION("""COMPUTED_VALUE"""),1395.0)</f>
        <v>1395</v>
      </c>
      <c r="D2595" s="2">
        <f>IFERROR(__xludf.DUMMYFUNCTION("""COMPUTED_VALUE"""),1338.08)</f>
        <v>1338.08</v>
      </c>
      <c r="E2595" s="2">
        <f>IFERROR(__xludf.DUMMYFUNCTION("""COMPUTED_VALUE"""),1388.0)</f>
        <v>1388</v>
      </c>
      <c r="F2595" s="2">
        <f>IFERROR(__xludf.DUMMYFUNCTION("""COMPUTED_VALUE"""),1712154.0)</f>
        <v>1712154</v>
      </c>
    </row>
    <row r="2596">
      <c r="A2596" s="3">
        <f>IFERROR(__xludf.DUMMYFUNCTION("""COMPUTED_VALUE"""),42067.64583333333)</f>
        <v>42067.64583</v>
      </c>
      <c r="B2596" s="2">
        <f>IFERROR(__xludf.DUMMYFUNCTION("""COMPUTED_VALUE"""),1394.0)</f>
        <v>1394</v>
      </c>
      <c r="C2596" s="2">
        <f>IFERROR(__xludf.DUMMYFUNCTION("""COMPUTED_VALUE"""),1406.05)</f>
        <v>1406.05</v>
      </c>
      <c r="D2596" s="2">
        <f>IFERROR(__xludf.DUMMYFUNCTION("""COMPUTED_VALUE"""),1357.83)</f>
        <v>1357.83</v>
      </c>
      <c r="E2596" s="2">
        <f>IFERROR(__xludf.DUMMYFUNCTION("""COMPUTED_VALUE"""),1373.0)</f>
        <v>1373</v>
      </c>
      <c r="F2596" s="2">
        <f>IFERROR(__xludf.DUMMYFUNCTION("""COMPUTED_VALUE"""),1931497.0)</f>
        <v>1931497</v>
      </c>
    </row>
    <row r="2597">
      <c r="A2597" s="3">
        <f>IFERROR(__xludf.DUMMYFUNCTION("""COMPUTED_VALUE"""),42068.64583333333)</f>
        <v>42068.64583</v>
      </c>
      <c r="B2597" s="2">
        <f>IFERROR(__xludf.DUMMYFUNCTION("""COMPUTED_VALUE"""),1375.0)</f>
        <v>1375</v>
      </c>
      <c r="C2597" s="2">
        <f>IFERROR(__xludf.DUMMYFUNCTION("""COMPUTED_VALUE"""),1385.35)</f>
        <v>1385.35</v>
      </c>
      <c r="D2597" s="2">
        <f>IFERROR(__xludf.DUMMYFUNCTION("""COMPUTED_VALUE"""),1340.53)</f>
        <v>1340.53</v>
      </c>
      <c r="E2597" s="2">
        <f>IFERROR(__xludf.DUMMYFUNCTION("""COMPUTED_VALUE"""),1348.23)</f>
        <v>1348.23</v>
      </c>
      <c r="F2597" s="2">
        <f>IFERROR(__xludf.DUMMYFUNCTION("""COMPUTED_VALUE"""),1086757.0)</f>
        <v>1086757</v>
      </c>
    </row>
    <row r="2598">
      <c r="A2598" s="3">
        <f>IFERROR(__xludf.DUMMYFUNCTION("""COMPUTED_VALUE"""),42072.64583333333)</f>
        <v>42072.64583</v>
      </c>
      <c r="B2598" s="2">
        <f>IFERROR(__xludf.DUMMYFUNCTION("""COMPUTED_VALUE"""),1320.0)</f>
        <v>1320</v>
      </c>
      <c r="C2598" s="2">
        <f>IFERROR(__xludf.DUMMYFUNCTION("""COMPUTED_VALUE"""),1339.9)</f>
        <v>1339.9</v>
      </c>
      <c r="D2598" s="2">
        <f>IFERROR(__xludf.DUMMYFUNCTION("""COMPUTED_VALUE"""),1305.0)</f>
        <v>1305</v>
      </c>
      <c r="E2598" s="2">
        <f>IFERROR(__xludf.DUMMYFUNCTION("""COMPUTED_VALUE"""),1323.4)</f>
        <v>1323.4</v>
      </c>
      <c r="F2598" s="2">
        <f>IFERROR(__xludf.DUMMYFUNCTION("""COMPUTED_VALUE"""),1441587.0)</f>
        <v>1441587</v>
      </c>
    </row>
    <row r="2599">
      <c r="A2599" s="3">
        <f>IFERROR(__xludf.DUMMYFUNCTION("""COMPUTED_VALUE"""),42073.64583333333)</f>
        <v>42073.64583</v>
      </c>
      <c r="B2599" s="2">
        <f>IFERROR(__xludf.DUMMYFUNCTION("""COMPUTED_VALUE"""),1324.45)</f>
        <v>1324.45</v>
      </c>
      <c r="C2599" s="2">
        <f>IFERROR(__xludf.DUMMYFUNCTION("""COMPUTED_VALUE"""),1339.13)</f>
        <v>1339.13</v>
      </c>
      <c r="D2599" s="2">
        <f>IFERROR(__xludf.DUMMYFUNCTION("""COMPUTED_VALUE"""),1297.63)</f>
        <v>1297.63</v>
      </c>
      <c r="E2599" s="2">
        <f>IFERROR(__xludf.DUMMYFUNCTION("""COMPUTED_VALUE"""),1321.35)</f>
        <v>1321.35</v>
      </c>
      <c r="F2599" s="2">
        <f>IFERROR(__xludf.DUMMYFUNCTION("""COMPUTED_VALUE"""),1518526.0)</f>
        <v>1518526</v>
      </c>
    </row>
    <row r="2600">
      <c r="A2600" s="3">
        <f>IFERROR(__xludf.DUMMYFUNCTION("""COMPUTED_VALUE"""),42074.64583333333)</f>
        <v>42074.64583</v>
      </c>
      <c r="B2600" s="2">
        <f>IFERROR(__xludf.DUMMYFUNCTION("""COMPUTED_VALUE"""),1321.0)</f>
        <v>1321</v>
      </c>
      <c r="C2600" s="2">
        <f>IFERROR(__xludf.DUMMYFUNCTION("""COMPUTED_VALUE"""),1329.98)</f>
        <v>1329.98</v>
      </c>
      <c r="D2600" s="2">
        <f>IFERROR(__xludf.DUMMYFUNCTION("""COMPUTED_VALUE"""),1298.9)</f>
        <v>1298.9</v>
      </c>
      <c r="E2600" s="2">
        <f>IFERROR(__xludf.DUMMYFUNCTION("""COMPUTED_VALUE"""),1303.28)</f>
        <v>1303.28</v>
      </c>
      <c r="F2600" s="2">
        <f>IFERROR(__xludf.DUMMYFUNCTION("""COMPUTED_VALUE"""),1120100.0)</f>
        <v>1120100</v>
      </c>
    </row>
    <row r="2601">
      <c r="A2601" s="3">
        <f>IFERROR(__xludf.DUMMYFUNCTION("""COMPUTED_VALUE"""),42075.64583333333)</f>
        <v>42075.64583</v>
      </c>
      <c r="B2601" s="2">
        <f>IFERROR(__xludf.DUMMYFUNCTION("""COMPUTED_VALUE"""),1311.95)</f>
        <v>1311.95</v>
      </c>
      <c r="C2601" s="2">
        <f>IFERROR(__xludf.DUMMYFUNCTION("""COMPUTED_VALUE"""),1312.45)</f>
        <v>1312.45</v>
      </c>
      <c r="D2601" s="2">
        <f>IFERROR(__xludf.DUMMYFUNCTION("""COMPUTED_VALUE"""),1295.05)</f>
        <v>1295.05</v>
      </c>
      <c r="E2601" s="2">
        <f>IFERROR(__xludf.DUMMYFUNCTION("""COMPUTED_VALUE"""),1309.53)</f>
        <v>1309.53</v>
      </c>
      <c r="F2601" s="2">
        <f>IFERROR(__xludf.DUMMYFUNCTION("""COMPUTED_VALUE"""),913818.0)</f>
        <v>913818</v>
      </c>
    </row>
    <row r="2602">
      <c r="A2602" s="3">
        <f>IFERROR(__xludf.DUMMYFUNCTION("""COMPUTED_VALUE"""),42076.64583333333)</f>
        <v>42076.64583</v>
      </c>
      <c r="B2602" s="2">
        <f>IFERROR(__xludf.DUMMYFUNCTION("""COMPUTED_VALUE"""),1319.0)</f>
        <v>1319</v>
      </c>
      <c r="C2602" s="2">
        <f>IFERROR(__xludf.DUMMYFUNCTION("""COMPUTED_VALUE"""),1319.98)</f>
        <v>1319.98</v>
      </c>
      <c r="D2602" s="2">
        <f>IFERROR(__xludf.DUMMYFUNCTION("""COMPUTED_VALUE"""),1287.5)</f>
        <v>1287.5</v>
      </c>
      <c r="E2602" s="2">
        <f>IFERROR(__xludf.DUMMYFUNCTION("""COMPUTED_VALUE"""),1291.18)</f>
        <v>1291.18</v>
      </c>
      <c r="F2602" s="2">
        <f>IFERROR(__xludf.DUMMYFUNCTION("""COMPUTED_VALUE"""),793419.0)</f>
        <v>793419</v>
      </c>
    </row>
    <row r="2603">
      <c r="A2603" s="3">
        <f>IFERROR(__xludf.DUMMYFUNCTION("""COMPUTED_VALUE"""),42079.64583333333)</f>
        <v>42079.64583</v>
      </c>
      <c r="B2603" s="2">
        <f>IFERROR(__xludf.DUMMYFUNCTION("""COMPUTED_VALUE"""),1292.6)</f>
        <v>1292.6</v>
      </c>
      <c r="C2603" s="2">
        <f>IFERROR(__xludf.DUMMYFUNCTION("""COMPUTED_VALUE"""),1305.0)</f>
        <v>1305</v>
      </c>
      <c r="D2603" s="2">
        <f>IFERROR(__xludf.DUMMYFUNCTION("""COMPUTED_VALUE"""),1276.0)</f>
        <v>1276</v>
      </c>
      <c r="E2603" s="2">
        <f>IFERROR(__xludf.DUMMYFUNCTION("""COMPUTED_VALUE"""),1281.15)</f>
        <v>1281.15</v>
      </c>
      <c r="F2603" s="2">
        <f>IFERROR(__xludf.DUMMYFUNCTION("""COMPUTED_VALUE"""),778148.0)</f>
        <v>778148</v>
      </c>
    </row>
    <row r="2604">
      <c r="A2604" s="3">
        <f>IFERROR(__xludf.DUMMYFUNCTION("""COMPUTED_VALUE"""),42080.64583333333)</f>
        <v>42080.64583</v>
      </c>
      <c r="B2604" s="2">
        <f>IFERROR(__xludf.DUMMYFUNCTION("""COMPUTED_VALUE"""),1291.25)</f>
        <v>1291.25</v>
      </c>
      <c r="C2604" s="2">
        <f>IFERROR(__xludf.DUMMYFUNCTION("""COMPUTED_VALUE"""),1303.35)</f>
        <v>1303.35</v>
      </c>
      <c r="D2604" s="2">
        <f>IFERROR(__xludf.DUMMYFUNCTION("""COMPUTED_VALUE"""),1278.88)</f>
        <v>1278.88</v>
      </c>
      <c r="E2604" s="2">
        <f>IFERROR(__xludf.DUMMYFUNCTION("""COMPUTED_VALUE"""),1291.85)</f>
        <v>1291.85</v>
      </c>
      <c r="F2604" s="2">
        <f>IFERROR(__xludf.DUMMYFUNCTION("""COMPUTED_VALUE"""),633659.0)</f>
        <v>633659</v>
      </c>
    </row>
    <row r="2605">
      <c r="A2605" s="3">
        <f>IFERROR(__xludf.DUMMYFUNCTION("""COMPUTED_VALUE"""),42081.64583333333)</f>
        <v>42081.64583</v>
      </c>
      <c r="B2605" s="2">
        <f>IFERROR(__xludf.DUMMYFUNCTION("""COMPUTED_VALUE"""),1295.47)</f>
        <v>1295.47</v>
      </c>
      <c r="C2605" s="2">
        <f>IFERROR(__xludf.DUMMYFUNCTION("""COMPUTED_VALUE"""),1299.72)</f>
        <v>1299.72</v>
      </c>
      <c r="D2605" s="2">
        <f>IFERROR(__xludf.DUMMYFUNCTION("""COMPUTED_VALUE"""),1275.85)</f>
        <v>1275.85</v>
      </c>
      <c r="E2605" s="2">
        <f>IFERROR(__xludf.DUMMYFUNCTION("""COMPUTED_VALUE"""),1279.68)</f>
        <v>1279.68</v>
      </c>
      <c r="F2605" s="2">
        <f>IFERROR(__xludf.DUMMYFUNCTION("""COMPUTED_VALUE"""),627585.0)</f>
        <v>627585</v>
      </c>
    </row>
    <row r="2606">
      <c r="A2606" s="3">
        <f>IFERROR(__xludf.DUMMYFUNCTION("""COMPUTED_VALUE"""),42082.64583333333)</f>
        <v>42082.64583</v>
      </c>
      <c r="B2606" s="2">
        <f>IFERROR(__xludf.DUMMYFUNCTION("""COMPUTED_VALUE"""),1288.0)</f>
        <v>1288</v>
      </c>
      <c r="C2606" s="2">
        <f>IFERROR(__xludf.DUMMYFUNCTION("""COMPUTED_VALUE"""),1302.93)</f>
        <v>1302.93</v>
      </c>
      <c r="D2606" s="2">
        <f>IFERROR(__xludf.DUMMYFUNCTION("""COMPUTED_VALUE"""),1284.05)</f>
        <v>1284.05</v>
      </c>
      <c r="E2606" s="2">
        <f>IFERROR(__xludf.DUMMYFUNCTION("""COMPUTED_VALUE"""),1298.13)</f>
        <v>1298.13</v>
      </c>
      <c r="F2606" s="2">
        <f>IFERROR(__xludf.DUMMYFUNCTION("""COMPUTED_VALUE"""),1224482.0)</f>
        <v>1224482</v>
      </c>
    </row>
    <row r="2607">
      <c r="A2607" s="3">
        <f>IFERROR(__xludf.DUMMYFUNCTION("""COMPUTED_VALUE"""),42083.64583333333)</f>
        <v>42083.64583</v>
      </c>
      <c r="B2607" s="2">
        <f>IFERROR(__xludf.DUMMYFUNCTION("""COMPUTED_VALUE"""),1298.0)</f>
        <v>1298</v>
      </c>
      <c r="C2607" s="2">
        <f>IFERROR(__xludf.DUMMYFUNCTION("""COMPUTED_VALUE"""),1309.0)</f>
        <v>1309</v>
      </c>
      <c r="D2607" s="2">
        <f>IFERROR(__xludf.DUMMYFUNCTION("""COMPUTED_VALUE"""),1289.43)</f>
        <v>1289.43</v>
      </c>
      <c r="E2607" s="2">
        <f>IFERROR(__xludf.DUMMYFUNCTION("""COMPUTED_VALUE"""),1305.47)</f>
        <v>1305.47</v>
      </c>
      <c r="F2607" s="2">
        <f>IFERROR(__xludf.DUMMYFUNCTION("""COMPUTED_VALUE"""),981954.0)</f>
        <v>981954</v>
      </c>
    </row>
    <row r="2608">
      <c r="A2608" s="3">
        <f>IFERROR(__xludf.DUMMYFUNCTION("""COMPUTED_VALUE"""),42086.64583333333)</f>
        <v>42086.64583</v>
      </c>
      <c r="B2608" s="2">
        <f>IFERROR(__xludf.DUMMYFUNCTION("""COMPUTED_VALUE"""),1308.0)</f>
        <v>1308</v>
      </c>
      <c r="C2608" s="2">
        <f>IFERROR(__xludf.DUMMYFUNCTION("""COMPUTED_VALUE"""),1315.5)</f>
        <v>1315.5</v>
      </c>
      <c r="D2608" s="2">
        <f>IFERROR(__xludf.DUMMYFUNCTION("""COMPUTED_VALUE"""),1303.0)</f>
        <v>1303</v>
      </c>
      <c r="E2608" s="2">
        <f>IFERROR(__xludf.DUMMYFUNCTION("""COMPUTED_VALUE"""),1308.58)</f>
        <v>1308.58</v>
      </c>
      <c r="F2608" s="2">
        <f>IFERROR(__xludf.DUMMYFUNCTION("""COMPUTED_VALUE"""),783304.0)</f>
        <v>783304</v>
      </c>
    </row>
    <row r="2609">
      <c r="A2609" s="3">
        <f>IFERROR(__xludf.DUMMYFUNCTION("""COMPUTED_VALUE"""),42087.64583333333)</f>
        <v>42087.64583</v>
      </c>
      <c r="B2609" s="2">
        <f>IFERROR(__xludf.DUMMYFUNCTION("""COMPUTED_VALUE"""),1315.0)</f>
        <v>1315</v>
      </c>
      <c r="C2609" s="2">
        <f>IFERROR(__xludf.DUMMYFUNCTION("""COMPUTED_VALUE"""),1318.5)</f>
        <v>1318.5</v>
      </c>
      <c r="D2609" s="2">
        <f>IFERROR(__xludf.DUMMYFUNCTION("""COMPUTED_VALUE"""),1291.05)</f>
        <v>1291.05</v>
      </c>
      <c r="E2609" s="2">
        <f>IFERROR(__xludf.DUMMYFUNCTION("""COMPUTED_VALUE"""),1295.65)</f>
        <v>1295.65</v>
      </c>
      <c r="F2609" s="2">
        <f>IFERROR(__xludf.DUMMYFUNCTION("""COMPUTED_VALUE"""),1197439.0)</f>
        <v>1197439</v>
      </c>
    </row>
    <row r="2610">
      <c r="A2610" s="3">
        <f>IFERROR(__xludf.DUMMYFUNCTION("""COMPUTED_VALUE"""),42088.64583333333)</f>
        <v>42088.64583</v>
      </c>
      <c r="B2610" s="2">
        <f>IFERROR(__xludf.DUMMYFUNCTION("""COMPUTED_VALUE"""),1295.7)</f>
        <v>1295.7</v>
      </c>
      <c r="C2610" s="2">
        <f>IFERROR(__xludf.DUMMYFUNCTION("""COMPUTED_VALUE"""),1307.0)</f>
        <v>1307</v>
      </c>
      <c r="D2610" s="2">
        <f>IFERROR(__xludf.DUMMYFUNCTION("""COMPUTED_VALUE"""),1272.6)</f>
        <v>1272.6</v>
      </c>
      <c r="E2610" s="2">
        <f>IFERROR(__xludf.DUMMYFUNCTION("""COMPUTED_VALUE"""),1286.88)</f>
        <v>1286.88</v>
      </c>
      <c r="F2610" s="2">
        <f>IFERROR(__xludf.DUMMYFUNCTION("""COMPUTED_VALUE"""),1112429.0)</f>
        <v>1112429</v>
      </c>
    </row>
    <row r="2611">
      <c r="A2611" s="3">
        <f>IFERROR(__xludf.DUMMYFUNCTION("""COMPUTED_VALUE"""),42089.64583333333)</f>
        <v>42089.64583</v>
      </c>
      <c r="B2611" s="2">
        <f>IFERROR(__xludf.DUMMYFUNCTION("""COMPUTED_VALUE"""),1276.65)</f>
        <v>1276.65</v>
      </c>
      <c r="C2611" s="2">
        <f>IFERROR(__xludf.DUMMYFUNCTION("""COMPUTED_VALUE"""),1293.35)</f>
        <v>1293.35</v>
      </c>
      <c r="D2611" s="2">
        <f>IFERROR(__xludf.DUMMYFUNCTION("""COMPUTED_VALUE"""),1250.5)</f>
        <v>1250.5</v>
      </c>
      <c r="E2611" s="2">
        <f>IFERROR(__xludf.DUMMYFUNCTION("""COMPUTED_VALUE"""),1256.55)</f>
        <v>1256.55</v>
      </c>
      <c r="F2611" s="2">
        <f>IFERROR(__xludf.DUMMYFUNCTION("""COMPUTED_VALUE"""),1545821.0)</f>
        <v>1545821</v>
      </c>
    </row>
    <row r="2612">
      <c r="A2612" s="3">
        <f>IFERROR(__xludf.DUMMYFUNCTION("""COMPUTED_VALUE"""),42090.64583333333)</f>
        <v>42090.64583</v>
      </c>
      <c r="B2612" s="2">
        <f>IFERROR(__xludf.DUMMYFUNCTION("""COMPUTED_VALUE"""),1265.5)</f>
        <v>1265.5</v>
      </c>
      <c r="C2612" s="2">
        <f>IFERROR(__xludf.DUMMYFUNCTION("""COMPUTED_VALUE"""),1285.95)</f>
        <v>1285.95</v>
      </c>
      <c r="D2612" s="2">
        <f>IFERROR(__xludf.DUMMYFUNCTION("""COMPUTED_VALUE"""),1252.05)</f>
        <v>1252.05</v>
      </c>
      <c r="E2612" s="2">
        <f>IFERROR(__xludf.DUMMYFUNCTION("""COMPUTED_VALUE"""),1257.4)</f>
        <v>1257.4</v>
      </c>
      <c r="F2612" s="2">
        <f>IFERROR(__xludf.DUMMYFUNCTION("""COMPUTED_VALUE"""),1375888.0)</f>
        <v>1375888</v>
      </c>
    </row>
    <row r="2613">
      <c r="A2613" s="3">
        <f>IFERROR(__xludf.DUMMYFUNCTION("""COMPUTED_VALUE"""),42093.64583333333)</f>
        <v>42093.64583</v>
      </c>
      <c r="B2613" s="2">
        <f>IFERROR(__xludf.DUMMYFUNCTION("""COMPUTED_VALUE"""),1262.5)</f>
        <v>1262.5</v>
      </c>
      <c r="C2613" s="2">
        <f>IFERROR(__xludf.DUMMYFUNCTION("""COMPUTED_VALUE"""),1284.95)</f>
        <v>1284.95</v>
      </c>
      <c r="D2613" s="2">
        <f>IFERROR(__xludf.DUMMYFUNCTION("""COMPUTED_VALUE"""),1260.0)</f>
        <v>1260</v>
      </c>
      <c r="E2613" s="2">
        <f>IFERROR(__xludf.DUMMYFUNCTION("""COMPUTED_VALUE"""),1282.08)</f>
        <v>1282.08</v>
      </c>
      <c r="F2613" s="2">
        <f>IFERROR(__xludf.DUMMYFUNCTION("""COMPUTED_VALUE"""),669503.0)</f>
        <v>669503</v>
      </c>
    </row>
    <row r="2614">
      <c r="A2614" s="3">
        <f>IFERROR(__xludf.DUMMYFUNCTION("""COMPUTED_VALUE"""),42094.64583333333)</f>
        <v>42094.64583</v>
      </c>
      <c r="B2614" s="2">
        <f>IFERROR(__xludf.DUMMYFUNCTION("""COMPUTED_VALUE"""),1284.72)</f>
        <v>1284.72</v>
      </c>
      <c r="C2614" s="2">
        <f>IFERROR(__xludf.DUMMYFUNCTION("""COMPUTED_VALUE"""),1284.72)</f>
        <v>1284.72</v>
      </c>
      <c r="D2614" s="2">
        <f>IFERROR(__xludf.DUMMYFUNCTION("""COMPUTED_VALUE"""),1260.5)</f>
        <v>1260.5</v>
      </c>
      <c r="E2614" s="2">
        <f>IFERROR(__xludf.DUMMYFUNCTION("""COMPUTED_VALUE"""),1276.97)</f>
        <v>1276.97</v>
      </c>
      <c r="F2614" s="2">
        <f>IFERROR(__xludf.DUMMYFUNCTION("""COMPUTED_VALUE"""),1213514.0)</f>
        <v>1213514</v>
      </c>
    </row>
    <row r="2615">
      <c r="A2615" s="3">
        <f>IFERROR(__xludf.DUMMYFUNCTION("""COMPUTED_VALUE"""),42095.64583333333)</f>
        <v>42095.64583</v>
      </c>
      <c r="B2615" s="2">
        <f>IFERROR(__xludf.DUMMYFUNCTION("""COMPUTED_VALUE"""),1279.0)</f>
        <v>1279</v>
      </c>
      <c r="C2615" s="2">
        <f>IFERROR(__xludf.DUMMYFUNCTION("""COMPUTED_VALUE"""),1281.8)</f>
        <v>1281.8</v>
      </c>
      <c r="D2615" s="2">
        <f>IFERROR(__xludf.DUMMYFUNCTION("""COMPUTED_VALUE"""),1261.13)</f>
        <v>1261.13</v>
      </c>
      <c r="E2615" s="2">
        <f>IFERROR(__xludf.DUMMYFUNCTION("""COMPUTED_VALUE"""),1271.33)</f>
        <v>1271.33</v>
      </c>
      <c r="F2615" s="2">
        <f>IFERROR(__xludf.DUMMYFUNCTION("""COMPUTED_VALUE"""),1037879.0)</f>
        <v>1037879</v>
      </c>
    </row>
    <row r="2616">
      <c r="A2616" s="3">
        <f>IFERROR(__xludf.DUMMYFUNCTION("""COMPUTED_VALUE"""),42100.64583333333)</f>
        <v>42100.64583</v>
      </c>
      <c r="B2616" s="2">
        <f>IFERROR(__xludf.DUMMYFUNCTION("""COMPUTED_VALUE"""),1279.0)</f>
        <v>1279</v>
      </c>
      <c r="C2616" s="2">
        <f>IFERROR(__xludf.DUMMYFUNCTION("""COMPUTED_VALUE"""),1281.45)</f>
        <v>1281.45</v>
      </c>
      <c r="D2616" s="2">
        <f>IFERROR(__xludf.DUMMYFUNCTION("""COMPUTED_VALUE"""),1250.05)</f>
        <v>1250.05</v>
      </c>
      <c r="E2616" s="2">
        <f>IFERROR(__xludf.DUMMYFUNCTION("""COMPUTED_VALUE"""),1273.65)</f>
        <v>1273.65</v>
      </c>
      <c r="F2616" s="2">
        <f>IFERROR(__xludf.DUMMYFUNCTION("""COMPUTED_VALUE"""),784271.0)</f>
        <v>784271</v>
      </c>
    </row>
    <row r="2617">
      <c r="A2617" s="3">
        <f>IFERROR(__xludf.DUMMYFUNCTION("""COMPUTED_VALUE"""),42101.64583333333)</f>
        <v>42101.64583</v>
      </c>
      <c r="B2617" s="2">
        <f>IFERROR(__xludf.DUMMYFUNCTION("""COMPUTED_VALUE"""),1281.22)</f>
        <v>1281.22</v>
      </c>
      <c r="C2617" s="2">
        <f>IFERROR(__xludf.DUMMYFUNCTION("""COMPUTED_VALUE"""),1299.5)</f>
        <v>1299.5</v>
      </c>
      <c r="D2617" s="2">
        <f>IFERROR(__xludf.DUMMYFUNCTION("""COMPUTED_VALUE"""),1272.0)</f>
        <v>1272</v>
      </c>
      <c r="E2617" s="2">
        <f>IFERROR(__xludf.DUMMYFUNCTION("""COMPUTED_VALUE"""),1292.5)</f>
        <v>1292.5</v>
      </c>
      <c r="F2617" s="2">
        <f>IFERROR(__xludf.DUMMYFUNCTION("""COMPUTED_VALUE"""),943461.0)</f>
        <v>943461</v>
      </c>
    </row>
    <row r="2618">
      <c r="A2618" s="3">
        <f>IFERROR(__xludf.DUMMYFUNCTION("""COMPUTED_VALUE"""),42102.64583333333)</f>
        <v>42102.64583</v>
      </c>
      <c r="B2618" s="2">
        <f>IFERROR(__xludf.DUMMYFUNCTION("""COMPUTED_VALUE"""),1297.0)</f>
        <v>1297</v>
      </c>
      <c r="C2618" s="2">
        <f>IFERROR(__xludf.DUMMYFUNCTION("""COMPUTED_VALUE"""),1328.25)</f>
        <v>1328.25</v>
      </c>
      <c r="D2618" s="2">
        <f>IFERROR(__xludf.DUMMYFUNCTION("""COMPUTED_VALUE"""),1295.43)</f>
        <v>1295.43</v>
      </c>
      <c r="E2618" s="2">
        <f>IFERROR(__xludf.DUMMYFUNCTION("""COMPUTED_VALUE"""),1320.7)</f>
        <v>1320.7</v>
      </c>
      <c r="F2618" s="2">
        <f>IFERROR(__xludf.DUMMYFUNCTION("""COMPUTED_VALUE"""),826067.0)</f>
        <v>826067</v>
      </c>
    </row>
    <row r="2619">
      <c r="A2619" s="3">
        <f>IFERROR(__xludf.DUMMYFUNCTION("""COMPUTED_VALUE"""),42103.64583333333)</f>
        <v>42103.64583</v>
      </c>
      <c r="B2619" s="2">
        <f>IFERROR(__xludf.DUMMYFUNCTION("""COMPUTED_VALUE"""),1329.5)</f>
        <v>1329.5</v>
      </c>
      <c r="C2619" s="2">
        <f>IFERROR(__xludf.DUMMYFUNCTION("""COMPUTED_VALUE"""),1343.73)</f>
        <v>1343.73</v>
      </c>
      <c r="D2619" s="2">
        <f>IFERROR(__xludf.DUMMYFUNCTION("""COMPUTED_VALUE"""),1317.58)</f>
        <v>1317.58</v>
      </c>
      <c r="E2619" s="2">
        <f>IFERROR(__xludf.DUMMYFUNCTION("""COMPUTED_VALUE"""),1332.28)</f>
        <v>1332.28</v>
      </c>
      <c r="F2619" s="2">
        <f>IFERROR(__xludf.DUMMYFUNCTION("""COMPUTED_VALUE"""),1272225.0)</f>
        <v>1272225</v>
      </c>
    </row>
    <row r="2620">
      <c r="A2620" s="3">
        <f>IFERROR(__xludf.DUMMYFUNCTION("""COMPUTED_VALUE"""),42104.64583333333)</f>
        <v>42104.64583</v>
      </c>
      <c r="B2620" s="2">
        <f>IFERROR(__xludf.DUMMYFUNCTION("""COMPUTED_VALUE"""),1324.25)</f>
        <v>1324.25</v>
      </c>
      <c r="C2620" s="2">
        <f>IFERROR(__xludf.DUMMYFUNCTION("""COMPUTED_VALUE"""),1335.4)</f>
        <v>1335.4</v>
      </c>
      <c r="D2620" s="2">
        <f>IFERROR(__xludf.DUMMYFUNCTION("""COMPUTED_VALUE"""),1314.0)</f>
        <v>1314</v>
      </c>
      <c r="E2620" s="2">
        <f>IFERROR(__xludf.DUMMYFUNCTION("""COMPUTED_VALUE"""),1326.88)</f>
        <v>1326.88</v>
      </c>
      <c r="F2620" s="2">
        <f>IFERROR(__xludf.DUMMYFUNCTION("""COMPUTED_VALUE"""),907772.0)</f>
        <v>907772</v>
      </c>
    </row>
    <row r="2621">
      <c r="A2621" s="3">
        <f>IFERROR(__xludf.DUMMYFUNCTION("""COMPUTED_VALUE"""),42107.64583333333)</f>
        <v>42107.64583</v>
      </c>
      <c r="B2621" s="2">
        <f>IFERROR(__xludf.DUMMYFUNCTION("""COMPUTED_VALUE"""),1332.0)</f>
        <v>1332</v>
      </c>
      <c r="C2621" s="2">
        <f>IFERROR(__xludf.DUMMYFUNCTION("""COMPUTED_VALUE"""),1332.5)</f>
        <v>1332.5</v>
      </c>
      <c r="D2621" s="2">
        <f>IFERROR(__xludf.DUMMYFUNCTION("""COMPUTED_VALUE"""),1314.0)</f>
        <v>1314</v>
      </c>
      <c r="E2621" s="2">
        <f>IFERROR(__xludf.DUMMYFUNCTION("""COMPUTED_VALUE"""),1327.75)</f>
        <v>1327.75</v>
      </c>
      <c r="F2621" s="2">
        <f>IFERROR(__xludf.DUMMYFUNCTION("""COMPUTED_VALUE"""),654321.0)</f>
        <v>654321</v>
      </c>
    </row>
    <row r="2622">
      <c r="A2622" s="3">
        <f>IFERROR(__xludf.DUMMYFUNCTION("""COMPUTED_VALUE"""),42109.64583333333)</f>
        <v>42109.64583</v>
      </c>
      <c r="B2622" s="2">
        <f>IFERROR(__xludf.DUMMYFUNCTION("""COMPUTED_VALUE"""),1327.35)</f>
        <v>1327.35</v>
      </c>
      <c r="C2622" s="2">
        <f>IFERROR(__xludf.DUMMYFUNCTION("""COMPUTED_VALUE"""),1356.95)</f>
        <v>1356.95</v>
      </c>
      <c r="D2622" s="2">
        <f>IFERROR(__xludf.DUMMYFUNCTION("""COMPUTED_VALUE"""),1304.7)</f>
        <v>1304.7</v>
      </c>
      <c r="E2622" s="2">
        <f>IFERROR(__xludf.DUMMYFUNCTION("""COMPUTED_VALUE"""),1313.88)</f>
        <v>1313.88</v>
      </c>
      <c r="F2622" s="2">
        <f>IFERROR(__xludf.DUMMYFUNCTION("""COMPUTED_VALUE"""),1456967.0)</f>
        <v>1456967</v>
      </c>
    </row>
    <row r="2623">
      <c r="A2623" s="3">
        <f>IFERROR(__xludf.DUMMYFUNCTION("""COMPUTED_VALUE"""),42110.64583333333)</f>
        <v>42110.64583</v>
      </c>
      <c r="B2623" s="2">
        <f>IFERROR(__xludf.DUMMYFUNCTION("""COMPUTED_VALUE"""),1313.48)</f>
        <v>1313.48</v>
      </c>
      <c r="C2623" s="2">
        <f>IFERROR(__xludf.DUMMYFUNCTION("""COMPUTED_VALUE"""),1313.5)</f>
        <v>1313.5</v>
      </c>
      <c r="D2623" s="2">
        <f>IFERROR(__xludf.DUMMYFUNCTION("""COMPUTED_VALUE"""),1285.68)</f>
        <v>1285.68</v>
      </c>
      <c r="E2623" s="2">
        <f>IFERROR(__xludf.DUMMYFUNCTION("""COMPUTED_VALUE"""),1291.4)</f>
        <v>1291.4</v>
      </c>
      <c r="F2623" s="2">
        <f>IFERROR(__xludf.DUMMYFUNCTION("""COMPUTED_VALUE"""),1608785.0)</f>
        <v>1608785</v>
      </c>
    </row>
    <row r="2624">
      <c r="A2624" s="3">
        <f>IFERROR(__xludf.DUMMYFUNCTION("""COMPUTED_VALUE"""),42111.64583333333)</f>
        <v>42111.64583</v>
      </c>
      <c r="B2624" s="2">
        <f>IFERROR(__xludf.DUMMYFUNCTION("""COMPUTED_VALUE"""),1278.55)</f>
        <v>1278.55</v>
      </c>
      <c r="C2624" s="2">
        <f>IFERROR(__xludf.DUMMYFUNCTION("""COMPUTED_VALUE"""),1280.0)</f>
        <v>1280</v>
      </c>
      <c r="D2624" s="2">
        <f>IFERROR(__xludf.DUMMYFUNCTION("""COMPUTED_VALUE"""),1235.0)</f>
        <v>1235</v>
      </c>
      <c r="E2624" s="2">
        <f>IFERROR(__xludf.DUMMYFUNCTION("""COMPUTED_VALUE"""),1237.43)</f>
        <v>1237.43</v>
      </c>
      <c r="F2624" s="2">
        <f>IFERROR(__xludf.DUMMYFUNCTION("""COMPUTED_VALUE"""),4834371.0)</f>
        <v>4834371</v>
      </c>
    </row>
    <row r="2625">
      <c r="A2625" s="3">
        <f>IFERROR(__xludf.DUMMYFUNCTION("""COMPUTED_VALUE"""),42114.64583333333)</f>
        <v>42114.64583</v>
      </c>
      <c r="B2625" s="2">
        <f>IFERROR(__xludf.DUMMYFUNCTION("""COMPUTED_VALUE"""),1240.03)</f>
        <v>1240.03</v>
      </c>
      <c r="C2625" s="2">
        <f>IFERROR(__xludf.DUMMYFUNCTION("""COMPUTED_VALUE"""),1241.95)</f>
        <v>1241.95</v>
      </c>
      <c r="D2625" s="2">
        <f>IFERROR(__xludf.DUMMYFUNCTION("""COMPUTED_VALUE"""),1212.43)</f>
        <v>1212.43</v>
      </c>
      <c r="E2625" s="2">
        <f>IFERROR(__xludf.DUMMYFUNCTION("""COMPUTED_VALUE"""),1214.4)</f>
        <v>1214.4</v>
      </c>
      <c r="F2625" s="2">
        <f>IFERROR(__xludf.DUMMYFUNCTION("""COMPUTED_VALUE"""),1445361.0)</f>
        <v>1445361</v>
      </c>
    </row>
    <row r="2626">
      <c r="A2626" s="3">
        <f>IFERROR(__xludf.DUMMYFUNCTION("""COMPUTED_VALUE"""),42115.64583333333)</f>
        <v>42115.64583</v>
      </c>
      <c r="B2626" s="2">
        <f>IFERROR(__xludf.DUMMYFUNCTION("""COMPUTED_VALUE"""),1214.4)</f>
        <v>1214.4</v>
      </c>
      <c r="C2626" s="2">
        <f>IFERROR(__xludf.DUMMYFUNCTION("""COMPUTED_VALUE"""),1226.0)</f>
        <v>1226</v>
      </c>
      <c r="D2626" s="2">
        <f>IFERROR(__xludf.DUMMYFUNCTION("""COMPUTED_VALUE"""),1200.5)</f>
        <v>1200.5</v>
      </c>
      <c r="E2626" s="2">
        <f>IFERROR(__xludf.DUMMYFUNCTION("""COMPUTED_VALUE"""),1213.53)</f>
        <v>1213.53</v>
      </c>
      <c r="F2626" s="2">
        <f>IFERROR(__xludf.DUMMYFUNCTION("""COMPUTED_VALUE"""),1273016.0)</f>
        <v>1273016</v>
      </c>
    </row>
    <row r="2627">
      <c r="A2627" s="3">
        <f>IFERROR(__xludf.DUMMYFUNCTION("""COMPUTED_VALUE"""),42116.64583333333)</f>
        <v>42116.64583</v>
      </c>
      <c r="B2627" s="2">
        <f>IFERROR(__xludf.DUMMYFUNCTION("""COMPUTED_VALUE"""),1215.75)</f>
        <v>1215.75</v>
      </c>
      <c r="C2627" s="2">
        <f>IFERROR(__xludf.DUMMYFUNCTION("""COMPUTED_VALUE"""),1236.5)</f>
        <v>1236.5</v>
      </c>
      <c r="D2627" s="2">
        <f>IFERROR(__xludf.DUMMYFUNCTION("""COMPUTED_VALUE"""),1203.78)</f>
        <v>1203.78</v>
      </c>
      <c r="E2627" s="2">
        <f>IFERROR(__xludf.DUMMYFUNCTION("""COMPUTED_VALUE"""),1222.55)</f>
        <v>1222.55</v>
      </c>
      <c r="F2627" s="2">
        <f>IFERROR(__xludf.DUMMYFUNCTION("""COMPUTED_VALUE"""),2093406.0)</f>
        <v>2093406</v>
      </c>
    </row>
    <row r="2628">
      <c r="A2628" s="3">
        <f>IFERROR(__xludf.DUMMYFUNCTION("""COMPUTED_VALUE"""),42117.64583333333)</f>
        <v>42117.64583</v>
      </c>
      <c r="B2628" s="2">
        <f>IFERROR(__xludf.DUMMYFUNCTION("""COMPUTED_VALUE"""),1236.0)</f>
        <v>1236</v>
      </c>
      <c r="C2628" s="2">
        <f>IFERROR(__xludf.DUMMYFUNCTION("""COMPUTED_VALUE"""),1239.9)</f>
        <v>1239.9</v>
      </c>
      <c r="D2628" s="2">
        <f>IFERROR(__xludf.DUMMYFUNCTION("""COMPUTED_VALUE"""),1215.85)</f>
        <v>1215.85</v>
      </c>
      <c r="E2628" s="2">
        <f>IFERROR(__xludf.DUMMYFUNCTION("""COMPUTED_VALUE"""),1228.63)</f>
        <v>1228.63</v>
      </c>
      <c r="F2628" s="2">
        <f>IFERROR(__xludf.DUMMYFUNCTION("""COMPUTED_VALUE"""),2171495.0)</f>
        <v>2171495</v>
      </c>
    </row>
    <row r="2629">
      <c r="A2629" s="3">
        <f>IFERROR(__xludf.DUMMYFUNCTION("""COMPUTED_VALUE"""),42118.64583333333)</f>
        <v>42118.64583</v>
      </c>
      <c r="B2629" s="2">
        <f>IFERROR(__xludf.DUMMYFUNCTION("""COMPUTED_VALUE"""),1227.65)</f>
        <v>1227.65</v>
      </c>
      <c r="C2629" s="2">
        <f>IFERROR(__xludf.DUMMYFUNCTION("""COMPUTED_VALUE"""),1257.0)</f>
        <v>1257</v>
      </c>
      <c r="D2629" s="2">
        <f>IFERROR(__xludf.DUMMYFUNCTION("""COMPUTED_VALUE"""),1223.78)</f>
        <v>1223.78</v>
      </c>
      <c r="E2629" s="2">
        <f>IFERROR(__xludf.DUMMYFUNCTION("""COMPUTED_VALUE"""),1246.53)</f>
        <v>1246.53</v>
      </c>
      <c r="F2629" s="2">
        <f>IFERROR(__xludf.DUMMYFUNCTION("""COMPUTED_VALUE"""),1812579.0)</f>
        <v>1812579</v>
      </c>
    </row>
    <row r="2630">
      <c r="A2630" s="3">
        <f>IFERROR(__xludf.DUMMYFUNCTION("""COMPUTED_VALUE"""),42121.64583333333)</f>
        <v>42121.64583</v>
      </c>
      <c r="B2630" s="2">
        <f>IFERROR(__xludf.DUMMYFUNCTION("""COMPUTED_VALUE"""),1249.75)</f>
        <v>1249.75</v>
      </c>
      <c r="C2630" s="2">
        <f>IFERROR(__xludf.DUMMYFUNCTION("""COMPUTED_VALUE"""),1260.0)</f>
        <v>1260</v>
      </c>
      <c r="D2630" s="2">
        <f>IFERROR(__xludf.DUMMYFUNCTION("""COMPUTED_VALUE"""),1243.0)</f>
        <v>1243</v>
      </c>
      <c r="E2630" s="2">
        <f>IFERROR(__xludf.DUMMYFUNCTION("""COMPUTED_VALUE"""),1250.1)</f>
        <v>1250.1</v>
      </c>
      <c r="F2630" s="2">
        <f>IFERROR(__xludf.DUMMYFUNCTION("""COMPUTED_VALUE"""),1366526.0)</f>
        <v>1366526</v>
      </c>
    </row>
    <row r="2631">
      <c r="A2631" s="3">
        <f>IFERROR(__xludf.DUMMYFUNCTION("""COMPUTED_VALUE"""),42122.64583333333)</f>
        <v>42122.64583</v>
      </c>
      <c r="B2631" s="2">
        <f>IFERROR(__xludf.DUMMYFUNCTION("""COMPUTED_VALUE"""),1255.0)</f>
        <v>1255</v>
      </c>
      <c r="C2631" s="2">
        <f>IFERROR(__xludf.DUMMYFUNCTION("""COMPUTED_VALUE"""),1255.0)</f>
        <v>1255</v>
      </c>
      <c r="D2631" s="2">
        <f>IFERROR(__xludf.DUMMYFUNCTION("""COMPUTED_VALUE"""),1227.55)</f>
        <v>1227.55</v>
      </c>
      <c r="E2631" s="2">
        <f>IFERROR(__xludf.DUMMYFUNCTION("""COMPUTED_VALUE"""),1247.5)</f>
        <v>1247.5</v>
      </c>
      <c r="F2631" s="2">
        <f>IFERROR(__xludf.DUMMYFUNCTION("""COMPUTED_VALUE"""),1544149.0)</f>
        <v>1544149</v>
      </c>
    </row>
    <row r="2632">
      <c r="A2632" s="3">
        <f>IFERROR(__xludf.DUMMYFUNCTION("""COMPUTED_VALUE"""),42123.64583333333)</f>
        <v>42123.64583</v>
      </c>
      <c r="B2632" s="2">
        <f>IFERROR(__xludf.DUMMYFUNCTION("""COMPUTED_VALUE"""),1242.0)</f>
        <v>1242</v>
      </c>
      <c r="C2632" s="2">
        <f>IFERROR(__xludf.DUMMYFUNCTION("""COMPUTED_VALUE"""),1247.5)</f>
        <v>1247.5</v>
      </c>
      <c r="D2632" s="2">
        <f>IFERROR(__xludf.DUMMYFUNCTION("""COMPUTED_VALUE"""),1225.53)</f>
        <v>1225.53</v>
      </c>
      <c r="E2632" s="2">
        <f>IFERROR(__xludf.DUMMYFUNCTION("""COMPUTED_VALUE"""),1243.65)</f>
        <v>1243.65</v>
      </c>
      <c r="F2632" s="2">
        <f>IFERROR(__xludf.DUMMYFUNCTION("""COMPUTED_VALUE"""),1009810.0)</f>
        <v>1009810</v>
      </c>
    </row>
    <row r="2633">
      <c r="A2633" s="3">
        <f>IFERROR(__xludf.DUMMYFUNCTION("""COMPUTED_VALUE"""),42124.64583333333)</f>
        <v>42124.64583</v>
      </c>
      <c r="B2633" s="2">
        <f>IFERROR(__xludf.DUMMYFUNCTION("""COMPUTED_VALUE"""),1240.0)</f>
        <v>1240</v>
      </c>
      <c r="C2633" s="2">
        <f>IFERROR(__xludf.DUMMYFUNCTION("""COMPUTED_VALUE"""),1245.0)</f>
        <v>1245</v>
      </c>
      <c r="D2633" s="2">
        <f>IFERROR(__xludf.DUMMYFUNCTION("""COMPUTED_VALUE"""),1213.55)</f>
        <v>1213.55</v>
      </c>
      <c r="E2633" s="2">
        <f>IFERROR(__xludf.DUMMYFUNCTION("""COMPUTED_VALUE"""),1231.85)</f>
        <v>1231.85</v>
      </c>
      <c r="F2633" s="2">
        <f>IFERROR(__xludf.DUMMYFUNCTION("""COMPUTED_VALUE"""),1869027.0)</f>
        <v>1869027</v>
      </c>
    </row>
    <row r="2634">
      <c r="A2634" s="3">
        <f>IFERROR(__xludf.DUMMYFUNCTION("""COMPUTED_VALUE"""),42128.64583333333)</f>
        <v>42128.64583</v>
      </c>
      <c r="B2634" s="2">
        <f>IFERROR(__xludf.DUMMYFUNCTION("""COMPUTED_VALUE"""),1245.5)</f>
        <v>1245.5</v>
      </c>
      <c r="C2634" s="2">
        <f>IFERROR(__xludf.DUMMYFUNCTION("""COMPUTED_VALUE"""),1252.4)</f>
        <v>1252.4</v>
      </c>
      <c r="D2634" s="2">
        <f>IFERROR(__xludf.DUMMYFUNCTION("""COMPUTED_VALUE"""),1228.6)</f>
        <v>1228.6</v>
      </c>
      <c r="E2634" s="2">
        <f>IFERROR(__xludf.DUMMYFUNCTION("""COMPUTED_VALUE"""),1240.78)</f>
        <v>1240.78</v>
      </c>
      <c r="F2634" s="2">
        <f>IFERROR(__xludf.DUMMYFUNCTION("""COMPUTED_VALUE"""),945315.0)</f>
        <v>945315</v>
      </c>
    </row>
    <row r="2635">
      <c r="A2635" s="3">
        <f>IFERROR(__xludf.DUMMYFUNCTION("""COMPUTED_VALUE"""),42129.64583333333)</f>
        <v>42129.64583</v>
      </c>
      <c r="B2635" s="2">
        <f>IFERROR(__xludf.DUMMYFUNCTION("""COMPUTED_VALUE"""),1250.5)</f>
        <v>1250.5</v>
      </c>
      <c r="C2635" s="2">
        <f>IFERROR(__xludf.DUMMYFUNCTION("""COMPUTED_VALUE"""),1268.22)</f>
        <v>1268.22</v>
      </c>
      <c r="D2635" s="2">
        <f>IFERROR(__xludf.DUMMYFUNCTION("""COMPUTED_VALUE"""),1250.0)</f>
        <v>1250</v>
      </c>
      <c r="E2635" s="2">
        <f>IFERROR(__xludf.DUMMYFUNCTION("""COMPUTED_VALUE"""),1258.93)</f>
        <v>1258.93</v>
      </c>
      <c r="F2635" s="2">
        <f>IFERROR(__xludf.DUMMYFUNCTION("""COMPUTED_VALUE"""),1627535.0)</f>
        <v>1627535</v>
      </c>
    </row>
    <row r="2636">
      <c r="A2636" s="3">
        <f>IFERROR(__xludf.DUMMYFUNCTION("""COMPUTED_VALUE"""),42130.64583333333)</f>
        <v>42130.64583</v>
      </c>
      <c r="B2636" s="2">
        <f>IFERROR(__xludf.DUMMYFUNCTION("""COMPUTED_VALUE"""),1257.5)</f>
        <v>1257.5</v>
      </c>
      <c r="C2636" s="2">
        <f>IFERROR(__xludf.DUMMYFUNCTION("""COMPUTED_VALUE"""),1257.5)</f>
        <v>1257.5</v>
      </c>
      <c r="D2636" s="2">
        <f>IFERROR(__xludf.DUMMYFUNCTION("""COMPUTED_VALUE"""),1227.9)</f>
        <v>1227.9</v>
      </c>
      <c r="E2636" s="2">
        <f>IFERROR(__xludf.DUMMYFUNCTION("""COMPUTED_VALUE"""),1231.53)</f>
        <v>1231.53</v>
      </c>
      <c r="F2636" s="2">
        <f>IFERROR(__xludf.DUMMYFUNCTION("""COMPUTED_VALUE"""),1697203.0)</f>
        <v>1697203</v>
      </c>
    </row>
    <row r="2637">
      <c r="A2637" s="3">
        <f>IFERROR(__xludf.DUMMYFUNCTION("""COMPUTED_VALUE"""),42131.64583333333)</f>
        <v>42131.64583</v>
      </c>
      <c r="B2637" s="2">
        <f>IFERROR(__xludf.DUMMYFUNCTION("""COMPUTED_VALUE"""),1232.45)</f>
        <v>1232.45</v>
      </c>
      <c r="C2637" s="2">
        <f>IFERROR(__xludf.DUMMYFUNCTION("""COMPUTED_VALUE"""),1276.88)</f>
        <v>1276.88</v>
      </c>
      <c r="D2637" s="2">
        <f>IFERROR(__xludf.DUMMYFUNCTION("""COMPUTED_VALUE"""),1226.85)</f>
        <v>1226.85</v>
      </c>
      <c r="E2637" s="2">
        <f>IFERROR(__xludf.DUMMYFUNCTION("""COMPUTED_VALUE"""),1272.63)</f>
        <v>1272.63</v>
      </c>
      <c r="F2637" s="2">
        <f>IFERROR(__xludf.DUMMYFUNCTION("""COMPUTED_VALUE"""),1602514.0)</f>
        <v>1602514</v>
      </c>
    </row>
    <row r="2638">
      <c r="A2638" s="3">
        <f>IFERROR(__xludf.DUMMYFUNCTION("""COMPUTED_VALUE"""),42132.64583333333)</f>
        <v>42132.64583</v>
      </c>
      <c r="B2638" s="2">
        <f>IFERROR(__xludf.DUMMYFUNCTION("""COMPUTED_VALUE"""),1280.0)</f>
        <v>1280</v>
      </c>
      <c r="C2638" s="2">
        <f>IFERROR(__xludf.DUMMYFUNCTION("""COMPUTED_VALUE"""),1294.0)</f>
        <v>1294</v>
      </c>
      <c r="D2638" s="2">
        <f>IFERROR(__xludf.DUMMYFUNCTION("""COMPUTED_VALUE"""),1258.15)</f>
        <v>1258.15</v>
      </c>
      <c r="E2638" s="2">
        <f>IFERROR(__xludf.DUMMYFUNCTION("""COMPUTED_VALUE"""),1263.63)</f>
        <v>1263.63</v>
      </c>
      <c r="F2638" s="2">
        <f>IFERROR(__xludf.DUMMYFUNCTION("""COMPUTED_VALUE"""),1501832.0)</f>
        <v>1501832</v>
      </c>
    </row>
    <row r="2639">
      <c r="A2639" s="3">
        <f>IFERROR(__xludf.DUMMYFUNCTION("""COMPUTED_VALUE"""),42135.64583333333)</f>
        <v>42135.64583</v>
      </c>
      <c r="B2639" s="2">
        <f>IFERROR(__xludf.DUMMYFUNCTION("""COMPUTED_VALUE"""),1267.5)</f>
        <v>1267.5</v>
      </c>
      <c r="C2639" s="2">
        <f>IFERROR(__xludf.DUMMYFUNCTION("""COMPUTED_VALUE"""),1281.53)</f>
        <v>1281.53</v>
      </c>
      <c r="D2639" s="2">
        <f>IFERROR(__xludf.DUMMYFUNCTION("""COMPUTED_VALUE"""),1262.5)</f>
        <v>1262.5</v>
      </c>
      <c r="E2639" s="2">
        <f>IFERROR(__xludf.DUMMYFUNCTION("""COMPUTED_VALUE"""),1278.0)</f>
        <v>1278</v>
      </c>
      <c r="F2639" s="2">
        <f>IFERROR(__xludf.DUMMYFUNCTION("""COMPUTED_VALUE"""),1286541.0)</f>
        <v>1286541</v>
      </c>
    </row>
    <row r="2640">
      <c r="A2640" s="3">
        <f>IFERROR(__xludf.DUMMYFUNCTION("""COMPUTED_VALUE"""),42136.64583333333)</f>
        <v>42136.64583</v>
      </c>
      <c r="B2640" s="2">
        <f>IFERROR(__xludf.DUMMYFUNCTION("""COMPUTED_VALUE"""),1280.0)</f>
        <v>1280</v>
      </c>
      <c r="C2640" s="2">
        <f>IFERROR(__xludf.DUMMYFUNCTION("""COMPUTED_VALUE"""),1282.5)</f>
        <v>1282.5</v>
      </c>
      <c r="D2640" s="2">
        <f>IFERROR(__xludf.DUMMYFUNCTION("""COMPUTED_VALUE"""),1256.5)</f>
        <v>1256.5</v>
      </c>
      <c r="E2640" s="2">
        <f>IFERROR(__xludf.DUMMYFUNCTION("""COMPUTED_VALUE"""),1261.45)</f>
        <v>1261.45</v>
      </c>
      <c r="F2640" s="2">
        <f>IFERROR(__xludf.DUMMYFUNCTION("""COMPUTED_VALUE"""),1233693.0)</f>
        <v>1233693</v>
      </c>
    </row>
    <row r="2641">
      <c r="A2641" s="3">
        <f>IFERROR(__xludf.DUMMYFUNCTION("""COMPUTED_VALUE"""),42137.64583333333)</f>
        <v>42137.64583</v>
      </c>
      <c r="B2641" s="2">
        <f>IFERROR(__xludf.DUMMYFUNCTION("""COMPUTED_VALUE"""),1273.5)</f>
        <v>1273.5</v>
      </c>
      <c r="C2641" s="2">
        <f>IFERROR(__xludf.DUMMYFUNCTION("""COMPUTED_VALUE"""),1273.5)</f>
        <v>1273.5</v>
      </c>
      <c r="D2641" s="2">
        <f>IFERROR(__xludf.DUMMYFUNCTION("""COMPUTED_VALUE"""),1240.22)</f>
        <v>1240.22</v>
      </c>
      <c r="E2641" s="2">
        <f>IFERROR(__xludf.DUMMYFUNCTION("""COMPUTED_VALUE"""),1257.7)</f>
        <v>1257.7</v>
      </c>
      <c r="F2641" s="2">
        <f>IFERROR(__xludf.DUMMYFUNCTION("""COMPUTED_VALUE"""),931887.0)</f>
        <v>931887</v>
      </c>
    </row>
    <row r="2642">
      <c r="A2642" s="3">
        <f>IFERROR(__xludf.DUMMYFUNCTION("""COMPUTED_VALUE"""),42138.64583333333)</f>
        <v>42138.64583</v>
      </c>
      <c r="B2642" s="2">
        <f>IFERROR(__xludf.DUMMYFUNCTION("""COMPUTED_VALUE"""),1260.0)</f>
        <v>1260</v>
      </c>
      <c r="C2642" s="2">
        <f>IFERROR(__xludf.DUMMYFUNCTION("""COMPUTED_VALUE"""),1260.0)</f>
        <v>1260</v>
      </c>
      <c r="D2642" s="2">
        <f>IFERROR(__xludf.DUMMYFUNCTION("""COMPUTED_VALUE"""),1242.5)</f>
        <v>1242.5</v>
      </c>
      <c r="E2642" s="2">
        <f>IFERROR(__xludf.DUMMYFUNCTION("""COMPUTED_VALUE"""),1249.63)</f>
        <v>1249.63</v>
      </c>
      <c r="F2642" s="2">
        <f>IFERROR(__xludf.DUMMYFUNCTION("""COMPUTED_VALUE"""),654525.0)</f>
        <v>654525</v>
      </c>
    </row>
    <row r="2643">
      <c r="A2643" s="3">
        <f>IFERROR(__xludf.DUMMYFUNCTION("""COMPUTED_VALUE"""),42139.64583333333)</f>
        <v>42139.64583</v>
      </c>
      <c r="B2643" s="2">
        <f>IFERROR(__xludf.DUMMYFUNCTION("""COMPUTED_VALUE"""),1257.5)</f>
        <v>1257.5</v>
      </c>
      <c r="C2643" s="2">
        <f>IFERROR(__xludf.DUMMYFUNCTION("""COMPUTED_VALUE"""),1266.2)</f>
        <v>1266.2</v>
      </c>
      <c r="D2643" s="2">
        <f>IFERROR(__xludf.DUMMYFUNCTION("""COMPUTED_VALUE"""),1250.5)</f>
        <v>1250.5</v>
      </c>
      <c r="E2643" s="2">
        <f>IFERROR(__xludf.DUMMYFUNCTION("""COMPUTED_VALUE"""),1255.58)</f>
        <v>1255.58</v>
      </c>
      <c r="F2643" s="2">
        <f>IFERROR(__xludf.DUMMYFUNCTION("""COMPUTED_VALUE"""),730727.0)</f>
        <v>730727</v>
      </c>
    </row>
    <row r="2644">
      <c r="A2644" s="3">
        <f>IFERROR(__xludf.DUMMYFUNCTION("""COMPUTED_VALUE"""),42142.64583333333)</f>
        <v>42142.64583</v>
      </c>
      <c r="B2644" s="2">
        <f>IFERROR(__xludf.DUMMYFUNCTION("""COMPUTED_VALUE"""),1257.05)</f>
        <v>1257.05</v>
      </c>
      <c r="C2644" s="2">
        <f>IFERROR(__xludf.DUMMYFUNCTION("""COMPUTED_VALUE"""),1262.63)</f>
        <v>1262.63</v>
      </c>
      <c r="D2644" s="2">
        <f>IFERROR(__xludf.DUMMYFUNCTION("""COMPUTED_VALUE"""),1248.55)</f>
        <v>1248.55</v>
      </c>
      <c r="E2644" s="2">
        <f>IFERROR(__xludf.DUMMYFUNCTION("""COMPUTED_VALUE"""),1260.2)</f>
        <v>1260.2</v>
      </c>
      <c r="F2644" s="2">
        <f>IFERROR(__xludf.DUMMYFUNCTION("""COMPUTED_VALUE"""),2253876.0)</f>
        <v>2253876</v>
      </c>
    </row>
    <row r="2645">
      <c r="A2645" s="3">
        <f>IFERROR(__xludf.DUMMYFUNCTION("""COMPUTED_VALUE"""),42143.64583333333)</f>
        <v>42143.64583</v>
      </c>
      <c r="B2645" s="2">
        <f>IFERROR(__xludf.DUMMYFUNCTION("""COMPUTED_VALUE"""),1259.7)</f>
        <v>1259.7</v>
      </c>
      <c r="C2645" s="2">
        <f>IFERROR(__xludf.DUMMYFUNCTION("""COMPUTED_VALUE"""),1265.0)</f>
        <v>1265</v>
      </c>
      <c r="D2645" s="2">
        <f>IFERROR(__xludf.DUMMYFUNCTION("""COMPUTED_VALUE"""),1248.38)</f>
        <v>1248.38</v>
      </c>
      <c r="E2645" s="2">
        <f>IFERROR(__xludf.DUMMYFUNCTION("""COMPUTED_VALUE"""),1256.35)</f>
        <v>1256.35</v>
      </c>
      <c r="F2645" s="2">
        <f>IFERROR(__xludf.DUMMYFUNCTION("""COMPUTED_VALUE"""),978861.0)</f>
        <v>978861</v>
      </c>
    </row>
    <row r="2646">
      <c r="A2646" s="3">
        <f>IFERROR(__xludf.DUMMYFUNCTION("""COMPUTED_VALUE"""),42144.64583333333)</f>
        <v>42144.64583</v>
      </c>
      <c r="B2646" s="2">
        <f>IFERROR(__xludf.DUMMYFUNCTION("""COMPUTED_VALUE"""),1260.0)</f>
        <v>1260</v>
      </c>
      <c r="C2646" s="2">
        <f>IFERROR(__xludf.DUMMYFUNCTION("""COMPUTED_VALUE"""),1284.95)</f>
        <v>1284.95</v>
      </c>
      <c r="D2646" s="2">
        <f>IFERROR(__xludf.DUMMYFUNCTION("""COMPUTED_VALUE"""),1258.45)</f>
        <v>1258.45</v>
      </c>
      <c r="E2646" s="2">
        <f>IFERROR(__xludf.DUMMYFUNCTION("""COMPUTED_VALUE"""),1278.53)</f>
        <v>1278.53</v>
      </c>
      <c r="F2646" s="2">
        <f>IFERROR(__xludf.DUMMYFUNCTION("""COMPUTED_VALUE"""),948907.0)</f>
        <v>948907</v>
      </c>
    </row>
    <row r="2647">
      <c r="A2647" s="3">
        <f>IFERROR(__xludf.DUMMYFUNCTION("""COMPUTED_VALUE"""),42145.64583333333)</f>
        <v>42145.64583</v>
      </c>
      <c r="B2647" s="2">
        <f>IFERROR(__xludf.DUMMYFUNCTION("""COMPUTED_VALUE"""),1278.5)</f>
        <v>1278.5</v>
      </c>
      <c r="C2647" s="2">
        <f>IFERROR(__xludf.DUMMYFUNCTION("""COMPUTED_VALUE"""),1290.0)</f>
        <v>1290</v>
      </c>
      <c r="D2647" s="2">
        <f>IFERROR(__xludf.DUMMYFUNCTION("""COMPUTED_VALUE"""),1274.08)</f>
        <v>1274.08</v>
      </c>
      <c r="E2647" s="2">
        <f>IFERROR(__xludf.DUMMYFUNCTION("""COMPUTED_VALUE"""),1277.75)</f>
        <v>1277.75</v>
      </c>
      <c r="F2647" s="2">
        <f>IFERROR(__xludf.DUMMYFUNCTION("""COMPUTED_VALUE"""),789789.0)</f>
        <v>789789</v>
      </c>
    </row>
    <row r="2648">
      <c r="A2648" s="3">
        <f>IFERROR(__xludf.DUMMYFUNCTION("""COMPUTED_VALUE"""),42146.64583333333)</f>
        <v>42146.64583</v>
      </c>
      <c r="B2648" s="2">
        <f>IFERROR(__xludf.DUMMYFUNCTION("""COMPUTED_VALUE"""),1275.0)</f>
        <v>1275</v>
      </c>
      <c r="C2648" s="2">
        <f>IFERROR(__xludf.DUMMYFUNCTION("""COMPUTED_VALUE"""),1314.38)</f>
        <v>1314.38</v>
      </c>
      <c r="D2648" s="2">
        <f>IFERROR(__xludf.DUMMYFUNCTION("""COMPUTED_VALUE"""),1269.63)</f>
        <v>1269.63</v>
      </c>
      <c r="E2648" s="2">
        <f>IFERROR(__xludf.DUMMYFUNCTION("""COMPUTED_VALUE"""),1308.95)</f>
        <v>1308.95</v>
      </c>
      <c r="F2648" s="2">
        <f>IFERROR(__xludf.DUMMYFUNCTION("""COMPUTED_VALUE"""),1345816.0)</f>
        <v>1345816</v>
      </c>
    </row>
    <row r="2649">
      <c r="A2649" s="3">
        <f>IFERROR(__xludf.DUMMYFUNCTION("""COMPUTED_VALUE"""),42149.64583333333)</f>
        <v>42149.64583</v>
      </c>
      <c r="B2649" s="2">
        <f>IFERROR(__xludf.DUMMYFUNCTION("""COMPUTED_VALUE"""),1310.0)</f>
        <v>1310</v>
      </c>
      <c r="C2649" s="2">
        <f>IFERROR(__xludf.DUMMYFUNCTION("""COMPUTED_VALUE"""),1318.45)</f>
        <v>1318.45</v>
      </c>
      <c r="D2649" s="2">
        <f>IFERROR(__xludf.DUMMYFUNCTION("""COMPUTED_VALUE"""),1292.85)</f>
        <v>1292.85</v>
      </c>
      <c r="E2649" s="2">
        <f>IFERROR(__xludf.DUMMYFUNCTION("""COMPUTED_VALUE"""),1300.5)</f>
        <v>1300.5</v>
      </c>
      <c r="F2649" s="2">
        <f>IFERROR(__xludf.DUMMYFUNCTION("""COMPUTED_VALUE"""),491489.0)</f>
        <v>491489</v>
      </c>
    </row>
    <row r="2650">
      <c r="A2650" s="3">
        <f>IFERROR(__xludf.DUMMYFUNCTION("""COMPUTED_VALUE"""),42150.64583333333)</f>
        <v>42150.64583</v>
      </c>
      <c r="B2650" s="2">
        <f>IFERROR(__xludf.DUMMYFUNCTION("""COMPUTED_VALUE"""),1302.5)</f>
        <v>1302.5</v>
      </c>
      <c r="C2650" s="2">
        <f>IFERROR(__xludf.DUMMYFUNCTION("""COMPUTED_VALUE"""),1311.63)</f>
        <v>1311.63</v>
      </c>
      <c r="D2650" s="2">
        <f>IFERROR(__xludf.DUMMYFUNCTION("""COMPUTED_VALUE"""),1294.45)</f>
        <v>1294.45</v>
      </c>
      <c r="E2650" s="2">
        <f>IFERROR(__xludf.DUMMYFUNCTION("""COMPUTED_VALUE"""),1304.43)</f>
        <v>1304.43</v>
      </c>
      <c r="F2650" s="2">
        <f>IFERROR(__xludf.DUMMYFUNCTION("""COMPUTED_VALUE"""),980870.0)</f>
        <v>980870</v>
      </c>
    </row>
    <row r="2651">
      <c r="A2651" s="3">
        <f>IFERROR(__xludf.DUMMYFUNCTION("""COMPUTED_VALUE"""),42151.64583333333)</f>
        <v>42151.64583</v>
      </c>
      <c r="B2651" s="2">
        <f>IFERROR(__xludf.DUMMYFUNCTION("""COMPUTED_VALUE"""),1304.0)</f>
        <v>1304</v>
      </c>
      <c r="C2651" s="2">
        <f>IFERROR(__xludf.DUMMYFUNCTION("""COMPUTED_VALUE"""),1316.58)</f>
        <v>1316.58</v>
      </c>
      <c r="D2651" s="2">
        <f>IFERROR(__xludf.DUMMYFUNCTION("""COMPUTED_VALUE"""),1296.0)</f>
        <v>1296</v>
      </c>
      <c r="E2651" s="2">
        <f>IFERROR(__xludf.DUMMYFUNCTION("""COMPUTED_VALUE"""),1307.63)</f>
        <v>1307.63</v>
      </c>
      <c r="F2651" s="2">
        <f>IFERROR(__xludf.DUMMYFUNCTION("""COMPUTED_VALUE"""),810345.0)</f>
        <v>810345</v>
      </c>
    </row>
    <row r="2652">
      <c r="A2652" s="3">
        <f>IFERROR(__xludf.DUMMYFUNCTION("""COMPUTED_VALUE"""),42152.64583333333)</f>
        <v>42152.64583</v>
      </c>
      <c r="B2652" s="2">
        <f>IFERROR(__xludf.DUMMYFUNCTION("""COMPUTED_VALUE"""),1301.95)</f>
        <v>1301.95</v>
      </c>
      <c r="C2652" s="2">
        <f>IFERROR(__xludf.DUMMYFUNCTION("""COMPUTED_VALUE"""),1311.5)</f>
        <v>1311.5</v>
      </c>
      <c r="D2652" s="2">
        <f>IFERROR(__xludf.DUMMYFUNCTION("""COMPUTED_VALUE"""),1291.13)</f>
        <v>1291.13</v>
      </c>
      <c r="E2652" s="2">
        <f>IFERROR(__xludf.DUMMYFUNCTION("""COMPUTED_VALUE"""),1304.75)</f>
        <v>1304.75</v>
      </c>
      <c r="F2652" s="2">
        <f>IFERROR(__xludf.DUMMYFUNCTION("""COMPUTED_VALUE"""),1381804.0)</f>
        <v>1381804</v>
      </c>
    </row>
    <row r="2653">
      <c r="A2653" s="3">
        <f>IFERROR(__xludf.DUMMYFUNCTION("""COMPUTED_VALUE"""),42153.64583333333)</f>
        <v>42153.64583</v>
      </c>
      <c r="B2653" s="2">
        <f>IFERROR(__xludf.DUMMYFUNCTION("""COMPUTED_VALUE"""),1308.5)</f>
        <v>1308.5</v>
      </c>
      <c r="C2653" s="2">
        <f>IFERROR(__xludf.DUMMYFUNCTION("""COMPUTED_VALUE"""),1324.3)</f>
        <v>1324.3</v>
      </c>
      <c r="D2653" s="2">
        <f>IFERROR(__xludf.DUMMYFUNCTION("""COMPUTED_VALUE"""),1298.63)</f>
        <v>1298.63</v>
      </c>
      <c r="E2653" s="2">
        <f>IFERROR(__xludf.DUMMYFUNCTION("""COMPUTED_VALUE"""),1305.15)</f>
        <v>1305.15</v>
      </c>
      <c r="F2653" s="2">
        <f>IFERROR(__xludf.DUMMYFUNCTION("""COMPUTED_VALUE"""),2211766.0)</f>
        <v>2211766</v>
      </c>
    </row>
    <row r="2654">
      <c r="A2654" s="3">
        <f>IFERROR(__xludf.DUMMYFUNCTION("""COMPUTED_VALUE"""),42156.64583333333)</f>
        <v>42156.64583</v>
      </c>
      <c r="B2654" s="2">
        <f>IFERROR(__xludf.DUMMYFUNCTION("""COMPUTED_VALUE"""),1304.72)</f>
        <v>1304.72</v>
      </c>
      <c r="C2654" s="2">
        <f>IFERROR(__xludf.DUMMYFUNCTION("""COMPUTED_VALUE"""),1323.55)</f>
        <v>1323.55</v>
      </c>
      <c r="D2654" s="2">
        <f>IFERROR(__xludf.DUMMYFUNCTION("""COMPUTED_VALUE"""),1304.18)</f>
        <v>1304.18</v>
      </c>
      <c r="E2654" s="2">
        <f>IFERROR(__xludf.DUMMYFUNCTION("""COMPUTED_VALUE"""),1308.88)</f>
        <v>1308.88</v>
      </c>
      <c r="F2654" s="2">
        <f>IFERROR(__xludf.DUMMYFUNCTION("""COMPUTED_VALUE"""),441132.0)</f>
        <v>441132</v>
      </c>
    </row>
    <row r="2655">
      <c r="A2655" s="3">
        <f>IFERROR(__xludf.DUMMYFUNCTION("""COMPUTED_VALUE"""),42157.64583333333)</f>
        <v>42157.64583</v>
      </c>
      <c r="B2655" s="2">
        <f>IFERROR(__xludf.DUMMYFUNCTION("""COMPUTED_VALUE"""),1308.0)</f>
        <v>1308</v>
      </c>
      <c r="C2655" s="2">
        <f>IFERROR(__xludf.DUMMYFUNCTION("""COMPUTED_VALUE"""),1315.0)</f>
        <v>1315</v>
      </c>
      <c r="D2655" s="2">
        <f>IFERROR(__xludf.DUMMYFUNCTION("""COMPUTED_VALUE"""),1295.25)</f>
        <v>1295.25</v>
      </c>
      <c r="E2655" s="2">
        <f>IFERROR(__xludf.DUMMYFUNCTION("""COMPUTED_VALUE"""),1299.95)</f>
        <v>1299.95</v>
      </c>
      <c r="F2655" s="2">
        <f>IFERROR(__xludf.DUMMYFUNCTION("""COMPUTED_VALUE"""),1967910.0)</f>
        <v>1967910</v>
      </c>
    </row>
    <row r="2656">
      <c r="A2656" s="3">
        <f>IFERROR(__xludf.DUMMYFUNCTION("""COMPUTED_VALUE"""),42158.64583333333)</f>
        <v>42158.64583</v>
      </c>
      <c r="B2656" s="2">
        <f>IFERROR(__xludf.DUMMYFUNCTION("""COMPUTED_VALUE"""),1302.0)</f>
        <v>1302</v>
      </c>
      <c r="C2656" s="2">
        <f>IFERROR(__xludf.DUMMYFUNCTION("""COMPUTED_VALUE"""),1312.8)</f>
        <v>1312.8</v>
      </c>
      <c r="D2656" s="2">
        <f>IFERROR(__xludf.DUMMYFUNCTION("""COMPUTED_VALUE"""),1295.25)</f>
        <v>1295.25</v>
      </c>
      <c r="E2656" s="2">
        <f>IFERROR(__xludf.DUMMYFUNCTION("""COMPUTED_VALUE"""),1305.45)</f>
        <v>1305.45</v>
      </c>
      <c r="F2656" s="2">
        <f>IFERROR(__xludf.DUMMYFUNCTION("""COMPUTED_VALUE"""),902342.0)</f>
        <v>902342</v>
      </c>
    </row>
    <row r="2657">
      <c r="A2657" s="3">
        <f>IFERROR(__xludf.DUMMYFUNCTION("""COMPUTED_VALUE"""),42159.64583333333)</f>
        <v>42159.64583</v>
      </c>
      <c r="B2657" s="2">
        <f>IFERROR(__xludf.DUMMYFUNCTION("""COMPUTED_VALUE"""),1308.55)</f>
        <v>1308.55</v>
      </c>
      <c r="C2657" s="2">
        <f>IFERROR(__xludf.DUMMYFUNCTION("""COMPUTED_VALUE"""),1311.4)</f>
        <v>1311.4</v>
      </c>
      <c r="D2657" s="2">
        <f>IFERROR(__xludf.DUMMYFUNCTION("""COMPUTED_VALUE"""),1294.25)</f>
        <v>1294.25</v>
      </c>
      <c r="E2657" s="2">
        <f>IFERROR(__xludf.DUMMYFUNCTION("""COMPUTED_VALUE"""),1302.83)</f>
        <v>1302.83</v>
      </c>
      <c r="F2657" s="2">
        <f>IFERROR(__xludf.DUMMYFUNCTION("""COMPUTED_VALUE"""),2065734.0)</f>
        <v>2065734</v>
      </c>
    </row>
    <row r="2658">
      <c r="A2658" s="3">
        <f>IFERROR(__xludf.DUMMYFUNCTION("""COMPUTED_VALUE"""),42160.64583333333)</f>
        <v>42160.64583</v>
      </c>
      <c r="B2658" s="2">
        <f>IFERROR(__xludf.DUMMYFUNCTION("""COMPUTED_VALUE"""),1296.0)</f>
        <v>1296</v>
      </c>
      <c r="C2658" s="2">
        <f>IFERROR(__xludf.DUMMYFUNCTION("""COMPUTED_VALUE"""),1304.5)</f>
        <v>1304.5</v>
      </c>
      <c r="D2658" s="2">
        <f>IFERROR(__xludf.DUMMYFUNCTION("""COMPUTED_VALUE"""),1285.0)</f>
        <v>1285</v>
      </c>
      <c r="E2658" s="2">
        <f>IFERROR(__xludf.DUMMYFUNCTION("""COMPUTED_VALUE"""),1287.93)</f>
        <v>1287.93</v>
      </c>
      <c r="F2658" s="2">
        <f>IFERROR(__xludf.DUMMYFUNCTION("""COMPUTED_VALUE"""),1154267.0)</f>
        <v>1154267</v>
      </c>
    </row>
    <row r="2659">
      <c r="A2659" s="3">
        <f>IFERROR(__xludf.DUMMYFUNCTION("""COMPUTED_VALUE"""),42163.64583333333)</f>
        <v>42163.64583</v>
      </c>
      <c r="B2659" s="2">
        <f>IFERROR(__xludf.DUMMYFUNCTION("""COMPUTED_VALUE"""),1295.0)</f>
        <v>1295</v>
      </c>
      <c r="C2659" s="2">
        <f>IFERROR(__xludf.DUMMYFUNCTION("""COMPUTED_VALUE"""),1295.0)</f>
        <v>1295</v>
      </c>
      <c r="D2659" s="2">
        <f>IFERROR(__xludf.DUMMYFUNCTION("""COMPUTED_VALUE"""),1280.83)</f>
        <v>1280.83</v>
      </c>
      <c r="E2659" s="2">
        <f>IFERROR(__xludf.DUMMYFUNCTION("""COMPUTED_VALUE"""),1288.72)</f>
        <v>1288.72</v>
      </c>
      <c r="F2659" s="2">
        <f>IFERROR(__xludf.DUMMYFUNCTION("""COMPUTED_VALUE"""),785160.0)</f>
        <v>785160</v>
      </c>
    </row>
    <row r="2660">
      <c r="A2660" s="3">
        <f>IFERROR(__xludf.DUMMYFUNCTION("""COMPUTED_VALUE"""),42164.64583333333)</f>
        <v>42164.64583</v>
      </c>
      <c r="B2660" s="2">
        <f>IFERROR(__xludf.DUMMYFUNCTION("""COMPUTED_VALUE"""),1292.5)</f>
        <v>1292.5</v>
      </c>
      <c r="C2660" s="2">
        <f>IFERROR(__xludf.DUMMYFUNCTION("""COMPUTED_VALUE"""),1295.0)</f>
        <v>1295</v>
      </c>
      <c r="D2660" s="2">
        <f>IFERROR(__xludf.DUMMYFUNCTION("""COMPUTED_VALUE"""),1275.5)</f>
        <v>1275.5</v>
      </c>
      <c r="E2660" s="2">
        <f>IFERROR(__xludf.DUMMYFUNCTION("""COMPUTED_VALUE"""),1280.83)</f>
        <v>1280.83</v>
      </c>
      <c r="F2660" s="2">
        <f>IFERROR(__xludf.DUMMYFUNCTION("""COMPUTED_VALUE"""),1289457.0)</f>
        <v>1289457</v>
      </c>
    </row>
    <row r="2661">
      <c r="A2661" s="3">
        <f>IFERROR(__xludf.DUMMYFUNCTION("""COMPUTED_VALUE"""),42165.64583333333)</f>
        <v>42165.64583</v>
      </c>
      <c r="B2661" s="2">
        <f>IFERROR(__xludf.DUMMYFUNCTION("""COMPUTED_VALUE"""),1283.0)</f>
        <v>1283</v>
      </c>
      <c r="C2661" s="2">
        <f>IFERROR(__xludf.DUMMYFUNCTION("""COMPUTED_VALUE"""),1305.0)</f>
        <v>1305</v>
      </c>
      <c r="D2661" s="2">
        <f>IFERROR(__xludf.DUMMYFUNCTION("""COMPUTED_VALUE"""),1281.9)</f>
        <v>1281.9</v>
      </c>
      <c r="E2661" s="2">
        <f>IFERROR(__xludf.DUMMYFUNCTION("""COMPUTED_VALUE"""),1300.38)</f>
        <v>1300.38</v>
      </c>
      <c r="F2661" s="2">
        <f>IFERROR(__xludf.DUMMYFUNCTION("""COMPUTED_VALUE"""),1381675.0)</f>
        <v>1381675</v>
      </c>
    </row>
    <row r="2662">
      <c r="A2662" s="3">
        <f>IFERROR(__xludf.DUMMYFUNCTION("""COMPUTED_VALUE"""),42166.64583333333)</f>
        <v>42166.64583</v>
      </c>
      <c r="B2662" s="2">
        <f>IFERROR(__xludf.DUMMYFUNCTION("""COMPUTED_VALUE"""),1302.75)</f>
        <v>1302.75</v>
      </c>
      <c r="C2662" s="2">
        <f>IFERROR(__xludf.DUMMYFUNCTION("""COMPUTED_VALUE"""),1306.5)</f>
        <v>1306.5</v>
      </c>
      <c r="D2662" s="2">
        <f>IFERROR(__xludf.DUMMYFUNCTION("""COMPUTED_VALUE"""),1278.38)</f>
        <v>1278.38</v>
      </c>
      <c r="E2662" s="2">
        <f>IFERROR(__xludf.DUMMYFUNCTION("""COMPUTED_VALUE"""),1285.65)</f>
        <v>1285.65</v>
      </c>
      <c r="F2662" s="2">
        <f>IFERROR(__xludf.DUMMYFUNCTION("""COMPUTED_VALUE"""),923668.0)</f>
        <v>923668</v>
      </c>
    </row>
    <row r="2663">
      <c r="A2663" s="3">
        <f>IFERROR(__xludf.DUMMYFUNCTION("""COMPUTED_VALUE"""),42167.64583333333)</f>
        <v>42167.64583</v>
      </c>
      <c r="B2663" s="2">
        <f>IFERROR(__xludf.DUMMYFUNCTION("""COMPUTED_VALUE"""),1285.95)</f>
        <v>1285.95</v>
      </c>
      <c r="C2663" s="2">
        <f>IFERROR(__xludf.DUMMYFUNCTION("""COMPUTED_VALUE"""),1294.47)</f>
        <v>1294.47</v>
      </c>
      <c r="D2663" s="2">
        <f>IFERROR(__xludf.DUMMYFUNCTION("""COMPUTED_VALUE"""),1238.4)</f>
        <v>1238.4</v>
      </c>
      <c r="E2663" s="2">
        <f>IFERROR(__xludf.DUMMYFUNCTION("""COMPUTED_VALUE"""),1252.9)</f>
        <v>1252.9</v>
      </c>
      <c r="F2663" s="2">
        <f>IFERROR(__xludf.DUMMYFUNCTION("""COMPUTED_VALUE"""),1285728.0)</f>
        <v>1285728</v>
      </c>
    </row>
    <row r="2664">
      <c r="A2664" s="3">
        <f>IFERROR(__xludf.DUMMYFUNCTION("""COMPUTED_VALUE"""),42170.64583333333)</f>
        <v>42170.64583</v>
      </c>
      <c r="B2664" s="2">
        <f>IFERROR(__xludf.DUMMYFUNCTION("""COMPUTED_VALUE"""),1252.65)</f>
        <v>1252.65</v>
      </c>
      <c r="C2664" s="2">
        <f>IFERROR(__xludf.DUMMYFUNCTION("""COMPUTED_VALUE"""),1260.22)</f>
        <v>1260.22</v>
      </c>
      <c r="D2664" s="2">
        <f>IFERROR(__xludf.DUMMYFUNCTION("""COMPUTED_VALUE"""),1240.5)</f>
        <v>1240.5</v>
      </c>
      <c r="E2664" s="2">
        <f>IFERROR(__xludf.DUMMYFUNCTION("""COMPUTED_VALUE"""),1252.4)</f>
        <v>1252.4</v>
      </c>
      <c r="F2664" s="2">
        <f>IFERROR(__xludf.DUMMYFUNCTION("""COMPUTED_VALUE"""),1262588.0)</f>
        <v>1262588</v>
      </c>
    </row>
    <row r="2665">
      <c r="A2665" s="3">
        <f>IFERROR(__xludf.DUMMYFUNCTION("""COMPUTED_VALUE"""),42171.64583333333)</f>
        <v>42171.64583</v>
      </c>
      <c r="B2665" s="2">
        <f>IFERROR(__xludf.DUMMYFUNCTION("""COMPUTED_VALUE"""),1250.0)</f>
        <v>1250</v>
      </c>
      <c r="C2665" s="2">
        <f>IFERROR(__xludf.DUMMYFUNCTION("""COMPUTED_VALUE"""),1259.65)</f>
        <v>1259.65</v>
      </c>
      <c r="D2665" s="2">
        <f>IFERROR(__xludf.DUMMYFUNCTION("""COMPUTED_VALUE"""),1247.22)</f>
        <v>1247.22</v>
      </c>
      <c r="E2665" s="2">
        <f>IFERROR(__xludf.DUMMYFUNCTION("""COMPUTED_VALUE"""),1256.0)</f>
        <v>1256</v>
      </c>
      <c r="F2665" s="2">
        <f>IFERROR(__xludf.DUMMYFUNCTION("""COMPUTED_VALUE"""),633698.0)</f>
        <v>633698</v>
      </c>
    </row>
    <row r="2666">
      <c r="A2666" s="3">
        <f>IFERROR(__xludf.DUMMYFUNCTION("""COMPUTED_VALUE"""),42172.64583333333)</f>
        <v>42172.64583</v>
      </c>
      <c r="B2666" s="2">
        <f>IFERROR(__xludf.DUMMYFUNCTION("""COMPUTED_VALUE"""),1260.5)</f>
        <v>1260.5</v>
      </c>
      <c r="C2666" s="2">
        <f>IFERROR(__xludf.DUMMYFUNCTION("""COMPUTED_VALUE"""),1264.58)</f>
        <v>1264.58</v>
      </c>
      <c r="D2666" s="2">
        <f>IFERROR(__xludf.DUMMYFUNCTION("""COMPUTED_VALUE"""),1250.9)</f>
        <v>1250.9</v>
      </c>
      <c r="E2666" s="2">
        <f>IFERROR(__xludf.DUMMYFUNCTION("""COMPUTED_VALUE"""),1256.9)</f>
        <v>1256.9</v>
      </c>
      <c r="F2666" s="2">
        <f>IFERROR(__xludf.DUMMYFUNCTION("""COMPUTED_VALUE"""),987860.0)</f>
        <v>987860</v>
      </c>
    </row>
    <row r="2667">
      <c r="A2667" s="3">
        <f>IFERROR(__xludf.DUMMYFUNCTION("""COMPUTED_VALUE"""),42173.64583333333)</f>
        <v>42173.64583</v>
      </c>
      <c r="B2667" s="2">
        <f>IFERROR(__xludf.DUMMYFUNCTION("""COMPUTED_VALUE"""),1257.5)</f>
        <v>1257.5</v>
      </c>
      <c r="C2667" s="2">
        <f>IFERROR(__xludf.DUMMYFUNCTION("""COMPUTED_VALUE"""),1273.15)</f>
        <v>1273.15</v>
      </c>
      <c r="D2667" s="2">
        <f>IFERROR(__xludf.DUMMYFUNCTION("""COMPUTED_VALUE"""),1254.0)</f>
        <v>1254</v>
      </c>
      <c r="E2667" s="2">
        <f>IFERROR(__xludf.DUMMYFUNCTION("""COMPUTED_VALUE"""),1265.03)</f>
        <v>1265.03</v>
      </c>
      <c r="F2667" s="2">
        <f>IFERROR(__xludf.DUMMYFUNCTION("""COMPUTED_VALUE"""),1082523.0)</f>
        <v>1082523</v>
      </c>
    </row>
    <row r="2668">
      <c r="A2668" s="3">
        <f>IFERROR(__xludf.DUMMYFUNCTION("""COMPUTED_VALUE"""),42174.64583333333)</f>
        <v>42174.64583</v>
      </c>
      <c r="B2668" s="2">
        <f>IFERROR(__xludf.DUMMYFUNCTION("""COMPUTED_VALUE"""),1267.5)</f>
        <v>1267.5</v>
      </c>
      <c r="C2668" s="2">
        <f>IFERROR(__xludf.DUMMYFUNCTION("""COMPUTED_VALUE"""),1277.5)</f>
        <v>1277.5</v>
      </c>
      <c r="D2668" s="2">
        <f>IFERROR(__xludf.DUMMYFUNCTION("""COMPUTED_VALUE"""),1263.55)</f>
        <v>1263.55</v>
      </c>
      <c r="E2668" s="2">
        <f>IFERROR(__xludf.DUMMYFUNCTION("""COMPUTED_VALUE"""),1274.78)</f>
        <v>1274.78</v>
      </c>
      <c r="F2668" s="2">
        <f>IFERROR(__xludf.DUMMYFUNCTION("""COMPUTED_VALUE"""),999805.0)</f>
        <v>999805</v>
      </c>
    </row>
    <row r="2669">
      <c r="A2669" s="3">
        <f>IFERROR(__xludf.DUMMYFUNCTION("""COMPUTED_VALUE"""),42177.64583333333)</f>
        <v>42177.64583</v>
      </c>
      <c r="B2669" s="2">
        <f>IFERROR(__xludf.DUMMYFUNCTION("""COMPUTED_VALUE"""),1273.5)</f>
        <v>1273.5</v>
      </c>
      <c r="C2669" s="2">
        <f>IFERROR(__xludf.DUMMYFUNCTION("""COMPUTED_VALUE"""),1300.0)</f>
        <v>1300</v>
      </c>
      <c r="D2669" s="2">
        <f>IFERROR(__xludf.DUMMYFUNCTION("""COMPUTED_VALUE"""),1273.5)</f>
        <v>1273.5</v>
      </c>
      <c r="E2669" s="2">
        <f>IFERROR(__xludf.DUMMYFUNCTION("""COMPUTED_VALUE"""),1295.75)</f>
        <v>1295.75</v>
      </c>
      <c r="F2669" s="2">
        <f>IFERROR(__xludf.DUMMYFUNCTION("""COMPUTED_VALUE"""),551001.0)</f>
        <v>551001</v>
      </c>
    </row>
    <row r="2670">
      <c r="A2670" s="3">
        <f>IFERROR(__xludf.DUMMYFUNCTION("""COMPUTED_VALUE"""),42178.64583333333)</f>
        <v>42178.64583</v>
      </c>
      <c r="B2670" s="2">
        <f>IFERROR(__xludf.DUMMYFUNCTION("""COMPUTED_VALUE"""),1300.0)</f>
        <v>1300</v>
      </c>
      <c r="C2670" s="2">
        <f>IFERROR(__xludf.DUMMYFUNCTION("""COMPUTED_VALUE"""),1304.0)</f>
        <v>1304</v>
      </c>
      <c r="D2670" s="2">
        <f>IFERROR(__xludf.DUMMYFUNCTION("""COMPUTED_VALUE"""),1283.6)</f>
        <v>1283.6</v>
      </c>
      <c r="E2670" s="2">
        <f>IFERROR(__xludf.DUMMYFUNCTION("""COMPUTED_VALUE"""),1287.3)</f>
        <v>1287.3</v>
      </c>
      <c r="F2670" s="2">
        <f>IFERROR(__xludf.DUMMYFUNCTION("""COMPUTED_VALUE"""),449159.0)</f>
        <v>449159</v>
      </c>
    </row>
    <row r="2671">
      <c r="A2671" s="3">
        <f>IFERROR(__xludf.DUMMYFUNCTION("""COMPUTED_VALUE"""),42179.64583333333)</f>
        <v>42179.64583</v>
      </c>
      <c r="B2671" s="2">
        <f>IFERROR(__xludf.DUMMYFUNCTION("""COMPUTED_VALUE"""),1290.0)</f>
        <v>1290</v>
      </c>
      <c r="C2671" s="2">
        <f>IFERROR(__xludf.DUMMYFUNCTION("""COMPUTED_VALUE"""),1293.95)</f>
        <v>1293.95</v>
      </c>
      <c r="D2671" s="2">
        <f>IFERROR(__xludf.DUMMYFUNCTION("""COMPUTED_VALUE"""),1279.43)</f>
        <v>1279.43</v>
      </c>
      <c r="E2671" s="2">
        <f>IFERROR(__xludf.DUMMYFUNCTION("""COMPUTED_VALUE"""),1285.15)</f>
        <v>1285.15</v>
      </c>
      <c r="F2671" s="2">
        <f>IFERROR(__xludf.DUMMYFUNCTION("""COMPUTED_VALUE"""),585123.0)</f>
        <v>585123</v>
      </c>
    </row>
    <row r="2672">
      <c r="A2672" s="3">
        <f>IFERROR(__xludf.DUMMYFUNCTION("""COMPUTED_VALUE"""),42180.64583333333)</f>
        <v>42180.64583</v>
      </c>
      <c r="B2672" s="2">
        <f>IFERROR(__xludf.DUMMYFUNCTION("""COMPUTED_VALUE"""),1281.0)</f>
        <v>1281</v>
      </c>
      <c r="C2672" s="2">
        <f>IFERROR(__xludf.DUMMYFUNCTION("""COMPUTED_VALUE"""),1286.5)</f>
        <v>1286.5</v>
      </c>
      <c r="D2672" s="2">
        <f>IFERROR(__xludf.DUMMYFUNCTION("""COMPUTED_VALUE"""),1272.08)</f>
        <v>1272.08</v>
      </c>
      <c r="E2672" s="2">
        <f>IFERROR(__xludf.DUMMYFUNCTION("""COMPUTED_VALUE"""),1275.0)</f>
        <v>1275</v>
      </c>
      <c r="F2672" s="2">
        <f>IFERROR(__xludf.DUMMYFUNCTION("""COMPUTED_VALUE"""),965496.0)</f>
        <v>965496</v>
      </c>
    </row>
    <row r="2673">
      <c r="A2673" s="3">
        <f>IFERROR(__xludf.DUMMYFUNCTION("""COMPUTED_VALUE"""),42181.64583333333)</f>
        <v>42181.64583</v>
      </c>
      <c r="B2673" s="2">
        <f>IFERROR(__xludf.DUMMYFUNCTION("""COMPUTED_VALUE"""),1275.1)</f>
        <v>1275.1</v>
      </c>
      <c r="C2673" s="2">
        <f>IFERROR(__xludf.DUMMYFUNCTION("""COMPUTED_VALUE"""),1298.18)</f>
        <v>1298.18</v>
      </c>
      <c r="D2673" s="2">
        <f>IFERROR(__xludf.DUMMYFUNCTION("""COMPUTED_VALUE"""),1275.1)</f>
        <v>1275.1</v>
      </c>
      <c r="E2673" s="2">
        <f>IFERROR(__xludf.DUMMYFUNCTION("""COMPUTED_VALUE"""),1296.4)</f>
        <v>1296.4</v>
      </c>
      <c r="F2673" s="2">
        <f>IFERROR(__xludf.DUMMYFUNCTION("""COMPUTED_VALUE"""),645051.0)</f>
        <v>645051</v>
      </c>
    </row>
    <row r="2674">
      <c r="A2674" s="3">
        <f>IFERROR(__xludf.DUMMYFUNCTION("""COMPUTED_VALUE"""),42184.64583333333)</f>
        <v>42184.64583</v>
      </c>
      <c r="B2674" s="2">
        <f>IFERROR(__xludf.DUMMYFUNCTION("""COMPUTED_VALUE"""),1286.0)</f>
        <v>1286</v>
      </c>
      <c r="C2674" s="2">
        <f>IFERROR(__xludf.DUMMYFUNCTION("""COMPUTED_VALUE"""),1302.0)</f>
        <v>1302</v>
      </c>
      <c r="D2674" s="2">
        <f>IFERROR(__xludf.DUMMYFUNCTION("""COMPUTED_VALUE"""),1271.7)</f>
        <v>1271.7</v>
      </c>
      <c r="E2674" s="2">
        <f>IFERROR(__xludf.DUMMYFUNCTION("""COMPUTED_VALUE"""),1296.45)</f>
        <v>1296.45</v>
      </c>
      <c r="F2674" s="2">
        <f>IFERROR(__xludf.DUMMYFUNCTION("""COMPUTED_VALUE"""),686378.0)</f>
        <v>686378</v>
      </c>
    </row>
    <row r="2675">
      <c r="A2675" s="3">
        <f>IFERROR(__xludf.DUMMYFUNCTION("""COMPUTED_VALUE"""),42185.64583333333)</f>
        <v>42185.64583</v>
      </c>
      <c r="B2675" s="2">
        <f>IFERROR(__xludf.DUMMYFUNCTION("""COMPUTED_VALUE"""),1292.5)</f>
        <v>1292.5</v>
      </c>
      <c r="C2675" s="2">
        <f>IFERROR(__xludf.DUMMYFUNCTION("""COMPUTED_VALUE"""),1294.38)</f>
        <v>1294.38</v>
      </c>
      <c r="D2675" s="2">
        <f>IFERROR(__xludf.DUMMYFUNCTION("""COMPUTED_VALUE"""),1270.0)</f>
        <v>1270</v>
      </c>
      <c r="E2675" s="2">
        <f>IFERROR(__xludf.DUMMYFUNCTION("""COMPUTED_VALUE"""),1275.47)</f>
        <v>1275.47</v>
      </c>
      <c r="F2675" s="2">
        <f>IFERROR(__xludf.DUMMYFUNCTION("""COMPUTED_VALUE"""),774976.0)</f>
        <v>774976</v>
      </c>
    </row>
    <row r="2676">
      <c r="A2676" s="3">
        <f>IFERROR(__xludf.DUMMYFUNCTION("""COMPUTED_VALUE"""),42186.64583333333)</f>
        <v>42186.64583</v>
      </c>
      <c r="B2676" s="2">
        <f>IFERROR(__xludf.DUMMYFUNCTION("""COMPUTED_VALUE"""),1281.95)</f>
        <v>1281.95</v>
      </c>
      <c r="C2676" s="2">
        <f>IFERROR(__xludf.DUMMYFUNCTION("""COMPUTED_VALUE"""),1304.0)</f>
        <v>1304</v>
      </c>
      <c r="D2676" s="2">
        <f>IFERROR(__xludf.DUMMYFUNCTION("""COMPUTED_VALUE"""),1278.38)</f>
        <v>1278.38</v>
      </c>
      <c r="E2676" s="2">
        <f>IFERROR(__xludf.DUMMYFUNCTION("""COMPUTED_VALUE"""),1296.55)</f>
        <v>1296.55</v>
      </c>
      <c r="F2676" s="2">
        <f>IFERROR(__xludf.DUMMYFUNCTION("""COMPUTED_VALUE"""),639854.0)</f>
        <v>639854</v>
      </c>
    </row>
    <row r="2677">
      <c r="A2677" s="3">
        <f>IFERROR(__xludf.DUMMYFUNCTION("""COMPUTED_VALUE"""),42187.64583333333)</f>
        <v>42187.64583</v>
      </c>
      <c r="B2677" s="2">
        <f>IFERROR(__xludf.DUMMYFUNCTION("""COMPUTED_VALUE"""),1300.0)</f>
        <v>1300</v>
      </c>
      <c r="C2677" s="2">
        <f>IFERROR(__xludf.DUMMYFUNCTION("""COMPUTED_VALUE"""),1301.47)</f>
        <v>1301.47</v>
      </c>
      <c r="D2677" s="2">
        <f>IFERROR(__xludf.DUMMYFUNCTION("""COMPUTED_VALUE"""),1285.53)</f>
        <v>1285.53</v>
      </c>
      <c r="E2677" s="2">
        <f>IFERROR(__xludf.DUMMYFUNCTION("""COMPUTED_VALUE"""),1288.88)</f>
        <v>1288.88</v>
      </c>
      <c r="F2677" s="2">
        <f>IFERROR(__xludf.DUMMYFUNCTION("""COMPUTED_VALUE"""),722940.0)</f>
        <v>722940</v>
      </c>
    </row>
    <row r="2678">
      <c r="A2678" s="3">
        <f>IFERROR(__xludf.DUMMYFUNCTION("""COMPUTED_VALUE"""),42188.64583333333)</f>
        <v>42188.64583</v>
      </c>
      <c r="B2678" s="2">
        <f>IFERROR(__xludf.DUMMYFUNCTION("""COMPUTED_VALUE"""),1286.53)</f>
        <v>1286.53</v>
      </c>
      <c r="C2678" s="2">
        <f>IFERROR(__xludf.DUMMYFUNCTION("""COMPUTED_VALUE"""),1305.0)</f>
        <v>1305</v>
      </c>
      <c r="D2678" s="2">
        <f>IFERROR(__xludf.DUMMYFUNCTION("""COMPUTED_VALUE"""),1285.0)</f>
        <v>1285</v>
      </c>
      <c r="E2678" s="2">
        <f>IFERROR(__xludf.DUMMYFUNCTION("""COMPUTED_VALUE"""),1301.95)</f>
        <v>1301.95</v>
      </c>
      <c r="F2678" s="2">
        <f>IFERROR(__xludf.DUMMYFUNCTION("""COMPUTED_VALUE"""),481735.0)</f>
        <v>481735</v>
      </c>
    </row>
    <row r="2679">
      <c r="A2679" s="3">
        <f>IFERROR(__xludf.DUMMYFUNCTION("""COMPUTED_VALUE"""),42191.64583333333)</f>
        <v>42191.64583</v>
      </c>
      <c r="B2679" s="2">
        <f>IFERROR(__xludf.DUMMYFUNCTION("""COMPUTED_VALUE"""),1290.15)</f>
        <v>1290.15</v>
      </c>
      <c r="C2679" s="2">
        <f>IFERROR(__xludf.DUMMYFUNCTION("""COMPUTED_VALUE"""),1322.5)</f>
        <v>1322.5</v>
      </c>
      <c r="D2679" s="2">
        <f>IFERROR(__xludf.DUMMYFUNCTION("""COMPUTED_VALUE"""),1290.15)</f>
        <v>1290.15</v>
      </c>
      <c r="E2679" s="2">
        <f>IFERROR(__xludf.DUMMYFUNCTION("""COMPUTED_VALUE"""),1316.65)</f>
        <v>1316.65</v>
      </c>
      <c r="F2679" s="2">
        <f>IFERROR(__xludf.DUMMYFUNCTION("""COMPUTED_VALUE"""),591169.0)</f>
        <v>591169</v>
      </c>
    </row>
    <row r="2680">
      <c r="A2680" s="3">
        <f>IFERROR(__xludf.DUMMYFUNCTION("""COMPUTED_VALUE"""),42192.64583333333)</f>
        <v>42192.64583</v>
      </c>
      <c r="B2680" s="2">
        <f>IFERROR(__xludf.DUMMYFUNCTION("""COMPUTED_VALUE"""),1316.38)</f>
        <v>1316.38</v>
      </c>
      <c r="C2680" s="2">
        <f>IFERROR(__xludf.DUMMYFUNCTION("""COMPUTED_VALUE"""),1323.45)</f>
        <v>1323.45</v>
      </c>
      <c r="D2680" s="2">
        <f>IFERROR(__xludf.DUMMYFUNCTION("""COMPUTED_VALUE"""),1301.5)</f>
        <v>1301.5</v>
      </c>
      <c r="E2680" s="2">
        <f>IFERROR(__xludf.DUMMYFUNCTION("""COMPUTED_VALUE"""),1308.13)</f>
        <v>1308.13</v>
      </c>
      <c r="F2680" s="2">
        <f>IFERROR(__xludf.DUMMYFUNCTION("""COMPUTED_VALUE"""),821418.0)</f>
        <v>821418</v>
      </c>
    </row>
    <row r="2681">
      <c r="A2681" s="3">
        <f>IFERROR(__xludf.DUMMYFUNCTION("""COMPUTED_VALUE"""),42193.64583333333)</f>
        <v>42193.64583</v>
      </c>
      <c r="B2681" s="2">
        <f>IFERROR(__xludf.DUMMYFUNCTION("""COMPUTED_VALUE"""),1298.97)</f>
        <v>1298.97</v>
      </c>
      <c r="C2681" s="2">
        <f>IFERROR(__xludf.DUMMYFUNCTION("""COMPUTED_VALUE"""),1310.85)</f>
        <v>1310.85</v>
      </c>
      <c r="D2681" s="2">
        <f>IFERROR(__xludf.DUMMYFUNCTION("""COMPUTED_VALUE"""),1290.25)</f>
        <v>1290.25</v>
      </c>
      <c r="E2681" s="2">
        <f>IFERROR(__xludf.DUMMYFUNCTION("""COMPUTED_VALUE"""),1297.55)</f>
        <v>1297.55</v>
      </c>
      <c r="F2681" s="2">
        <f>IFERROR(__xludf.DUMMYFUNCTION("""COMPUTED_VALUE"""),1333925.0)</f>
        <v>1333925</v>
      </c>
    </row>
    <row r="2682">
      <c r="A2682" s="3">
        <f>IFERROR(__xludf.DUMMYFUNCTION("""COMPUTED_VALUE"""),42194.64583333333)</f>
        <v>42194.64583</v>
      </c>
      <c r="B2682" s="2">
        <f>IFERROR(__xludf.DUMMYFUNCTION("""COMPUTED_VALUE"""),1297.5)</f>
        <v>1297.5</v>
      </c>
      <c r="C2682" s="2">
        <f>IFERROR(__xludf.DUMMYFUNCTION("""COMPUTED_VALUE"""),1299.13)</f>
        <v>1299.13</v>
      </c>
      <c r="D2682" s="2">
        <f>IFERROR(__xludf.DUMMYFUNCTION("""COMPUTED_VALUE"""),1253.33)</f>
        <v>1253.33</v>
      </c>
      <c r="E2682" s="2">
        <f>IFERROR(__xludf.DUMMYFUNCTION("""COMPUTED_VALUE"""),1261.25)</f>
        <v>1261.25</v>
      </c>
      <c r="F2682" s="2">
        <f>IFERROR(__xludf.DUMMYFUNCTION("""COMPUTED_VALUE"""),1967061.0)</f>
        <v>1967061</v>
      </c>
    </row>
    <row r="2683">
      <c r="A2683" s="3">
        <f>IFERROR(__xludf.DUMMYFUNCTION("""COMPUTED_VALUE"""),42195.64583333333)</f>
        <v>42195.64583</v>
      </c>
      <c r="B2683" s="2">
        <f>IFERROR(__xludf.DUMMYFUNCTION("""COMPUTED_VALUE"""),1279.5)</f>
        <v>1279.5</v>
      </c>
      <c r="C2683" s="2">
        <f>IFERROR(__xludf.DUMMYFUNCTION("""COMPUTED_VALUE"""),1279.5)</f>
        <v>1279.5</v>
      </c>
      <c r="D2683" s="2">
        <f>IFERROR(__xludf.DUMMYFUNCTION("""COMPUTED_VALUE"""),1227.5)</f>
        <v>1227.5</v>
      </c>
      <c r="E2683" s="2">
        <f>IFERROR(__xludf.DUMMYFUNCTION("""COMPUTED_VALUE"""),1237.18)</f>
        <v>1237.18</v>
      </c>
      <c r="F2683" s="2">
        <f>IFERROR(__xludf.DUMMYFUNCTION("""COMPUTED_VALUE"""),4131827.0)</f>
        <v>4131827</v>
      </c>
    </row>
    <row r="2684">
      <c r="A2684" s="3">
        <f>IFERROR(__xludf.DUMMYFUNCTION("""COMPUTED_VALUE"""),42198.64583333333)</f>
        <v>42198.64583</v>
      </c>
      <c r="B2684" s="2">
        <f>IFERROR(__xludf.DUMMYFUNCTION("""COMPUTED_VALUE"""),1237.7)</f>
        <v>1237.7</v>
      </c>
      <c r="C2684" s="2">
        <f>IFERROR(__xludf.DUMMYFUNCTION("""COMPUTED_VALUE"""),1259.3)</f>
        <v>1259.3</v>
      </c>
      <c r="D2684" s="2">
        <f>IFERROR(__xludf.DUMMYFUNCTION("""COMPUTED_VALUE"""),1237.7)</f>
        <v>1237.7</v>
      </c>
      <c r="E2684" s="2">
        <f>IFERROR(__xludf.DUMMYFUNCTION("""COMPUTED_VALUE"""),1254.78)</f>
        <v>1254.78</v>
      </c>
      <c r="F2684" s="2">
        <f>IFERROR(__xludf.DUMMYFUNCTION("""COMPUTED_VALUE"""),1140154.0)</f>
        <v>1140154</v>
      </c>
    </row>
    <row r="2685">
      <c r="A2685" s="3">
        <f>IFERROR(__xludf.DUMMYFUNCTION("""COMPUTED_VALUE"""),42199.64583333333)</f>
        <v>42199.64583</v>
      </c>
      <c r="B2685" s="2">
        <f>IFERROR(__xludf.DUMMYFUNCTION("""COMPUTED_VALUE"""),1255.5)</f>
        <v>1255.5</v>
      </c>
      <c r="C2685" s="2">
        <f>IFERROR(__xludf.DUMMYFUNCTION("""COMPUTED_VALUE"""),1257.5)</f>
        <v>1257.5</v>
      </c>
      <c r="D2685" s="2">
        <f>IFERROR(__xludf.DUMMYFUNCTION("""COMPUTED_VALUE"""),1245.0)</f>
        <v>1245</v>
      </c>
      <c r="E2685" s="2">
        <f>IFERROR(__xludf.DUMMYFUNCTION("""COMPUTED_VALUE"""),1249.75)</f>
        <v>1249.75</v>
      </c>
      <c r="F2685" s="2">
        <f>IFERROR(__xludf.DUMMYFUNCTION("""COMPUTED_VALUE"""),851637.0)</f>
        <v>851637</v>
      </c>
    </row>
    <row r="2686">
      <c r="A2686" s="3">
        <f>IFERROR(__xludf.DUMMYFUNCTION("""COMPUTED_VALUE"""),42200.64583333333)</f>
        <v>42200.64583</v>
      </c>
      <c r="B2686" s="2">
        <f>IFERROR(__xludf.DUMMYFUNCTION("""COMPUTED_VALUE"""),1250.5)</f>
        <v>1250.5</v>
      </c>
      <c r="C2686" s="2">
        <f>IFERROR(__xludf.DUMMYFUNCTION("""COMPUTED_VALUE"""),1274.97)</f>
        <v>1274.97</v>
      </c>
      <c r="D2686" s="2">
        <f>IFERROR(__xludf.DUMMYFUNCTION("""COMPUTED_VALUE"""),1250.0)</f>
        <v>1250</v>
      </c>
      <c r="E2686" s="2">
        <f>IFERROR(__xludf.DUMMYFUNCTION("""COMPUTED_VALUE"""),1272.88)</f>
        <v>1272.88</v>
      </c>
      <c r="F2686" s="2">
        <f>IFERROR(__xludf.DUMMYFUNCTION("""COMPUTED_VALUE"""),1001830.0)</f>
        <v>1001830</v>
      </c>
    </row>
    <row r="2687">
      <c r="A2687" s="3">
        <f>IFERROR(__xludf.DUMMYFUNCTION("""COMPUTED_VALUE"""),42201.64583333333)</f>
        <v>42201.64583</v>
      </c>
      <c r="B2687" s="2">
        <f>IFERROR(__xludf.DUMMYFUNCTION("""COMPUTED_VALUE"""),1271.85)</f>
        <v>1271.85</v>
      </c>
      <c r="C2687" s="2">
        <f>IFERROR(__xludf.DUMMYFUNCTION("""COMPUTED_VALUE"""),1279.43)</f>
        <v>1279.43</v>
      </c>
      <c r="D2687" s="2">
        <f>IFERROR(__xludf.DUMMYFUNCTION("""COMPUTED_VALUE"""),1263.3)</f>
        <v>1263.3</v>
      </c>
      <c r="E2687" s="2">
        <f>IFERROR(__xludf.DUMMYFUNCTION("""COMPUTED_VALUE"""),1270.1)</f>
        <v>1270.1</v>
      </c>
      <c r="F2687" s="2">
        <f>IFERROR(__xludf.DUMMYFUNCTION("""COMPUTED_VALUE"""),728304.0)</f>
        <v>728304</v>
      </c>
    </row>
    <row r="2688">
      <c r="A2688" s="3">
        <f>IFERROR(__xludf.DUMMYFUNCTION("""COMPUTED_VALUE"""),42202.64583333333)</f>
        <v>42202.64583</v>
      </c>
      <c r="B2688" s="2">
        <f>IFERROR(__xludf.DUMMYFUNCTION("""COMPUTED_VALUE"""),1273.4)</f>
        <v>1273.4</v>
      </c>
      <c r="C2688" s="2">
        <f>IFERROR(__xludf.DUMMYFUNCTION("""COMPUTED_VALUE"""),1285.05)</f>
        <v>1285.05</v>
      </c>
      <c r="D2688" s="2">
        <f>IFERROR(__xludf.DUMMYFUNCTION("""COMPUTED_VALUE"""),1271.65)</f>
        <v>1271.65</v>
      </c>
      <c r="E2688" s="2">
        <f>IFERROR(__xludf.DUMMYFUNCTION("""COMPUTED_VALUE"""),1282.2)</f>
        <v>1282.2</v>
      </c>
      <c r="F2688" s="2">
        <f>IFERROR(__xludf.DUMMYFUNCTION("""COMPUTED_VALUE"""),535263.0)</f>
        <v>535263</v>
      </c>
    </row>
    <row r="2689">
      <c r="A2689" s="3">
        <f>IFERROR(__xludf.DUMMYFUNCTION("""COMPUTED_VALUE"""),42205.64583333333)</f>
        <v>42205.64583</v>
      </c>
      <c r="B2689" s="2">
        <f>IFERROR(__xludf.DUMMYFUNCTION("""COMPUTED_VALUE"""),1282.0)</f>
        <v>1282</v>
      </c>
      <c r="C2689" s="2">
        <f>IFERROR(__xludf.DUMMYFUNCTION("""COMPUTED_VALUE"""),1291.95)</f>
        <v>1291.95</v>
      </c>
      <c r="D2689" s="2">
        <f>IFERROR(__xludf.DUMMYFUNCTION("""COMPUTED_VALUE"""),1275.95)</f>
        <v>1275.95</v>
      </c>
      <c r="E2689" s="2">
        <f>IFERROR(__xludf.DUMMYFUNCTION("""COMPUTED_VALUE"""),1289.58)</f>
        <v>1289.58</v>
      </c>
      <c r="F2689" s="2">
        <f>IFERROR(__xludf.DUMMYFUNCTION("""COMPUTED_VALUE"""),426893.0)</f>
        <v>426893</v>
      </c>
    </row>
    <row r="2690">
      <c r="A2690" s="3">
        <f>IFERROR(__xludf.DUMMYFUNCTION("""COMPUTED_VALUE"""),42206.64583333333)</f>
        <v>42206.64583</v>
      </c>
      <c r="B2690" s="2">
        <f>IFERROR(__xludf.DUMMYFUNCTION("""COMPUTED_VALUE"""),1288.0)</f>
        <v>1288</v>
      </c>
      <c r="C2690" s="2">
        <f>IFERROR(__xludf.DUMMYFUNCTION("""COMPUTED_VALUE"""),1300.18)</f>
        <v>1300.18</v>
      </c>
      <c r="D2690" s="2">
        <f>IFERROR(__xludf.DUMMYFUNCTION("""COMPUTED_VALUE"""),1277.55)</f>
        <v>1277.55</v>
      </c>
      <c r="E2690" s="2">
        <f>IFERROR(__xludf.DUMMYFUNCTION("""COMPUTED_VALUE"""),1280.7)</f>
        <v>1280.7</v>
      </c>
      <c r="F2690" s="2">
        <f>IFERROR(__xludf.DUMMYFUNCTION("""COMPUTED_VALUE"""),637250.0)</f>
        <v>637250</v>
      </c>
    </row>
    <row r="2691">
      <c r="A2691" s="3">
        <f>IFERROR(__xludf.DUMMYFUNCTION("""COMPUTED_VALUE"""),42207.64583333333)</f>
        <v>42207.64583</v>
      </c>
      <c r="B2691" s="2">
        <f>IFERROR(__xludf.DUMMYFUNCTION("""COMPUTED_VALUE"""),1280.5)</f>
        <v>1280.5</v>
      </c>
      <c r="C2691" s="2">
        <f>IFERROR(__xludf.DUMMYFUNCTION("""COMPUTED_VALUE"""),1284.5)</f>
        <v>1284.5</v>
      </c>
      <c r="D2691" s="2">
        <f>IFERROR(__xludf.DUMMYFUNCTION("""COMPUTED_VALUE"""),1260.53)</f>
        <v>1260.53</v>
      </c>
      <c r="E2691" s="2">
        <f>IFERROR(__xludf.DUMMYFUNCTION("""COMPUTED_VALUE"""),1264.03)</f>
        <v>1264.03</v>
      </c>
      <c r="F2691" s="2">
        <f>IFERROR(__xludf.DUMMYFUNCTION("""COMPUTED_VALUE"""),660314.0)</f>
        <v>660314</v>
      </c>
    </row>
    <row r="2692">
      <c r="A2692" s="3">
        <f>IFERROR(__xludf.DUMMYFUNCTION("""COMPUTED_VALUE"""),42208.64583333333)</f>
        <v>42208.64583</v>
      </c>
      <c r="B2692" s="2">
        <f>IFERROR(__xludf.DUMMYFUNCTION("""COMPUTED_VALUE"""),1258.75)</f>
        <v>1258.75</v>
      </c>
      <c r="C2692" s="2">
        <f>IFERROR(__xludf.DUMMYFUNCTION("""COMPUTED_VALUE"""),1268.93)</f>
        <v>1268.93</v>
      </c>
      <c r="D2692" s="2">
        <f>IFERROR(__xludf.DUMMYFUNCTION("""COMPUTED_VALUE"""),1241.5)</f>
        <v>1241.5</v>
      </c>
      <c r="E2692" s="2">
        <f>IFERROR(__xludf.DUMMYFUNCTION("""COMPUTED_VALUE"""),1244.3)</f>
        <v>1244.3</v>
      </c>
      <c r="F2692" s="2">
        <f>IFERROR(__xludf.DUMMYFUNCTION("""COMPUTED_VALUE"""),748390.0)</f>
        <v>748390</v>
      </c>
    </row>
    <row r="2693">
      <c r="A2693" s="3">
        <f>IFERROR(__xludf.DUMMYFUNCTION("""COMPUTED_VALUE"""),42209.64583333333)</f>
        <v>42209.64583</v>
      </c>
      <c r="B2693" s="2">
        <f>IFERROR(__xludf.DUMMYFUNCTION("""COMPUTED_VALUE"""),1248.75)</f>
        <v>1248.75</v>
      </c>
      <c r="C2693" s="2">
        <f>IFERROR(__xludf.DUMMYFUNCTION("""COMPUTED_VALUE"""),1258.25)</f>
        <v>1258.25</v>
      </c>
      <c r="D2693" s="2">
        <f>IFERROR(__xludf.DUMMYFUNCTION("""COMPUTED_VALUE"""),1246.05)</f>
        <v>1246.05</v>
      </c>
      <c r="E2693" s="2">
        <f>IFERROR(__xludf.DUMMYFUNCTION("""COMPUTED_VALUE"""),1252.58)</f>
        <v>1252.58</v>
      </c>
      <c r="F2693" s="2">
        <f>IFERROR(__xludf.DUMMYFUNCTION("""COMPUTED_VALUE"""),787486.0)</f>
        <v>787486</v>
      </c>
    </row>
    <row r="2694">
      <c r="A2694" s="3">
        <f>IFERROR(__xludf.DUMMYFUNCTION("""COMPUTED_VALUE"""),42212.64583333333)</f>
        <v>42212.64583</v>
      </c>
      <c r="B2694" s="2">
        <f>IFERROR(__xludf.DUMMYFUNCTION("""COMPUTED_VALUE"""),1244.0)</f>
        <v>1244</v>
      </c>
      <c r="C2694" s="2">
        <f>IFERROR(__xludf.DUMMYFUNCTION("""COMPUTED_VALUE"""),1252.5)</f>
        <v>1252.5</v>
      </c>
      <c r="D2694" s="2">
        <f>IFERROR(__xludf.DUMMYFUNCTION("""COMPUTED_VALUE"""),1240.58)</f>
        <v>1240.58</v>
      </c>
      <c r="E2694" s="2">
        <f>IFERROR(__xludf.DUMMYFUNCTION("""COMPUTED_VALUE"""),1248.53)</f>
        <v>1248.53</v>
      </c>
      <c r="F2694" s="2">
        <f>IFERROR(__xludf.DUMMYFUNCTION("""COMPUTED_VALUE"""),1001869.0)</f>
        <v>1001869</v>
      </c>
    </row>
    <row r="2695">
      <c r="A2695" s="3">
        <f>IFERROR(__xludf.DUMMYFUNCTION("""COMPUTED_VALUE"""),42213.64583333333)</f>
        <v>42213.64583</v>
      </c>
      <c r="B2695" s="2">
        <f>IFERROR(__xludf.DUMMYFUNCTION("""COMPUTED_VALUE"""),1249.75)</f>
        <v>1249.75</v>
      </c>
      <c r="C2695" s="2">
        <f>IFERROR(__xludf.DUMMYFUNCTION("""COMPUTED_VALUE"""),1259.5)</f>
        <v>1259.5</v>
      </c>
      <c r="D2695" s="2">
        <f>IFERROR(__xludf.DUMMYFUNCTION("""COMPUTED_VALUE"""),1246.08)</f>
        <v>1246.08</v>
      </c>
      <c r="E2695" s="2">
        <f>IFERROR(__xludf.DUMMYFUNCTION("""COMPUTED_VALUE"""),1251.03)</f>
        <v>1251.03</v>
      </c>
      <c r="F2695" s="2">
        <f>IFERROR(__xludf.DUMMYFUNCTION("""COMPUTED_VALUE"""),945594.0)</f>
        <v>945594</v>
      </c>
    </row>
    <row r="2696">
      <c r="A2696" s="3">
        <f>IFERROR(__xludf.DUMMYFUNCTION("""COMPUTED_VALUE"""),42214.64583333333)</f>
        <v>42214.64583</v>
      </c>
      <c r="B2696" s="2">
        <f>IFERROR(__xludf.DUMMYFUNCTION("""COMPUTED_VALUE"""),1255.5)</f>
        <v>1255.5</v>
      </c>
      <c r="C2696" s="2">
        <f>IFERROR(__xludf.DUMMYFUNCTION("""COMPUTED_VALUE"""),1257.53)</f>
        <v>1257.53</v>
      </c>
      <c r="D2696" s="2">
        <f>IFERROR(__xludf.DUMMYFUNCTION("""COMPUTED_VALUE"""),1241.75)</f>
        <v>1241.75</v>
      </c>
      <c r="E2696" s="2">
        <f>IFERROR(__xludf.DUMMYFUNCTION("""COMPUTED_VALUE"""),1253.38)</f>
        <v>1253.38</v>
      </c>
      <c r="F2696" s="2">
        <f>IFERROR(__xludf.DUMMYFUNCTION("""COMPUTED_VALUE"""),1206659.0)</f>
        <v>1206659</v>
      </c>
    </row>
    <row r="2697">
      <c r="A2697" s="3">
        <f>IFERROR(__xludf.DUMMYFUNCTION("""COMPUTED_VALUE"""),42215.64583333333)</f>
        <v>42215.64583</v>
      </c>
      <c r="B2697" s="2">
        <f>IFERROR(__xludf.DUMMYFUNCTION("""COMPUTED_VALUE"""),1258.03)</f>
        <v>1258.03</v>
      </c>
      <c r="C2697" s="2">
        <f>IFERROR(__xludf.DUMMYFUNCTION("""COMPUTED_VALUE"""),1258.4)</f>
        <v>1258.4</v>
      </c>
      <c r="D2697" s="2">
        <f>IFERROR(__xludf.DUMMYFUNCTION("""COMPUTED_VALUE"""),1236.4)</f>
        <v>1236.4</v>
      </c>
      <c r="E2697" s="2">
        <f>IFERROR(__xludf.DUMMYFUNCTION("""COMPUTED_VALUE"""),1240.33)</f>
        <v>1240.33</v>
      </c>
      <c r="F2697" s="2">
        <f>IFERROR(__xludf.DUMMYFUNCTION("""COMPUTED_VALUE"""),1385287.0)</f>
        <v>1385287</v>
      </c>
    </row>
    <row r="2698">
      <c r="A2698" s="3">
        <f>IFERROR(__xludf.DUMMYFUNCTION("""COMPUTED_VALUE"""),42216.64583333333)</f>
        <v>42216.64583</v>
      </c>
      <c r="B2698" s="2">
        <f>IFERROR(__xludf.DUMMYFUNCTION("""COMPUTED_VALUE"""),1244.95)</f>
        <v>1244.95</v>
      </c>
      <c r="C2698" s="2">
        <f>IFERROR(__xludf.DUMMYFUNCTION("""COMPUTED_VALUE"""),1259.5)</f>
        <v>1259.5</v>
      </c>
      <c r="D2698" s="2">
        <f>IFERROR(__xludf.DUMMYFUNCTION("""COMPUTED_VALUE"""),1243.5)</f>
        <v>1243.5</v>
      </c>
      <c r="E2698" s="2">
        <f>IFERROR(__xludf.DUMMYFUNCTION("""COMPUTED_VALUE"""),1255.38)</f>
        <v>1255.38</v>
      </c>
      <c r="F2698" s="2">
        <f>IFERROR(__xludf.DUMMYFUNCTION("""COMPUTED_VALUE"""),981888.0)</f>
        <v>981888</v>
      </c>
    </row>
    <row r="2699">
      <c r="A2699" s="3">
        <f>IFERROR(__xludf.DUMMYFUNCTION("""COMPUTED_VALUE"""),42219.64583333333)</f>
        <v>42219.64583</v>
      </c>
      <c r="B2699" s="2">
        <f>IFERROR(__xludf.DUMMYFUNCTION("""COMPUTED_VALUE"""),1251.7)</f>
        <v>1251.7</v>
      </c>
      <c r="C2699" s="2">
        <f>IFERROR(__xludf.DUMMYFUNCTION("""COMPUTED_VALUE"""),1262.5)</f>
        <v>1262.5</v>
      </c>
      <c r="D2699" s="2">
        <f>IFERROR(__xludf.DUMMYFUNCTION("""COMPUTED_VALUE"""),1250.45)</f>
        <v>1250.45</v>
      </c>
      <c r="E2699" s="2">
        <f>IFERROR(__xludf.DUMMYFUNCTION("""COMPUTED_VALUE"""),1254.8)</f>
        <v>1254.8</v>
      </c>
      <c r="F2699" s="2">
        <f>IFERROR(__xludf.DUMMYFUNCTION("""COMPUTED_VALUE"""),589662.0)</f>
        <v>589662</v>
      </c>
    </row>
    <row r="2700">
      <c r="A2700" s="3">
        <f>IFERROR(__xludf.DUMMYFUNCTION("""COMPUTED_VALUE"""),42220.64583333333)</f>
        <v>42220.64583</v>
      </c>
      <c r="B2700" s="2">
        <f>IFERROR(__xludf.DUMMYFUNCTION("""COMPUTED_VALUE"""),1255.2)</f>
        <v>1255.2</v>
      </c>
      <c r="C2700" s="2">
        <f>IFERROR(__xludf.DUMMYFUNCTION("""COMPUTED_VALUE"""),1261.5)</f>
        <v>1261.5</v>
      </c>
      <c r="D2700" s="2">
        <f>IFERROR(__xludf.DUMMYFUNCTION("""COMPUTED_VALUE"""),1243.0)</f>
        <v>1243</v>
      </c>
      <c r="E2700" s="2">
        <f>IFERROR(__xludf.DUMMYFUNCTION("""COMPUTED_VALUE"""),1254.45)</f>
        <v>1254.45</v>
      </c>
      <c r="F2700" s="2">
        <f>IFERROR(__xludf.DUMMYFUNCTION("""COMPUTED_VALUE"""),1171346.0)</f>
        <v>1171346</v>
      </c>
    </row>
    <row r="2701">
      <c r="A2701" s="3">
        <f>IFERROR(__xludf.DUMMYFUNCTION("""COMPUTED_VALUE"""),42221.64583333333)</f>
        <v>42221.64583</v>
      </c>
      <c r="B2701" s="2">
        <f>IFERROR(__xludf.DUMMYFUNCTION("""COMPUTED_VALUE"""),1260.0)</f>
        <v>1260</v>
      </c>
      <c r="C2701" s="2">
        <f>IFERROR(__xludf.DUMMYFUNCTION("""COMPUTED_VALUE"""),1275.0)</f>
        <v>1275</v>
      </c>
      <c r="D2701" s="2">
        <f>IFERROR(__xludf.DUMMYFUNCTION("""COMPUTED_VALUE"""),1255.5)</f>
        <v>1255.5</v>
      </c>
      <c r="E2701" s="2">
        <f>IFERROR(__xludf.DUMMYFUNCTION("""COMPUTED_VALUE"""),1273.58)</f>
        <v>1273.58</v>
      </c>
      <c r="F2701" s="2">
        <f>IFERROR(__xludf.DUMMYFUNCTION("""COMPUTED_VALUE"""),494497.0)</f>
        <v>494497</v>
      </c>
    </row>
    <row r="2702">
      <c r="A2702" s="3">
        <f>IFERROR(__xludf.DUMMYFUNCTION("""COMPUTED_VALUE"""),42222.64583333333)</f>
        <v>42222.64583</v>
      </c>
      <c r="B2702" s="2">
        <f>IFERROR(__xludf.DUMMYFUNCTION("""COMPUTED_VALUE"""),1282.5)</f>
        <v>1282.5</v>
      </c>
      <c r="C2702" s="2">
        <f>IFERROR(__xludf.DUMMYFUNCTION("""COMPUTED_VALUE"""),1291.5)</f>
        <v>1291.5</v>
      </c>
      <c r="D2702" s="2">
        <f>IFERROR(__xludf.DUMMYFUNCTION("""COMPUTED_VALUE"""),1275.05)</f>
        <v>1275.05</v>
      </c>
      <c r="E2702" s="2">
        <f>IFERROR(__xludf.DUMMYFUNCTION("""COMPUTED_VALUE"""),1286.65)</f>
        <v>1286.65</v>
      </c>
      <c r="F2702" s="2">
        <f>IFERROR(__xludf.DUMMYFUNCTION("""COMPUTED_VALUE"""),1105683.0)</f>
        <v>1105683</v>
      </c>
    </row>
    <row r="2703">
      <c r="A2703" s="3">
        <f>IFERROR(__xludf.DUMMYFUNCTION("""COMPUTED_VALUE"""),42223.64583333333)</f>
        <v>42223.64583</v>
      </c>
      <c r="B2703" s="2">
        <f>IFERROR(__xludf.DUMMYFUNCTION("""COMPUTED_VALUE"""),1286.5)</f>
        <v>1286.5</v>
      </c>
      <c r="C2703" s="2">
        <f>IFERROR(__xludf.DUMMYFUNCTION("""COMPUTED_VALUE"""),1286.5)</f>
        <v>1286.5</v>
      </c>
      <c r="D2703" s="2">
        <f>IFERROR(__xludf.DUMMYFUNCTION("""COMPUTED_VALUE"""),1273.5)</f>
        <v>1273.5</v>
      </c>
      <c r="E2703" s="2">
        <f>IFERROR(__xludf.DUMMYFUNCTION("""COMPUTED_VALUE"""),1276.03)</f>
        <v>1276.03</v>
      </c>
      <c r="F2703" s="2">
        <f>IFERROR(__xludf.DUMMYFUNCTION("""COMPUTED_VALUE"""),594253.0)</f>
        <v>594253</v>
      </c>
    </row>
    <row r="2704">
      <c r="A2704" s="3">
        <f>IFERROR(__xludf.DUMMYFUNCTION("""COMPUTED_VALUE"""),42226.64583333333)</f>
        <v>42226.64583</v>
      </c>
      <c r="B2704" s="2">
        <f>IFERROR(__xludf.DUMMYFUNCTION("""COMPUTED_VALUE"""),1286.0)</f>
        <v>1286</v>
      </c>
      <c r="C2704" s="2">
        <f>IFERROR(__xludf.DUMMYFUNCTION("""COMPUTED_VALUE"""),1294.5)</f>
        <v>1294.5</v>
      </c>
      <c r="D2704" s="2">
        <f>IFERROR(__xludf.DUMMYFUNCTION("""COMPUTED_VALUE"""),1278.3)</f>
        <v>1278.3</v>
      </c>
      <c r="E2704" s="2">
        <f>IFERROR(__xludf.DUMMYFUNCTION("""COMPUTED_VALUE"""),1286.05)</f>
        <v>1286.05</v>
      </c>
      <c r="F2704" s="2">
        <f>IFERROR(__xludf.DUMMYFUNCTION("""COMPUTED_VALUE"""),715591.0)</f>
        <v>715591</v>
      </c>
    </row>
    <row r="2705">
      <c r="A2705" s="3">
        <f>IFERROR(__xludf.DUMMYFUNCTION("""COMPUTED_VALUE"""),42227.64583333333)</f>
        <v>42227.64583</v>
      </c>
      <c r="B2705" s="2">
        <f>IFERROR(__xludf.DUMMYFUNCTION("""COMPUTED_VALUE"""),1289.0)</f>
        <v>1289</v>
      </c>
      <c r="C2705" s="2">
        <f>IFERROR(__xludf.DUMMYFUNCTION("""COMPUTED_VALUE"""),1305.0)</f>
        <v>1305</v>
      </c>
      <c r="D2705" s="2">
        <f>IFERROR(__xludf.DUMMYFUNCTION("""COMPUTED_VALUE"""),1271.05)</f>
        <v>1271.05</v>
      </c>
      <c r="E2705" s="2">
        <f>IFERROR(__xludf.DUMMYFUNCTION("""COMPUTED_VALUE"""),1302.1)</f>
        <v>1302.1</v>
      </c>
      <c r="F2705" s="2">
        <f>IFERROR(__xludf.DUMMYFUNCTION("""COMPUTED_VALUE"""),1100153.0)</f>
        <v>1100153</v>
      </c>
    </row>
    <row r="2706">
      <c r="A2706" s="3">
        <f>IFERROR(__xludf.DUMMYFUNCTION("""COMPUTED_VALUE"""),42228.64583333333)</f>
        <v>42228.64583</v>
      </c>
      <c r="B2706" s="2">
        <f>IFERROR(__xludf.DUMMYFUNCTION("""COMPUTED_VALUE"""),1301.55)</f>
        <v>1301.55</v>
      </c>
      <c r="C2706" s="2">
        <f>IFERROR(__xludf.DUMMYFUNCTION("""COMPUTED_VALUE"""),1301.55)</f>
        <v>1301.55</v>
      </c>
      <c r="D2706" s="2">
        <f>IFERROR(__xludf.DUMMYFUNCTION("""COMPUTED_VALUE"""),1300.4)</f>
        <v>1300.4</v>
      </c>
      <c r="E2706" s="2">
        <f>IFERROR(__xludf.DUMMYFUNCTION("""COMPUTED_VALUE"""),1300.4)</f>
        <v>1300.4</v>
      </c>
      <c r="F2706" s="2">
        <f>IFERROR(__xludf.DUMMYFUNCTION("""COMPUTED_VALUE"""),0.0)</f>
        <v>0</v>
      </c>
    </row>
    <row r="2707">
      <c r="A2707" s="3">
        <f>IFERROR(__xludf.DUMMYFUNCTION("""COMPUTED_VALUE"""),42229.64583333333)</f>
        <v>42229.64583</v>
      </c>
      <c r="B2707" s="2">
        <f>IFERROR(__xludf.DUMMYFUNCTION("""COMPUTED_VALUE"""),1335.0)</f>
        <v>1335</v>
      </c>
      <c r="C2707" s="2">
        <f>IFERROR(__xludf.DUMMYFUNCTION("""COMPUTED_VALUE"""),1342.0)</f>
        <v>1342</v>
      </c>
      <c r="D2707" s="2">
        <f>IFERROR(__xludf.DUMMYFUNCTION("""COMPUTED_VALUE"""),1278.0)</f>
        <v>1278</v>
      </c>
      <c r="E2707" s="2">
        <f>IFERROR(__xludf.DUMMYFUNCTION("""COMPUTED_VALUE"""),1317.8)</f>
        <v>1317.8</v>
      </c>
      <c r="F2707" s="2">
        <f>IFERROR(__xludf.DUMMYFUNCTION("""COMPUTED_VALUE"""),703213.0)</f>
        <v>703213</v>
      </c>
    </row>
    <row r="2708">
      <c r="A2708" s="3">
        <f>IFERROR(__xludf.DUMMYFUNCTION("""COMPUTED_VALUE"""),42230.64583333333)</f>
        <v>42230.64583</v>
      </c>
      <c r="B2708" s="2">
        <f>IFERROR(__xludf.DUMMYFUNCTION("""COMPUTED_VALUE"""),1319.0)</f>
        <v>1319</v>
      </c>
      <c r="C2708" s="2">
        <f>IFERROR(__xludf.DUMMYFUNCTION("""COMPUTED_VALUE"""),1359.68)</f>
        <v>1359.68</v>
      </c>
      <c r="D2708" s="2">
        <f>IFERROR(__xludf.DUMMYFUNCTION("""COMPUTED_VALUE"""),1318.55)</f>
        <v>1318.55</v>
      </c>
      <c r="E2708" s="2">
        <f>IFERROR(__xludf.DUMMYFUNCTION("""COMPUTED_VALUE"""),1351.6)</f>
        <v>1351.6</v>
      </c>
      <c r="F2708" s="2">
        <f>IFERROR(__xludf.DUMMYFUNCTION("""COMPUTED_VALUE"""),1146982.0)</f>
        <v>1146982</v>
      </c>
    </row>
    <row r="2709">
      <c r="A2709" s="3">
        <f>IFERROR(__xludf.DUMMYFUNCTION("""COMPUTED_VALUE"""),42233.64583333333)</f>
        <v>42233.64583</v>
      </c>
      <c r="B2709" s="2">
        <f>IFERROR(__xludf.DUMMYFUNCTION("""COMPUTED_VALUE"""),1345.05)</f>
        <v>1345.05</v>
      </c>
      <c r="C2709" s="2">
        <f>IFERROR(__xludf.DUMMYFUNCTION("""COMPUTED_VALUE"""),1348.4)</f>
        <v>1348.4</v>
      </c>
      <c r="D2709" s="2">
        <f>IFERROR(__xludf.DUMMYFUNCTION("""COMPUTED_VALUE"""),1327.5)</f>
        <v>1327.5</v>
      </c>
      <c r="E2709" s="2">
        <f>IFERROR(__xludf.DUMMYFUNCTION("""COMPUTED_VALUE"""),1342.38)</f>
        <v>1342.38</v>
      </c>
      <c r="F2709" s="2">
        <f>IFERROR(__xludf.DUMMYFUNCTION("""COMPUTED_VALUE"""),386822.0)</f>
        <v>386822</v>
      </c>
    </row>
    <row r="2710">
      <c r="A2710" s="3">
        <f>IFERROR(__xludf.DUMMYFUNCTION("""COMPUTED_VALUE"""),42234.64583333333)</f>
        <v>42234.64583</v>
      </c>
      <c r="B2710" s="2">
        <f>IFERROR(__xludf.DUMMYFUNCTION("""COMPUTED_VALUE"""),1353.45)</f>
        <v>1353.45</v>
      </c>
      <c r="C2710" s="2">
        <f>IFERROR(__xludf.DUMMYFUNCTION("""COMPUTED_VALUE"""),1374.95)</f>
        <v>1374.95</v>
      </c>
      <c r="D2710" s="2">
        <f>IFERROR(__xludf.DUMMYFUNCTION("""COMPUTED_VALUE"""),1345.0)</f>
        <v>1345</v>
      </c>
      <c r="E2710" s="2">
        <f>IFERROR(__xludf.DUMMYFUNCTION("""COMPUTED_VALUE"""),1370.45)</f>
        <v>1370.45</v>
      </c>
      <c r="F2710" s="2">
        <f>IFERROR(__xludf.DUMMYFUNCTION("""COMPUTED_VALUE"""),958463.0)</f>
        <v>958463</v>
      </c>
    </row>
    <row r="2711">
      <c r="A2711" s="3">
        <f>IFERROR(__xludf.DUMMYFUNCTION("""COMPUTED_VALUE"""),42235.64583333333)</f>
        <v>42235.64583</v>
      </c>
      <c r="B2711" s="2">
        <f>IFERROR(__xludf.DUMMYFUNCTION("""COMPUTED_VALUE"""),1375.0)</f>
        <v>1375</v>
      </c>
      <c r="C2711" s="2">
        <f>IFERROR(__xludf.DUMMYFUNCTION("""COMPUTED_VALUE"""),1376.43)</f>
        <v>1376.43</v>
      </c>
      <c r="D2711" s="2">
        <f>IFERROR(__xludf.DUMMYFUNCTION("""COMPUTED_VALUE"""),1360.95)</f>
        <v>1360.95</v>
      </c>
      <c r="E2711" s="2">
        <f>IFERROR(__xludf.DUMMYFUNCTION("""COMPUTED_VALUE"""),1366.8)</f>
        <v>1366.8</v>
      </c>
      <c r="F2711" s="2">
        <f>IFERROR(__xludf.DUMMYFUNCTION("""COMPUTED_VALUE"""),845035.0)</f>
        <v>845035</v>
      </c>
    </row>
    <row r="2712">
      <c r="A2712" s="3">
        <f>IFERROR(__xludf.DUMMYFUNCTION("""COMPUTED_VALUE"""),42236.64583333333)</f>
        <v>42236.64583</v>
      </c>
      <c r="B2712" s="2">
        <f>IFERROR(__xludf.DUMMYFUNCTION("""COMPUTED_VALUE"""),1372.5)</f>
        <v>1372.5</v>
      </c>
      <c r="C2712" s="2">
        <f>IFERROR(__xludf.DUMMYFUNCTION("""COMPUTED_VALUE"""),1372.5)</f>
        <v>1372.5</v>
      </c>
      <c r="D2712" s="2">
        <f>IFERROR(__xludf.DUMMYFUNCTION("""COMPUTED_VALUE"""),1336.0)</f>
        <v>1336</v>
      </c>
      <c r="E2712" s="2">
        <f>IFERROR(__xludf.DUMMYFUNCTION("""COMPUTED_VALUE"""),1343.43)</f>
        <v>1343.43</v>
      </c>
      <c r="F2712" s="2">
        <f>IFERROR(__xludf.DUMMYFUNCTION("""COMPUTED_VALUE"""),1174649.0)</f>
        <v>1174649</v>
      </c>
    </row>
    <row r="2713">
      <c r="A2713" s="3">
        <f>IFERROR(__xludf.DUMMYFUNCTION("""COMPUTED_VALUE"""),42237.64583333333)</f>
        <v>42237.64583</v>
      </c>
      <c r="B2713" s="2">
        <f>IFERROR(__xludf.DUMMYFUNCTION("""COMPUTED_VALUE"""),1356.0)</f>
        <v>1356</v>
      </c>
      <c r="C2713" s="2">
        <f>IFERROR(__xludf.DUMMYFUNCTION("""COMPUTED_VALUE"""),1364.95)</f>
        <v>1364.95</v>
      </c>
      <c r="D2713" s="2">
        <f>IFERROR(__xludf.DUMMYFUNCTION("""COMPUTED_VALUE"""),1327.55)</f>
        <v>1327.55</v>
      </c>
      <c r="E2713" s="2">
        <f>IFERROR(__xludf.DUMMYFUNCTION("""COMPUTED_VALUE"""),1338.08)</f>
        <v>1338.08</v>
      </c>
      <c r="F2713" s="2">
        <f>IFERROR(__xludf.DUMMYFUNCTION("""COMPUTED_VALUE"""),1768040.0)</f>
        <v>1768040</v>
      </c>
    </row>
    <row r="2714">
      <c r="A2714" s="3">
        <f>IFERROR(__xludf.DUMMYFUNCTION("""COMPUTED_VALUE"""),42240.64583333333)</f>
        <v>42240.64583</v>
      </c>
      <c r="B2714" s="2">
        <f>IFERROR(__xludf.DUMMYFUNCTION("""COMPUTED_VALUE"""),1319.5)</f>
        <v>1319.5</v>
      </c>
      <c r="C2714" s="2">
        <f>IFERROR(__xludf.DUMMYFUNCTION("""COMPUTED_VALUE"""),1322.5)</f>
        <v>1322.5</v>
      </c>
      <c r="D2714" s="2">
        <f>IFERROR(__xludf.DUMMYFUNCTION("""COMPUTED_VALUE"""),1284.55)</f>
        <v>1284.55</v>
      </c>
      <c r="E2714" s="2">
        <f>IFERROR(__xludf.DUMMYFUNCTION("""COMPUTED_VALUE"""),1289.33)</f>
        <v>1289.33</v>
      </c>
      <c r="F2714" s="2">
        <f>IFERROR(__xludf.DUMMYFUNCTION("""COMPUTED_VALUE"""),2346172.0)</f>
        <v>2346172</v>
      </c>
    </row>
    <row r="2715">
      <c r="A2715" s="3">
        <f>IFERROR(__xludf.DUMMYFUNCTION("""COMPUTED_VALUE"""),42241.64583333333)</f>
        <v>42241.64583</v>
      </c>
      <c r="B2715" s="2">
        <f>IFERROR(__xludf.DUMMYFUNCTION("""COMPUTED_VALUE"""),1293.95)</f>
        <v>1293.95</v>
      </c>
      <c r="C2715" s="2">
        <f>IFERROR(__xludf.DUMMYFUNCTION("""COMPUTED_VALUE"""),1311.0)</f>
        <v>1311</v>
      </c>
      <c r="D2715" s="2">
        <f>IFERROR(__xludf.DUMMYFUNCTION("""COMPUTED_VALUE"""),1267.75)</f>
        <v>1267.75</v>
      </c>
      <c r="E2715" s="2">
        <f>IFERROR(__xludf.DUMMYFUNCTION("""COMPUTED_VALUE"""),1283.58)</f>
        <v>1283.58</v>
      </c>
      <c r="F2715" s="2">
        <f>IFERROR(__xludf.DUMMYFUNCTION("""COMPUTED_VALUE"""),1962900.0)</f>
        <v>1962900</v>
      </c>
    </row>
    <row r="2716">
      <c r="A2716" s="3">
        <f>IFERROR(__xludf.DUMMYFUNCTION("""COMPUTED_VALUE"""),42242.64583333333)</f>
        <v>42242.64583</v>
      </c>
      <c r="B2716" s="2">
        <f>IFERROR(__xludf.DUMMYFUNCTION("""COMPUTED_VALUE"""),1279.03)</f>
        <v>1279.03</v>
      </c>
      <c r="C2716" s="2">
        <f>IFERROR(__xludf.DUMMYFUNCTION("""COMPUTED_VALUE"""),1319.5)</f>
        <v>1319.5</v>
      </c>
      <c r="D2716" s="2">
        <f>IFERROR(__xludf.DUMMYFUNCTION("""COMPUTED_VALUE"""),1255.97)</f>
        <v>1255.97</v>
      </c>
      <c r="E2716" s="2">
        <f>IFERROR(__xludf.DUMMYFUNCTION("""COMPUTED_VALUE"""),1288.38)</f>
        <v>1288.38</v>
      </c>
      <c r="F2716" s="2">
        <f>IFERROR(__xludf.DUMMYFUNCTION("""COMPUTED_VALUE"""),1608079.0)</f>
        <v>1608079</v>
      </c>
    </row>
    <row r="2717">
      <c r="A2717" s="3">
        <f>IFERROR(__xludf.DUMMYFUNCTION("""COMPUTED_VALUE"""),42243.64583333333)</f>
        <v>42243.64583</v>
      </c>
      <c r="B2717" s="2">
        <f>IFERROR(__xludf.DUMMYFUNCTION("""COMPUTED_VALUE"""),1307.45)</f>
        <v>1307.45</v>
      </c>
      <c r="C2717" s="2">
        <f>IFERROR(__xludf.DUMMYFUNCTION("""COMPUTED_VALUE"""),1307.45)</f>
        <v>1307.45</v>
      </c>
      <c r="D2717" s="2">
        <f>IFERROR(__xludf.DUMMYFUNCTION("""COMPUTED_VALUE"""),1272.9)</f>
        <v>1272.9</v>
      </c>
      <c r="E2717" s="2">
        <f>IFERROR(__xludf.DUMMYFUNCTION("""COMPUTED_VALUE"""),1287.33)</f>
        <v>1287.33</v>
      </c>
      <c r="F2717" s="2">
        <f>IFERROR(__xludf.DUMMYFUNCTION("""COMPUTED_VALUE"""),2632399.0)</f>
        <v>2632399</v>
      </c>
    </row>
    <row r="2718">
      <c r="A2718" s="3">
        <f>IFERROR(__xludf.DUMMYFUNCTION("""COMPUTED_VALUE"""),42244.64583333333)</f>
        <v>42244.64583</v>
      </c>
      <c r="B2718" s="2">
        <f>IFERROR(__xludf.DUMMYFUNCTION("""COMPUTED_VALUE"""),1304.5)</f>
        <v>1304.5</v>
      </c>
      <c r="C2718" s="2">
        <f>IFERROR(__xludf.DUMMYFUNCTION("""COMPUTED_VALUE"""),1304.5)</f>
        <v>1304.5</v>
      </c>
      <c r="D2718" s="2">
        <f>IFERROR(__xludf.DUMMYFUNCTION("""COMPUTED_VALUE"""),1278.85)</f>
        <v>1278.85</v>
      </c>
      <c r="E2718" s="2">
        <f>IFERROR(__xludf.DUMMYFUNCTION("""COMPUTED_VALUE"""),1285.43)</f>
        <v>1285.43</v>
      </c>
      <c r="F2718" s="2">
        <f>IFERROR(__xludf.DUMMYFUNCTION("""COMPUTED_VALUE"""),1372076.0)</f>
        <v>1372076</v>
      </c>
    </row>
    <row r="2719">
      <c r="A2719" s="3">
        <f>IFERROR(__xludf.DUMMYFUNCTION("""COMPUTED_VALUE"""),42247.64583333333)</f>
        <v>42247.64583</v>
      </c>
      <c r="B2719" s="2">
        <f>IFERROR(__xludf.DUMMYFUNCTION("""COMPUTED_VALUE"""),1295.0)</f>
        <v>1295</v>
      </c>
      <c r="C2719" s="2">
        <f>IFERROR(__xludf.DUMMYFUNCTION("""COMPUTED_VALUE"""),1295.0)</f>
        <v>1295</v>
      </c>
      <c r="D2719" s="2">
        <f>IFERROR(__xludf.DUMMYFUNCTION("""COMPUTED_VALUE"""),1265.53)</f>
        <v>1265.53</v>
      </c>
      <c r="E2719" s="2">
        <f>IFERROR(__xludf.DUMMYFUNCTION("""COMPUTED_VALUE"""),1282.03)</f>
        <v>1282.03</v>
      </c>
      <c r="F2719" s="2">
        <f>IFERROR(__xludf.DUMMYFUNCTION("""COMPUTED_VALUE"""),1846022.0)</f>
        <v>1846022</v>
      </c>
    </row>
    <row r="2720">
      <c r="A2720" s="3">
        <f>IFERROR(__xludf.DUMMYFUNCTION("""COMPUTED_VALUE"""),42248.64583333333)</f>
        <v>42248.64583</v>
      </c>
      <c r="B2720" s="2">
        <f>IFERROR(__xludf.DUMMYFUNCTION("""COMPUTED_VALUE"""),1278.0)</f>
        <v>1278</v>
      </c>
      <c r="C2720" s="2">
        <f>IFERROR(__xludf.DUMMYFUNCTION("""COMPUTED_VALUE"""),1305.6)</f>
        <v>1305.6</v>
      </c>
      <c r="D2720" s="2">
        <f>IFERROR(__xludf.DUMMYFUNCTION("""COMPUTED_VALUE"""),1265.0)</f>
        <v>1265</v>
      </c>
      <c r="E2720" s="2">
        <f>IFERROR(__xludf.DUMMYFUNCTION("""COMPUTED_VALUE"""),1268.7)</f>
        <v>1268.7</v>
      </c>
      <c r="F2720" s="2">
        <f>IFERROR(__xludf.DUMMYFUNCTION("""COMPUTED_VALUE"""),1493801.0)</f>
        <v>1493801</v>
      </c>
    </row>
    <row r="2721">
      <c r="A2721" s="3">
        <f>IFERROR(__xludf.DUMMYFUNCTION("""COMPUTED_VALUE"""),42249.64583333333)</f>
        <v>42249.64583</v>
      </c>
      <c r="B2721" s="2">
        <f>IFERROR(__xludf.DUMMYFUNCTION("""COMPUTED_VALUE"""),1279.85)</f>
        <v>1279.85</v>
      </c>
      <c r="C2721" s="2">
        <f>IFERROR(__xludf.DUMMYFUNCTION("""COMPUTED_VALUE"""),1310.22)</f>
        <v>1310.22</v>
      </c>
      <c r="D2721" s="2">
        <f>IFERROR(__xludf.DUMMYFUNCTION("""COMPUTED_VALUE"""),1274.0)</f>
        <v>1274</v>
      </c>
      <c r="E2721" s="2">
        <f>IFERROR(__xludf.DUMMYFUNCTION("""COMPUTED_VALUE"""),1295.9)</f>
        <v>1295.9</v>
      </c>
      <c r="F2721" s="2">
        <f>IFERROR(__xludf.DUMMYFUNCTION("""COMPUTED_VALUE"""),1882975.0)</f>
        <v>1882975</v>
      </c>
    </row>
    <row r="2722">
      <c r="A2722" s="3">
        <f>IFERROR(__xludf.DUMMYFUNCTION("""COMPUTED_VALUE"""),42250.64583333333)</f>
        <v>42250.64583</v>
      </c>
      <c r="B2722" s="2">
        <f>IFERROR(__xludf.DUMMYFUNCTION("""COMPUTED_VALUE"""),1298.05)</f>
        <v>1298.05</v>
      </c>
      <c r="C2722" s="2">
        <f>IFERROR(__xludf.DUMMYFUNCTION("""COMPUTED_VALUE"""),1307.5)</f>
        <v>1307.5</v>
      </c>
      <c r="D2722" s="2">
        <f>IFERROR(__xludf.DUMMYFUNCTION("""COMPUTED_VALUE"""),1288.13)</f>
        <v>1288.13</v>
      </c>
      <c r="E2722" s="2">
        <f>IFERROR(__xludf.DUMMYFUNCTION("""COMPUTED_VALUE"""),1302.8)</f>
        <v>1302.8</v>
      </c>
      <c r="F2722" s="2">
        <f>IFERROR(__xludf.DUMMYFUNCTION("""COMPUTED_VALUE"""),1132537.0)</f>
        <v>1132537</v>
      </c>
    </row>
    <row r="2723">
      <c r="A2723" s="3">
        <f>IFERROR(__xludf.DUMMYFUNCTION("""COMPUTED_VALUE"""),42251.64583333333)</f>
        <v>42251.64583</v>
      </c>
      <c r="B2723" s="2">
        <f>IFERROR(__xludf.DUMMYFUNCTION("""COMPUTED_VALUE"""),1305.7)</f>
        <v>1305.7</v>
      </c>
      <c r="C2723" s="2">
        <f>IFERROR(__xludf.DUMMYFUNCTION("""COMPUTED_VALUE"""),1307.45)</f>
        <v>1307.45</v>
      </c>
      <c r="D2723" s="2">
        <f>IFERROR(__xludf.DUMMYFUNCTION("""COMPUTED_VALUE"""),1269.58)</f>
        <v>1269.58</v>
      </c>
      <c r="E2723" s="2">
        <f>IFERROR(__xludf.DUMMYFUNCTION("""COMPUTED_VALUE"""),1273.72)</f>
        <v>1273.72</v>
      </c>
      <c r="F2723" s="2">
        <f>IFERROR(__xludf.DUMMYFUNCTION("""COMPUTED_VALUE"""),1213198.0)</f>
        <v>1213198</v>
      </c>
    </row>
    <row r="2724">
      <c r="A2724" s="3">
        <f>IFERROR(__xludf.DUMMYFUNCTION("""COMPUTED_VALUE"""),42254.64583333333)</f>
        <v>42254.64583</v>
      </c>
      <c r="B2724" s="2">
        <f>IFERROR(__xludf.DUMMYFUNCTION("""COMPUTED_VALUE"""),1276.5)</f>
        <v>1276.5</v>
      </c>
      <c r="C2724" s="2">
        <f>IFERROR(__xludf.DUMMYFUNCTION("""COMPUTED_VALUE"""),1279.97)</f>
        <v>1279.97</v>
      </c>
      <c r="D2724" s="2">
        <f>IFERROR(__xludf.DUMMYFUNCTION("""COMPUTED_VALUE"""),1266.35)</f>
        <v>1266.35</v>
      </c>
      <c r="E2724" s="2">
        <f>IFERROR(__xludf.DUMMYFUNCTION("""COMPUTED_VALUE"""),1269.88)</f>
        <v>1269.88</v>
      </c>
      <c r="F2724" s="2">
        <f>IFERROR(__xludf.DUMMYFUNCTION("""COMPUTED_VALUE"""),879592.0)</f>
        <v>879592</v>
      </c>
    </row>
    <row r="2725">
      <c r="A2725" s="3">
        <f>IFERROR(__xludf.DUMMYFUNCTION("""COMPUTED_VALUE"""),42255.64583333333)</f>
        <v>42255.64583</v>
      </c>
      <c r="B2725" s="2">
        <f>IFERROR(__xludf.DUMMYFUNCTION("""COMPUTED_VALUE"""),1272.5)</f>
        <v>1272.5</v>
      </c>
      <c r="C2725" s="2">
        <f>IFERROR(__xludf.DUMMYFUNCTION("""COMPUTED_VALUE"""),1282.05)</f>
        <v>1282.05</v>
      </c>
      <c r="D2725" s="2">
        <f>IFERROR(__xludf.DUMMYFUNCTION("""COMPUTED_VALUE"""),1261.75)</f>
        <v>1261.75</v>
      </c>
      <c r="E2725" s="2">
        <f>IFERROR(__xludf.DUMMYFUNCTION("""COMPUTED_VALUE"""),1270.15)</f>
        <v>1270.15</v>
      </c>
      <c r="F2725" s="2">
        <f>IFERROR(__xludf.DUMMYFUNCTION("""COMPUTED_VALUE"""),893873.0)</f>
        <v>893873</v>
      </c>
    </row>
    <row r="2726">
      <c r="A2726" s="3">
        <f>IFERROR(__xludf.DUMMYFUNCTION("""COMPUTED_VALUE"""),42256.64583333333)</f>
        <v>42256.64583</v>
      </c>
      <c r="B2726" s="2">
        <f>IFERROR(__xludf.DUMMYFUNCTION("""COMPUTED_VALUE"""),1281.47)</f>
        <v>1281.47</v>
      </c>
      <c r="C2726" s="2">
        <f>IFERROR(__xludf.DUMMYFUNCTION("""COMPUTED_VALUE"""),1287.0)</f>
        <v>1287</v>
      </c>
      <c r="D2726" s="2">
        <f>IFERROR(__xludf.DUMMYFUNCTION("""COMPUTED_VALUE"""),1272.0)</f>
        <v>1272</v>
      </c>
      <c r="E2726" s="2">
        <f>IFERROR(__xludf.DUMMYFUNCTION("""COMPUTED_VALUE"""),1274.88)</f>
        <v>1274.88</v>
      </c>
      <c r="F2726" s="2">
        <f>IFERROR(__xludf.DUMMYFUNCTION("""COMPUTED_VALUE"""),1022538.0)</f>
        <v>1022538</v>
      </c>
    </row>
    <row r="2727">
      <c r="A2727" s="3">
        <f>IFERROR(__xludf.DUMMYFUNCTION("""COMPUTED_VALUE"""),42257.64583333333)</f>
        <v>42257.64583</v>
      </c>
      <c r="B2727" s="2">
        <f>IFERROR(__xludf.DUMMYFUNCTION("""COMPUTED_VALUE"""),1271.0)</f>
        <v>1271</v>
      </c>
      <c r="C2727" s="2">
        <f>IFERROR(__xludf.DUMMYFUNCTION("""COMPUTED_VALUE"""),1289.25)</f>
        <v>1289.25</v>
      </c>
      <c r="D2727" s="2">
        <f>IFERROR(__xludf.DUMMYFUNCTION("""COMPUTED_VALUE"""),1263.5)</f>
        <v>1263.5</v>
      </c>
      <c r="E2727" s="2">
        <f>IFERROR(__xludf.DUMMYFUNCTION("""COMPUTED_VALUE"""),1272.7)</f>
        <v>1272.7</v>
      </c>
      <c r="F2727" s="2">
        <f>IFERROR(__xludf.DUMMYFUNCTION("""COMPUTED_VALUE"""),1332909.0)</f>
        <v>1332909</v>
      </c>
    </row>
    <row r="2728">
      <c r="A2728" s="3">
        <f>IFERROR(__xludf.DUMMYFUNCTION("""COMPUTED_VALUE"""),42258.64583333333)</f>
        <v>42258.64583</v>
      </c>
      <c r="B2728" s="2">
        <f>IFERROR(__xludf.DUMMYFUNCTION("""COMPUTED_VALUE"""),1273.25)</f>
        <v>1273.25</v>
      </c>
      <c r="C2728" s="2">
        <f>IFERROR(__xludf.DUMMYFUNCTION("""COMPUTED_VALUE"""),1284.2)</f>
        <v>1284.2</v>
      </c>
      <c r="D2728" s="2">
        <f>IFERROR(__xludf.DUMMYFUNCTION("""COMPUTED_VALUE"""),1270.3)</f>
        <v>1270.3</v>
      </c>
      <c r="E2728" s="2">
        <f>IFERROR(__xludf.DUMMYFUNCTION("""COMPUTED_VALUE"""),1276.0)</f>
        <v>1276</v>
      </c>
      <c r="F2728" s="2">
        <f>IFERROR(__xludf.DUMMYFUNCTION("""COMPUTED_VALUE"""),796336.0)</f>
        <v>796336</v>
      </c>
    </row>
    <row r="2729">
      <c r="A2729" s="3">
        <f>IFERROR(__xludf.DUMMYFUNCTION("""COMPUTED_VALUE"""),42261.64583333333)</f>
        <v>42261.64583</v>
      </c>
      <c r="B2729" s="2">
        <f>IFERROR(__xludf.DUMMYFUNCTION("""COMPUTED_VALUE"""),1282.5)</f>
        <v>1282.5</v>
      </c>
      <c r="C2729" s="2">
        <f>IFERROR(__xludf.DUMMYFUNCTION("""COMPUTED_VALUE"""),1282.5)</f>
        <v>1282.5</v>
      </c>
      <c r="D2729" s="2">
        <f>IFERROR(__xludf.DUMMYFUNCTION("""COMPUTED_VALUE"""),1271.5)</f>
        <v>1271.5</v>
      </c>
      <c r="E2729" s="2">
        <f>IFERROR(__xludf.DUMMYFUNCTION("""COMPUTED_VALUE"""),1275.83)</f>
        <v>1275.83</v>
      </c>
      <c r="F2729" s="2">
        <f>IFERROR(__xludf.DUMMYFUNCTION("""COMPUTED_VALUE"""),794659.0)</f>
        <v>794659</v>
      </c>
    </row>
    <row r="2730">
      <c r="A2730" s="3">
        <f>IFERROR(__xludf.DUMMYFUNCTION("""COMPUTED_VALUE"""),42262.64583333333)</f>
        <v>42262.64583</v>
      </c>
      <c r="B2730" s="2">
        <f>IFERROR(__xludf.DUMMYFUNCTION("""COMPUTED_VALUE"""),1275.83)</f>
        <v>1275.83</v>
      </c>
      <c r="C2730" s="2">
        <f>IFERROR(__xludf.DUMMYFUNCTION("""COMPUTED_VALUE"""),1279.45)</f>
        <v>1279.45</v>
      </c>
      <c r="D2730" s="2">
        <f>IFERROR(__xludf.DUMMYFUNCTION("""COMPUTED_VALUE"""),1268.0)</f>
        <v>1268</v>
      </c>
      <c r="E2730" s="2">
        <f>IFERROR(__xludf.DUMMYFUNCTION("""COMPUTED_VALUE"""),1268.63)</f>
        <v>1268.63</v>
      </c>
      <c r="F2730" s="2">
        <f>IFERROR(__xludf.DUMMYFUNCTION("""COMPUTED_VALUE"""),689950.0)</f>
        <v>689950</v>
      </c>
    </row>
    <row r="2731">
      <c r="A2731" s="3">
        <f>IFERROR(__xludf.DUMMYFUNCTION("""COMPUTED_VALUE"""),42263.64583333333)</f>
        <v>42263.64583</v>
      </c>
      <c r="B2731" s="2">
        <f>IFERROR(__xludf.DUMMYFUNCTION("""COMPUTED_VALUE"""),1277.5)</f>
        <v>1277.5</v>
      </c>
      <c r="C2731" s="2">
        <f>IFERROR(__xludf.DUMMYFUNCTION("""COMPUTED_VALUE"""),1282.5)</f>
        <v>1282.5</v>
      </c>
      <c r="D2731" s="2">
        <f>IFERROR(__xludf.DUMMYFUNCTION("""COMPUTED_VALUE"""),1270.53)</f>
        <v>1270.53</v>
      </c>
      <c r="E2731" s="2">
        <f>IFERROR(__xludf.DUMMYFUNCTION("""COMPUTED_VALUE"""),1275.18)</f>
        <v>1275.18</v>
      </c>
      <c r="F2731" s="2">
        <f>IFERROR(__xludf.DUMMYFUNCTION("""COMPUTED_VALUE"""),878408.0)</f>
        <v>878408</v>
      </c>
    </row>
    <row r="2732">
      <c r="A2732" s="3">
        <f>IFERROR(__xludf.DUMMYFUNCTION("""COMPUTED_VALUE"""),42265.64583333333)</f>
        <v>42265.64583</v>
      </c>
      <c r="B2732" s="2">
        <f>IFERROR(__xludf.DUMMYFUNCTION("""COMPUTED_VALUE"""),1282.5)</f>
        <v>1282.5</v>
      </c>
      <c r="C2732" s="2">
        <f>IFERROR(__xludf.DUMMYFUNCTION("""COMPUTED_VALUE"""),1293.0)</f>
        <v>1293</v>
      </c>
      <c r="D2732" s="2">
        <f>IFERROR(__xludf.DUMMYFUNCTION("""COMPUTED_VALUE"""),1269.5)</f>
        <v>1269.5</v>
      </c>
      <c r="E2732" s="2">
        <f>IFERROR(__xludf.DUMMYFUNCTION("""COMPUTED_VALUE"""),1275.63)</f>
        <v>1275.63</v>
      </c>
      <c r="F2732" s="2">
        <f>IFERROR(__xludf.DUMMYFUNCTION("""COMPUTED_VALUE"""),1227647.0)</f>
        <v>1227647</v>
      </c>
    </row>
    <row r="2733">
      <c r="A2733" s="3">
        <f>IFERROR(__xludf.DUMMYFUNCTION("""COMPUTED_VALUE"""),42268.64583333333)</f>
        <v>42268.64583</v>
      </c>
      <c r="B2733" s="2">
        <f>IFERROR(__xludf.DUMMYFUNCTION("""COMPUTED_VALUE"""),1275.0)</f>
        <v>1275</v>
      </c>
      <c r="C2733" s="2">
        <f>IFERROR(__xludf.DUMMYFUNCTION("""COMPUTED_VALUE"""),1278.55)</f>
        <v>1278.55</v>
      </c>
      <c r="D2733" s="2">
        <f>IFERROR(__xludf.DUMMYFUNCTION("""COMPUTED_VALUE"""),1266.6)</f>
        <v>1266.6</v>
      </c>
      <c r="E2733" s="2">
        <f>IFERROR(__xludf.DUMMYFUNCTION("""COMPUTED_VALUE"""),1275.53)</f>
        <v>1275.53</v>
      </c>
      <c r="F2733" s="2">
        <f>IFERROR(__xludf.DUMMYFUNCTION("""COMPUTED_VALUE"""),554420.0)</f>
        <v>554420</v>
      </c>
    </row>
    <row r="2734">
      <c r="A2734" s="3">
        <f>IFERROR(__xludf.DUMMYFUNCTION("""COMPUTED_VALUE"""),42269.64583333333)</f>
        <v>42269.64583</v>
      </c>
      <c r="B2734" s="2">
        <f>IFERROR(__xludf.DUMMYFUNCTION("""COMPUTED_VALUE"""),1278.75)</f>
        <v>1278.75</v>
      </c>
      <c r="C2734" s="2">
        <f>IFERROR(__xludf.DUMMYFUNCTION("""COMPUTED_VALUE"""),1286.2)</f>
        <v>1286.2</v>
      </c>
      <c r="D2734" s="2">
        <f>IFERROR(__xludf.DUMMYFUNCTION("""COMPUTED_VALUE"""),1245.0)</f>
        <v>1245</v>
      </c>
      <c r="E2734" s="2">
        <f>IFERROR(__xludf.DUMMYFUNCTION("""COMPUTED_VALUE"""),1263.4)</f>
        <v>1263.4</v>
      </c>
      <c r="F2734" s="2">
        <f>IFERROR(__xludf.DUMMYFUNCTION("""COMPUTED_VALUE"""),1040623.0)</f>
        <v>1040623</v>
      </c>
    </row>
    <row r="2735">
      <c r="A2735" s="3">
        <f>IFERROR(__xludf.DUMMYFUNCTION("""COMPUTED_VALUE"""),42270.64583333333)</f>
        <v>42270.64583</v>
      </c>
      <c r="B2735" s="2">
        <f>IFERROR(__xludf.DUMMYFUNCTION("""COMPUTED_VALUE"""),1267.15)</f>
        <v>1267.15</v>
      </c>
      <c r="C2735" s="2">
        <f>IFERROR(__xludf.DUMMYFUNCTION("""COMPUTED_VALUE"""),1278.88)</f>
        <v>1278.88</v>
      </c>
      <c r="D2735" s="2">
        <f>IFERROR(__xludf.DUMMYFUNCTION("""COMPUTED_VALUE"""),1256.3)</f>
        <v>1256.3</v>
      </c>
      <c r="E2735" s="2">
        <f>IFERROR(__xludf.DUMMYFUNCTION("""COMPUTED_VALUE"""),1266.33)</f>
        <v>1266.33</v>
      </c>
      <c r="F2735" s="2">
        <f>IFERROR(__xludf.DUMMYFUNCTION("""COMPUTED_VALUE"""),614176.0)</f>
        <v>614176</v>
      </c>
    </row>
    <row r="2736">
      <c r="A2736" s="3">
        <f>IFERROR(__xludf.DUMMYFUNCTION("""COMPUTED_VALUE"""),42271.64583333333)</f>
        <v>42271.64583</v>
      </c>
      <c r="B2736" s="2">
        <f>IFERROR(__xludf.DUMMYFUNCTION("""COMPUTED_VALUE"""),1267.75)</f>
        <v>1267.75</v>
      </c>
      <c r="C2736" s="2">
        <f>IFERROR(__xludf.DUMMYFUNCTION("""COMPUTED_VALUE"""),1295.0)</f>
        <v>1295</v>
      </c>
      <c r="D2736" s="2">
        <f>IFERROR(__xludf.DUMMYFUNCTION("""COMPUTED_VALUE"""),1264.95)</f>
        <v>1264.95</v>
      </c>
      <c r="E2736" s="2">
        <f>IFERROR(__xludf.DUMMYFUNCTION("""COMPUTED_VALUE"""),1290.2)</f>
        <v>1290.2</v>
      </c>
      <c r="F2736" s="2">
        <f>IFERROR(__xludf.DUMMYFUNCTION("""COMPUTED_VALUE"""),1177127.0)</f>
        <v>1177127</v>
      </c>
    </row>
    <row r="2737">
      <c r="A2737" s="3">
        <f>IFERROR(__xludf.DUMMYFUNCTION("""COMPUTED_VALUE"""),42275.64583333333)</f>
        <v>42275.64583</v>
      </c>
      <c r="B2737" s="2">
        <f>IFERROR(__xludf.DUMMYFUNCTION("""COMPUTED_VALUE"""),1297.0)</f>
        <v>1297</v>
      </c>
      <c r="C2737" s="2">
        <f>IFERROR(__xludf.DUMMYFUNCTION("""COMPUTED_VALUE"""),1309.5)</f>
        <v>1309.5</v>
      </c>
      <c r="D2737" s="2">
        <f>IFERROR(__xludf.DUMMYFUNCTION("""COMPUTED_VALUE"""),1289.75)</f>
        <v>1289.75</v>
      </c>
      <c r="E2737" s="2">
        <f>IFERROR(__xludf.DUMMYFUNCTION("""COMPUTED_VALUE"""),1296.85)</f>
        <v>1296.85</v>
      </c>
      <c r="F2737" s="2">
        <f>IFERROR(__xludf.DUMMYFUNCTION("""COMPUTED_VALUE"""),1183406.0)</f>
        <v>1183406</v>
      </c>
    </row>
    <row r="2738">
      <c r="A2738" s="3">
        <f>IFERROR(__xludf.DUMMYFUNCTION("""COMPUTED_VALUE"""),42276.64583333333)</f>
        <v>42276.64583</v>
      </c>
      <c r="B2738" s="2">
        <f>IFERROR(__xludf.DUMMYFUNCTION("""COMPUTED_VALUE"""),1291.68)</f>
        <v>1291.68</v>
      </c>
      <c r="C2738" s="2">
        <f>IFERROR(__xludf.DUMMYFUNCTION("""COMPUTED_VALUE"""),1317.0)</f>
        <v>1317</v>
      </c>
      <c r="D2738" s="2">
        <f>IFERROR(__xludf.DUMMYFUNCTION("""COMPUTED_VALUE"""),1284.93)</f>
        <v>1284.93</v>
      </c>
      <c r="E2738" s="2">
        <f>IFERROR(__xludf.DUMMYFUNCTION("""COMPUTED_VALUE"""),1294.13)</f>
        <v>1294.13</v>
      </c>
      <c r="F2738" s="2">
        <f>IFERROR(__xludf.DUMMYFUNCTION("""COMPUTED_VALUE"""),1662976.0)</f>
        <v>1662976</v>
      </c>
    </row>
    <row r="2739">
      <c r="A2739" s="3">
        <f>IFERROR(__xludf.DUMMYFUNCTION("""COMPUTED_VALUE"""),42277.64583333333)</f>
        <v>42277.64583</v>
      </c>
      <c r="B2739" s="2">
        <f>IFERROR(__xludf.DUMMYFUNCTION("""COMPUTED_VALUE"""),1321.85)</f>
        <v>1321.85</v>
      </c>
      <c r="C2739" s="2">
        <f>IFERROR(__xludf.DUMMYFUNCTION("""COMPUTED_VALUE"""),1321.85)</f>
        <v>1321.85</v>
      </c>
      <c r="D2739" s="2">
        <f>IFERROR(__xludf.DUMMYFUNCTION("""COMPUTED_VALUE"""),1285.47)</f>
        <v>1285.47</v>
      </c>
      <c r="E2739" s="2">
        <f>IFERROR(__xludf.DUMMYFUNCTION("""COMPUTED_VALUE"""),1294.03)</f>
        <v>1294.03</v>
      </c>
      <c r="F2739" s="2">
        <f>IFERROR(__xludf.DUMMYFUNCTION("""COMPUTED_VALUE"""),1684168.0)</f>
        <v>1684168</v>
      </c>
    </row>
    <row r="2740">
      <c r="A2740" s="3">
        <f>IFERROR(__xludf.DUMMYFUNCTION("""COMPUTED_VALUE"""),42278.64583333333)</f>
        <v>42278.64583</v>
      </c>
      <c r="B2740" s="2">
        <f>IFERROR(__xludf.DUMMYFUNCTION("""COMPUTED_VALUE"""),1299.5)</f>
        <v>1299.5</v>
      </c>
      <c r="C2740" s="2">
        <f>IFERROR(__xludf.DUMMYFUNCTION("""COMPUTED_VALUE"""),1324.98)</f>
        <v>1324.98</v>
      </c>
      <c r="D2740" s="2">
        <f>IFERROR(__xludf.DUMMYFUNCTION("""COMPUTED_VALUE"""),1296.1)</f>
        <v>1296.1</v>
      </c>
      <c r="E2740" s="2">
        <f>IFERROR(__xludf.DUMMYFUNCTION("""COMPUTED_VALUE"""),1322.3)</f>
        <v>1322.3</v>
      </c>
      <c r="F2740" s="2">
        <f>IFERROR(__xludf.DUMMYFUNCTION("""COMPUTED_VALUE"""),1417204.0)</f>
        <v>1417204</v>
      </c>
    </row>
    <row r="2741">
      <c r="A2741" s="3">
        <f>IFERROR(__xludf.DUMMYFUNCTION("""COMPUTED_VALUE"""),42282.64583333333)</f>
        <v>42282.64583</v>
      </c>
      <c r="B2741" s="2">
        <f>IFERROR(__xludf.DUMMYFUNCTION("""COMPUTED_VALUE"""),1326.35)</f>
        <v>1326.35</v>
      </c>
      <c r="C2741" s="2">
        <f>IFERROR(__xludf.DUMMYFUNCTION("""COMPUTED_VALUE"""),1385.0)</f>
        <v>1385</v>
      </c>
      <c r="D2741" s="2">
        <f>IFERROR(__xludf.DUMMYFUNCTION("""COMPUTED_VALUE"""),1326.35)</f>
        <v>1326.35</v>
      </c>
      <c r="E2741" s="2">
        <f>IFERROR(__xludf.DUMMYFUNCTION("""COMPUTED_VALUE"""),1355.83)</f>
        <v>1355.83</v>
      </c>
      <c r="F2741" s="2">
        <f>IFERROR(__xludf.DUMMYFUNCTION("""COMPUTED_VALUE"""),2403653.0)</f>
        <v>2403653</v>
      </c>
    </row>
    <row r="2742">
      <c r="A2742" s="3">
        <f>IFERROR(__xludf.DUMMYFUNCTION("""COMPUTED_VALUE"""),42283.64583333333)</f>
        <v>42283.64583</v>
      </c>
      <c r="B2742" s="2">
        <f>IFERROR(__xludf.DUMMYFUNCTION("""COMPUTED_VALUE"""),1362.5)</f>
        <v>1362.5</v>
      </c>
      <c r="C2742" s="2">
        <f>IFERROR(__xludf.DUMMYFUNCTION("""COMPUTED_VALUE"""),1363.0)</f>
        <v>1363</v>
      </c>
      <c r="D2742" s="2">
        <f>IFERROR(__xludf.DUMMYFUNCTION("""COMPUTED_VALUE"""),1342.0)</f>
        <v>1342</v>
      </c>
      <c r="E2742" s="2">
        <f>IFERROR(__xludf.DUMMYFUNCTION("""COMPUTED_VALUE"""),1350.0)</f>
        <v>1350</v>
      </c>
      <c r="F2742" s="2">
        <f>IFERROR(__xludf.DUMMYFUNCTION("""COMPUTED_VALUE"""),1989795.0)</f>
        <v>1989795</v>
      </c>
    </row>
    <row r="2743">
      <c r="A2743" s="3">
        <f>IFERROR(__xludf.DUMMYFUNCTION("""COMPUTED_VALUE"""),42284.64583333333)</f>
        <v>42284.64583</v>
      </c>
      <c r="B2743" s="2">
        <f>IFERROR(__xludf.DUMMYFUNCTION("""COMPUTED_VALUE"""),1346.98)</f>
        <v>1346.98</v>
      </c>
      <c r="C2743" s="2">
        <f>IFERROR(__xludf.DUMMYFUNCTION("""COMPUTED_VALUE"""),1358.5)</f>
        <v>1358.5</v>
      </c>
      <c r="D2743" s="2">
        <f>IFERROR(__xludf.DUMMYFUNCTION("""COMPUTED_VALUE"""),1323.48)</f>
        <v>1323.48</v>
      </c>
      <c r="E2743" s="2">
        <f>IFERROR(__xludf.DUMMYFUNCTION("""COMPUTED_VALUE"""),1326.98)</f>
        <v>1326.98</v>
      </c>
      <c r="F2743" s="2">
        <f>IFERROR(__xludf.DUMMYFUNCTION("""COMPUTED_VALUE"""),1032765.0)</f>
        <v>1032765</v>
      </c>
    </row>
    <row r="2744">
      <c r="A2744" s="3">
        <f>IFERROR(__xludf.DUMMYFUNCTION("""COMPUTED_VALUE"""),42285.64583333333)</f>
        <v>42285.64583</v>
      </c>
      <c r="B2744" s="2">
        <f>IFERROR(__xludf.DUMMYFUNCTION("""COMPUTED_VALUE"""),1335.0)</f>
        <v>1335</v>
      </c>
      <c r="C2744" s="2">
        <f>IFERROR(__xludf.DUMMYFUNCTION("""COMPUTED_VALUE"""),1339.18)</f>
        <v>1339.18</v>
      </c>
      <c r="D2744" s="2">
        <f>IFERROR(__xludf.DUMMYFUNCTION("""COMPUTED_VALUE"""),1310.0)</f>
        <v>1310</v>
      </c>
      <c r="E2744" s="2">
        <f>IFERROR(__xludf.DUMMYFUNCTION("""COMPUTED_VALUE"""),1316.9)</f>
        <v>1316.9</v>
      </c>
      <c r="F2744" s="2">
        <f>IFERROR(__xludf.DUMMYFUNCTION("""COMPUTED_VALUE"""),1178775.0)</f>
        <v>1178775</v>
      </c>
    </row>
    <row r="2745">
      <c r="A2745" s="3">
        <f>IFERROR(__xludf.DUMMYFUNCTION("""COMPUTED_VALUE"""),42286.64583333333)</f>
        <v>42286.64583</v>
      </c>
      <c r="B2745" s="2">
        <f>IFERROR(__xludf.DUMMYFUNCTION("""COMPUTED_VALUE"""),1325.25)</f>
        <v>1325.25</v>
      </c>
      <c r="C2745" s="2">
        <f>IFERROR(__xludf.DUMMYFUNCTION("""COMPUTED_VALUE"""),1325.3)</f>
        <v>1325.3</v>
      </c>
      <c r="D2745" s="2">
        <f>IFERROR(__xludf.DUMMYFUNCTION("""COMPUTED_VALUE"""),1304.0)</f>
        <v>1304</v>
      </c>
      <c r="E2745" s="2">
        <f>IFERROR(__xludf.DUMMYFUNCTION("""COMPUTED_VALUE"""),1314.83)</f>
        <v>1314.83</v>
      </c>
      <c r="F2745" s="2">
        <f>IFERROR(__xludf.DUMMYFUNCTION("""COMPUTED_VALUE"""),1124862.0)</f>
        <v>1124862</v>
      </c>
    </row>
    <row r="2746">
      <c r="A2746" s="3">
        <f>IFERROR(__xludf.DUMMYFUNCTION("""COMPUTED_VALUE"""),42289.64583333333)</f>
        <v>42289.64583</v>
      </c>
      <c r="B2746" s="2">
        <f>IFERROR(__xludf.DUMMYFUNCTION("""COMPUTED_VALUE"""),1327.5)</f>
        <v>1327.5</v>
      </c>
      <c r="C2746" s="2">
        <f>IFERROR(__xludf.DUMMYFUNCTION("""COMPUTED_VALUE"""),1330.18)</f>
        <v>1330.18</v>
      </c>
      <c r="D2746" s="2">
        <f>IFERROR(__xludf.DUMMYFUNCTION("""COMPUTED_VALUE"""),1293.5)</f>
        <v>1293.5</v>
      </c>
      <c r="E2746" s="2">
        <f>IFERROR(__xludf.DUMMYFUNCTION("""COMPUTED_VALUE"""),1296.3)</f>
        <v>1296.3</v>
      </c>
      <c r="F2746" s="2">
        <f>IFERROR(__xludf.DUMMYFUNCTION("""COMPUTED_VALUE"""),1227956.0)</f>
        <v>1227956</v>
      </c>
    </row>
    <row r="2747">
      <c r="A2747" s="3">
        <f>IFERROR(__xludf.DUMMYFUNCTION("""COMPUTED_VALUE"""),42290.64583333333)</f>
        <v>42290.64583</v>
      </c>
      <c r="B2747" s="2">
        <f>IFERROR(__xludf.DUMMYFUNCTION("""COMPUTED_VALUE"""),1301.4)</f>
        <v>1301.4</v>
      </c>
      <c r="C2747" s="2">
        <f>IFERROR(__xludf.DUMMYFUNCTION("""COMPUTED_VALUE"""),1306.0)</f>
        <v>1306</v>
      </c>
      <c r="D2747" s="2">
        <f>IFERROR(__xludf.DUMMYFUNCTION("""COMPUTED_VALUE"""),1283.8)</f>
        <v>1283.8</v>
      </c>
      <c r="E2747" s="2">
        <f>IFERROR(__xludf.DUMMYFUNCTION("""COMPUTED_VALUE"""),1299.28)</f>
        <v>1299.28</v>
      </c>
      <c r="F2747" s="2">
        <f>IFERROR(__xludf.DUMMYFUNCTION("""COMPUTED_VALUE"""),3089856.0)</f>
        <v>3089856</v>
      </c>
    </row>
    <row r="2748">
      <c r="A2748" s="3">
        <f>IFERROR(__xludf.DUMMYFUNCTION("""COMPUTED_VALUE"""),42291.64583333333)</f>
        <v>42291.64583</v>
      </c>
      <c r="B2748" s="2">
        <f>IFERROR(__xludf.DUMMYFUNCTION("""COMPUTED_VALUE"""),1274.0)</f>
        <v>1274</v>
      </c>
      <c r="C2748" s="2">
        <f>IFERROR(__xludf.DUMMYFUNCTION("""COMPUTED_VALUE"""),1274.0)</f>
        <v>1274</v>
      </c>
      <c r="D2748" s="2">
        <f>IFERROR(__xludf.DUMMYFUNCTION("""COMPUTED_VALUE"""),1240.0)</f>
        <v>1240</v>
      </c>
      <c r="E2748" s="2">
        <f>IFERROR(__xludf.DUMMYFUNCTION("""COMPUTED_VALUE"""),1241.85)</f>
        <v>1241.85</v>
      </c>
      <c r="F2748" s="2">
        <f>IFERROR(__xludf.DUMMYFUNCTION("""COMPUTED_VALUE"""),4168564.0)</f>
        <v>4168564</v>
      </c>
    </row>
    <row r="2749">
      <c r="A2749" s="3">
        <f>IFERROR(__xludf.DUMMYFUNCTION("""COMPUTED_VALUE"""),42292.64583333333)</f>
        <v>42292.64583</v>
      </c>
      <c r="B2749" s="2">
        <f>IFERROR(__xludf.DUMMYFUNCTION("""COMPUTED_VALUE"""),1245.0)</f>
        <v>1245</v>
      </c>
      <c r="C2749" s="2">
        <f>IFERROR(__xludf.DUMMYFUNCTION("""COMPUTED_VALUE"""),1251.75)</f>
        <v>1251.75</v>
      </c>
      <c r="D2749" s="2">
        <f>IFERROR(__xludf.DUMMYFUNCTION("""COMPUTED_VALUE"""),1232.5)</f>
        <v>1232.5</v>
      </c>
      <c r="E2749" s="2">
        <f>IFERROR(__xludf.DUMMYFUNCTION("""COMPUTED_VALUE"""),1233.88)</f>
        <v>1233.88</v>
      </c>
      <c r="F2749" s="2">
        <f>IFERROR(__xludf.DUMMYFUNCTION("""COMPUTED_VALUE"""),1607855.0)</f>
        <v>1607855</v>
      </c>
    </row>
    <row r="2750">
      <c r="A2750" s="3">
        <f>IFERROR(__xludf.DUMMYFUNCTION("""COMPUTED_VALUE"""),42293.64583333333)</f>
        <v>42293.64583</v>
      </c>
      <c r="B2750" s="2">
        <f>IFERROR(__xludf.DUMMYFUNCTION("""COMPUTED_VALUE"""),1240.45)</f>
        <v>1240.45</v>
      </c>
      <c r="C2750" s="2">
        <f>IFERROR(__xludf.DUMMYFUNCTION("""COMPUTED_VALUE"""),1246.0)</f>
        <v>1246</v>
      </c>
      <c r="D2750" s="2">
        <f>IFERROR(__xludf.DUMMYFUNCTION("""COMPUTED_VALUE"""),1235.0)</f>
        <v>1235</v>
      </c>
      <c r="E2750" s="2">
        <f>IFERROR(__xludf.DUMMYFUNCTION("""COMPUTED_VALUE"""),1236.0)</f>
        <v>1236</v>
      </c>
      <c r="F2750" s="2">
        <f>IFERROR(__xludf.DUMMYFUNCTION("""COMPUTED_VALUE"""),1166914.0)</f>
        <v>1166914</v>
      </c>
    </row>
    <row r="2751">
      <c r="A2751" s="3">
        <f>IFERROR(__xludf.DUMMYFUNCTION("""COMPUTED_VALUE"""),42296.64583333333)</f>
        <v>42296.64583</v>
      </c>
      <c r="B2751" s="2">
        <f>IFERROR(__xludf.DUMMYFUNCTION("""COMPUTED_VALUE"""),1245.0)</f>
        <v>1245</v>
      </c>
      <c r="C2751" s="2">
        <f>IFERROR(__xludf.DUMMYFUNCTION("""COMPUTED_VALUE"""),1247.47)</f>
        <v>1247.47</v>
      </c>
      <c r="D2751" s="2">
        <f>IFERROR(__xludf.DUMMYFUNCTION("""COMPUTED_VALUE"""),1227.93)</f>
        <v>1227.93</v>
      </c>
      <c r="E2751" s="2">
        <f>IFERROR(__xludf.DUMMYFUNCTION("""COMPUTED_VALUE"""),1244.38)</f>
        <v>1244.38</v>
      </c>
      <c r="F2751" s="2">
        <f>IFERROR(__xludf.DUMMYFUNCTION("""COMPUTED_VALUE"""),1565321.0)</f>
        <v>1565321</v>
      </c>
    </row>
    <row r="2752">
      <c r="A2752" s="3">
        <f>IFERROR(__xludf.DUMMYFUNCTION("""COMPUTED_VALUE"""),42297.64583333333)</f>
        <v>42297.64583</v>
      </c>
      <c r="B2752" s="2">
        <f>IFERROR(__xludf.DUMMYFUNCTION("""COMPUTED_VALUE"""),1248.13)</f>
        <v>1248.13</v>
      </c>
      <c r="C2752" s="2">
        <f>IFERROR(__xludf.DUMMYFUNCTION("""COMPUTED_VALUE"""),1265.0)</f>
        <v>1265</v>
      </c>
      <c r="D2752" s="2">
        <f>IFERROR(__xludf.DUMMYFUNCTION("""COMPUTED_VALUE"""),1247.8)</f>
        <v>1247.8</v>
      </c>
      <c r="E2752" s="2">
        <f>IFERROR(__xludf.DUMMYFUNCTION("""COMPUTED_VALUE"""),1263.38)</f>
        <v>1263.38</v>
      </c>
      <c r="F2752" s="2">
        <f>IFERROR(__xludf.DUMMYFUNCTION("""COMPUTED_VALUE"""),1347542.0)</f>
        <v>1347542</v>
      </c>
    </row>
    <row r="2753">
      <c r="A2753" s="3">
        <f>IFERROR(__xludf.DUMMYFUNCTION("""COMPUTED_VALUE"""),42298.64583333333)</f>
        <v>42298.64583</v>
      </c>
      <c r="B2753" s="2">
        <f>IFERROR(__xludf.DUMMYFUNCTION("""COMPUTED_VALUE"""),1267.5)</f>
        <v>1267.5</v>
      </c>
      <c r="C2753" s="2">
        <f>IFERROR(__xludf.DUMMYFUNCTION("""COMPUTED_VALUE"""),1271.0)</f>
        <v>1271</v>
      </c>
      <c r="D2753" s="2">
        <f>IFERROR(__xludf.DUMMYFUNCTION("""COMPUTED_VALUE"""),1261.13)</f>
        <v>1261.13</v>
      </c>
      <c r="E2753" s="2">
        <f>IFERROR(__xludf.DUMMYFUNCTION("""COMPUTED_VALUE"""),1265.0)</f>
        <v>1265</v>
      </c>
      <c r="F2753" s="2">
        <f>IFERROR(__xludf.DUMMYFUNCTION("""COMPUTED_VALUE"""),964844.0)</f>
        <v>964844</v>
      </c>
    </row>
    <row r="2754">
      <c r="A2754" s="3">
        <f>IFERROR(__xludf.DUMMYFUNCTION("""COMPUTED_VALUE"""),42300.64583333333)</f>
        <v>42300.64583</v>
      </c>
      <c r="B2754" s="2">
        <f>IFERROR(__xludf.DUMMYFUNCTION("""COMPUTED_VALUE"""),1274.0)</f>
        <v>1274</v>
      </c>
      <c r="C2754" s="2">
        <f>IFERROR(__xludf.DUMMYFUNCTION("""COMPUTED_VALUE"""),1274.0)</f>
        <v>1274</v>
      </c>
      <c r="D2754" s="2">
        <f>IFERROR(__xludf.DUMMYFUNCTION("""COMPUTED_VALUE"""),1263.65)</f>
        <v>1263.65</v>
      </c>
      <c r="E2754" s="2">
        <f>IFERROR(__xludf.DUMMYFUNCTION("""COMPUTED_VALUE"""),1268.58)</f>
        <v>1268.58</v>
      </c>
      <c r="F2754" s="2">
        <f>IFERROR(__xludf.DUMMYFUNCTION("""COMPUTED_VALUE"""),1167699.0)</f>
        <v>1167699</v>
      </c>
    </row>
    <row r="2755">
      <c r="A2755" s="3">
        <f>IFERROR(__xludf.DUMMYFUNCTION("""COMPUTED_VALUE"""),42303.64583333333)</f>
        <v>42303.64583</v>
      </c>
      <c r="B2755" s="2">
        <f>IFERROR(__xludf.DUMMYFUNCTION("""COMPUTED_VALUE"""),1274.5)</f>
        <v>1274.5</v>
      </c>
      <c r="C2755" s="2">
        <f>IFERROR(__xludf.DUMMYFUNCTION("""COMPUTED_VALUE"""),1274.5)</f>
        <v>1274.5</v>
      </c>
      <c r="D2755" s="2">
        <f>IFERROR(__xludf.DUMMYFUNCTION("""COMPUTED_VALUE"""),1257.55)</f>
        <v>1257.55</v>
      </c>
      <c r="E2755" s="2">
        <f>IFERROR(__xludf.DUMMYFUNCTION("""COMPUTED_VALUE"""),1268.28)</f>
        <v>1268.28</v>
      </c>
      <c r="F2755" s="2">
        <f>IFERROR(__xludf.DUMMYFUNCTION("""COMPUTED_VALUE"""),707315.0)</f>
        <v>707315</v>
      </c>
    </row>
    <row r="2756">
      <c r="A2756" s="3">
        <f>IFERROR(__xludf.DUMMYFUNCTION("""COMPUTED_VALUE"""),42304.64583333333)</f>
        <v>42304.64583</v>
      </c>
      <c r="B2756" s="2">
        <f>IFERROR(__xludf.DUMMYFUNCTION("""COMPUTED_VALUE"""),1265.03)</f>
        <v>1265.03</v>
      </c>
      <c r="C2756" s="2">
        <f>IFERROR(__xludf.DUMMYFUNCTION("""COMPUTED_VALUE"""),1272.45)</f>
        <v>1272.45</v>
      </c>
      <c r="D2756" s="2">
        <f>IFERROR(__xludf.DUMMYFUNCTION("""COMPUTED_VALUE"""),1260.18)</f>
        <v>1260.18</v>
      </c>
      <c r="E2756" s="2">
        <f>IFERROR(__xludf.DUMMYFUNCTION("""COMPUTED_VALUE"""),1265.55)</f>
        <v>1265.55</v>
      </c>
      <c r="F2756" s="2">
        <f>IFERROR(__xludf.DUMMYFUNCTION("""COMPUTED_VALUE"""),765210.0)</f>
        <v>765210</v>
      </c>
    </row>
    <row r="2757">
      <c r="A2757" s="3">
        <f>IFERROR(__xludf.DUMMYFUNCTION("""COMPUTED_VALUE"""),42305.64583333333)</f>
        <v>42305.64583</v>
      </c>
      <c r="B2757" s="2">
        <f>IFERROR(__xludf.DUMMYFUNCTION("""COMPUTED_VALUE"""),1255.03)</f>
        <v>1255.03</v>
      </c>
      <c r="C2757" s="2">
        <f>IFERROR(__xludf.DUMMYFUNCTION("""COMPUTED_VALUE"""),1266.78)</f>
        <v>1266.78</v>
      </c>
      <c r="D2757" s="2">
        <f>IFERROR(__xludf.DUMMYFUNCTION("""COMPUTED_VALUE"""),1255.03)</f>
        <v>1255.03</v>
      </c>
      <c r="E2757" s="2">
        <f>IFERROR(__xludf.DUMMYFUNCTION("""COMPUTED_VALUE"""),1264.55)</f>
        <v>1264.55</v>
      </c>
      <c r="F2757" s="2">
        <f>IFERROR(__xludf.DUMMYFUNCTION("""COMPUTED_VALUE"""),627671.0)</f>
        <v>627671</v>
      </c>
    </row>
    <row r="2758">
      <c r="A2758" s="3">
        <f>IFERROR(__xludf.DUMMYFUNCTION("""COMPUTED_VALUE"""),42306.64583333333)</f>
        <v>42306.64583</v>
      </c>
      <c r="B2758" s="2">
        <f>IFERROR(__xludf.DUMMYFUNCTION("""COMPUTED_VALUE"""),1266.78)</f>
        <v>1266.78</v>
      </c>
      <c r="C2758" s="2">
        <f>IFERROR(__xludf.DUMMYFUNCTION("""COMPUTED_VALUE"""),1267.7)</f>
        <v>1267.7</v>
      </c>
      <c r="D2758" s="2">
        <f>IFERROR(__xludf.DUMMYFUNCTION("""COMPUTED_VALUE"""),1245.03)</f>
        <v>1245.03</v>
      </c>
      <c r="E2758" s="2">
        <f>IFERROR(__xludf.DUMMYFUNCTION("""COMPUTED_VALUE"""),1247.68)</f>
        <v>1247.68</v>
      </c>
      <c r="F2758" s="2">
        <f>IFERROR(__xludf.DUMMYFUNCTION("""COMPUTED_VALUE"""),1565158.0)</f>
        <v>1565158</v>
      </c>
    </row>
    <row r="2759">
      <c r="A2759" s="3">
        <f>IFERROR(__xludf.DUMMYFUNCTION("""COMPUTED_VALUE"""),42307.64583333333)</f>
        <v>42307.64583</v>
      </c>
      <c r="B2759" s="2">
        <f>IFERROR(__xludf.DUMMYFUNCTION("""COMPUTED_VALUE"""),1250.0)</f>
        <v>1250</v>
      </c>
      <c r="C2759" s="2">
        <f>IFERROR(__xludf.DUMMYFUNCTION("""COMPUTED_VALUE"""),1255.95)</f>
        <v>1255.95</v>
      </c>
      <c r="D2759" s="2">
        <f>IFERROR(__xludf.DUMMYFUNCTION("""COMPUTED_VALUE"""),1242.5)</f>
        <v>1242.5</v>
      </c>
      <c r="E2759" s="2">
        <f>IFERROR(__xludf.DUMMYFUNCTION("""COMPUTED_VALUE"""),1247.6)</f>
        <v>1247.6</v>
      </c>
      <c r="F2759" s="2">
        <f>IFERROR(__xludf.DUMMYFUNCTION("""COMPUTED_VALUE"""),758348.0)</f>
        <v>758348</v>
      </c>
    </row>
    <row r="2760">
      <c r="A2760" s="3">
        <f>IFERROR(__xludf.DUMMYFUNCTION("""COMPUTED_VALUE"""),42310.64583333333)</f>
        <v>42310.64583</v>
      </c>
      <c r="B2760" s="2">
        <f>IFERROR(__xludf.DUMMYFUNCTION("""COMPUTED_VALUE"""),1250.0)</f>
        <v>1250</v>
      </c>
      <c r="C2760" s="2">
        <f>IFERROR(__xludf.DUMMYFUNCTION("""COMPUTED_VALUE"""),1261.4)</f>
        <v>1261.4</v>
      </c>
      <c r="D2760" s="2">
        <f>IFERROR(__xludf.DUMMYFUNCTION("""COMPUTED_VALUE"""),1243.78)</f>
        <v>1243.78</v>
      </c>
      <c r="E2760" s="2">
        <f>IFERROR(__xludf.DUMMYFUNCTION("""COMPUTED_VALUE"""),1258.68)</f>
        <v>1258.68</v>
      </c>
      <c r="F2760" s="2">
        <f>IFERROR(__xludf.DUMMYFUNCTION("""COMPUTED_VALUE"""),659647.0)</f>
        <v>659647</v>
      </c>
    </row>
    <row r="2761">
      <c r="A2761" s="3">
        <f>IFERROR(__xludf.DUMMYFUNCTION("""COMPUTED_VALUE"""),42311.64583333333)</f>
        <v>42311.64583</v>
      </c>
      <c r="B2761" s="2">
        <f>IFERROR(__xludf.DUMMYFUNCTION("""COMPUTED_VALUE"""),1264.0)</f>
        <v>1264</v>
      </c>
      <c r="C2761" s="2">
        <f>IFERROR(__xludf.DUMMYFUNCTION("""COMPUTED_VALUE"""),1273.9)</f>
        <v>1273.9</v>
      </c>
      <c r="D2761" s="2">
        <f>IFERROR(__xludf.DUMMYFUNCTION("""COMPUTED_VALUE"""),1259.25)</f>
        <v>1259.25</v>
      </c>
      <c r="E2761" s="2">
        <f>IFERROR(__xludf.DUMMYFUNCTION("""COMPUTED_VALUE"""),1271.72)</f>
        <v>1271.72</v>
      </c>
      <c r="F2761" s="2">
        <f>IFERROR(__xludf.DUMMYFUNCTION("""COMPUTED_VALUE"""),682453.0)</f>
        <v>682453</v>
      </c>
    </row>
    <row r="2762">
      <c r="A2762" s="3">
        <f>IFERROR(__xludf.DUMMYFUNCTION("""COMPUTED_VALUE"""),42312.64583333333)</f>
        <v>42312.64583</v>
      </c>
      <c r="B2762" s="2">
        <f>IFERROR(__xludf.DUMMYFUNCTION("""COMPUTED_VALUE"""),1272.5)</f>
        <v>1272.5</v>
      </c>
      <c r="C2762" s="2">
        <f>IFERROR(__xludf.DUMMYFUNCTION("""COMPUTED_VALUE"""),1273.6)</f>
        <v>1273.6</v>
      </c>
      <c r="D2762" s="2">
        <f>IFERROR(__xludf.DUMMYFUNCTION("""COMPUTED_VALUE"""),1260.0)</f>
        <v>1260</v>
      </c>
      <c r="E2762" s="2">
        <f>IFERROR(__xludf.DUMMYFUNCTION("""COMPUTED_VALUE"""),1266.9)</f>
        <v>1266.9</v>
      </c>
      <c r="F2762" s="2">
        <f>IFERROR(__xludf.DUMMYFUNCTION("""COMPUTED_VALUE"""),495717.0)</f>
        <v>495717</v>
      </c>
    </row>
    <row r="2763">
      <c r="A2763" s="3">
        <f>IFERROR(__xludf.DUMMYFUNCTION("""COMPUTED_VALUE"""),42313.64583333333)</f>
        <v>42313.64583</v>
      </c>
      <c r="B2763" s="2">
        <f>IFERROR(__xludf.DUMMYFUNCTION("""COMPUTED_VALUE"""),1265.4)</f>
        <v>1265.4</v>
      </c>
      <c r="C2763" s="2">
        <f>IFERROR(__xludf.DUMMYFUNCTION("""COMPUTED_VALUE"""),1267.47)</f>
        <v>1267.47</v>
      </c>
      <c r="D2763" s="2">
        <f>IFERROR(__xludf.DUMMYFUNCTION("""COMPUTED_VALUE"""),1240.0)</f>
        <v>1240</v>
      </c>
      <c r="E2763" s="2">
        <f>IFERROR(__xludf.DUMMYFUNCTION("""COMPUTED_VALUE"""),1241.33)</f>
        <v>1241.33</v>
      </c>
      <c r="F2763" s="2">
        <f>IFERROR(__xludf.DUMMYFUNCTION("""COMPUTED_VALUE"""),798049.0)</f>
        <v>798049</v>
      </c>
    </row>
    <row r="2764">
      <c r="A2764" s="3">
        <f>IFERROR(__xludf.DUMMYFUNCTION("""COMPUTED_VALUE"""),42314.64583333333)</f>
        <v>42314.64583</v>
      </c>
      <c r="B2764" s="2">
        <f>IFERROR(__xludf.DUMMYFUNCTION("""COMPUTED_VALUE"""),1246.0)</f>
        <v>1246</v>
      </c>
      <c r="C2764" s="2">
        <f>IFERROR(__xludf.DUMMYFUNCTION("""COMPUTED_VALUE"""),1259.13)</f>
        <v>1259.13</v>
      </c>
      <c r="D2764" s="2">
        <f>IFERROR(__xludf.DUMMYFUNCTION("""COMPUTED_VALUE"""),1241.72)</f>
        <v>1241.72</v>
      </c>
      <c r="E2764" s="2">
        <f>IFERROR(__xludf.DUMMYFUNCTION("""COMPUTED_VALUE"""),1252.88)</f>
        <v>1252.88</v>
      </c>
      <c r="F2764" s="2">
        <f>IFERROR(__xludf.DUMMYFUNCTION("""COMPUTED_VALUE"""),454012.0)</f>
        <v>454012</v>
      </c>
    </row>
    <row r="2765">
      <c r="A2765" s="3">
        <f>IFERROR(__xludf.DUMMYFUNCTION("""COMPUTED_VALUE"""),42317.64583333333)</f>
        <v>42317.64583</v>
      </c>
      <c r="B2765" s="2">
        <f>IFERROR(__xludf.DUMMYFUNCTION("""COMPUTED_VALUE"""),1247.5)</f>
        <v>1247.5</v>
      </c>
      <c r="C2765" s="2">
        <f>IFERROR(__xludf.DUMMYFUNCTION("""COMPUTED_VALUE"""),1251.38)</f>
        <v>1251.38</v>
      </c>
      <c r="D2765" s="2">
        <f>IFERROR(__xludf.DUMMYFUNCTION("""COMPUTED_VALUE"""),1234.3)</f>
        <v>1234.3</v>
      </c>
      <c r="E2765" s="2">
        <f>IFERROR(__xludf.DUMMYFUNCTION("""COMPUTED_VALUE"""),1235.68)</f>
        <v>1235.68</v>
      </c>
      <c r="F2765" s="2">
        <f>IFERROR(__xludf.DUMMYFUNCTION("""COMPUTED_VALUE"""),1010778.0)</f>
        <v>1010778</v>
      </c>
    </row>
    <row r="2766">
      <c r="A2766" s="3">
        <f>IFERROR(__xludf.DUMMYFUNCTION("""COMPUTED_VALUE"""),42318.64583333333)</f>
        <v>42318.64583</v>
      </c>
      <c r="B2766" s="2">
        <f>IFERROR(__xludf.DUMMYFUNCTION("""COMPUTED_VALUE"""),1236.47)</f>
        <v>1236.47</v>
      </c>
      <c r="C2766" s="2">
        <f>IFERROR(__xludf.DUMMYFUNCTION("""COMPUTED_VALUE"""),1238.5)</f>
        <v>1238.5</v>
      </c>
      <c r="D2766" s="2">
        <f>IFERROR(__xludf.DUMMYFUNCTION("""COMPUTED_VALUE"""),1225.0)</f>
        <v>1225</v>
      </c>
      <c r="E2766" s="2">
        <f>IFERROR(__xludf.DUMMYFUNCTION("""COMPUTED_VALUE"""),1229.08)</f>
        <v>1229.08</v>
      </c>
      <c r="F2766" s="2">
        <f>IFERROR(__xludf.DUMMYFUNCTION("""COMPUTED_VALUE"""),680960.0)</f>
        <v>680960</v>
      </c>
    </row>
    <row r="2767">
      <c r="A2767" s="3">
        <f>IFERROR(__xludf.DUMMYFUNCTION("""COMPUTED_VALUE"""),42321.64583333333)</f>
        <v>42321.64583</v>
      </c>
      <c r="B2767" s="2">
        <f>IFERROR(__xludf.DUMMYFUNCTION("""COMPUTED_VALUE"""),1219.03)</f>
        <v>1219.03</v>
      </c>
      <c r="C2767" s="2">
        <f>IFERROR(__xludf.DUMMYFUNCTION("""COMPUTED_VALUE"""),1219.03)</f>
        <v>1219.03</v>
      </c>
      <c r="D2767" s="2">
        <f>IFERROR(__xludf.DUMMYFUNCTION("""COMPUTED_VALUE"""),1193.28)</f>
        <v>1193.28</v>
      </c>
      <c r="E2767" s="2">
        <f>IFERROR(__xludf.DUMMYFUNCTION("""COMPUTED_VALUE"""),1198.7)</f>
        <v>1198.7</v>
      </c>
      <c r="F2767" s="2">
        <f>IFERROR(__xludf.DUMMYFUNCTION("""COMPUTED_VALUE"""),1371616.0)</f>
        <v>1371616</v>
      </c>
    </row>
    <row r="2768">
      <c r="A2768" s="3">
        <f>IFERROR(__xludf.DUMMYFUNCTION("""COMPUTED_VALUE"""),42324.64583333333)</f>
        <v>42324.64583</v>
      </c>
      <c r="B2768" s="2">
        <f>IFERROR(__xludf.DUMMYFUNCTION("""COMPUTED_VALUE"""),1195.0)</f>
        <v>1195</v>
      </c>
      <c r="C2768" s="2">
        <f>IFERROR(__xludf.DUMMYFUNCTION("""COMPUTED_VALUE"""),1195.0)</f>
        <v>1195</v>
      </c>
      <c r="D2768" s="2">
        <f>IFERROR(__xludf.DUMMYFUNCTION("""COMPUTED_VALUE"""),1178.0)</f>
        <v>1178</v>
      </c>
      <c r="E2768" s="2">
        <f>IFERROR(__xludf.DUMMYFUNCTION("""COMPUTED_VALUE"""),1187.3)</f>
        <v>1187.3</v>
      </c>
      <c r="F2768" s="2">
        <f>IFERROR(__xludf.DUMMYFUNCTION("""COMPUTED_VALUE"""),1021764.0)</f>
        <v>1021764</v>
      </c>
    </row>
    <row r="2769">
      <c r="A2769" s="3">
        <f>IFERROR(__xludf.DUMMYFUNCTION("""COMPUTED_VALUE"""),42325.64583333333)</f>
        <v>42325.64583</v>
      </c>
      <c r="B2769" s="2">
        <f>IFERROR(__xludf.DUMMYFUNCTION("""COMPUTED_VALUE"""),1190.25)</f>
        <v>1190.25</v>
      </c>
      <c r="C2769" s="2">
        <f>IFERROR(__xludf.DUMMYFUNCTION("""COMPUTED_VALUE"""),1199.22)</f>
        <v>1199.22</v>
      </c>
      <c r="D2769" s="2">
        <f>IFERROR(__xludf.DUMMYFUNCTION("""COMPUTED_VALUE"""),1187.5)</f>
        <v>1187.5</v>
      </c>
      <c r="E2769" s="2">
        <f>IFERROR(__xludf.DUMMYFUNCTION("""COMPUTED_VALUE"""),1195.28)</f>
        <v>1195.28</v>
      </c>
      <c r="F2769" s="2">
        <f>IFERROR(__xludf.DUMMYFUNCTION("""COMPUTED_VALUE"""),992514.0)</f>
        <v>992514</v>
      </c>
    </row>
    <row r="2770">
      <c r="A2770" s="3">
        <f>IFERROR(__xludf.DUMMYFUNCTION("""COMPUTED_VALUE"""),42326.64583333333)</f>
        <v>42326.64583</v>
      </c>
      <c r="B2770" s="2">
        <f>IFERROR(__xludf.DUMMYFUNCTION("""COMPUTED_VALUE"""),1194.45)</f>
        <v>1194.45</v>
      </c>
      <c r="C2770" s="2">
        <f>IFERROR(__xludf.DUMMYFUNCTION("""COMPUTED_VALUE"""),1194.45)</f>
        <v>1194.45</v>
      </c>
      <c r="D2770" s="2">
        <f>IFERROR(__xludf.DUMMYFUNCTION("""COMPUTED_VALUE"""),1173.0)</f>
        <v>1173</v>
      </c>
      <c r="E2770" s="2">
        <f>IFERROR(__xludf.DUMMYFUNCTION("""COMPUTED_VALUE"""),1175.72)</f>
        <v>1175.72</v>
      </c>
      <c r="F2770" s="2">
        <f>IFERROR(__xludf.DUMMYFUNCTION("""COMPUTED_VALUE"""),760176.0)</f>
        <v>760176</v>
      </c>
    </row>
    <row r="2771">
      <c r="A2771" s="3">
        <f>IFERROR(__xludf.DUMMYFUNCTION("""COMPUTED_VALUE"""),42327.64583333333)</f>
        <v>42327.64583</v>
      </c>
      <c r="B2771" s="2">
        <f>IFERROR(__xludf.DUMMYFUNCTION("""COMPUTED_VALUE"""),1182.68)</f>
        <v>1182.68</v>
      </c>
      <c r="C2771" s="2">
        <f>IFERROR(__xludf.DUMMYFUNCTION("""COMPUTED_VALUE"""),1190.8)</f>
        <v>1190.8</v>
      </c>
      <c r="D2771" s="2">
        <f>IFERROR(__xludf.DUMMYFUNCTION("""COMPUTED_VALUE"""),1176.0)</f>
        <v>1176</v>
      </c>
      <c r="E2771" s="2">
        <f>IFERROR(__xludf.DUMMYFUNCTION("""COMPUTED_VALUE"""),1181.28)</f>
        <v>1181.28</v>
      </c>
      <c r="F2771" s="2">
        <f>IFERROR(__xludf.DUMMYFUNCTION("""COMPUTED_VALUE"""),933453.0)</f>
        <v>933453</v>
      </c>
    </row>
    <row r="2772">
      <c r="A2772" s="3">
        <f>IFERROR(__xludf.DUMMYFUNCTION("""COMPUTED_VALUE"""),42328.64583333333)</f>
        <v>42328.64583</v>
      </c>
      <c r="B2772" s="2">
        <f>IFERROR(__xludf.DUMMYFUNCTION("""COMPUTED_VALUE"""),1183.25)</f>
        <v>1183.25</v>
      </c>
      <c r="C2772" s="2">
        <f>IFERROR(__xludf.DUMMYFUNCTION("""COMPUTED_VALUE"""),1211.78)</f>
        <v>1211.78</v>
      </c>
      <c r="D2772" s="2">
        <f>IFERROR(__xludf.DUMMYFUNCTION("""COMPUTED_VALUE"""),1180.97)</f>
        <v>1180.97</v>
      </c>
      <c r="E2772" s="2">
        <f>IFERROR(__xludf.DUMMYFUNCTION("""COMPUTED_VALUE"""),1199.18)</f>
        <v>1199.18</v>
      </c>
      <c r="F2772" s="2">
        <f>IFERROR(__xludf.DUMMYFUNCTION("""COMPUTED_VALUE"""),1006063.0)</f>
        <v>1006063</v>
      </c>
    </row>
    <row r="2773">
      <c r="A2773" s="3">
        <f>IFERROR(__xludf.DUMMYFUNCTION("""COMPUTED_VALUE"""),42331.64583333333)</f>
        <v>42331.64583</v>
      </c>
      <c r="B2773" s="2">
        <f>IFERROR(__xludf.DUMMYFUNCTION("""COMPUTED_VALUE"""),1202.65)</f>
        <v>1202.65</v>
      </c>
      <c r="C2773" s="2">
        <f>IFERROR(__xludf.DUMMYFUNCTION("""COMPUTED_VALUE"""),1206.7)</f>
        <v>1206.7</v>
      </c>
      <c r="D2773" s="2">
        <f>IFERROR(__xludf.DUMMYFUNCTION("""COMPUTED_VALUE"""),1191.13)</f>
        <v>1191.13</v>
      </c>
      <c r="E2773" s="2">
        <f>IFERROR(__xludf.DUMMYFUNCTION("""COMPUTED_VALUE"""),1195.53)</f>
        <v>1195.53</v>
      </c>
      <c r="F2773" s="2">
        <f>IFERROR(__xludf.DUMMYFUNCTION("""COMPUTED_VALUE"""),544041.0)</f>
        <v>544041</v>
      </c>
    </row>
    <row r="2774">
      <c r="A2774" s="3">
        <f>IFERROR(__xludf.DUMMYFUNCTION("""COMPUTED_VALUE"""),42332.64583333333)</f>
        <v>42332.64583</v>
      </c>
      <c r="B2774" s="2">
        <f>IFERROR(__xludf.DUMMYFUNCTION("""COMPUTED_VALUE"""),1190.03)</f>
        <v>1190.03</v>
      </c>
      <c r="C2774" s="2">
        <f>IFERROR(__xludf.DUMMYFUNCTION("""COMPUTED_VALUE"""),1196.22)</f>
        <v>1196.22</v>
      </c>
      <c r="D2774" s="2">
        <f>IFERROR(__xludf.DUMMYFUNCTION("""COMPUTED_VALUE"""),1182.75)</f>
        <v>1182.75</v>
      </c>
      <c r="E2774" s="2">
        <f>IFERROR(__xludf.DUMMYFUNCTION("""COMPUTED_VALUE"""),1183.97)</f>
        <v>1183.97</v>
      </c>
      <c r="F2774" s="2">
        <f>IFERROR(__xludf.DUMMYFUNCTION("""COMPUTED_VALUE"""),499320.0)</f>
        <v>499320</v>
      </c>
    </row>
    <row r="2775">
      <c r="A2775" s="3">
        <f>IFERROR(__xludf.DUMMYFUNCTION("""COMPUTED_VALUE"""),42334.64583333333)</f>
        <v>42334.64583</v>
      </c>
      <c r="B2775" s="2">
        <f>IFERROR(__xludf.DUMMYFUNCTION("""COMPUTED_VALUE"""),1188.95)</f>
        <v>1188.95</v>
      </c>
      <c r="C2775" s="2">
        <f>IFERROR(__xludf.DUMMYFUNCTION("""COMPUTED_VALUE"""),1191.2)</f>
        <v>1191.2</v>
      </c>
      <c r="D2775" s="2">
        <f>IFERROR(__xludf.DUMMYFUNCTION("""COMPUTED_VALUE"""),1168.93)</f>
        <v>1168.93</v>
      </c>
      <c r="E2775" s="2">
        <f>IFERROR(__xludf.DUMMYFUNCTION("""COMPUTED_VALUE"""),1172.78)</f>
        <v>1172.78</v>
      </c>
      <c r="F2775" s="2">
        <f>IFERROR(__xludf.DUMMYFUNCTION("""COMPUTED_VALUE"""),1457646.0)</f>
        <v>1457646</v>
      </c>
    </row>
    <row r="2776">
      <c r="A2776" s="3">
        <f>IFERROR(__xludf.DUMMYFUNCTION("""COMPUTED_VALUE"""),42335.64583333333)</f>
        <v>42335.64583</v>
      </c>
      <c r="B2776" s="2">
        <f>IFERROR(__xludf.DUMMYFUNCTION("""COMPUTED_VALUE"""),1174.0)</f>
        <v>1174</v>
      </c>
      <c r="C2776" s="2">
        <f>IFERROR(__xludf.DUMMYFUNCTION("""COMPUTED_VALUE"""),1179.72)</f>
        <v>1179.72</v>
      </c>
      <c r="D2776" s="2">
        <f>IFERROR(__xludf.DUMMYFUNCTION("""COMPUTED_VALUE"""),1166.25)</f>
        <v>1166.25</v>
      </c>
      <c r="E2776" s="2">
        <f>IFERROR(__xludf.DUMMYFUNCTION("""COMPUTED_VALUE"""),1176.68)</f>
        <v>1176.68</v>
      </c>
      <c r="F2776" s="2">
        <f>IFERROR(__xludf.DUMMYFUNCTION("""COMPUTED_VALUE"""),868603.0)</f>
        <v>868603</v>
      </c>
    </row>
    <row r="2777">
      <c r="A2777" s="3">
        <f>IFERROR(__xludf.DUMMYFUNCTION("""COMPUTED_VALUE"""),42338.64583333333)</f>
        <v>42338.64583</v>
      </c>
      <c r="B2777" s="2">
        <f>IFERROR(__xludf.DUMMYFUNCTION("""COMPUTED_VALUE"""),1182.5)</f>
        <v>1182.5</v>
      </c>
      <c r="C2777" s="2">
        <f>IFERROR(__xludf.DUMMYFUNCTION("""COMPUTED_VALUE"""),1195.63)</f>
        <v>1195.63</v>
      </c>
      <c r="D2777" s="2">
        <f>IFERROR(__xludf.DUMMYFUNCTION("""COMPUTED_VALUE"""),1175.08)</f>
        <v>1175.08</v>
      </c>
      <c r="E2777" s="2">
        <f>IFERROR(__xludf.DUMMYFUNCTION("""COMPUTED_VALUE"""),1186.78)</f>
        <v>1186.78</v>
      </c>
      <c r="F2777" s="2">
        <f>IFERROR(__xludf.DUMMYFUNCTION("""COMPUTED_VALUE"""),2050024.0)</f>
        <v>2050024</v>
      </c>
    </row>
    <row r="2778">
      <c r="A2778" s="3">
        <f>IFERROR(__xludf.DUMMYFUNCTION("""COMPUTED_VALUE"""),42339.64583333333)</f>
        <v>42339.64583</v>
      </c>
      <c r="B2778" s="2">
        <f>IFERROR(__xludf.DUMMYFUNCTION("""COMPUTED_VALUE"""),1181.45)</f>
        <v>1181.45</v>
      </c>
      <c r="C2778" s="2">
        <f>IFERROR(__xludf.DUMMYFUNCTION("""COMPUTED_VALUE"""),1189.03)</f>
        <v>1189.03</v>
      </c>
      <c r="D2778" s="2">
        <f>IFERROR(__xludf.DUMMYFUNCTION("""COMPUTED_VALUE"""),1178.53)</f>
        <v>1178.53</v>
      </c>
      <c r="E2778" s="2">
        <f>IFERROR(__xludf.DUMMYFUNCTION("""COMPUTED_VALUE"""),1180.95)</f>
        <v>1180.95</v>
      </c>
      <c r="F2778" s="2">
        <f>IFERROR(__xludf.DUMMYFUNCTION("""COMPUTED_VALUE"""),860997.0)</f>
        <v>860997</v>
      </c>
    </row>
    <row r="2779">
      <c r="A2779" s="3">
        <f>IFERROR(__xludf.DUMMYFUNCTION("""COMPUTED_VALUE"""),42340.64583333333)</f>
        <v>42340.64583</v>
      </c>
      <c r="B2779" s="2">
        <f>IFERROR(__xludf.DUMMYFUNCTION("""COMPUTED_VALUE"""),1189.0)</f>
        <v>1189</v>
      </c>
      <c r="C2779" s="2">
        <f>IFERROR(__xludf.DUMMYFUNCTION("""COMPUTED_VALUE"""),1189.05)</f>
        <v>1189.05</v>
      </c>
      <c r="D2779" s="2">
        <f>IFERROR(__xludf.DUMMYFUNCTION("""COMPUTED_VALUE"""),1173.25)</f>
        <v>1173.25</v>
      </c>
      <c r="E2779" s="2">
        <f>IFERROR(__xludf.DUMMYFUNCTION("""COMPUTED_VALUE"""),1182.6)</f>
        <v>1182.6</v>
      </c>
      <c r="F2779" s="2">
        <f>IFERROR(__xludf.DUMMYFUNCTION("""COMPUTED_VALUE"""),820148.0)</f>
        <v>820148</v>
      </c>
    </row>
    <row r="2780">
      <c r="A2780" s="3">
        <f>IFERROR(__xludf.DUMMYFUNCTION("""COMPUTED_VALUE"""),42341.64583333333)</f>
        <v>42341.64583</v>
      </c>
      <c r="B2780" s="2">
        <f>IFERROR(__xludf.DUMMYFUNCTION("""COMPUTED_VALUE"""),1180.0)</f>
        <v>1180</v>
      </c>
      <c r="C2780" s="2">
        <f>IFERROR(__xludf.DUMMYFUNCTION("""COMPUTED_VALUE"""),1186.5)</f>
        <v>1186.5</v>
      </c>
      <c r="D2780" s="2">
        <f>IFERROR(__xludf.DUMMYFUNCTION("""COMPUTED_VALUE"""),1173.5)</f>
        <v>1173.5</v>
      </c>
      <c r="E2780" s="2">
        <f>IFERROR(__xludf.DUMMYFUNCTION("""COMPUTED_VALUE"""),1175.38)</f>
        <v>1175.38</v>
      </c>
      <c r="F2780" s="2">
        <f>IFERROR(__xludf.DUMMYFUNCTION("""COMPUTED_VALUE"""),1141679.0)</f>
        <v>1141679</v>
      </c>
    </row>
    <row r="2781">
      <c r="A2781" s="3">
        <f>IFERROR(__xludf.DUMMYFUNCTION("""COMPUTED_VALUE"""),42342.64583333333)</f>
        <v>42342.64583</v>
      </c>
      <c r="B2781" s="2">
        <f>IFERROR(__xludf.DUMMYFUNCTION("""COMPUTED_VALUE"""),1170.0)</f>
        <v>1170</v>
      </c>
      <c r="C2781" s="2">
        <f>IFERROR(__xludf.DUMMYFUNCTION("""COMPUTED_VALUE"""),1173.65)</f>
        <v>1173.65</v>
      </c>
      <c r="D2781" s="2">
        <f>IFERROR(__xludf.DUMMYFUNCTION("""COMPUTED_VALUE"""),1160.55)</f>
        <v>1160.55</v>
      </c>
      <c r="E2781" s="2">
        <f>IFERROR(__xludf.DUMMYFUNCTION("""COMPUTED_VALUE"""),1164.2)</f>
        <v>1164.2</v>
      </c>
      <c r="F2781" s="2">
        <f>IFERROR(__xludf.DUMMYFUNCTION("""COMPUTED_VALUE"""),623046.0)</f>
        <v>623046</v>
      </c>
    </row>
    <row r="2782">
      <c r="A2782" s="3">
        <f>IFERROR(__xludf.DUMMYFUNCTION("""COMPUTED_VALUE"""),42345.64583333333)</f>
        <v>42345.64583</v>
      </c>
      <c r="B2782" s="2">
        <f>IFERROR(__xludf.DUMMYFUNCTION("""COMPUTED_VALUE"""),1166.1)</f>
        <v>1166.1</v>
      </c>
      <c r="C2782" s="2">
        <f>IFERROR(__xludf.DUMMYFUNCTION("""COMPUTED_VALUE"""),1171.95)</f>
        <v>1171.95</v>
      </c>
      <c r="D2782" s="2">
        <f>IFERROR(__xludf.DUMMYFUNCTION("""COMPUTED_VALUE"""),1157.63)</f>
        <v>1157.63</v>
      </c>
      <c r="E2782" s="2">
        <f>IFERROR(__xludf.DUMMYFUNCTION("""COMPUTED_VALUE"""),1159.9)</f>
        <v>1159.9</v>
      </c>
      <c r="F2782" s="2">
        <f>IFERROR(__xludf.DUMMYFUNCTION("""COMPUTED_VALUE"""),691302.0)</f>
        <v>691302</v>
      </c>
    </row>
    <row r="2783">
      <c r="A2783" s="3">
        <f>IFERROR(__xludf.DUMMYFUNCTION("""COMPUTED_VALUE"""),42346.64583333333)</f>
        <v>42346.64583</v>
      </c>
      <c r="B2783" s="2">
        <f>IFERROR(__xludf.DUMMYFUNCTION("""COMPUTED_VALUE"""),1159.7)</f>
        <v>1159.7</v>
      </c>
      <c r="C2783" s="2">
        <f>IFERROR(__xludf.DUMMYFUNCTION("""COMPUTED_VALUE"""),1174.5)</f>
        <v>1174.5</v>
      </c>
      <c r="D2783" s="2">
        <f>IFERROR(__xludf.DUMMYFUNCTION("""COMPUTED_VALUE"""),1158.65)</f>
        <v>1158.65</v>
      </c>
      <c r="E2783" s="2">
        <f>IFERROR(__xludf.DUMMYFUNCTION("""COMPUTED_VALUE"""),1164.5)</f>
        <v>1164.5</v>
      </c>
      <c r="F2783" s="2">
        <f>IFERROR(__xludf.DUMMYFUNCTION("""COMPUTED_VALUE"""),569982.0)</f>
        <v>569982</v>
      </c>
    </row>
    <row r="2784">
      <c r="A2784" s="3">
        <f>IFERROR(__xludf.DUMMYFUNCTION("""COMPUTED_VALUE"""),42347.64583333333)</f>
        <v>42347.64583</v>
      </c>
      <c r="B2784" s="2">
        <f>IFERROR(__xludf.DUMMYFUNCTION("""COMPUTED_VALUE"""),1168.95)</f>
        <v>1168.95</v>
      </c>
      <c r="C2784" s="2">
        <f>IFERROR(__xludf.DUMMYFUNCTION("""COMPUTED_VALUE"""),1186.4)</f>
        <v>1186.4</v>
      </c>
      <c r="D2784" s="2">
        <f>IFERROR(__xludf.DUMMYFUNCTION("""COMPUTED_VALUE"""),1160.0)</f>
        <v>1160</v>
      </c>
      <c r="E2784" s="2">
        <f>IFERROR(__xludf.DUMMYFUNCTION("""COMPUTED_VALUE"""),1183.83)</f>
        <v>1183.83</v>
      </c>
      <c r="F2784" s="2">
        <f>IFERROR(__xludf.DUMMYFUNCTION("""COMPUTED_VALUE"""),2641403.0)</f>
        <v>2641403</v>
      </c>
    </row>
    <row r="2785">
      <c r="A2785" s="3">
        <f>IFERROR(__xludf.DUMMYFUNCTION("""COMPUTED_VALUE"""),42348.64583333333)</f>
        <v>42348.64583</v>
      </c>
      <c r="B2785" s="2">
        <f>IFERROR(__xludf.DUMMYFUNCTION("""COMPUTED_VALUE"""),1184.5)</f>
        <v>1184.5</v>
      </c>
      <c r="C2785" s="2">
        <f>IFERROR(__xludf.DUMMYFUNCTION("""COMPUTED_VALUE"""),1195.6)</f>
        <v>1195.6</v>
      </c>
      <c r="D2785" s="2">
        <f>IFERROR(__xludf.DUMMYFUNCTION("""COMPUTED_VALUE"""),1176.0)</f>
        <v>1176</v>
      </c>
      <c r="E2785" s="2">
        <f>IFERROR(__xludf.DUMMYFUNCTION("""COMPUTED_VALUE"""),1192.28)</f>
        <v>1192.28</v>
      </c>
      <c r="F2785" s="2">
        <f>IFERROR(__xludf.DUMMYFUNCTION("""COMPUTED_VALUE"""),861994.0)</f>
        <v>861994</v>
      </c>
    </row>
    <row r="2786">
      <c r="A2786" s="3">
        <f>IFERROR(__xludf.DUMMYFUNCTION("""COMPUTED_VALUE"""),42349.64583333333)</f>
        <v>42349.64583</v>
      </c>
      <c r="B2786" s="2">
        <f>IFERROR(__xludf.DUMMYFUNCTION("""COMPUTED_VALUE"""),1191.5)</f>
        <v>1191.5</v>
      </c>
      <c r="C2786" s="2">
        <f>IFERROR(__xludf.DUMMYFUNCTION("""COMPUTED_VALUE"""),1195.97)</f>
        <v>1195.97</v>
      </c>
      <c r="D2786" s="2">
        <f>IFERROR(__xludf.DUMMYFUNCTION("""COMPUTED_VALUE"""),1181.63)</f>
        <v>1181.63</v>
      </c>
      <c r="E2786" s="2">
        <f>IFERROR(__xludf.DUMMYFUNCTION("""COMPUTED_VALUE"""),1193.0)</f>
        <v>1193</v>
      </c>
      <c r="F2786" s="2">
        <f>IFERROR(__xludf.DUMMYFUNCTION("""COMPUTED_VALUE"""),826189.0)</f>
        <v>826189</v>
      </c>
    </row>
    <row r="2787">
      <c r="A2787" s="3">
        <f>IFERROR(__xludf.DUMMYFUNCTION("""COMPUTED_VALUE"""),42352.64583333333)</f>
        <v>42352.64583</v>
      </c>
      <c r="B2787" s="2">
        <f>IFERROR(__xludf.DUMMYFUNCTION("""COMPUTED_VALUE"""),1167.6)</f>
        <v>1167.6</v>
      </c>
      <c r="C2787" s="2">
        <f>IFERROR(__xludf.DUMMYFUNCTION("""COMPUTED_VALUE"""),1193.5)</f>
        <v>1193.5</v>
      </c>
      <c r="D2787" s="2">
        <f>IFERROR(__xludf.DUMMYFUNCTION("""COMPUTED_VALUE"""),1165.3)</f>
        <v>1165.3</v>
      </c>
      <c r="E2787" s="2">
        <f>IFERROR(__xludf.DUMMYFUNCTION("""COMPUTED_VALUE"""),1189.22)</f>
        <v>1189.22</v>
      </c>
      <c r="F2787" s="2">
        <f>IFERROR(__xludf.DUMMYFUNCTION("""COMPUTED_VALUE"""),1359266.0)</f>
        <v>1359266</v>
      </c>
    </row>
    <row r="2788">
      <c r="A2788" s="3">
        <f>IFERROR(__xludf.DUMMYFUNCTION("""COMPUTED_VALUE"""),42353.64583333333)</f>
        <v>42353.64583</v>
      </c>
      <c r="B2788" s="2">
        <f>IFERROR(__xludf.DUMMYFUNCTION("""COMPUTED_VALUE"""),1189.22)</f>
        <v>1189.22</v>
      </c>
      <c r="C2788" s="2">
        <f>IFERROR(__xludf.DUMMYFUNCTION("""COMPUTED_VALUE"""),1192.5)</f>
        <v>1192.5</v>
      </c>
      <c r="D2788" s="2">
        <f>IFERROR(__xludf.DUMMYFUNCTION("""COMPUTED_VALUE"""),1181.53)</f>
        <v>1181.53</v>
      </c>
      <c r="E2788" s="2">
        <f>IFERROR(__xludf.DUMMYFUNCTION("""COMPUTED_VALUE"""),1187.93)</f>
        <v>1187.93</v>
      </c>
      <c r="F2788" s="2">
        <f>IFERROR(__xludf.DUMMYFUNCTION("""COMPUTED_VALUE"""),567934.0)</f>
        <v>567934</v>
      </c>
    </row>
    <row r="2789">
      <c r="A2789" s="3">
        <f>IFERROR(__xludf.DUMMYFUNCTION("""COMPUTED_VALUE"""),42354.64583333333)</f>
        <v>42354.64583</v>
      </c>
      <c r="B2789" s="2">
        <f>IFERROR(__xludf.DUMMYFUNCTION("""COMPUTED_VALUE"""),1192.0)</f>
        <v>1192</v>
      </c>
      <c r="C2789" s="2">
        <f>IFERROR(__xludf.DUMMYFUNCTION("""COMPUTED_VALUE"""),1207.25)</f>
        <v>1207.25</v>
      </c>
      <c r="D2789" s="2">
        <f>IFERROR(__xludf.DUMMYFUNCTION("""COMPUTED_VALUE"""),1192.0)</f>
        <v>1192</v>
      </c>
      <c r="E2789" s="2">
        <f>IFERROR(__xludf.DUMMYFUNCTION("""COMPUTED_VALUE"""),1204.2)</f>
        <v>1204.2</v>
      </c>
      <c r="F2789" s="2">
        <f>IFERROR(__xludf.DUMMYFUNCTION("""COMPUTED_VALUE"""),717967.0)</f>
        <v>717967</v>
      </c>
    </row>
    <row r="2790">
      <c r="A2790" s="3">
        <f>IFERROR(__xludf.DUMMYFUNCTION("""COMPUTED_VALUE"""),42355.64583333333)</f>
        <v>42355.64583</v>
      </c>
      <c r="B2790" s="2">
        <f>IFERROR(__xludf.DUMMYFUNCTION("""COMPUTED_VALUE"""),1207.5)</f>
        <v>1207.5</v>
      </c>
      <c r="C2790" s="2">
        <f>IFERROR(__xludf.DUMMYFUNCTION("""COMPUTED_VALUE"""),1222.5)</f>
        <v>1222.5</v>
      </c>
      <c r="D2790" s="2">
        <f>IFERROR(__xludf.DUMMYFUNCTION("""COMPUTED_VALUE"""),1196.68)</f>
        <v>1196.68</v>
      </c>
      <c r="E2790" s="2">
        <f>IFERROR(__xludf.DUMMYFUNCTION("""COMPUTED_VALUE"""),1219.88)</f>
        <v>1219.88</v>
      </c>
      <c r="F2790" s="2">
        <f>IFERROR(__xludf.DUMMYFUNCTION("""COMPUTED_VALUE"""),809422.0)</f>
        <v>809422</v>
      </c>
    </row>
    <row r="2791">
      <c r="A2791" s="3">
        <f>IFERROR(__xludf.DUMMYFUNCTION("""COMPUTED_VALUE"""),42356.64583333333)</f>
        <v>42356.64583</v>
      </c>
      <c r="B2791" s="2">
        <f>IFERROR(__xludf.DUMMYFUNCTION("""COMPUTED_VALUE"""),1210.0)</f>
        <v>1210</v>
      </c>
      <c r="C2791" s="2">
        <f>IFERROR(__xludf.DUMMYFUNCTION("""COMPUTED_VALUE"""),1217.1)</f>
        <v>1217.1</v>
      </c>
      <c r="D2791" s="2">
        <f>IFERROR(__xludf.DUMMYFUNCTION("""COMPUTED_VALUE"""),1200.33)</f>
        <v>1200.33</v>
      </c>
      <c r="E2791" s="2">
        <f>IFERROR(__xludf.DUMMYFUNCTION("""COMPUTED_VALUE"""),1208.4)</f>
        <v>1208.4</v>
      </c>
      <c r="F2791" s="2">
        <f>IFERROR(__xludf.DUMMYFUNCTION("""COMPUTED_VALUE"""),1512485.0)</f>
        <v>1512485</v>
      </c>
    </row>
    <row r="2792">
      <c r="A2792" s="3">
        <f>IFERROR(__xludf.DUMMYFUNCTION("""COMPUTED_VALUE"""),42359.64583333333)</f>
        <v>42359.64583</v>
      </c>
      <c r="B2792" s="2">
        <f>IFERROR(__xludf.DUMMYFUNCTION("""COMPUTED_VALUE"""),1209.97)</f>
        <v>1209.97</v>
      </c>
      <c r="C2792" s="2">
        <f>IFERROR(__xludf.DUMMYFUNCTION("""COMPUTED_VALUE"""),1225.0)</f>
        <v>1225</v>
      </c>
      <c r="D2792" s="2">
        <f>IFERROR(__xludf.DUMMYFUNCTION("""COMPUTED_VALUE"""),1203.43)</f>
        <v>1203.43</v>
      </c>
      <c r="E2792" s="2">
        <f>IFERROR(__xludf.DUMMYFUNCTION("""COMPUTED_VALUE"""),1223.2)</f>
        <v>1223.2</v>
      </c>
      <c r="F2792" s="2">
        <f>IFERROR(__xludf.DUMMYFUNCTION("""COMPUTED_VALUE"""),805052.0)</f>
        <v>805052</v>
      </c>
    </row>
    <row r="2793">
      <c r="A2793" s="3">
        <f>IFERROR(__xludf.DUMMYFUNCTION("""COMPUTED_VALUE"""),42360.64583333333)</f>
        <v>42360.64583</v>
      </c>
      <c r="B2793" s="2">
        <f>IFERROR(__xludf.DUMMYFUNCTION("""COMPUTED_VALUE"""),1220.0)</f>
        <v>1220</v>
      </c>
      <c r="C2793" s="2">
        <f>IFERROR(__xludf.DUMMYFUNCTION("""COMPUTED_VALUE"""),1220.0)</f>
        <v>1220</v>
      </c>
      <c r="D2793" s="2">
        <f>IFERROR(__xludf.DUMMYFUNCTION("""COMPUTED_VALUE"""),1200.0)</f>
        <v>1200</v>
      </c>
      <c r="E2793" s="2">
        <f>IFERROR(__xludf.DUMMYFUNCTION("""COMPUTED_VALUE"""),1202.53)</f>
        <v>1202.53</v>
      </c>
      <c r="F2793" s="2">
        <f>IFERROR(__xludf.DUMMYFUNCTION("""COMPUTED_VALUE"""),780429.0)</f>
        <v>780429</v>
      </c>
    </row>
    <row r="2794">
      <c r="A2794" s="3">
        <f>IFERROR(__xludf.DUMMYFUNCTION("""COMPUTED_VALUE"""),42361.64583333333)</f>
        <v>42361.64583</v>
      </c>
      <c r="B2794" s="2">
        <f>IFERROR(__xludf.DUMMYFUNCTION("""COMPUTED_VALUE"""),1207.5)</f>
        <v>1207.5</v>
      </c>
      <c r="C2794" s="2">
        <f>IFERROR(__xludf.DUMMYFUNCTION("""COMPUTED_VALUE"""),1217.5)</f>
        <v>1217.5</v>
      </c>
      <c r="D2794" s="2">
        <f>IFERROR(__xludf.DUMMYFUNCTION("""COMPUTED_VALUE"""),1205.28)</f>
        <v>1205.28</v>
      </c>
      <c r="E2794" s="2">
        <f>IFERROR(__xludf.DUMMYFUNCTION("""COMPUTED_VALUE"""),1212.9)</f>
        <v>1212.9</v>
      </c>
      <c r="F2794" s="2">
        <f>IFERROR(__xludf.DUMMYFUNCTION("""COMPUTED_VALUE"""),424917.0)</f>
        <v>424917</v>
      </c>
    </row>
    <row r="2795">
      <c r="A2795" s="3">
        <f>IFERROR(__xludf.DUMMYFUNCTION("""COMPUTED_VALUE"""),42362.64583333333)</f>
        <v>42362.64583</v>
      </c>
      <c r="B2795" s="2">
        <f>IFERROR(__xludf.DUMMYFUNCTION("""COMPUTED_VALUE"""),1210.5)</f>
        <v>1210.5</v>
      </c>
      <c r="C2795" s="2">
        <f>IFERROR(__xludf.DUMMYFUNCTION("""COMPUTED_VALUE"""),1219.1)</f>
        <v>1219.1</v>
      </c>
      <c r="D2795" s="2">
        <f>IFERROR(__xludf.DUMMYFUNCTION("""COMPUTED_VALUE"""),1202.0)</f>
        <v>1202</v>
      </c>
      <c r="E2795" s="2">
        <f>IFERROR(__xludf.DUMMYFUNCTION("""COMPUTED_VALUE"""),1217.13)</f>
        <v>1217.13</v>
      </c>
      <c r="F2795" s="2">
        <f>IFERROR(__xludf.DUMMYFUNCTION("""COMPUTED_VALUE"""),421580.0)</f>
        <v>421580</v>
      </c>
    </row>
    <row r="2796">
      <c r="A2796" s="3">
        <f>IFERROR(__xludf.DUMMYFUNCTION("""COMPUTED_VALUE"""),42366.64583333333)</f>
        <v>42366.64583</v>
      </c>
      <c r="B2796" s="2">
        <f>IFERROR(__xludf.DUMMYFUNCTION("""COMPUTED_VALUE"""),1214.0)</f>
        <v>1214</v>
      </c>
      <c r="C2796" s="2">
        <f>IFERROR(__xludf.DUMMYFUNCTION("""COMPUTED_VALUE"""),1233.2)</f>
        <v>1233.2</v>
      </c>
      <c r="D2796" s="2">
        <f>IFERROR(__xludf.DUMMYFUNCTION("""COMPUTED_VALUE"""),1210.1)</f>
        <v>1210.1</v>
      </c>
      <c r="E2796" s="2">
        <f>IFERROR(__xludf.DUMMYFUNCTION("""COMPUTED_VALUE"""),1231.35)</f>
        <v>1231.35</v>
      </c>
      <c r="F2796" s="2">
        <f>IFERROR(__xludf.DUMMYFUNCTION("""COMPUTED_VALUE"""),1852099.0)</f>
        <v>1852099</v>
      </c>
    </row>
    <row r="2797">
      <c r="A2797" s="3">
        <f>IFERROR(__xludf.DUMMYFUNCTION("""COMPUTED_VALUE"""),42367.64583333333)</f>
        <v>42367.64583</v>
      </c>
      <c r="B2797" s="2">
        <f>IFERROR(__xludf.DUMMYFUNCTION("""COMPUTED_VALUE"""),1229.18)</f>
        <v>1229.18</v>
      </c>
      <c r="C2797" s="2">
        <f>IFERROR(__xludf.DUMMYFUNCTION("""COMPUTED_VALUE"""),1232.65)</f>
        <v>1232.65</v>
      </c>
      <c r="D2797" s="2">
        <f>IFERROR(__xludf.DUMMYFUNCTION("""COMPUTED_VALUE"""),1222.88)</f>
        <v>1222.88</v>
      </c>
      <c r="E2797" s="2">
        <f>IFERROR(__xludf.DUMMYFUNCTION("""COMPUTED_VALUE"""),1227.9)</f>
        <v>1227.9</v>
      </c>
      <c r="F2797" s="2">
        <f>IFERROR(__xludf.DUMMYFUNCTION("""COMPUTED_VALUE"""),854262.0)</f>
        <v>854262</v>
      </c>
    </row>
    <row r="2798">
      <c r="A2798" s="3">
        <f>IFERROR(__xludf.DUMMYFUNCTION("""COMPUTED_VALUE"""),42368.64583333333)</f>
        <v>42368.64583</v>
      </c>
      <c r="B2798" s="2">
        <f>IFERROR(__xludf.DUMMYFUNCTION("""COMPUTED_VALUE"""),1226.53)</f>
        <v>1226.53</v>
      </c>
      <c r="C2798" s="2">
        <f>IFERROR(__xludf.DUMMYFUNCTION("""COMPUTED_VALUE"""),1229.5)</f>
        <v>1229.5</v>
      </c>
      <c r="D2798" s="2">
        <f>IFERROR(__xludf.DUMMYFUNCTION("""COMPUTED_VALUE"""),1206.15)</f>
        <v>1206.15</v>
      </c>
      <c r="E2798" s="2">
        <f>IFERROR(__xludf.DUMMYFUNCTION("""COMPUTED_VALUE"""),1209.15)</f>
        <v>1209.15</v>
      </c>
      <c r="F2798" s="2">
        <f>IFERROR(__xludf.DUMMYFUNCTION("""COMPUTED_VALUE"""),802881.0)</f>
        <v>802881</v>
      </c>
    </row>
    <row r="2799">
      <c r="A2799" s="3">
        <f>IFERROR(__xludf.DUMMYFUNCTION("""COMPUTED_VALUE"""),42369.64583333333)</f>
        <v>42369.64583</v>
      </c>
      <c r="B2799" s="2">
        <f>IFERROR(__xludf.DUMMYFUNCTION("""COMPUTED_VALUE"""),1207.88)</f>
        <v>1207.88</v>
      </c>
      <c r="C2799" s="2">
        <f>IFERROR(__xludf.DUMMYFUNCTION("""COMPUTED_VALUE"""),1224.25)</f>
        <v>1224.25</v>
      </c>
      <c r="D2799" s="2">
        <f>IFERROR(__xludf.DUMMYFUNCTION("""COMPUTED_VALUE"""),1203.75)</f>
        <v>1203.75</v>
      </c>
      <c r="E2799" s="2">
        <f>IFERROR(__xludf.DUMMYFUNCTION("""COMPUTED_VALUE"""),1218.43)</f>
        <v>1218.43</v>
      </c>
      <c r="F2799" s="2">
        <f>IFERROR(__xludf.DUMMYFUNCTION("""COMPUTED_VALUE"""),620159.0)</f>
        <v>620159</v>
      </c>
    </row>
    <row r="2800">
      <c r="A2800" s="3">
        <f>IFERROR(__xludf.DUMMYFUNCTION("""COMPUTED_VALUE"""),42370.64583333333)</f>
        <v>42370.64583</v>
      </c>
      <c r="B2800" s="2">
        <f>IFERROR(__xludf.DUMMYFUNCTION("""COMPUTED_VALUE"""),1219.5)</f>
        <v>1219.5</v>
      </c>
      <c r="C2800" s="2">
        <f>IFERROR(__xludf.DUMMYFUNCTION("""COMPUTED_VALUE"""),1219.5)</f>
        <v>1219.5</v>
      </c>
      <c r="D2800" s="2">
        <f>IFERROR(__xludf.DUMMYFUNCTION("""COMPUTED_VALUE"""),1206.13)</f>
        <v>1206.13</v>
      </c>
      <c r="E2800" s="2">
        <f>IFERROR(__xludf.DUMMYFUNCTION("""COMPUTED_VALUE"""),1208.2)</f>
        <v>1208.2</v>
      </c>
      <c r="F2800" s="2">
        <f>IFERROR(__xludf.DUMMYFUNCTION("""COMPUTED_VALUE"""),356131.0)</f>
        <v>356131</v>
      </c>
    </row>
    <row r="2801">
      <c r="A2801" s="3">
        <f>IFERROR(__xludf.DUMMYFUNCTION("""COMPUTED_VALUE"""),42373.64583333333)</f>
        <v>42373.64583</v>
      </c>
      <c r="B2801" s="2">
        <f>IFERROR(__xludf.DUMMYFUNCTION("""COMPUTED_VALUE"""),1205.08)</f>
        <v>1205.08</v>
      </c>
      <c r="C2801" s="2">
        <f>IFERROR(__xludf.DUMMYFUNCTION("""COMPUTED_VALUE"""),1207.0)</f>
        <v>1207</v>
      </c>
      <c r="D2801" s="2">
        <f>IFERROR(__xludf.DUMMYFUNCTION("""COMPUTED_VALUE"""),1183.03)</f>
        <v>1183.03</v>
      </c>
      <c r="E2801" s="2">
        <f>IFERROR(__xludf.DUMMYFUNCTION("""COMPUTED_VALUE"""),1184.8)</f>
        <v>1184.8</v>
      </c>
      <c r="F2801" s="2">
        <f>IFERROR(__xludf.DUMMYFUNCTION("""COMPUTED_VALUE"""),935092.0)</f>
        <v>935092</v>
      </c>
    </row>
    <row r="2802">
      <c r="A2802" s="3">
        <f>IFERROR(__xludf.DUMMYFUNCTION("""COMPUTED_VALUE"""),42374.64583333333)</f>
        <v>42374.64583</v>
      </c>
      <c r="B2802" s="2">
        <f>IFERROR(__xludf.DUMMYFUNCTION("""COMPUTED_VALUE"""),1192.5)</f>
        <v>1192.5</v>
      </c>
      <c r="C2802" s="2">
        <f>IFERROR(__xludf.DUMMYFUNCTION("""COMPUTED_VALUE"""),1193.3)</f>
        <v>1193.3</v>
      </c>
      <c r="D2802" s="2">
        <f>IFERROR(__xludf.DUMMYFUNCTION("""COMPUTED_VALUE"""),1170.5)</f>
        <v>1170.5</v>
      </c>
      <c r="E2802" s="2">
        <f>IFERROR(__xludf.DUMMYFUNCTION("""COMPUTED_VALUE"""),1174.47)</f>
        <v>1174.47</v>
      </c>
      <c r="F2802" s="2">
        <f>IFERROR(__xludf.DUMMYFUNCTION("""COMPUTED_VALUE"""),1339010.0)</f>
        <v>1339010</v>
      </c>
    </row>
    <row r="2803">
      <c r="A2803" s="3">
        <f>IFERROR(__xludf.DUMMYFUNCTION("""COMPUTED_VALUE"""),42375.64583333333)</f>
        <v>42375.64583</v>
      </c>
      <c r="B2803" s="2">
        <f>IFERROR(__xludf.DUMMYFUNCTION("""COMPUTED_VALUE"""),1175.1)</f>
        <v>1175.1</v>
      </c>
      <c r="C2803" s="2">
        <f>IFERROR(__xludf.DUMMYFUNCTION("""COMPUTED_VALUE"""),1193.08)</f>
        <v>1193.08</v>
      </c>
      <c r="D2803" s="2">
        <f>IFERROR(__xludf.DUMMYFUNCTION("""COMPUTED_VALUE"""),1175.1)</f>
        <v>1175.1</v>
      </c>
      <c r="E2803" s="2">
        <f>IFERROR(__xludf.DUMMYFUNCTION("""COMPUTED_VALUE"""),1190.8)</f>
        <v>1190.8</v>
      </c>
      <c r="F2803" s="2">
        <f>IFERROR(__xludf.DUMMYFUNCTION("""COMPUTED_VALUE"""),1326614.0)</f>
        <v>1326614</v>
      </c>
    </row>
    <row r="2804">
      <c r="A2804" s="3">
        <f>IFERROR(__xludf.DUMMYFUNCTION("""COMPUTED_VALUE"""),42376.64583333333)</f>
        <v>42376.64583</v>
      </c>
      <c r="B2804" s="2">
        <f>IFERROR(__xludf.DUMMYFUNCTION("""COMPUTED_VALUE"""),1185.0)</f>
        <v>1185</v>
      </c>
      <c r="C2804" s="2">
        <f>IFERROR(__xludf.DUMMYFUNCTION("""COMPUTED_VALUE"""),1191.45)</f>
        <v>1191.45</v>
      </c>
      <c r="D2804" s="2">
        <f>IFERROR(__xludf.DUMMYFUNCTION("""COMPUTED_VALUE"""),1180.0)</f>
        <v>1180</v>
      </c>
      <c r="E2804" s="2">
        <f>IFERROR(__xludf.DUMMYFUNCTION("""COMPUTED_VALUE"""),1185.63)</f>
        <v>1185.63</v>
      </c>
      <c r="F2804" s="2">
        <f>IFERROR(__xludf.DUMMYFUNCTION("""COMPUTED_VALUE"""),1599790.0)</f>
        <v>1599790</v>
      </c>
    </row>
    <row r="2805">
      <c r="A2805" s="3">
        <f>IFERROR(__xludf.DUMMYFUNCTION("""COMPUTED_VALUE"""),42377.64583333333)</f>
        <v>42377.64583</v>
      </c>
      <c r="B2805" s="2">
        <f>IFERROR(__xludf.DUMMYFUNCTION("""COMPUTED_VALUE"""),1192.5)</f>
        <v>1192.5</v>
      </c>
      <c r="C2805" s="2">
        <f>IFERROR(__xludf.DUMMYFUNCTION("""COMPUTED_VALUE"""),1203.68)</f>
        <v>1203.68</v>
      </c>
      <c r="D2805" s="2">
        <f>IFERROR(__xludf.DUMMYFUNCTION("""COMPUTED_VALUE"""),1186.25)</f>
        <v>1186.25</v>
      </c>
      <c r="E2805" s="2">
        <f>IFERROR(__xludf.DUMMYFUNCTION("""COMPUTED_VALUE"""),1198.8)</f>
        <v>1198.8</v>
      </c>
      <c r="F2805" s="2">
        <f>IFERROR(__xludf.DUMMYFUNCTION("""COMPUTED_VALUE"""),953772.0)</f>
        <v>953772</v>
      </c>
    </row>
    <row r="2806">
      <c r="A2806" s="3">
        <f>IFERROR(__xludf.DUMMYFUNCTION("""COMPUTED_VALUE"""),42380.64583333333)</f>
        <v>42380.64583</v>
      </c>
      <c r="B2806" s="2">
        <f>IFERROR(__xludf.DUMMYFUNCTION("""COMPUTED_VALUE"""),1191.25)</f>
        <v>1191.25</v>
      </c>
      <c r="C2806" s="2">
        <f>IFERROR(__xludf.DUMMYFUNCTION("""COMPUTED_VALUE"""),1192.0)</f>
        <v>1192</v>
      </c>
      <c r="D2806" s="2">
        <f>IFERROR(__xludf.DUMMYFUNCTION("""COMPUTED_VALUE"""),1174.43)</f>
        <v>1174.43</v>
      </c>
      <c r="E2806" s="2">
        <f>IFERROR(__xludf.DUMMYFUNCTION("""COMPUTED_VALUE"""),1181.18)</f>
        <v>1181.18</v>
      </c>
      <c r="F2806" s="2">
        <f>IFERROR(__xludf.DUMMYFUNCTION("""COMPUTED_VALUE"""),1465114.0)</f>
        <v>1465114</v>
      </c>
    </row>
    <row r="2807">
      <c r="A2807" s="3">
        <f>IFERROR(__xludf.DUMMYFUNCTION("""COMPUTED_VALUE"""),42381.64583333333)</f>
        <v>42381.64583</v>
      </c>
      <c r="B2807" s="2">
        <f>IFERROR(__xludf.DUMMYFUNCTION("""COMPUTED_VALUE"""),1181.35)</f>
        <v>1181.35</v>
      </c>
      <c r="C2807" s="2">
        <f>IFERROR(__xludf.DUMMYFUNCTION("""COMPUTED_VALUE"""),1182.5)</f>
        <v>1182.5</v>
      </c>
      <c r="D2807" s="2">
        <f>IFERROR(__xludf.DUMMYFUNCTION("""COMPUTED_VALUE"""),1150.8)</f>
        <v>1150.8</v>
      </c>
      <c r="E2807" s="2">
        <f>IFERROR(__xludf.DUMMYFUNCTION("""COMPUTED_VALUE"""),1158.5)</f>
        <v>1158.5</v>
      </c>
      <c r="F2807" s="2">
        <f>IFERROR(__xludf.DUMMYFUNCTION("""COMPUTED_VALUE"""),1741297.0)</f>
        <v>1741297</v>
      </c>
    </row>
    <row r="2808">
      <c r="A2808" s="3">
        <f>IFERROR(__xludf.DUMMYFUNCTION("""COMPUTED_VALUE"""),42382.64583333333)</f>
        <v>42382.64583</v>
      </c>
      <c r="B2808" s="2">
        <f>IFERROR(__xludf.DUMMYFUNCTION("""COMPUTED_VALUE"""),1158.5)</f>
        <v>1158.5</v>
      </c>
      <c r="C2808" s="2">
        <f>IFERROR(__xludf.DUMMYFUNCTION("""COMPUTED_VALUE"""),1163.5)</f>
        <v>1163.5</v>
      </c>
      <c r="D2808" s="2">
        <f>IFERROR(__xludf.DUMMYFUNCTION("""COMPUTED_VALUE"""),1127.55)</f>
        <v>1127.55</v>
      </c>
      <c r="E2808" s="2">
        <f>IFERROR(__xludf.DUMMYFUNCTION("""COMPUTED_VALUE"""),1139.6)</f>
        <v>1139.6</v>
      </c>
      <c r="F2808" s="2">
        <f>IFERROR(__xludf.DUMMYFUNCTION("""COMPUTED_VALUE"""),2373046.0)</f>
        <v>2373046</v>
      </c>
    </row>
    <row r="2809">
      <c r="A2809" s="3">
        <f>IFERROR(__xludf.DUMMYFUNCTION("""COMPUTED_VALUE"""),42383.64583333333)</f>
        <v>42383.64583</v>
      </c>
      <c r="B2809" s="2">
        <f>IFERROR(__xludf.DUMMYFUNCTION("""COMPUTED_VALUE"""),1136.5)</f>
        <v>1136.5</v>
      </c>
      <c r="C2809" s="2">
        <f>IFERROR(__xludf.DUMMYFUNCTION("""COMPUTED_VALUE"""),1149.45)</f>
        <v>1149.45</v>
      </c>
      <c r="D2809" s="2">
        <f>IFERROR(__xludf.DUMMYFUNCTION("""COMPUTED_VALUE"""),1125.0)</f>
        <v>1125</v>
      </c>
      <c r="E2809" s="2">
        <f>IFERROR(__xludf.DUMMYFUNCTION("""COMPUTED_VALUE"""),1139.4)</f>
        <v>1139.4</v>
      </c>
      <c r="F2809" s="2">
        <f>IFERROR(__xludf.DUMMYFUNCTION("""COMPUTED_VALUE"""),1371026.0)</f>
        <v>1371026</v>
      </c>
    </row>
    <row r="2810">
      <c r="A2810" s="3">
        <f>IFERROR(__xludf.DUMMYFUNCTION("""COMPUTED_VALUE"""),42384.64583333333)</f>
        <v>42384.64583</v>
      </c>
      <c r="B2810" s="2">
        <f>IFERROR(__xludf.DUMMYFUNCTION("""COMPUTED_VALUE"""),1144.43)</f>
        <v>1144.43</v>
      </c>
      <c r="C2810" s="2">
        <f>IFERROR(__xludf.DUMMYFUNCTION("""COMPUTED_VALUE"""),1145.85)</f>
        <v>1145.85</v>
      </c>
      <c r="D2810" s="2">
        <f>IFERROR(__xludf.DUMMYFUNCTION("""COMPUTED_VALUE"""),1127.5)</f>
        <v>1127.5</v>
      </c>
      <c r="E2810" s="2">
        <f>IFERROR(__xludf.DUMMYFUNCTION("""COMPUTED_VALUE"""),1130.55)</f>
        <v>1130.55</v>
      </c>
      <c r="F2810" s="2">
        <f>IFERROR(__xludf.DUMMYFUNCTION("""COMPUTED_VALUE"""),1634704.0)</f>
        <v>1634704</v>
      </c>
    </row>
    <row r="2811">
      <c r="A2811" s="3">
        <f>IFERROR(__xludf.DUMMYFUNCTION("""COMPUTED_VALUE"""),42387.64583333333)</f>
        <v>42387.64583</v>
      </c>
      <c r="B2811" s="2">
        <f>IFERROR(__xludf.DUMMYFUNCTION("""COMPUTED_VALUE"""),1131.0)</f>
        <v>1131</v>
      </c>
      <c r="C2811" s="2">
        <f>IFERROR(__xludf.DUMMYFUNCTION("""COMPUTED_VALUE"""),1145.95)</f>
        <v>1145.95</v>
      </c>
      <c r="D2811" s="2">
        <f>IFERROR(__xludf.DUMMYFUNCTION("""COMPUTED_VALUE"""),1130.0)</f>
        <v>1130</v>
      </c>
      <c r="E2811" s="2">
        <f>IFERROR(__xludf.DUMMYFUNCTION("""COMPUTED_VALUE"""),1138.83)</f>
        <v>1138.83</v>
      </c>
      <c r="F2811" s="2">
        <f>IFERROR(__xludf.DUMMYFUNCTION("""COMPUTED_VALUE"""),1106961.0)</f>
        <v>1106961</v>
      </c>
    </row>
    <row r="2812">
      <c r="A2812" s="3">
        <f>IFERROR(__xludf.DUMMYFUNCTION("""COMPUTED_VALUE"""),42388.64583333333)</f>
        <v>42388.64583</v>
      </c>
      <c r="B2812" s="2">
        <f>IFERROR(__xludf.DUMMYFUNCTION("""COMPUTED_VALUE"""),1138.5)</f>
        <v>1138.5</v>
      </c>
      <c r="C2812" s="2">
        <f>IFERROR(__xludf.DUMMYFUNCTION("""COMPUTED_VALUE"""),1150.0)</f>
        <v>1150</v>
      </c>
      <c r="D2812" s="2">
        <f>IFERROR(__xludf.DUMMYFUNCTION("""COMPUTED_VALUE"""),1134.15)</f>
        <v>1134.15</v>
      </c>
      <c r="E2812" s="2">
        <f>IFERROR(__xludf.DUMMYFUNCTION("""COMPUTED_VALUE"""),1139.65)</f>
        <v>1139.65</v>
      </c>
      <c r="F2812" s="2">
        <f>IFERROR(__xludf.DUMMYFUNCTION("""COMPUTED_VALUE"""),483955.0)</f>
        <v>483955</v>
      </c>
    </row>
    <row r="2813">
      <c r="A2813" s="3">
        <f>IFERROR(__xludf.DUMMYFUNCTION("""COMPUTED_VALUE"""),42389.64583333333)</f>
        <v>42389.64583</v>
      </c>
      <c r="B2813" s="2">
        <f>IFERROR(__xludf.DUMMYFUNCTION("""COMPUTED_VALUE"""),1136.9)</f>
        <v>1136.9</v>
      </c>
      <c r="C2813" s="2">
        <f>IFERROR(__xludf.DUMMYFUNCTION("""COMPUTED_VALUE"""),1142.5)</f>
        <v>1142.5</v>
      </c>
      <c r="D2813" s="2">
        <f>IFERROR(__xludf.DUMMYFUNCTION("""COMPUTED_VALUE"""),1121.5)</f>
        <v>1121.5</v>
      </c>
      <c r="E2813" s="2">
        <f>IFERROR(__xludf.DUMMYFUNCTION("""COMPUTED_VALUE"""),1140.05)</f>
        <v>1140.05</v>
      </c>
      <c r="F2813" s="2">
        <f>IFERROR(__xludf.DUMMYFUNCTION("""COMPUTED_VALUE"""),807977.0)</f>
        <v>807977</v>
      </c>
    </row>
    <row r="2814">
      <c r="A2814" s="3">
        <f>IFERROR(__xludf.DUMMYFUNCTION("""COMPUTED_VALUE"""),42390.64583333333)</f>
        <v>42390.64583</v>
      </c>
      <c r="B2814" s="2">
        <f>IFERROR(__xludf.DUMMYFUNCTION("""COMPUTED_VALUE"""),1142.5)</f>
        <v>1142.5</v>
      </c>
      <c r="C2814" s="2">
        <f>IFERROR(__xludf.DUMMYFUNCTION("""COMPUTED_VALUE"""),1144.95)</f>
        <v>1144.95</v>
      </c>
      <c r="D2814" s="2">
        <f>IFERROR(__xludf.DUMMYFUNCTION("""COMPUTED_VALUE"""),1122.88)</f>
        <v>1122.88</v>
      </c>
      <c r="E2814" s="2">
        <f>IFERROR(__xludf.DUMMYFUNCTION("""COMPUTED_VALUE"""),1127.25)</f>
        <v>1127.25</v>
      </c>
      <c r="F2814" s="2">
        <f>IFERROR(__xludf.DUMMYFUNCTION("""COMPUTED_VALUE"""),1337768.0)</f>
        <v>1337768</v>
      </c>
    </row>
    <row r="2815">
      <c r="A2815" s="3">
        <f>IFERROR(__xludf.DUMMYFUNCTION("""COMPUTED_VALUE"""),42391.64583333333)</f>
        <v>42391.64583</v>
      </c>
      <c r="B2815" s="2">
        <f>IFERROR(__xludf.DUMMYFUNCTION("""COMPUTED_VALUE"""),1136.5)</f>
        <v>1136.5</v>
      </c>
      <c r="C2815" s="2">
        <f>IFERROR(__xludf.DUMMYFUNCTION("""COMPUTED_VALUE"""),1151.03)</f>
        <v>1151.03</v>
      </c>
      <c r="D2815" s="2">
        <f>IFERROR(__xludf.DUMMYFUNCTION("""COMPUTED_VALUE"""),1130.0)</f>
        <v>1130</v>
      </c>
      <c r="E2815" s="2">
        <f>IFERROR(__xludf.DUMMYFUNCTION("""COMPUTED_VALUE"""),1147.88)</f>
        <v>1147.88</v>
      </c>
      <c r="F2815" s="2">
        <f>IFERROR(__xludf.DUMMYFUNCTION("""COMPUTED_VALUE"""),671589.0)</f>
        <v>671589</v>
      </c>
    </row>
    <row r="2816">
      <c r="A2816" s="3">
        <f>IFERROR(__xludf.DUMMYFUNCTION("""COMPUTED_VALUE"""),42394.64583333333)</f>
        <v>42394.64583</v>
      </c>
      <c r="B2816" s="2">
        <f>IFERROR(__xludf.DUMMYFUNCTION("""COMPUTED_VALUE"""),1150.95)</f>
        <v>1150.95</v>
      </c>
      <c r="C2816" s="2">
        <f>IFERROR(__xludf.DUMMYFUNCTION("""COMPUTED_VALUE"""),1169.5)</f>
        <v>1169.5</v>
      </c>
      <c r="D2816" s="2">
        <f>IFERROR(__xludf.DUMMYFUNCTION("""COMPUTED_VALUE"""),1145.75)</f>
        <v>1145.75</v>
      </c>
      <c r="E2816" s="2">
        <f>IFERROR(__xludf.DUMMYFUNCTION("""COMPUTED_VALUE"""),1152.33)</f>
        <v>1152.33</v>
      </c>
      <c r="F2816" s="2">
        <f>IFERROR(__xludf.DUMMYFUNCTION("""COMPUTED_VALUE"""),698780.0)</f>
        <v>698780</v>
      </c>
    </row>
    <row r="2817">
      <c r="A2817" s="3">
        <f>IFERROR(__xludf.DUMMYFUNCTION("""COMPUTED_VALUE"""),42396.64583333333)</f>
        <v>42396.64583</v>
      </c>
      <c r="B2817" s="2">
        <f>IFERROR(__xludf.DUMMYFUNCTION("""COMPUTED_VALUE"""),1151.0)</f>
        <v>1151</v>
      </c>
      <c r="C2817" s="2">
        <f>IFERROR(__xludf.DUMMYFUNCTION("""COMPUTED_VALUE"""),1164.97)</f>
        <v>1164.97</v>
      </c>
      <c r="D2817" s="2">
        <f>IFERROR(__xludf.DUMMYFUNCTION("""COMPUTED_VALUE"""),1140.95)</f>
        <v>1140.95</v>
      </c>
      <c r="E2817" s="2">
        <f>IFERROR(__xludf.DUMMYFUNCTION("""COMPUTED_VALUE"""),1159.88)</f>
        <v>1159.88</v>
      </c>
      <c r="F2817" s="2">
        <f>IFERROR(__xludf.DUMMYFUNCTION("""COMPUTED_VALUE"""),813493.0)</f>
        <v>813493</v>
      </c>
    </row>
    <row r="2818">
      <c r="A2818" s="3">
        <f>IFERROR(__xludf.DUMMYFUNCTION("""COMPUTED_VALUE"""),42397.64583333333)</f>
        <v>42397.64583</v>
      </c>
      <c r="B2818" s="2">
        <f>IFERROR(__xludf.DUMMYFUNCTION("""COMPUTED_VALUE"""),1157.75)</f>
        <v>1157.75</v>
      </c>
      <c r="C2818" s="2">
        <f>IFERROR(__xludf.DUMMYFUNCTION("""COMPUTED_VALUE"""),1174.45)</f>
        <v>1174.45</v>
      </c>
      <c r="D2818" s="2">
        <f>IFERROR(__xludf.DUMMYFUNCTION("""COMPUTED_VALUE"""),1154.03)</f>
        <v>1154.03</v>
      </c>
      <c r="E2818" s="2">
        <f>IFERROR(__xludf.DUMMYFUNCTION("""COMPUTED_VALUE"""),1165.6)</f>
        <v>1165.6</v>
      </c>
      <c r="F2818" s="2">
        <f>IFERROR(__xludf.DUMMYFUNCTION("""COMPUTED_VALUE"""),1553330.0)</f>
        <v>1553330</v>
      </c>
    </row>
    <row r="2819">
      <c r="A2819" s="3">
        <f>IFERROR(__xludf.DUMMYFUNCTION("""COMPUTED_VALUE"""),42398.64583333333)</f>
        <v>42398.64583</v>
      </c>
      <c r="B2819" s="2">
        <f>IFERROR(__xludf.DUMMYFUNCTION("""COMPUTED_VALUE"""),1179.35)</f>
        <v>1179.35</v>
      </c>
      <c r="C2819" s="2">
        <f>IFERROR(__xludf.DUMMYFUNCTION("""COMPUTED_VALUE"""),1200.0)</f>
        <v>1200</v>
      </c>
      <c r="D2819" s="2">
        <f>IFERROR(__xludf.DUMMYFUNCTION("""COMPUTED_VALUE"""),1167.53)</f>
        <v>1167.53</v>
      </c>
      <c r="E2819" s="2">
        <f>IFERROR(__xludf.DUMMYFUNCTION("""COMPUTED_VALUE"""),1195.65)</f>
        <v>1195.65</v>
      </c>
      <c r="F2819" s="2">
        <f>IFERROR(__xludf.DUMMYFUNCTION("""COMPUTED_VALUE"""),1117872.0)</f>
        <v>1117872</v>
      </c>
    </row>
    <row r="2820">
      <c r="A2820" s="3">
        <f>IFERROR(__xludf.DUMMYFUNCTION("""COMPUTED_VALUE"""),42401.64583333333)</f>
        <v>42401.64583</v>
      </c>
      <c r="B2820" s="2">
        <f>IFERROR(__xludf.DUMMYFUNCTION("""COMPUTED_VALUE"""),1195.55)</f>
        <v>1195.55</v>
      </c>
      <c r="C2820" s="2">
        <f>IFERROR(__xludf.DUMMYFUNCTION("""COMPUTED_VALUE"""),1206.47)</f>
        <v>1206.47</v>
      </c>
      <c r="D2820" s="2">
        <f>IFERROR(__xludf.DUMMYFUNCTION("""COMPUTED_VALUE"""),1179.5)</f>
        <v>1179.5</v>
      </c>
      <c r="E2820" s="2">
        <f>IFERROR(__xludf.DUMMYFUNCTION("""COMPUTED_VALUE"""),1201.35)</f>
        <v>1201.35</v>
      </c>
      <c r="F2820" s="2">
        <f>IFERROR(__xludf.DUMMYFUNCTION("""COMPUTED_VALUE"""),747637.0)</f>
        <v>747637</v>
      </c>
    </row>
    <row r="2821">
      <c r="A2821" s="3">
        <f>IFERROR(__xludf.DUMMYFUNCTION("""COMPUTED_VALUE"""),42402.64583333333)</f>
        <v>42402.64583</v>
      </c>
      <c r="B2821" s="2">
        <f>IFERROR(__xludf.DUMMYFUNCTION("""COMPUTED_VALUE"""),1204.5)</f>
        <v>1204.5</v>
      </c>
      <c r="C2821" s="2">
        <f>IFERROR(__xludf.DUMMYFUNCTION("""COMPUTED_VALUE"""),1216.5)</f>
        <v>1216.5</v>
      </c>
      <c r="D2821" s="2">
        <f>IFERROR(__xludf.DUMMYFUNCTION("""COMPUTED_VALUE"""),1189.85)</f>
        <v>1189.85</v>
      </c>
      <c r="E2821" s="2">
        <f>IFERROR(__xludf.DUMMYFUNCTION("""COMPUTED_VALUE"""),1199.05)</f>
        <v>1199.05</v>
      </c>
      <c r="F2821" s="2">
        <f>IFERROR(__xludf.DUMMYFUNCTION("""COMPUTED_VALUE"""),737794.0)</f>
        <v>737794</v>
      </c>
    </row>
    <row r="2822">
      <c r="A2822" s="3">
        <f>IFERROR(__xludf.DUMMYFUNCTION("""COMPUTED_VALUE"""),42403.64583333333)</f>
        <v>42403.64583</v>
      </c>
      <c r="B2822" s="2">
        <f>IFERROR(__xludf.DUMMYFUNCTION("""COMPUTED_VALUE"""),1193.75)</f>
        <v>1193.75</v>
      </c>
      <c r="C2822" s="2">
        <f>IFERROR(__xludf.DUMMYFUNCTION("""COMPUTED_VALUE"""),1214.95)</f>
        <v>1214.95</v>
      </c>
      <c r="D2822" s="2">
        <f>IFERROR(__xludf.DUMMYFUNCTION("""COMPUTED_VALUE"""),1180.15)</f>
        <v>1180.15</v>
      </c>
      <c r="E2822" s="2">
        <f>IFERROR(__xludf.DUMMYFUNCTION("""COMPUTED_VALUE"""),1208.15)</f>
        <v>1208.15</v>
      </c>
      <c r="F2822" s="2">
        <f>IFERROR(__xludf.DUMMYFUNCTION("""COMPUTED_VALUE"""),654346.0)</f>
        <v>654346</v>
      </c>
    </row>
    <row r="2823">
      <c r="A2823" s="3">
        <f>IFERROR(__xludf.DUMMYFUNCTION("""COMPUTED_VALUE"""),42404.64583333333)</f>
        <v>42404.64583</v>
      </c>
      <c r="B2823" s="2">
        <f>IFERROR(__xludf.DUMMYFUNCTION("""COMPUTED_VALUE"""),1210.95)</f>
        <v>1210.95</v>
      </c>
      <c r="C2823" s="2">
        <f>IFERROR(__xludf.DUMMYFUNCTION("""COMPUTED_VALUE"""),1220.0)</f>
        <v>1220</v>
      </c>
      <c r="D2823" s="2">
        <f>IFERROR(__xludf.DUMMYFUNCTION("""COMPUTED_VALUE"""),1201.0)</f>
        <v>1201</v>
      </c>
      <c r="E2823" s="2">
        <f>IFERROR(__xludf.DUMMYFUNCTION("""COMPUTED_VALUE"""),1210.03)</f>
        <v>1210.03</v>
      </c>
      <c r="F2823" s="2">
        <f>IFERROR(__xludf.DUMMYFUNCTION("""COMPUTED_VALUE"""),625023.0)</f>
        <v>625023</v>
      </c>
    </row>
    <row r="2824">
      <c r="A2824" s="3">
        <f>IFERROR(__xludf.DUMMYFUNCTION("""COMPUTED_VALUE"""),42405.64583333333)</f>
        <v>42405.64583</v>
      </c>
      <c r="B2824" s="2">
        <f>IFERROR(__xludf.DUMMYFUNCTION("""COMPUTED_VALUE"""),1204.05)</f>
        <v>1204.05</v>
      </c>
      <c r="C2824" s="2">
        <f>IFERROR(__xludf.DUMMYFUNCTION("""COMPUTED_VALUE"""),1219.97)</f>
        <v>1219.97</v>
      </c>
      <c r="D2824" s="2">
        <f>IFERROR(__xludf.DUMMYFUNCTION("""COMPUTED_VALUE"""),1204.05)</f>
        <v>1204.05</v>
      </c>
      <c r="E2824" s="2">
        <f>IFERROR(__xludf.DUMMYFUNCTION("""COMPUTED_VALUE"""),1210.97)</f>
        <v>1210.97</v>
      </c>
      <c r="F2824" s="2">
        <f>IFERROR(__xludf.DUMMYFUNCTION("""COMPUTED_VALUE"""),701498.0)</f>
        <v>701498</v>
      </c>
    </row>
    <row r="2825">
      <c r="A2825" s="3">
        <f>IFERROR(__xludf.DUMMYFUNCTION("""COMPUTED_VALUE"""),42408.64583333333)</f>
        <v>42408.64583</v>
      </c>
      <c r="B2825" s="2">
        <f>IFERROR(__xludf.DUMMYFUNCTION("""COMPUTED_VALUE"""),1200.0)</f>
        <v>1200</v>
      </c>
      <c r="C2825" s="2">
        <f>IFERROR(__xludf.DUMMYFUNCTION("""COMPUTED_VALUE"""),1206.03)</f>
        <v>1206.03</v>
      </c>
      <c r="D2825" s="2">
        <f>IFERROR(__xludf.DUMMYFUNCTION("""COMPUTED_VALUE"""),1173.5)</f>
        <v>1173.5</v>
      </c>
      <c r="E2825" s="2">
        <f>IFERROR(__xludf.DUMMYFUNCTION("""COMPUTED_VALUE"""),1177.15)</f>
        <v>1177.15</v>
      </c>
      <c r="F2825" s="2">
        <f>IFERROR(__xludf.DUMMYFUNCTION("""COMPUTED_VALUE"""),531829.0)</f>
        <v>531829</v>
      </c>
    </row>
    <row r="2826">
      <c r="A2826" s="3">
        <f>IFERROR(__xludf.DUMMYFUNCTION("""COMPUTED_VALUE"""),42409.64583333333)</f>
        <v>42409.64583</v>
      </c>
      <c r="B2826" s="2">
        <f>IFERROR(__xludf.DUMMYFUNCTION("""COMPUTED_VALUE"""),1166.8)</f>
        <v>1166.8</v>
      </c>
      <c r="C2826" s="2">
        <f>IFERROR(__xludf.DUMMYFUNCTION("""COMPUTED_VALUE"""),1166.8)</f>
        <v>1166.8</v>
      </c>
      <c r="D2826" s="2">
        <f>IFERROR(__xludf.DUMMYFUNCTION("""COMPUTED_VALUE"""),1127.8)</f>
        <v>1127.8</v>
      </c>
      <c r="E2826" s="2">
        <f>IFERROR(__xludf.DUMMYFUNCTION("""COMPUTED_VALUE"""),1140.7)</f>
        <v>1140.7</v>
      </c>
      <c r="F2826" s="2">
        <f>IFERROR(__xludf.DUMMYFUNCTION("""COMPUTED_VALUE"""),1244805.0)</f>
        <v>1244805</v>
      </c>
    </row>
    <row r="2827">
      <c r="A2827" s="3">
        <f>IFERROR(__xludf.DUMMYFUNCTION("""COMPUTED_VALUE"""),42410.64583333333)</f>
        <v>42410.64583</v>
      </c>
      <c r="B2827" s="2">
        <f>IFERROR(__xludf.DUMMYFUNCTION("""COMPUTED_VALUE"""),1137.5)</f>
        <v>1137.5</v>
      </c>
      <c r="C2827" s="2">
        <f>IFERROR(__xludf.DUMMYFUNCTION("""COMPUTED_VALUE"""),1144.95)</f>
        <v>1144.95</v>
      </c>
      <c r="D2827" s="2">
        <f>IFERROR(__xludf.DUMMYFUNCTION("""COMPUTED_VALUE"""),1129.05)</f>
        <v>1129.05</v>
      </c>
      <c r="E2827" s="2">
        <f>IFERROR(__xludf.DUMMYFUNCTION("""COMPUTED_VALUE"""),1134.4)</f>
        <v>1134.4</v>
      </c>
      <c r="F2827" s="2">
        <f>IFERROR(__xludf.DUMMYFUNCTION("""COMPUTED_VALUE"""),945366.0)</f>
        <v>945366</v>
      </c>
    </row>
    <row r="2828">
      <c r="A2828" s="3">
        <f>IFERROR(__xludf.DUMMYFUNCTION("""COMPUTED_VALUE"""),42411.64583333333)</f>
        <v>42411.64583</v>
      </c>
      <c r="B2828" s="2">
        <f>IFERROR(__xludf.DUMMYFUNCTION("""COMPUTED_VALUE"""),1140.0)</f>
        <v>1140</v>
      </c>
      <c r="C2828" s="2">
        <f>IFERROR(__xludf.DUMMYFUNCTION("""COMPUTED_VALUE"""),1144.5)</f>
        <v>1144.5</v>
      </c>
      <c r="D2828" s="2">
        <f>IFERROR(__xludf.DUMMYFUNCTION("""COMPUTED_VALUE"""),1085.83)</f>
        <v>1085.83</v>
      </c>
      <c r="E2828" s="2">
        <f>IFERROR(__xludf.DUMMYFUNCTION("""COMPUTED_VALUE"""),1098.97)</f>
        <v>1098.97</v>
      </c>
      <c r="F2828" s="2">
        <f>IFERROR(__xludf.DUMMYFUNCTION("""COMPUTED_VALUE"""),981204.0)</f>
        <v>981204</v>
      </c>
    </row>
    <row r="2829">
      <c r="A2829" s="3">
        <f>IFERROR(__xludf.DUMMYFUNCTION("""COMPUTED_VALUE"""),42412.64583333333)</f>
        <v>42412.64583</v>
      </c>
      <c r="B2829" s="2">
        <f>IFERROR(__xludf.DUMMYFUNCTION("""COMPUTED_VALUE"""),1100.0)</f>
        <v>1100</v>
      </c>
      <c r="C2829" s="2">
        <f>IFERROR(__xludf.DUMMYFUNCTION("""COMPUTED_VALUE"""),1121.7)</f>
        <v>1121.7</v>
      </c>
      <c r="D2829" s="2">
        <f>IFERROR(__xludf.DUMMYFUNCTION("""COMPUTED_VALUE"""),1082.0)</f>
        <v>1082</v>
      </c>
      <c r="E2829" s="2">
        <f>IFERROR(__xludf.DUMMYFUNCTION("""COMPUTED_VALUE"""),1113.15)</f>
        <v>1113.15</v>
      </c>
      <c r="F2829" s="2">
        <f>IFERROR(__xludf.DUMMYFUNCTION("""COMPUTED_VALUE"""),1086284.0)</f>
        <v>1086284</v>
      </c>
    </row>
    <row r="2830">
      <c r="A2830" s="3">
        <f>IFERROR(__xludf.DUMMYFUNCTION("""COMPUTED_VALUE"""),42415.64583333333)</f>
        <v>42415.64583</v>
      </c>
      <c r="B2830" s="2">
        <f>IFERROR(__xludf.DUMMYFUNCTION("""COMPUTED_VALUE"""),1125.0)</f>
        <v>1125</v>
      </c>
      <c r="C2830" s="2">
        <f>IFERROR(__xludf.DUMMYFUNCTION("""COMPUTED_VALUE"""),1153.43)</f>
        <v>1153.43</v>
      </c>
      <c r="D2830" s="2">
        <f>IFERROR(__xludf.DUMMYFUNCTION("""COMPUTED_VALUE"""),1120.0)</f>
        <v>1120</v>
      </c>
      <c r="E2830" s="2">
        <f>IFERROR(__xludf.DUMMYFUNCTION("""COMPUTED_VALUE"""),1134.58)</f>
        <v>1134.58</v>
      </c>
      <c r="F2830" s="2">
        <f>IFERROR(__xludf.DUMMYFUNCTION("""COMPUTED_VALUE"""),1239856.0)</f>
        <v>1239856</v>
      </c>
    </row>
    <row r="2831">
      <c r="A2831" s="3">
        <f>IFERROR(__xludf.DUMMYFUNCTION("""COMPUTED_VALUE"""),42416.64583333333)</f>
        <v>42416.64583</v>
      </c>
      <c r="B2831" s="2">
        <f>IFERROR(__xludf.DUMMYFUNCTION("""COMPUTED_VALUE"""),1133.0)</f>
        <v>1133</v>
      </c>
      <c r="C2831" s="2">
        <f>IFERROR(__xludf.DUMMYFUNCTION("""COMPUTED_VALUE"""),1141.0)</f>
        <v>1141</v>
      </c>
      <c r="D2831" s="2">
        <f>IFERROR(__xludf.DUMMYFUNCTION("""COMPUTED_VALUE"""),1121.5)</f>
        <v>1121.5</v>
      </c>
      <c r="E2831" s="2">
        <f>IFERROR(__xludf.DUMMYFUNCTION("""COMPUTED_VALUE"""),1132.78)</f>
        <v>1132.78</v>
      </c>
      <c r="F2831" s="2">
        <f>IFERROR(__xludf.DUMMYFUNCTION("""COMPUTED_VALUE"""),794351.0)</f>
        <v>794351</v>
      </c>
    </row>
    <row r="2832">
      <c r="A2832" s="3">
        <f>IFERROR(__xludf.DUMMYFUNCTION("""COMPUTED_VALUE"""),42417.64583333333)</f>
        <v>42417.64583</v>
      </c>
      <c r="B2832" s="2">
        <f>IFERROR(__xludf.DUMMYFUNCTION("""COMPUTED_VALUE"""),1132.5)</f>
        <v>1132.5</v>
      </c>
      <c r="C2832" s="2">
        <f>IFERROR(__xludf.DUMMYFUNCTION("""COMPUTED_VALUE"""),1139.83)</f>
        <v>1139.83</v>
      </c>
      <c r="D2832" s="2">
        <f>IFERROR(__xludf.DUMMYFUNCTION("""COMPUTED_VALUE"""),1123.2)</f>
        <v>1123.2</v>
      </c>
      <c r="E2832" s="2">
        <f>IFERROR(__xludf.DUMMYFUNCTION("""COMPUTED_VALUE"""),1137.78)</f>
        <v>1137.78</v>
      </c>
      <c r="F2832" s="2">
        <f>IFERROR(__xludf.DUMMYFUNCTION("""COMPUTED_VALUE"""),792589.0)</f>
        <v>792589</v>
      </c>
    </row>
    <row r="2833">
      <c r="A2833" s="3">
        <f>IFERROR(__xludf.DUMMYFUNCTION("""COMPUTED_VALUE"""),42418.64583333333)</f>
        <v>42418.64583</v>
      </c>
      <c r="B2833" s="2">
        <f>IFERROR(__xludf.DUMMYFUNCTION("""COMPUTED_VALUE"""),1142.5)</f>
        <v>1142.5</v>
      </c>
      <c r="C2833" s="2">
        <f>IFERROR(__xludf.DUMMYFUNCTION("""COMPUTED_VALUE"""),1159.88)</f>
        <v>1159.88</v>
      </c>
      <c r="D2833" s="2">
        <f>IFERROR(__xludf.DUMMYFUNCTION("""COMPUTED_VALUE"""),1139.0)</f>
        <v>1139</v>
      </c>
      <c r="E2833" s="2">
        <f>IFERROR(__xludf.DUMMYFUNCTION("""COMPUTED_VALUE"""),1157.93)</f>
        <v>1157.93</v>
      </c>
      <c r="F2833" s="2">
        <f>IFERROR(__xludf.DUMMYFUNCTION("""COMPUTED_VALUE"""),764570.0)</f>
        <v>764570</v>
      </c>
    </row>
    <row r="2834">
      <c r="A2834" s="3">
        <f>IFERROR(__xludf.DUMMYFUNCTION("""COMPUTED_VALUE"""),42419.64583333333)</f>
        <v>42419.64583</v>
      </c>
      <c r="B2834" s="2">
        <f>IFERROR(__xludf.DUMMYFUNCTION("""COMPUTED_VALUE"""),1153.68)</f>
        <v>1153.68</v>
      </c>
      <c r="C2834" s="2">
        <f>IFERROR(__xludf.DUMMYFUNCTION("""COMPUTED_VALUE"""),1163.5)</f>
        <v>1163.5</v>
      </c>
      <c r="D2834" s="2">
        <f>IFERROR(__xludf.DUMMYFUNCTION("""COMPUTED_VALUE"""),1152.72)</f>
        <v>1152.72</v>
      </c>
      <c r="E2834" s="2">
        <f>IFERROR(__xludf.DUMMYFUNCTION("""COMPUTED_VALUE"""),1159.83)</f>
        <v>1159.83</v>
      </c>
      <c r="F2834" s="2">
        <f>IFERROR(__xludf.DUMMYFUNCTION("""COMPUTED_VALUE"""),439506.0)</f>
        <v>439506</v>
      </c>
    </row>
    <row r="2835">
      <c r="A2835" s="3">
        <f>IFERROR(__xludf.DUMMYFUNCTION("""COMPUTED_VALUE"""),42422.64583333333)</f>
        <v>42422.64583</v>
      </c>
      <c r="B2835" s="2">
        <f>IFERROR(__xludf.DUMMYFUNCTION("""COMPUTED_VALUE"""),1160.13)</f>
        <v>1160.13</v>
      </c>
      <c r="C2835" s="2">
        <f>IFERROR(__xludf.DUMMYFUNCTION("""COMPUTED_VALUE"""),1171.5)</f>
        <v>1171.5</v>
      </c>
      <c r="D2835" s="2">
        <f>IFERROR(__xludf.DUMMYFUNCTION("""COMPUTED_VALUE"""),1152.5)</f>
        <v>1152.5</v>
      </c>
      <c r="E2835" s="2">
        <f>IFERROR(__xludf.DUMMYFUNCTION("""COMPUTED_VALUE"""),1157.95)</f>
        <v>1157.95</v>
      </c>
      <c r="F2835" s="2">
        <f>IFERROR(__xludf.DUMMYFUNCTION("""COMPUTED_VALUE"""),662442.0)</f>
        <v>662442</v>
      </c>
    </row>
    <row r="2836">
      <c r="A2836" s="3">
        <f>IFERROR(__xludf.DUMMYFUNCTION("""COMPUTED_VALUE"""),42423.64583333333)</f>
        <v>42423.64583</v>
      </c>
      <c r="B2836" s="2">
        <f>IFERROR(__xludf.DUMMYFUNCTION("""COMPUTED_VALUE"""),1155.13)</f>
        <v>1155.13</v>
      </c>
      <c r="C2836" s="2">
        <f>IFERROR(__xludf.DUMMYFUNCTION("""COMPUTED_VALUE"""),1159.95)</f>
        <v>1159.95</v>
      </c>
      <c r="D2836" s="2">
        <f>IFERROR(__xludf.DUMMYFUNCTION("""COMPUTED_VALUE"""),1128.38)</f>
        <v>1128.38</v>
      </c>
      <c r="E2836" s="2">
        <f>IFERROR(__xludf.DUMMYFUNCTION("""COMPUTED_VALUE"""),1132.0)</f>
        <v>1132</v>
      </c>
      <c r="F2836" s="2">
        <f>IFERROR(__xludf.DUMMYFUNCTION("""COMPUTED_VALUE"""),653426.0)</f>
        <v>653426</v>
      </c>
    </row>
    <row r="2837">
      <c r="A2837" s="3">
        <f>IFERROR(__xludf.DUMMYFUNCTION("""COMPUTED_VALUE"""),42424.64583333333)</f>
        <v>42424.64583</v>
      </c>
      <c r="B2837" s="2">
        <f>IFERROR(__xludf.DUMMYFUNCTION("""COMPUTED_VALUE"""),1131.22)</f>
        <v>1131.22</v>
      </c>
      <c r="C2837" s="2">
        <f>IFERROR(__xludf.DUMMYFUNCTION("""COMPUTED_VALUE"""),1131.22)</f>
        <v>1131.22</v>
      </c>
      <c r="D2837" s="2">
        <f>IFERROR(__xludf.DUMMYFUNCTION("""COMPUTED_VALUE"""),1100.6)</f>
        <v>1100.6</v>
      </c>
      <c r="E2837" s="2">
        <f>IFERROR(__xludf.DUMMYFUNCTION("""COMPUTED_VALUE"""),1105.47)</f>
        <v>1105.47</v>
      </c>
      <c r="F2837" s="2">
        <f>IFERROR(__xludf.DUMMYFUNCTION("""COMPUTED_VALUE"""),829664.0)</f>
        <v>829664</v>
      </c>
    </row>
    <row r="2838">
      <c r="A2838" s="3">
        <f>IFERROR(__xludf.DUMMYFUNCTION("""COMPUTED_VALUE"""),42425.64583333333)</f>
        <v>42425.64583</v>
      </c>
      <c r="B2838" s="2">
        <f>IFERROR(__xludf.DUMMYFUNCTION("""COMPUTED_VALUE"""),1109.9)</f>
        <v>1109.9</v>
      </c>
      <c r="C2838" s="2">
        <f>IFERROR(__xludf.DUMMYFUNCTION("""COMPUTED_VALUE"""),1114.0)</f>
        <v>1114</v>
      </c>
      <c r="D2838" s="2">
        <f>IFERROR(__xludf.DUMMYFUNCTION("""COMPUTED_VALUE"""),1092.83)</f>
        <v>1092.83</v>
      </c>
      <c r="E2838" s="2">
        <f>IFERROR(__xludf.DUMMYFUNCTION("""COMPUTED_VALUE"""),1106.43)</f>
        <v>1106.43</v>
      </c>
      <c r="F2838" s="2">
        <f>IFERROR(__xludf.DUMMYFUNCTION("""COMPUTED_VALUE"""),915278.0)</f>
        <v>915278</v>
      </c>
    </row>
    <row r="2839">
      <c r="A2839" s="3">
        <f>IFERROR(__xludf.DUMMYFUNCTION("""COMPUTED_VALUE"""),42426.64583333333)</f>
        <v>42426.64583</v>
      </c>
      <c r="B2839" s="2">
        <f>IFERROR(__xludf.DUMMYFUNCTION("""COMPUTED_VALUE"""),1114.85)</f>
        <v>1114.85</v>
      </c>
      <c r="C2839" s="2">
        <f>IFERROR(__xludf.DUMMYFUNCTION("""COMPUTED_VALUE"""),1128.45)</f>
        <v>1128.45</v>
      </c>
      <c r="D2839" s="2">
        <f>IFERROR(__xludf.DUMMYFUNCTION("""COMPUTED_VALUE"""),1099.8)</f>
        <v>1099.8</v>
      </c>
      <c r="E2839" s="2">
        <f>IFERROR(__xludf.DUMMYFUNCTION("""COMPUTED_VALUE"""),1105.25)</f>
        <v>1105.25</v>
      </c>
      <c r="F2839" s="2">
        <f>IFERROR(__xludf.DUMMYFUNCTION("""COMPUTED_VALUE"""),768768.0)</f>
        <v>768768</v>
      </c>
    </row>
    <row r="2840">
      <c r="A2840" s="3">
        <f>IFERROR(__xludf.DUMMYFUNCTION("""COMPUTED_VALUE"""),42429.64583333333)</f>
        <v>42429.64583</v>
      </c>
      <c r="B2840" s="2">
        <f>IFERROR(__xludf.DUMMYFUNCTION("""COMPUTED_VALUE"""),1118.5)</f>
        <v>1118.5</v>
      </c>
      <c r="C2840" s="2">
        <f>IFERROR(__xludf.DUMMYFUNCTION("""COMPUTED_VALUE"""),1118.5)</f>
        <v>1118.5</v>
      </c>
      <c r="D2840" s="2">
        <f>IFERROR(__xludf.DUMMYFUNCTION("""COMPUTED_VALUE"""),1057.5)</f>
        <v>1057.5</v>
      </c>
      <c r="E2840" s="2">
        <f>IFERROR(__xludf.DUMMYFUNCTION("""COMPUTED_VALUE"""),1088.4)</f>
        <v>1088.4</v>
      </c>
      <c r="F2840" s="2">
        <f>IFERROR(__xludf.DUMMYFUNCTION("""COMPUTED_VALUE"""),1095859.0)</f>
        <v>1095859</v>
      </c>
    </row>
    <row r="2841">
      <c r="A2841" s="3">
        <f>IFERROR(__xludf.DUMMYFUNCTION("""COMPUTED_VALUE"""),42430.64583333333)</f>
        <v>42430.64583</v>
      </c>
      <c r="B2841" s="2">
        <f>IFERROR(__xludf.DUMMYFUNCTION("""COMPUTED_VALUE"""),1096.5)</f>
        <v>1096.5</v>
      </c>
      <c r="C2841" s="2">
        <f>IFERROR(__xludf.DUMMYFUNCTION("""COMPUTED_VALUE"""),1142.55)</f>
        <v>1142.55</v>
      </c>
      <c r="D2841" s="2">
        <f>IFERROR(__xludf.DUMMYFUNCTION("""COMPUTED_VALUE"""),1081.0)</f>
        <v>1081</v>
      </c>
      <c r="E2841" s="2">
        <f>IFERROR(__xludf.DUMMYFUNCTION("""COMPUTED_VALUE"""),1138.33)</f>
        <v>1138.33</v>
      </c>
      <c r="F2841" s="2">
        <f>IFERROR(__xludf.DUMMYFUNCTION("""COMPUTED_VALUE"""),999880.0)</f>
        <v>999880</v>
      </c>
    </row>
    <row r="2842">
      <c r="A2842" s="3">
        <f>IFERROR(__xludf.DUMMYFUNCTION("""COMPUTED_VALUE"""),42431.64583333333)</f>
        <v>42431.64583</v>
      </c>
      <c r="B2842" s="2">
        <f>IFERROR(__xludf.DUMMYFUNCTION("""COMPUTED_VALUE"""),1152.5)</f>
        <v>1152.5</v>
      </c>
      <c r="C2842" s="2">
        <f>IFERROR(__xludf.DUMMYFUNCTION("""COMPUTED_VALUE"""),1165.0)</f>
        <v>1165</v>
      </c>
      <c r="D2842" s="2">
        <f>IFERROR(__xludf.DUMMYFUNCTION("""COMPUTED_VALUE"""),1128.13)</f>
        <v>1128.13</v>
      </c>
      <c r="E2842" s="2">
        <f>IFERROR(__xludf.DUMMYFUNCTION("""COMPUTED_VALUE"""),1159.43)</f>
        <v>1159.43</v>
      </c>
      <c r="F2842" s="2">
        <f>IFERROR(__xludf.DUMMYFUNCTION("""COMPUTED_VALUE"""),763743.0)</f>
        <v>763743</v>
      </c>
    </row>
    <row r="2843">
      <c r="A2843" s="3">
        <f>IFERROR(__xludf.DUMMYFUNCTION("""COMPUTED_VALUE"""),42432.64583333333)</f>
        <v>42432.64583</v>
      </c>
      <c r="B2843" s="2">
        <f>IFERROR(__xludf.DUMMYFUNCTION("""COMPUTED_VALUE"""),1168.0)</f>
        <v>1168</v>
      </c>
      <c r="C2843" s="2">
        <f>IFERROR(__xludf.DUMMYFUNCTION("""COMPUTED_VALUE"""),1195.5)</f>
        <v>1195.5</v>
      </c>
      <c r="D2843" s="2">
        <f>IFERROR(__xludf.DUMMYFUNCTION("""COMPUTED_VALUE"""),1150.5)</f>
        <v>1150.5</v>
      </c>
      <c r="E2843" s="2">
        <f>IFERROR(__xludf.DUMMYFUNCTION("""COMPUTED_VALUE"""),1186.58)</f>
        <v>1186.58</v>
      </c>
      <c r="F2843" s="2">
        <f>IFERROR(__xludf.DUMMYFUNCTION("""COMPUTED_VALUE"""),1324142.0)</f>
        <v>1324142</v>
      </c>
    </row>
    <row r="2844">
      <c r="A2844" s="3">
        <f>IFERROR(__xludf.DUMMYFUNCTION("""COMPUTED_VALUE"""),42433.64583333333)</f>
        <v>42433.64583</v>
      </c>
      <c r="B2844" s="2">
        <f>IFERROR(__xludf.DUMMYFUNCTION("""COMPUTED_VALUE"""),1190.0)</f>
        <v>1190</v>
      </c>
      <c r="C2844" s="2">
        <f>IFERROR(__xludf.DUMMYFUNCTION("""COMPUTED_VALUE"""),1190.0)</f>
        <v>1190</v>
      </c>
      <c r="D2844" s="2">
        <f>IFERROR(__xludf.DUMMYFUNCTION("""COMPUTED_VALUE"""),1174.78)</f>
        <v>1174.78</v>
      </c>
      <c r="E2844" s="2">
        <f>IFERROR(__xludf.DUMMYFUNCTION("""COMPUTED_VALUE"""),1178.78)</f>
        <v>1178.78</v>
      </c>
      <c r="F2844" s="2">
        <f>IFERROR(__xludf.DUMMYFUNCTION("""COMPUTED_VALUE"""),756483.0)</f>
        <v>756483</v>
      </c>
    </row>
    <row r="2845">
      <c r="A2845" s="3">
        <f>IFERROR(__xludf.DUMMYFUNCTION("""COMPUTED_VALUE"""),42437.64583333333)</f>
        <v>42437.64583</v>
      </c>
      <c r="B2845" s="2">
        <f>IFERROR(__xludf.DUMMYFUNCTION("""COMPUTED_VALUE"""),1171.05)</f>
        <v>1171.05</v>
      </c>
      <c r="C2845" s="2">
        <f>IFERROR(__xludf.DUMMYFUNCTION("""COMPUTED_VALUE"""),1183.5)</f>
        <v>1183.5</v>
      </c>
      <c r="D2845" s="2">
        <f>IFERROR(__xludf.DUMMYFUNCTION("""COMPUTED_VALUE"""),1152.1)</f>
        <v>1152.1</v>
      </c>
      <c r="E2845" s="2">
        <f>IFERROR(__xludf.DUMMYFUNCTION("""COMPUTED_VALUE"""),1177.15)</f>
        <v>1177.15</v>
      </c>
      <c r="F2845" s="2">
        <f>IFERROR(__xludf.DUMMYFUNCTION("""COMPUTED_VALUE"""),634076.0)</f>
        <v>634076</v>
      </c>
    </row>
    <row r="2846">
      <c r="A2846" s="3">
        <f>IFERROR(__xludf.DUMMYFUNCTION("""COMPUTED_VALUE"""),42438.64583333333)</f>
        <v>42438.64583</v>
      </c>
      <c r="B2846" s="2">
        <f>IFERROR(__xludf.DUMMYFUNCTION("""COMPUTED_VALUE"""),1170.5)</f>
        <v>1170.5</v>
      </c>
      <c r="C2846" s="2">
        <f>IFERROR(__xludf.DUMMYFUNCTION("""COMPUTED_VALUE"""),1184.7)</f>
        <v>1184.7</v>
      </c>
      <c r="D2846" s="2">
        <f>IFERROR(__xludf.DUMMYFUNCTION("""COMPUTED_VALUE"""),1147.58)</f>
        <v>1147.58</v>
      </c>
      <c r="E2846" s="2">
        <f>IFERROR(__xludf.DUMMYFUNCTION("""COMPUTED_VALUE"""),1178.63)</f>
        <v>1178.63</v>
      </c>
      <c r="F2846" s="2">
        <f>IFERROR(__xludf.DUMMYFUNCTION("""COMPUTED_VALUE"""),1008892.0)</f>
        <v>1008892</v>
      </c>
    </row>
    <row r="2847">
      <c r="A2847" s="3">
        <f>IFERROR(__xludf.DUMMYFUNCTION("""COMPUTED_VALUE"""),42439.64583333333)</f>
        <v>42439.64583</v>
      </c>
      <c r="B2847" s="2">
        <f>IFERROR(__xludf.DUMMYFUNCTION("""COMPUTED_VALUE"""),1178.03)</f>
        <v>1178.03</v>
      </c>
      <c r="C2847" s="2">
        <f>IFERROR(__xludf.DUMMYFUNCTION("""COMPUTED_VALUE"""),1179.93)</f>
        <v>1179.93</v>
      </c>
      <c r="D2847" s="2">
        <f>IFERROR(__xludf.DUMMYFUNCTION("""COMPUTED_VALUE"""),1157.47)</f>
        <v>1157.47</v>
      </c>
      <c r="E2847" s="2">
        <f>IFERROR(__xludf.DUMMYFUNCTION("""COMPUTED_VALUE"""),1174.15)</f>
        <v>1174.15</v>
      </c>
      <c r="F2847" s="2">
        <f>IFERROR(__xludf.DUMMYFUNCTION("""COMPUTED_VALUE"""),830833.0)</f>
        <v>830833</v>
      </c>
    </row>
    <row r="2848">
      <c r="A2848" s="3">
        <f>IFERROR(__xludf.DUMMYFUNCTION("""COMPUTED_VALUE"""),42440.64583333333)</f>
        <v>42440.64583</v>
      </c>
      <c r="B2848" s="2">
        <f>IFERROR(__xludf.DUMMYFUNCTION("""COMPUTED_VALUE"""),1170.0)</f>
        <v>1170</v>
      </c>
      <c r="C2848" s="2">
        <f>IFERROR(__xludf.DUMMYFUNCTION("""COMPUTED_VALUE"""),1195.43)</f>
        <v>1195.43</v>
      </c>
      <c r="D2848" s="2">
        <f>IFERROR(__xludf.DUMMYFUNCTION("""COMPUTED_VALUE"""),1167.5)</f>
        <v>1167.5</v>
      </c>
      <c r="E2848" s="2">
        <f>IFERROR(__xludf.DUMMYFUNCTION("""COMPUTED_VALUE"""),1182.63)</f>
        <v>1182.63</v>
      </c>
      <c r="F2848" s="2">
        <f>IFERROR(__xludf.DUMMYFUNCTION("""COMPUTED_VALUE"""),765264.0)</f>
        <v>765264</v>
      </c>
    </row>
    <row r="2849">
      <c r="A2849" s="3">
        <f>IFERROR(__xludf.DUMMYFUNCTION("""COMPUTED_VALUE"""),42443.64583333333)</f>
        <v>42443.64583</v>
      </c>
      <c r="B2849" s="2">
        <f>IFERROR(__xludf.DUMMYFUNCTION("""COMPUTED_VALUE"""),1181.0)</f>
        <v>1181</v>
      </c>
      <c r="C2849" s="2">
        <f>IFERROR(__xludf.DUMMYFUNCTION("""COMPUTED_VALUE"""),1199.0)</f>
        <v>1199</v>
      </c>
      <c r="D2849" s="2">
        <f>IFERROR(__xludf.DUMMYFUNCTION("""COMPUTED_VALUE"""),1170.0)</f>
        <v>1170</v>
      </c>
      <c r="E2849" s="2">
        <f>IFERROR(__xludf.DUMMYFUNCTION("""COMPUTED_VALUE"""),1177.5)</f>
        <v>1177.5</v>
      </c>
      <c r="F2849" s="2">
        <f>IFERROR(__xludf.DUMMYFUNCTION("""COMPUTED_VALUE"""),818371.0)</f>
        <v>818371</v>
      </c>
    </row>
    <row r="2850">
      <c r="A2850" s="3">
        <f>IFERROR(__xludf.DUMMYFUNCTION("""COMPUTED_VALUE"""),42444.64583333333)</f>
        <v>42444.64583</v>
      </c>
      <c r="B2850" s="2">
        <f>IFERROR(__xludf.DUMMYFUNCTION("""COMPUTED_VALUE"""),1174.53)</f>
        <v>1174.53</v>
      </c>
      <c r="C2850" s="2">
        <f>IFERROR(__xludf.DUMMYFUNCTION("""COMPUTED_VALUE"""),1181.75)</f>
        <v>1181.75</v>
      </c>
      <c r="D2850" s="2">
        <f>IFERROR(__xludf.DUMMYFUNCTION("""COMPUTED_VALUE"""),1160.05)</f>
        <v>1160.05</v>
      </c>
      <c r="E2850" s="2">
        <f>IFERROR(__xludf.DUMMYFUNCTION("""COMPUTED_VALUE"""),1164.95)</f>
        <v>1164.95</v>
      </c>
      <c r="F2850" s="2">
        <f>IFERROR(__xludf.DUMMYFUNCTION("""COMPUTED_VALUE"""),811678.0)</f>
        <v>811678</v>
      </c>
    </row>
    <row r="2851">
      <c r="A2851" s="3">
        <f>IFERROR(__xludf.DUMMYFUNCTION("""COMPUTED_VALUE"""),42445.64583333333)</f>
        <v>42445.64583</v>
      </c>
      <c r="B2851" s="2">
        <f>IFERROR(__xludf.DUMMYFUNCTION("""COMPUTED_VALUE"""),1157.5)</f>
        <v>1157.5</v>
      </c>
      <c r="C2851" s="2">
        <f>IFERROR(__xludf.DUMMYFUNCTION("""COMPUTED_VALUE"""),1166.0)</f>
        <v>1166</v>
      </c>
      <c r="D2851" s="2">
        <f>IFERROR(__xludf.DUMMYFUNCTION("""COMPUTED_VALUE"""),1153.45)</f>
        <v>1153.45</v>
      </c>
      <c r="E2851" s="2">
        <f>IFERROR(__xludf.DUMMYFUNCTION("""COMPUTED_VALUE"""),1163.53)</f>
        <v>1163.53</v>
      </c>
      <c r="F2851" s="2">
        <f>IFERROR(__xludf.DUMMYFUNCTION("""COMPUTED_VALUE"""),959123.0)</f>
        <v>959123</v>
      </c>
    </row>
    <row r="2852">
      <c r="A2852" s="3">
        <f>IFERROR(__xludf.DUMMYFUNCTION("""COMPUTED_VALUE"""),42446.64583333333)</f>
        <v>42446.64583</v>
      </c>
      <c r="B2852" s="2">
        <f>IFERROR(__xludf.DUMMYFUNCTION("""COMPUTED_VALUE"""),1167.0)</f>
        <v>1167</v>
      </c>
      <c r="C2852" s="2">
        <f>IFERROR(__xludf.DUMMYFUNCTION("""COMPUTED_VALUE"""),1180.9)</f>
        <v>1180.9</v>
      </c>
      <c r="D2852" s="2">
        <f>IFERROR(__xludf.DUMMYFUNCTION("""COMPUTED_VALUE"""),1166.0)</f>
        <v>1166</v>
      </c>
      <c r="E2852" s="2">
        <f>IFERROR(__xludf.DUMMYFUNCTION("""COMPUTED_VALUE"""),1176.03)</f>
        <v>1176.03</v>
      </c>
      <c r="F2852" s="2">
        <f>IFERROR(__xludf.DUMMYFUNCTION("""COMPUTED_VALUE"""),1110544.0)</f>
        <v>1110544</v>
      </c>
    </row>
    <row r="2853">
      <c r="A2853" s="3">
        <f>IFERROR(__xludf.DUMMYFUNCTION("""COMPUTED_VALUE"""),42447.64583333333)</f>
        <v>42447.64583</v>
      </c>
      <c r="B2853" s="2">
        <f>IFERROR(__xludf.DUMMYFUNCTION("""COMPUTED_VALUE"""),1180.0)</f>
        <v>1180</v>
      </c>
      <c r="C2853" s="2">
        <f>IFERROR(__xludf.DUMMYFUNCTION("""COMPUTED_VALUE"""),1215.0)</f>
        <v>1215</v>
      </c>
      <c r="D2853" s="2">
        <f>IFERROR(__xludf.DUMMYFUNCTION("""COMPUTED_VALUE"""),1180.0)</f>
        <v>1180</v>
      </c>
      <c r="E2853" s="2">
        <f>IFERROR(__xludf.DUMMYFUNCTION("""COMPUTED_VALUE"""),1212.93)</f>
        <v>1212.93</v>
      </c>
      <c r="F2853" s="2">
        <f>IFERROR(__xludf.DUMMYFUNCTION("""COMPUTED_VALUE"""),1602035.0)</f>
        <v>1602035</v>
      </c>
    </row>
    <row r="2854">
      <c r="A2854" s="3">
        <f>IFERROR(__xludf.DUMMYFUNCTION("""COMPUTED_VALUE"""),42450.64583333333)</f>
        <v>42450.64583</v>
      </c>
      <c r="B2854" s="2">
        <f>IFERROR(__xludf.DUMMYFUNCTION("""COMPUTED_VALUE"""),1213.0)</f>
        <v>1213</v>
      </c>
      <c r="C2854" s="2">
        <f>IFERROR(__xludf.DUMMYFUNCTION("""COMPUTED_VALUE"""),1227.47)</f>
        <v>1227.47</v>
      </c>
      <c r="D2854" s="2">
        <f>IFERROR(__xludf.DUMMYFUNCTION("""COMPUTED_VALUE"""),1210.0)</f>
        <v>1210</v>
      </c>
      <c r="E2854" s="2">
        <f>IFERROR(__xludf.DUMMYFUNCTION("""COMPUTED_VALUE"""),1223.13)</f>
        <v>1223.13</v>
      </c>
      <c r="F2854" s="2">
        <f>IFERROR(__xludf.DUMMYFUNCTION("""COMPUTED_VALUE"""),1168491.0)</f>
        <v>1168491</v>
      </c>
    </row>
    <row r="2855">
      <c r="A2855" s="3">
        <f>IFERROR(__xludf.DUMMYFUNCTION("""COMPUTED_VALUE"""),42451.64583333333)</f>
        <v>42451.64583</v>
      </c>
      <c r="B2855" s="2">
        <f>IFERROR(__xludf.DUMMYFUNCTION("""COMPUTED_VALUE"""),1221.0)</f>
        <v>1221</v>
      </c>
      <c r="C2855" s="2">
        <f>IFERROR(__xludf.DUMMYFUNCTION("""COMPUTED_VALUE"""),1242.5)</f>
        <v>1242.5</v>
      </c>
      <c r="D2855" s="2">
        <f>IFERROR(__xludf.DUMMYFUNCTION("""COMPUTED_VALUE"""),1218.25)</f>
        <v>1218.25</v>
      </c>
      <c r="E2855" s="2">
        <f>IFERROR(__xludf.DUMMYFUNCTION("""COMPUTED_VALUE"""),1236.55)</f>
        <v>1236.55</v>
      </c>
      <c r="F2855" s="2">
        <f>IFERROR(__xludf.DUMMYFUNCTION("""COMPUTED_VALUE"""),975992.0)</f>
        <v>975992</v>
      </c>
    </row>
    <row r="2856">
      <c r="A2856" s="3">
        <f>IFERROR(__xludf.DUMMYFUNCTION("""COMPUTED_VALUE"""),42452.64583333333)</f>
        <v>42452.64583</v>
      </c>
      <c r="B2856" s="2">
        <f>IFERROR(__xludf.DUMMYFUNCTION("""COMPUTED_VALUE"""),1243.95)</f>
        <v>1243.95</v>
      </c>
      <c r="C2856" s="2">
        <f>IFERROR(__xludf.DUMMYFUNCTION("""COMPUTED_VALUE"""),1243.95)</f>
        <v>1243.95</v>
      </c>
      <c r="D2856" s="2">
        <f>IFERROR(__xludf.DUMMYFUNCTION("""COMPUTED_VALUE"""),1228.65)</f>
        <v>1228.65</v>
      </c>
      <c r="E2856" s="2">
        <f>IFERROR(__xludf.DUMMYFUNCTION("""COMPUTED_VALUE"""),1236.9)</f>
        <v>1236.9</v>
      </c>
      <c r="F2856" s="2">
        <f>IFERROR(__xludf.DUMMYFUNCTION("""COMPUTED_VALUE"""),1139217.0)</f>
        <v>1139217</v>
      </c>
    </row>
    <row r="2857">
      <c r="A2857" s="3">
        <f>IFERROR(__xludf.DUMMYFUNCTION("""COMPUTED_VALUE"""),42457.64583333333)</f>
        <v>42457.64583</v>
      </c>
      <c r="B2857" s="2">
        <f>IFERROR(__xludf.DUMMYFUNCTION("""COMPUTED_VALUE"""),1245.5)</f>
        <v>1245.5</v>
      </c>
      <c r="C2857" s="2">
        <f>IFERROR(__xludf.DUMMYFUNCTION("""COMPUTED_VALUE"""),1258.58)</f>
        <v>1258.58</v>
      </c>
      <c r="D2857" s="2">
        <f>IFERROR(__xludf.DUMMYFUNCTION("""COMPUTED_VALUE"""),1230.78)</f>
        <v>1230.78</v>
      </c>
      <c r="E2857" s="2">
        <f>IFERROR(__xludf.DUMMYFUNCTION("""COMPUTED_VALUE"""),1236.7)</f>
        <v>1236.7</v>
      </c>
      <c r="F2857" s="2">
        <f>IFERROR(__xludf.DUMMYFUNCTION("""COMPUTED_VALUE"""),1660441.0)</f>
        <v>1660441</v>
      </c>
    </row>
    <row r="2858">
      <c r="A2858" s="3">
        <f>IFERROR(__xludf.DUMMYFUNCTION("""COMPUTED_VALUE"""),42458.64583333333)</f>
        <v>42458.64583</v>
      </c>
      <c r="B2858" s="2">
        <f>IFERROR(__xludf.DUMMYFUNCTION("""COMPUTED_VALUE"""),1239.0)</f>
        <v>1239</v>
      </c>
      <c r="C2858" s="2">
        <f>IFERROR(__xludf.DUMMYFUNCTION("""COMPUTED_VALUE"""),1243.47)</f>
        <v>1243.47</v>
      </c>
      <c r="D2858" s="2">
        <f>IFERROR(__xludf.DUMMYFUNCTION("""COMPUTED_VALUE"""),1227.5)</f>
        <v>1227.5</v>
      </c>
      <c r="E2858" s="2">
        <f>IFERROR(__xludf.DUMMYFUNCTION("""COMPUTED_VALUE"""),1234.7)</f>
        <v>1234.7</v>
      </c>
      <c r="F2858" s="2">
        <f>IFERROR(__xludf.DUMMYFUNCTION("""COMPUTED_VALUE"""),919398.0)</f>
        <v>919398</v>
      </c>
    </row>
    <row r="2859">
      <c r="A2859" s="3">
        <f>IFERROR(__xludf.DUMMYFUNCTION("""COMPUTED_VALUE"""),42459.64583333333)</f>
        <v>42459.64583</v>
      </c>
      <c r="B2859" s="2">
        <f>IFERROR(__xludf.DUMMYFUNCTION("""COMPUTED_VALUE"""),1235.45)</f>
        <v>1235.45</v>
      </c>
      <c r="C2859" s="2">
        <f>IFERROR(__xludf.DUMMYFUNCTION("""COMPUTED_VALUE"""),1252.5)</f>
        <v>1252.5</v>
      </c>
      <c r="D2859" s="2">
        <f>IFERROR(__xludf.DUMMYFUNCTION("""COMPUTED_VALUE"""),1230.0)</f>
        <v>1230</v>
      </c>
      <c r="E2859" s="2">
        <f>IFERROR(__xludf.DUMMYFUNCTION("""COMPUTED_VALUE"""),1244.75)</f>
        <v>1244.75</v>
      </c>
      <c r="F2859" s="2">
        <f>IFERROR(__xludf.DUMMYFUNCTION("""COMPUTED_VALUE"""),1068252.0)</f>
        <v>1068252</v>
      </c>
    </row>
    <row r="2860">
      <c r="A2860" s="3">
        <f>IFERROR(__xludf.DUMMYFUNCTION("""COMPUTED_VALUE"""),42460.64583333333)</f>
        <v>42460.64583</v>
      </c>
      <c r="B2860" s="2">
        <f>IFERROR(__xludf.DUMMYFUNCTION("""COMPUTED_VALUE"""),1239.15)</f>
        <v>1239.15</v>
      </c>
      <c r="C2860" s="2">
        <f>IFERROR(__xludf.DUMMYFUNCTION("""COMPUTED_VALUE"""),1275.0)</f>
        <v>1275</v>
      </c>
      <c r="D2860" s="2">
        <f>IFERROR(__xludf.DUMMYFUNCTION("""COMPUTED_VALUE"""),1236.08)</f>
        <v>1236.08</v>
      </c>
      <c r="E2860" s="2">
        <f>IFERROR(__xludf.DUMMYFUNCTION("""COMPUTED_VALUE"""),1260.15)</f>
        <v>1260.15</v>
      </c>
      <c r="F2860" s="2">
        <f>IFERROR(__xludf.DUMMYFUNCTION("""COMPUTED_VALUE"""),2181982.0)</f>
        <v>2181982</v>
      </c>
    </row>
    <row r="2861">
      <c r="A2861" s="3">
        <f>IFERROR(__xludf.DUMMYFUNCTION("""COMPUTED_VALUE"""),42461.64583333333)</f>
        <v>42461.64583</v>
      </c>
      <c r="B2861" s="2">
        <f>IFERROR(__xludf.DUMMYFUNCTION("""COMPUTED_VALUE"""),1252.5)</f>
        <v>1252.5</v>
      </c>
      <c r="C2861" s="2">
        <f>IFERROR(__xludf.DUMMYFUNCTION("""COMPUTED_VALUE"""),1260.43)</f>
        <v>1260.43</v>
      </c>
      <c r="D2861" s="2">
        <f>IFERROR(__xludf.DUMMYFUNCTION("""COMPUTED_VALUE"""),1217.05)</f>
        <v>1217.05</v>
      </c>
      <c r="E2861" s="2">
        <f>IFERROR(__xludf.DUMMYFUNCTION("""COMPUTED_VALUE"""),1226.95)</f>
        <v>1226.95</v>
      </c>
      <c r="F2861" s="2">
        <f>IFERROR(__xludf.DUMMYFUNCTION("""COMPUTED_VALUE"""),1520700.0)</f>
        <v>1520700</v>
      </c>
    </row>
    <row r="2862">
      <c r="A2862" s="3">
        <f>IFERROR(__xludf.DUMMYFUNCTION("""COMPUTED_VALUE"""),42464.64583333333)</f>
        <v>42464.64583</v>
      </c>
      <c r="B2862" s="2">
        <f>IFERROR(__xludf.DUMMYFUNCTION("""COMPUTED_VALUE"""),1228.0)</f>
        <v>1228</v>
      </c>
      <c r="C2862" s="2">
        <f>IFERROR(__xludf.DUMMYFUNCTION("""COMPUTED_VALUE"""),1244.0)</f>
        <v>1244</v>
      </c>
      <c r="D2862" s="2">
        <f>IFERROR(__xludf.DUMMYFUNCTION("""COMPUTED_VALUE"""),1223.5)</f>
        <v>1223.5</v>
      </c>
      <c r="E2862" s="2">
        <f>IFERROR(__xludf.DUMMYFUNCTION("""COMPUTED_VALUE"""),1235.63)</f>
        <v>1235.63</v>
      </c>
      <c r="F2862" s="2">
        <f>IFERROR(__xludf.DUMMYFUNCTION("""COMPUTED_VALUE"""),876176.0)</f>
        <v>876176</v>
      </c>
    </row>
    <row r="2863">
      <c r="A2863" s="3">
        <f>IFERROR(__xludf.DUMMYFUNCTION("""COMPUTED_VALUE"""),42465.64583333333)</f>
        <v>42465.64583</v>
      </c>
      <c r="B2863" s="2">
        <f>IFERROR(__xludf.DUMMYFUNCTION("""COMPUTED_VALUE"""),1235.4)</f>
        <v>1235.4</v>
      </c>
      <c r="C2863" s="2">
        <f>IFERROR(__xludf.DUMMYFUNCTION("""COMPUTED_VALUE"""),1242.45)</f>
        <v>1242.45</v>
      </c>
      <c r="D2863" s="2">
        <f>IFERROR(__xludf.DUMMYFUNCTION("""COMPUTED_VALUE"""),1221.03)</f>
        <v>1221.03</v>
      </c>
      <c r="E2863" s="2">
        <f>IFERROR(__xludf.DUMMYFUNCTION("""COMPUTED_VALUE"""),1231.38)</f>
        <v>1231.38</v>
      </c>
      <c r="F2863" s="2">
        <f>IFERROR(__xludf.DUMMYFUNCTION("""COMPUTED_VALUE"""),745897.0)</f>
        <v>745897</v>
      </c>
    </row>
    <row r="2864">
      <c r="A2864" s="3">
        <f>IFERROR(__xludf.DUMMYFUNCTION("""COMPUTED_VALUE"""),42466.64583333333)</f>
        <v>42466.64583</v>
      </c>
      <c r="B2864" s="2">
        <f>IFERROR(__xludf.DUMMYFUNCTION("""COMPUTED_VALUE"""),1235.0)</f>
        <v>1235</v>
      </c>
      <c r="C2864" s="2">
        <f>IFERROR(__xludf.DUMMYFUNCTION("""COMPUTED_VALUE"""),1244.5)</f>
        <v>1244.5</v>
      </c>
      <c r="D2864" s="2">
        <f>IFERROR(__xludf.DUMMYFUNCTION("""COMPUTED_VALUE"""),1229.68)</f>
        <v>1229.68</v>
      </c>
      <c r="E2864" s="2">
        <f>IFERROR(__xludf.DUMMYFUNCTION("""COMPUTED_VALUE"""),1240.95)</f>
        <v>1240.95</v>
      </c>
      <c r="F2864" s="2">
        <f>IFERROR(__xludf.DUMMYFUNCTION("""COMPUTED_VALUE"""),881575.0)</f>
        <v>881575</v>
      </c>
    </row>
    <row r="2865">
      <c r="A2865" s="3">
        <f>IFERROR(__xludf.DUMMYFUNCTION("""COMPUTED_VALUE"""),42467.64583333333)</f>
        <v>42467.64583</v>
      </c>
      <c r="B2865" s="2">
        <f>IFERROR(__xludf.DUMMYFUNCTION("""COMPUTED_VALUE"""),1240.0)</f>
        <v>1240</v>
      </c>
      <c r="C2865" s="2">
        <f>IFERROR(__xludf.DUMMYFUNCTION("""COMPUTED_VALUE"""),1242.35)</f>
        <v>1242.35</v>
      </c>
      <c r="D2865" s="2">
        <f>IFERROR(__xludf.DUMMYFUNCTION("""COMPUTED_VALUE"""),1228.5)</f>
        <v>1228.5</v>
      </c>
      <c r="E2865" s="2">
        <f>IFERROR(__xludf.DUMMYFUNCTION("""COMPUTED_VALUE"""),1235.4)</f>
        <v>1235.4</v>
      </c>
      <c r="F2865" s="2">
        <f>IFERROR(__xludf.DUMMYFUNCTION("""COMPUTED_VALUE"""),1195471.0)</f>
        <v>1195471</v>
      </c>
    </row>
    <row r="2866">
      <c r="A2866" s="3">
        <f>IFERROR(__xludf.DUMMYFUNCTION("""COMPUTED_VALUE"""),42468.64583333333)</f>
        <v>42468.64583</v>
      </c>
      <c r="B2866" s="2">
        <f>IFERROR(__xludf.DUMMYFUNCTION("""COMPUTED_VALUE"""),1233.0)</f>
        <v>1233</v>
      </c>
      <c r="C2866" s="2">
        <f>IFERROR(__xludf.DUMMYFUNCTION("""COMPUTED_VALUE"""),1236.85)</f>
        <v>1236.85</v>
      </c>
      <c r="D2866" s="2">
        <f>IFERROR(__xludf.DUMMYFUNCTION("""COMPUTED_VALUE"""),1213.5)</f>
        <v>1213.5</v>
      </c>
      <c r="E2866" s="2">
        <f>IFERROR(__xludf.DUMMYFUNCTION("""COMPUTED_VALUE"""),1216.03)</f>
        <v>1216.03</v>
      </c>
      <c r="F2866" s="2">
        <f>IFERROR(__xludf.DUMMYFUNCTION("""COMPUTED_VALUE"""),699750.0)</f>
        <v>699750</v>
      </c>
    </row>
    <row r="2867">
      <c r="A2867" s="3">
        <f>IFERROR(__xludf.DUMMYFUNCTION("""COMPUTED_VALUE"""),42471.64583333333)</f>
        <v>42471.64583</v>
      </c>
      <c r="B2867" s="2">
        <f>IFERROR(__xludf.DUMMYFUNCTION("""COMPUTED_VALUE"""),1216.5)</f>
        <v>1216.5</v>
      </c>
      <c r="C2867" s="2">
        <f>IFERROR(__xludf.DUMMYFUNCTION("""COMPUTED_VALUE"""),1258.5)</f>
        <v>1258.5</v>
      </c>
      <c r="D2867" s="2">
        <f>IFERROR(__xludf.DUMMYFUNCTION("""COMPUTED_VALUE"""),1206.5)</f>
        <v>1206.5</v>
      </c>
      <c r="E2867" s="2">
        <f>IFERROR(__xludf.DUMMYFUNCTION("""COMPUTED_VALUE"""),1253.33)</f>
        <v>1253.33</v>
      </c>
      <c r="F2867" s="2">
        <f>IFERROR(__xludf.DUMMYFUNCTION("""COMPUTED_VALUE"""),1200324.0)</f>
        <v>1200324</v>
      </c>
    </row>
    <row r="2868">
      <c r="A2868" s="3">
        <f>IFERROR(__xludf.DUMMYFUNCTION("""COMPUTED_VALUE"""),42472.64583333333)</f>
        <v>42472.64583</v>
      </c>
      <c r="B2868" s="2">
        <f>IFERROR(__xludf.DUMMYFUNCTION("""COMPUTED_VALUE"""),1249.0)</f>
        <v>1249</v>
      </c>
      <c r="C2868" s="2">
        <f>IFERROR(__xludf.DUMMYFUNCTION("""COMPUTED_VALUE"""),1262.5)</f>
        <v>1262.5</v>
      </c>
      <c r="D2868" s="2">
        <f>IFERROR(__xludf.DUMMYFUNCTION("""COMPUTED_VALUE"""),1244.05)</f>
        <v>1244.05</v>
      </c>
      <c r="E2868" s="2">
        <f>IFERROR(__xludf.DUMMYFUNCTION("""COMPUTED_VALUE"""),1259.08)</f>
        <v>1259.08</v>
      </c>
      <c r="F2868" s="2">
        <f>IFERROR(__xludf.DUMMYFUNCTION("""COMPUTED_VALUE"""),651814.0)</f>
        <v>651814</v>
      </c>
    </row>
    <row r="2869">
      <c r="A2869" s="3">
        <f>IFERROR(__xludf.DUMMYFUNCTION("""COMPUTED_VALUE"""),42473.64583333333)</f>
        <v>42473.64583</v>
      </c>
      <c r="B2869" s="2">
        <f>IFERROR(__xludf.DUMMYFUNCTION("""COMPUTED_VALUE"""),1265.0)</f>
        <v>1265</v>
      </c>
      <c r="C2869" s="2">
        <f>IFERROR(__xludf.DUMMYFUNCTION("""COMPUTED_VALUE"""),1272.5)</f>
        <v>1272.5</v>
      </c>
      <c r="D2869" s="2">
        <f>IFERROR(__xludf.DUMMYFUNCTION("""COMPUTED_VALUE"""),1256.25)</f>
        <v>1256.25</v>
      </c>
      <c r="E2869" s="2">
        <f>IFERROR(__xludf.DUMMYFUNCTION("""COMPUTED_VALUE"""),1263.1)</f>
        <v>1263.1</v>
      </c>
      <c r="F2869" s="2">
        <f>IFERROR(__xludf.DUMMYFUNCTION("""COMPUTED_VALUE"""),800734.0)</f>
        <v>800734</v>
      </c>
    </row>
    <row r="2870">
      <c r="A2870" s="3">
        <f>IFERROR(__xludf.DUMMYFUNCTION("""COMPUTED_VALUE"""),42478.64583333333)</f>
        <v>42478.64583</v>
      </c>
      <c r="B2870" s="2">
        <f>IFERROR(__xludf.DUMMYFUNCTION("""COMPUTED_VALUE"""),1226.5)</f>
        <v>1226.5</v>
      </c>
      <c r="C2870" s="2">
        <f>IFERROR(__xludf.DUMMYFUNCTION("""COMPUTED_VALUE"""),1276.75)</f>
        <v>1276.75</v>
      </c>
      <c r="D2870" s="2">
        <f>IFERROR(__xludf.DUMMYFUNCTION("""COMPUTED_VALUE"""),1220.0)</f>
        <v>1220</v>
      </c>
      <c r="E2870" s="2">
        <f>IFERROR(__xludf.DUMMYFUNCTION("""COMPUTED_VALUE"""),1259.88)</f>
        <v>1259.88</v>
      </c>
      <c r="F2870" s="2">
        <f>IFERROR(__xludf.DUMMYFUNCTION("""COMPUTED_VALUE"""),3560752.0)</f>
        <v>3560752</v>
      </c>
    </row>
    <row r="2871">
      <c r="A2871" s="3">
        <f>IFERROR(__xludf.DUMMYFUNCTION("""COMPUTED_VALUE"""),42480.64583333333)</f>
        <v>42480.64583</v>
      </c>
      <c r="B2871" s="2">
        <f>IFERROR(__xludf.DUMMYFUNCTION("""COMPUTED_VALUE"""),1267.45)</f>
        <v>1267.45</v>
      </c>
      <c r="C2871" s="2">
        <f>IFERROR(__xludf.DUMMYFUNCTION("""COMPUTED_VALUE"""),1267.45)</f>
        <v>1267.45</v>
      </c>
      <c r="D2871" s="2">
        <f>IFERROR(__xludf.DUMMYFUNCTION("""COMPUTED_VALUE"""),1220.0)</f>
        <v>1220</v>
      </c>
      <c r="E2871" s="2">
        <f>IFERROR(__xludf.DUMMYFUNCTION("""COMPUTED_VALUE"""),1225.18)</f>
        <v>1225.18</v>
      </c>
      <c r="F2871" s="2">
        <f>IFERROR(__xludf.DUMMYFUNCTION("""COMPUTED_VALUE"""),3202512.0)</f>
        <v>3202512</v>
      </c>
    </row>
    <row r="2872">
      <c r="A2872" s="3">
        <f>IFERROR(__xludf.DUMMYFUNCTION("""COMPUTED_VALUE"""),42481.64583333333)</f>
        <v>42481.64583</v>
      </c>
      <c r="B2872" s="2">
        <f>IFERROR(__xludf.DUMMYFUNCTION("""COMPUTED_VALUE"""),1225.5)</f>
        <v>1225.5</v>
      </c>
      <c r="C2872" s="2">
        <f>IFERROR(__xludf.DUMMYFUNCTION("""COMPUTED_VALUE"""),1233.7)</f>
        <v>1233.7</v>
      </c>
      <c r="D2872" s="2">
        <f>IFERROR(__xludf.DUMMYFUNCTION("""COMPUTED_VALUE"""),1206.1)</f>
        <v>1206.1</v>
      </c>
      <c r="E2872" s="2">
        <f>IFERROR(__xludf.DUMMYFUNCTION("""COMPUTED_VALUE"""),1212.2)</f>
        <v>1212.2</v>
      </c>
      <c r="F2872" s="2">
        <f>IFERROR(__xludf.DUMMYFUNCTION("""COMPUTED_VALUE"""),1262862.0)</f>
        <v>1262862</v>
      </c>
    </row>
    <row r="2873">
      <c r="A2873" s="3">
        <f>IFERROR(__xludf.DUMMYFUNCTION("""COMPUTED_VALUE"""),42482.64583333333)</f>
        <v>42482.64583</v>
      </c>
      <c r="B2873" s="2">
        <f>IFERROR(__xludf.DUMMYFUNCTION("""COMPUTED_VALUE"""),1209.5)</f>
        <v>1209.5</v>
      </c>
      <c r="C2873" s="2">
        <f>IFERROR(__xludf.DUMMYFUNCTION("""COMPUTED_VALUE"""),1217.7)</f>
        <v>1217.7</v>
      </c>
      <c r="D2873" s="2">
        <f>IFERROR(__xludf.DUMMYFUNCTION("""COMPUTED_VALUE"""),1202.1)</f>
        <v>1202.1</v>
      </c>
      <c r="E2873" s="2">
        <f>IFERROR(__xludf.DUMMYFUNCTION("""COMPUTED_VALUE"""),1208.53)</f>
        <v>1208.53</v>
      </c>
      <c r="F2873" s="2">
        <f>IFERROR(__xludf.DUMMYFUNCTION("""COMPUTED_VALUE"""),982063.0)</f>
        <v>982063</v>
      </c>
    </row>
    <row r="2874">
      <c r="A2874" s="3">
        <f>IFERROR(__xludf.DUMMYFUNCTION("""COMPUTED_VALUE"""),42485.64583333333)</f>
        <v>42485.64583</v>
      </c>
      <c r="B2874" s="2">
        <f>IFERROR(__xludf.DUMMYFUNCTION("""COMPUTED_VALUE"""),1201.15)</f>
        <v>1201.15</v>
      </c>
      <c r="C2874" s="2">
        <f>IFERROR(__xludf.DUMMYFUNCTION("""COMPUTED_VALUE"""),1228.53)</f>
        <v>1228.53</v>
      </c>
      <c r="D2874" s="2">
        <f>IFERROR(__xludf.DUMMYFUNCTION("""COMPUTED_VALUE"""),1201.15)</f>
        <v>1201.15</v>
      </c>
      <c r="E2874" s="2">
        <f>IFERROR(__xludf.DUMMYFUNCTION("""COMPUTED_VALUE"""),1225.63)</f>
        <v>1225.63</v>
      </c>
      <c r="F2874" s="2">
        <f>IFERROR(__xludf.DUMMYFUNCTION("""COMPUTED_VALUE"""),1133827.0)</f>
        <v>1133827</v>
      </c>
    </row>
    <row r="2875">
      <c r="A2875" s="3">
        <f>IFERROR(__xludf.DUMMYFUNCTION("""COMPUTED_VALUE"""),42486.64583333333)</f>
        <v>42486.64583</v>
      </c>
      <c r="B2875" s="2">
        <f>IFERROR(__xludf.DUMMYFUNCTION("""COMPUTED_VALUE"""),1224.5)</f>
        <v>1224.5</v>
      </c>
      <c r="C2875" s="2">
        <f>IFERROR(__xludf.DUMMYFUNCTION("""COMPUTED_VALUE"""),1246.75)</f>
        <v>1246.75</v>
      </c>
      <c r="D2875" s="2">
        <f>IFERROR(__xludf.DUMMYFUNCTION("""COMPUTED_VALUE"""),1221.0)</f>
        <v>1221</v>
      </c>
      <c r="E2875" s="2">
        <f>IFERROR(__xludf.DUMMYFUNCTION("""COMPUTED_VALUE"""),1244.9)</f>
        <v>1244.9</v>
      </c>
      <c r="F2875" s="2">
        <f>IFERROR(__xludf.DUMMYFUNCTION("""COMPUTED_VALUE"""),1277184.0)</f>
        <v>1277184</v>
      </c>
    </row>
    <row r="2876">
      <c r="A2876" s="3">
        <f>IFERROR(__xludf.DUMMYFUNCTION("""COMPUTED_VALUE"""),42487.64583333333)</f>
        <v>42487.64583</v>
      </c>
      <c r="B2876" s="2">
        <f>IFERROR(__xludf.DUMMYFUNCTION("""COMPUTED_VALUE"""),1240.0)</f>
        <v>1240</v>
      </c>
      <c r="C2876" s="2">
        <f>IFERROR(__xludf.DUMMYFUNCTION("""COMPUTED_VALUE"""),1257.3)</f>
        <v>1257.3</v>
      </c>
      <c r="D2876" s="2">
        <f>IFERROR(__xludf.DUMMYFUNCTION("""COMPUTED_VALUE"""),1237.95)</f>
        <v>1237.95</v>
      </c>
      <c r="E2876" s="2">
        <f>IFERROR(__xludf.DUMMYFUNCTION("""COMPUTED_VALUE"""),1255.55)</f>
        <v>1255.55</v>
      </c>
      <c r="F2876" s="2">
        <f>IFERROR(__xludf.DUMMYFUNCTION("""COMPUTED_VALUE"""),924335.0)</f>
        <v>924335</v>
      </c>
    </row>
    <row r="2877">
      <c r="A2877" s="3">
        <f>IFERROR(__xludf.DUMMYFUNCTION("""COMPUTED_VALUE"""),42488.64583333333)</f>
        <v>42488.64583</v>
      </c>
      <c r="B2877" s="2">
        <f>IFERROR(__xludf.DUMMYFUNCTION("""COMPUTED_VALUE"""),1250.65)</f>
        <v>1250.65</v>
      </c>
      <c r="C2877" s="2">
        <f>IFERROR(__xludf.DUMMYFUNCTION("""COMPUTED_VALUE"""),1270.0)</f>
        <v>1270</v>
      </c>
      <c r="D2877" s="2">
        <f>IFERROR(__xludf.DUMMYFUNCTION("""COMPUTED_VALUE"""),1249.05)</f>
        <v>1249.05</v>
      </c>
      <c r="E2877" s="2">
        <f>IFERROR(__xludf.DUMMYFUNCTION("""COMPUTED_VALUE"""),1263.88)</f>
        <v>1263.88</v>
      </c>
      <c r="F2877" s="2">
        <f>IFERROR(__xludf.DUMMYFUNCTION("""COMPUTED_VALUE"""),2496372.0)</f>
        <v>2496372</v>
      </c>
    </row>
    <row r="2878">
      <c r="A2878" s="3">
        <f>IFERROR(__xludf.DUMMYFUNCTION("""COMPUTED_VALUE"""),42489.64583333333)</f>
        <v>42489.64583</v>
      </c>
      <c r="B2878" s="2">
        <f>IFERROR(__xludf.DUMMYFUNCTION("""COMPUTED_VALUE"""),1258.5)</f>
        <v>1258.5</v>
      </c>
      <c r="C2878" s="2">
        <f>IFERROR(__xludf.DUMMYFUNCTION("""COMPUTED_VALUE"""),1271.0)</f>
        <v>1271</v>
      </c>
      <c r="D2878" s="2">
        <f>IFERROR(__xludf.DUMMYFUNCTION("""COMPUTED_VALUE"""),1255.0)</f>
        <v>1255</v>
      </c>
      <c r="E2878" s="2">
        <f>IFERROR(__xludf.DUMMYFUNCTION("""COMPUTED_VALUE"""),1267.75)</f>
        <v>1267.75</v>
      </c>
      <c r="F2878" s="2">
        <f>IFERROR(__xludf.DUMMYFUNCTION("""COMPUTED_VALUE"""),1186089.0)</f>
        <v>1186089</v>
      </c>
    </row>
    <row r="2879">
      <c r="A2879" s="3">
        <f>IFERROR(__xludf.DUMMYFUNCTION("""COMPUTED_VALUE"""),42492.64583333333)</f>
        <v>42492.64583</v>
      </c>
      <c r="B2879" s="2">
        <f>IFERROR(__xludf.DUMMYFUNCTION("""COMPUTED_VALUE"""),1264.5)</f>
        <v>1264.5</v>
      </c>
      <c r="C2879" s="2">
        <f>IFERROR(__xludf.DUMMYFUNCTION("""COMPUTED_VALUE"""),1265.0)</f>
        <v>1265</v>
      </c>
      <c r="D2879" s="2">
        <f>IFERROR(__xludf.DUMMYFUNCTION("""COMPUTED_VALUE"""),1250.0)</f>
        <v>1250</v>
      </c>
      <c r="E2879" s="2">
        <f>IFERROR(__xludf.DUMMYFUNCTION("""COMPUTED_VALUE"""),1263.35)</f>
        <v>1263.35</v>
      </c>
      <c r="F2879" s="2">
        <f>IFERROR(__xludf.DUMMYFUNCTION("""COMPUTED_VALUE"""),558346.0)</f>
        <v>558346</v>
      </c>
    </row>
    <row r="2880">
      <c r="A2880" s="3">
        <f>IFERROR(__xludf.DUMMYFUNCTION("""COMPUTED_VALUE"""),42493.64583333333)</f>
        <v>42493.64583</v>
      </c>
      <c r="B2880" s="2">
        <f>IFERROR(__xludf.DUMMYFUNCTION("""COMPUTED_VALUE"""),1262.5)</f>
        <v>1262.5</v>
      </c>
      <c r="C2880" s="2">
        <f>IFERROR(__xludf.DUMMYFUNCTION("""COMPUTED_VALUE"""),1265.0)</f>
        <v>1265</v>
      </c>
      <c r="D2880" s="2">
        <f>IFERROR(__xludf.DUMMYFUNCTION("""COMPUTED_VALUE"""),1236.0)</f>
        <v>1236</v>
      </c>
      <c r="E2880" s="2">
        <f>IFERROR(__xludf.DUMMYFUNCTION("""COMPUTED_VALUE"""),1239.05)</f>
        <v>1239.05</v>
      </c>
      <c r="F2880" s="2">
        <f>IFERROR(__xludf.DUMMYFUNCTION("""COMPUTED_VALUE"""),1076559.0)</f>
        <v>1076559</v>
      </c>
    </row>
    <row r="2881">
      <c r="A2881" s="3">
        <f>IFERROR(__xludf.DUMMYFUNCTION("""COMPUTED_VALUE"""),42494.64583333333)</f>
        <v>42494.64583</v>
      </c>
      <c r="B2881" s="2">
        <f>IFERROR(__xludf.DUMMYFUNCTION("""COMPUTED_VALUE"""),1236.95)</f>
        <v>1236.95</v>
      </c>
      <c r="C2881" s="2">
        <f>IFERROR(__xludf.DUMMYFUNCTION("""COMPUTED_VALUE"""),1247.03)</f>
        <v>1247.03</v>
      </c>
      <c r="D2881" s="2">
        <f>IFERROR(__xludf.DUMMYFUNCTION("""COMPUTED_VALUE"""),1228.5)</f>
        <v>1228.5</v>
      </c>
      <c r="E2881" s="2">
        <f>IFERROR(__xludf.DUMMYFUNCTION("""COMPUTED_VALUE"""),1239.0)</f>
        <v>1239</v>
      </c>
      <c r="F2881" s="2">
        <f>IFERROR(__xludf.DUMMYFUNCTION("""COMPUTED_VALUE"""),682446.0)</f>
        <v>682446</v>
      </c>
    </row>
    <row r="2882">
      <c r="A2882" s="3">
        <f>IFERROR(__xludf.DUMMYFUNCTION("""COMPUTED_VALUE"""),42495.64583333333)</f>
        <v>42495.64583</v>
      </c>
      <c r="B2882" s="2">
        <f>IFERROR(__xludf.DUMMYFUNCTION("""COMPUTED_VALUE"""),1239.0)</f>
        <v>1239</v>
      </c>
      <c r="C2882" s="2">
        <f>IFERROR(__xludf.DUMMYFUNCTION("""COMPUTED_VALUE"""),1244.97)</f>
        <v>1244.97</v>
      </c>
      <c r="D2882" s="2">
        <f>IFERROR(__xludf.DUMMYFUNCTION("""COMPUTED_VALUE"""),1231.78)</f>
        <v>1231.78</v>
      </c>
      <c r="E2882" s="2">
        <f>IFERROR(__xludf.DUMMYFUNCTION("""COMPUTED_VALUE"""),1235.15)</f>
        <v>1235.15</v>
      </c>
      <c r="F2882" s="2">
        <f>IFERROR(__xludf.DUMMYFUNCTION("""COMPUTED_VALUE"""),623283.0)</f>
        <v>623283</v>
      </c>
    </row>
    <row r="2883">
      <c r="A2883" s="3">
        <f>IFERROR(__xludf.DUMMYFUNCTION("""COMPUTED_VALUE"""),42496.64583333333)</f>
        <v>42496.64583</v>
      </c>
      <c r="B2883" s="2">
        <f>IFERROR(__xludf.DUMMYFUNCTION("""COMPUTED_VALUE"""),1232.5)</f>
        <v>1232.5</v>
      </c>
      <c r="C2883" s="2">
        <f>IFERROR(__xludf.DUMMYFUNCTION("""COMPUTED_VALUE"""),1242.15)</f>
        <v>1242.15</v>
      </c>
      <c r="D2883" s="2">
        <f>IFERROR(__xludf.DUMMYFUNCTION("""COMPUTED_VALUE"""),1215.5)</f>
        <v>1215.5</v>
      </c>
      <c r="E2883" s="2">
        <f>IFERROR(__xludf.DUMMYFUNCTION("""COMPUTED_VALUE"""),1236.7)</f>
        <v>1236.7</v>
      </c>
      <c r="F2883" s="2">
        <f>IFERROR(__xludf.DUMMYFUNCTION("""COMPUTED_VALUE"""),442799.0)</f>
        <v>442799</v>
      </c>
    </row>
    <row r="2884">
      <c r="A2884" s="3">
        <f>IFERROR(__xludf.DUMMYFUNCTION("""COMPUTED_VALUE"""),42499.64583333333)</f>
        <v>42499.64583</v>
      </c>
      <c r="B2884" s="2">
        <f>IFERROR(__xludf.DUMMYFUNCTION("""COMPUTED_VALUE"""),1236.7)</f>
        <v>1236.7</v>
      </c>
      <c r="C2884" s="2">
        <f>IFERROR(__xludf.DUMMYFUNCTION("""COMPUTED_VALUE"""),1259.0)</f>
        <v>1259</v>
      </c>
      <c r="D2884" s="2">
        <f>IFERROR(__xludf.DUMMYFUNCTION("""COMPUTED_VALUE"""),1228.2)</f>
        <v>1228.2</v>
      </c>
      <c r="E2884" s="2">
        <f>IFERROR(__xludf.DUMMYFUNCTION("""COMPUTED_VALUE"""),1256.28)</f>
        <v>1256.28</v>
      </c>
      <c r="F2884" s="2">
        <f>IFERROR(__xludf.DUMMYFUNCTION("""COMPUTED_VALUE"""),910638.0)</f>
        <v>910638</v>
      </c>
    </row>
    <row r="2885">
      <c r="A2885" s="3">
        <f>IFERROR(__xludf.DUMMYFUNCTION("""COMPUTED_VALUE"""),42500.64583333333)</f>
        <v>42500.64583</v>
      </c>
      <c r="B2885" s="2">
        <f>IFERROR(__xludf.DUMMYFUNCTION("""COMPUTED_VALUE"""),1257.5)</f>
        <v>1257.5</v>
      </c>
      <c r="C2885" s="2">
        <f>IFERROR(__xludf.DUMMYFUNCTION("""COMPUTED_VALUE"""),1266.97)</f>
        <v>1266.97</v>
      </c>
      <c r="D2885" s="2">
        <f>IFERROR(__xludf.DUMMYFUNCTION("""COMPUTED_VALUE"""),1248.0)</f>
        <v>1248</v>
      </c>
      <c r="E2885" s="2">
        <f>IFERROR(__xludf.DUMMYFUNCTION("""COMPUTED_VALUE"""),1261.45)</f>
        <v>1261.45</v>
      </c>
      <c r="F2885" s="2">
        <f>IFERROR(__xludf.DUMMYFUNCTION("""COMPUTED_VALUE"""),579267.0)</f>
        <v>579267</v>
      </c>
    </row>
    <row r="2886">
      <c r="A2886" s="3">
        <f>IFERROR(__xludf.DUMMYFUNCTION("""COMPUTED_VALUE"""),42501.64583333333)</f>
        <v>42501.64583</v>
      </c>
      <c r="B2886" s="2">
        <f>IFERROR(__xludf.DUMMYFUNCTION("""COMPUTED_VALUE"""),1250.0)</f>
        <v>1250</v>
      </c>
      <c r="C2886" s="2">
        <f>IFERROR(__xludf.DUMMYFUNCTION("""COMPUTED_VALUE"""),1262.8)</f>
        <v>1262.8</v>
      </c>
      <c r="D2886" s="2">
        <f>IFERROR(__xludf.DUMMYFUNCTION("""COMPUTED_VALUE"""),1245.0)</f>
        <v>1245</v>
      </c>
      <c r="E2886" s="2">
        <f>IFERROR(__xludf.DUMMYFUNCTION("""COMPUTED_VALUE"""),1259.15)</f>
        <v>1259.15</v>
      </c>
      <c r="F2886" s="2">
        <f>IFERROR(__xludf.DUMMYFUNCTION("""COMPUTED_VALUE"""),799358.0)</f>
        <v>799358</v>
      </c>
    </row>
    <row r="2887">
      <c r="A2887" s="3">
        <f>IFERROR(__xludf.DUMMYFUNCTION("""COMPUTED_VALUE"""),42502.64583333333)</f>
        <v>42502.64583</v>
      </c>
      <c r="B2887" s="2">
        <f>IFERROR(__xludf.DUMMYFUNCTION("""COMPUTED_VALUE"""),1260.28)</f>
        <v>1260.28</v>
      </c>
      <c r="C2887" s="2">
        <f>IFERROR(__xludf.DUMMYFUNCTION("""COMPUTED_VALUE"""),1284.95)</f>
        <v>1284.95</v>
      </c>
      <c r="D2887" s="2">
        <f>IFERROR(__xludf.DUMMYFUNCTION("""COMPUTED_VALUE"""),1260.28)</f>
        <v>1260.28</v>
      </c>
      <c r="E2887" s="2">
        <f>IFERROR(__xludf.DUMMYFUNCTION("""COMPUTED_VALUE"""),1283.1)</f>
        <v>1283.1</v>
      </c>
      <c r="F2887" s="2">
        <f>IFERROR(__xludf.DUMMYFUNCTION("""COMPUTED_VALUE"""),756541.0)</f>
        <v>756541</v>
      </c>
    </row>
    <row r="2888">
      <c r="A2888" s="3">
        <f>IFERROR(__xludf.DUMMYFUNCTION("""COMPUTED_VALUE"""),42503.64583333333)</f>
        <v>42503.64583</v>
      </c>
      <c r="B2888" s="2">
        <f>IFERROR(__xludf.DUMMYFUNCTION("""COMPUTED_VALUE"""),1282.5)</f>
        <v>1282.5</v>
      </c>
      <c r="C2888" s="2">
        <f>IFERROR(__xludf.DUMMYFUNCTION("""COMPUTED_VALUE"""),1283.0)</f>
        <v>1283</v>
      </c>
      <c r="D2888" s="2">
        <f>IFERROR(__xludf.DUMMYFUNCTION("""COMPUTED_VALUE"""),1255.08)</f>
        <v>1255.08</v>
      </c>
      <c r="E2888" s="2">
        <f>IFERROR(__xludf.DUMMYFUNCTION("""COMPUTED_VALUE"""),1261.7)</f>
        <v>1261.7</v>
      </c>
      <c r="F2888" s="2">
        <f>IFERROR(__xludf.DUMMYFUNCTION("""COMPUTED_VALUE"""),810865.0)</f>
        <v>810865</v>
      </c>
    </row>
    <row r="2889">
      <c r="A2889" s="3">
        <f>IFERROR(__xludf.DUMMYFUNCTION("""COMPUTED_VALUE"""),42506.64583333333)</f>
        <v>42506.64583</v>
      </c>
      <c r="B2889" s="2">
        <f>IFERROR(__xludf.DUMMYFUNCTION("""COMPUTED_VALUE"""),1269.0)</f>
        <v>1269</v>
      </c>
      <c r="C2889" s="2">
        <f>IFERROR(__xludf.DUMMYFUNCTION("""COMPUTED_VALUE"""),1282.4)</f>
        <v>1282.4</v>
      </c>
      <c r="D2889" s="2">
        <f>IFERROR(__xludf.DUMMYFUNCTION("""COMPUTED_VALUE"""),1261.25)</f>
        <v>1261.25</v>
      </c>
      <c r="E2889" s="2">
        <f>IFERROR(__xludf.DUMMYFUNCTION("""COMPUTED_VALUE"""),1275.58)</f>
        <v>1275.58</v>
      </c>
      <c r="F2889" s="2">
        <f>IFERROR(__xludf.DUMMYFUNCTION("""COMPUTED_VALUE"""),555763.0)</f>
        <v>555763</v>
      </c>
    </row>
    <row r="2890">
      <c r="A2890" s="3">
        <f>IFERROR(__xludf.DUMMYFUNCTION("""COMPUTED_VALUE"""),42507.64583333333)</f>
        <v>42507.64583</v>
      </c>
      <c r="B2890" s="2">
        <f>IFERROR(__xludf.DUMMYFUNCTION("""COMPUTED_VALUE"""),1282.1)</f>
        <v>1282.1</v>
      </c>
      <c r="C2890" s="2">
        <f>IFERROR(__xludf.DUMMYFUNCTION("""COMPUTED_VALUE"""),1295.63)</f>
        <v>1295.63</v>
      </c>
      <c r="D2890" s="2">
        <f>IFERROR(__xludf.DUMMYFUNCTION("""COMPUTED_VALUE"""),1276.0)</f>
        <v>1276</v>
      </c>
      <c r="E2890" s="2">
        <f>IFERROR(__xludf.DUMMYFUNCTION("""COMPUTED_VALUE"""),1285.1)</f>
        <v>1285.1</v>
      </c>
      <c r="F2890" s="2">
        <f>IFERROR(__xludf.DUMMYFUNCTION("""COMPUTED_VALUE"""),878349.0)</f>
        <v>878349</v>
      </c>
    </row>
    <row r="2891">
      <c r="A2891" s="3">
        <f>IFERROR(__xludf.DUMMYFUNCTION("""COMPUTED_VALUE"""),42508.64583333333)</f>
        <v>42508.64583</v>
      </c>
      <c r="B2891" s="2">
        <f>IFERROR(__xludf.DUMMYFUNCTION("""COMPUTED_VALUE"""),1282.93)</f>
        <v>1282.93</v>
      </c>
      <c r="C2891" s="2">
        <f>IFERROR(__xludf.DUMMYFUNCTION("""COMPUTED_VALUE"""),1282.93)</f>
        <v>1282.93</v>
      </c>
      <c r="D2891" s="2">
        <f>IFERROR(__xludf.DUMMYFUNCTION("""COMPUTED_VALUE"""),1263.03)</f>
        <v>1263.03</v>
      </c>
      <c r="E2891" s="2">
        <f>IFERROR(__xludf.DUMMYFUNCTION("""COMPUTED_VALUE"""),1275.55)</f>
        <v>1275.55</v>
      </c>
      <c r="F2891" s="2">
        <f>IFERROR(__xludf.DUMMYFUNCTION("""COMPUTED_VALUE"""),750370.0)</f>
        <v>750370</v>
      </c>
    </row>
    <row r="2892">
      <c r="A2892" s="3">
        <f>IFERROR(__xludf.DUMMYFUNCTION("""COMPUTED_VALUE"""),42509.64583333333)</f>
        <v>42509.64583</v>
      </c>
      <c r="B2892" s="2">
        <f>IFERROR(__xludf.DUMMYFUNCTION("""COMPUTED_VALUE"""),1277.5)</f>
        <v>1277.5</v>
      </c>
      <c r="C2892" s="2">
        <f>IFERROR(__xludf.DUMMYFUNCTION("""COMPUTED_VALUE"""),1280.0)</f>
        <v>1280</v>
      </c>
      <c r="D2892" s="2">
        <f>IFERROR(__xludf.DUMMYFUNCTION("""COMPUTED_VALUE"""),1263.05)</f>
        <v>1263.05</v>
      </c>
      <c r="E2892" s="2">
        <f>IFERROR(__xludf.DUMMYFUNCTION("""COMPUTED_VALUE"""),1278.47)</f>
        <v>1278.47</v>
      </c>
      <c r="F2892" s="2">
        <f>IFERROR(__xludf.DUMMYFUNCTION("""COMPUTED_VALUE"""),519396.0)</f>
        <v>519396</v>
      </c>
    </row>
    <row r="2893">
      <c r="A2893" s="3">
        <f>IFERROR(__xludf.DUMMYFUNCTION("""COMPUTED_VALUE"""),42510.64583333333)</f>
        <v>42510.64583</v>
      </c>
      <c r="B2893" s="2">
        <f>IFERROR(__xludf.DUMMYFUNCTION("""COMPUTED_VALUE"""),1271.15)</f>
        <v>1271.15</v>
      </c>
      <c r="C2893" s="2">
        <f>IFERROR(__xludf.DUMMYFUNCTION("""COMPUTED_VALUE"""),1282.9)</f>
        <v>1282.9</v>
      </c>
      <c r="D2893" s="2">
        <f>IFERROR(__xludf.DUMMYFUNCTION("""COMPUTED_VALUE"""),1261.4)</f>
        <v>1261.4</v>
      </c>
      <c r="E2893" s="2">
        <f>IFERROR(__xludf.DUMMYFUNCTION("""COMPUTED_VALUE"""),1264.65)</f>
        <v>1264.65</v>
      </c>
      <c r="F2893" s="2">
        <f>IFERROR(__xludf.DUMMYFUNCTION("""COMPUTED_VALUE"""),615459.0)</f>
        <v>615459</v>
      </c>
    </row>
    <row r="2894">
      <c r="A2894" s="3">
        <f>IFERROR(__xludf.DUMMYFUNCTION("""COMPUTED_VALUE"""),42513.64583333333)</f>
        <v>42513.64583</v>
      </c>
      <c r="B2894" s="2">
        <f>IFERROR(__xludf.DUMMYFUNCTION("""COMPUTED_VALUE"""),1272.0)</f>
        <v>1272</v>
      </c>
      <c r="C2894" s="2">
        <f>IFERROR(__xludf.DUMMYFUNCTION("""COMPUTED_VALUE"""),1272.95)</f>
        <v>1272.95</v>
      </c>
      <c r="D2894" s="2">
        <f>IFERROR(__xludf.DUMMYFUNCTION("""COMPUTED_VALUE"""),1240.1)</f>
        <v>1240.1</v>
      </c>
      <c r="E2894" s="2">
        <f>IFERROR(__xludf.DUMMYFUNCTION("""COMPUTED_VALUE"""),1245.72)</f>
        <v>1245.72</v>
      </c>
      <c r="F2894" s="2">
        <f>IFERROR(__xludf.DUMMYFUNCTION("""COMPUTED_VALUE"""),766508.0)</f>
        <v>766508</v>
      </c>
    </row>
    <row r="2895">
      <c r="A2895" s="3">
        <f>IFERROR(__xludf.DUMMYFUNCTION("""COMPUTED_VALUE"""),42514.64583333333)</f>
        <v>42514.64583</v>
      </c>
      <c r="B2895" s="2">
        <f>IFERROR(__xludf.DUMMYFUNCTION("""COMPUTED_VALUE"""),1242.0)</f>
        <v>1242</v>
      </c>
      <c r="C2895" s="2">
        <f>IFERROR(__xludf.DUMMYFUNCTION("""COMPUTED_VALUE"""),1244.13)</f>
        <v>1244.13</v>
      </c>
      <c r="D2895" s="2">
        <f>IFERROR(__xludf.DUMMYFUNCTION("""COMPUTED_VALUE"""),1229.8)</f>
        <v>1229.8</v>
      </c>
      <c r="E2895" s="2">
        <f>IFERROR(__xludf.DUMMYFUNCTION("""COMPUTED_VALUE"""),1233.85)</f>
        <v>1233.85</v>
      </c>
      <c r="F2895" s="2">
        <f>IFERROR(__xludf.DUMMYFUNCTION("""COMPUTED_VALUE"""),669579.0)</f>
        <v>669579</v>
      </c>
    </row>
    <row r="2896">
      <c r="A2896" s="3">
        <f>IFERROR(__xludf.DUMMYFUNCTION("""COMPUTED_VALUE"""),42515.64583333333)</f>
        <v>42515.64583</v>
      </c>
      <c r="B2896" s="2">
        <f>IFERROR(__xludf.DUMMYFUNCTION("""COMPUTED_VALUE"""),1240.5)</f>
        <v>1240.5</v>
      </c>
      <c r="C2896" s="2">
        <f>IFERROR(__xludf.DUMMYFUNCTION("""COMPUTED_VALUE"""),1266.47)</f>
        <v>1266.47</v>
      </c>
      <c r="D2896" s="2">
        <f>IFERROR(__xludf.DUMMYFUNCTION("""COMPUTED_VALUE"""),1240.5)</f>
        <v>1240.5</v>
      </c>
      <c r="E2896" s="2">
        <f>IFERROR(__xludf.DUMMYFUNCTION("""COMPUTED_VALUE"""),1263.22)</f>
        <v>1263.22</v>
      </c>
      <c r="F2896" s="2">
        <f>IFERROR(__xludf.DUMMYFUNCTION("""COMPUTED_VALUE"""),774339.0)</f>
        <v>774339</v>
      </c>
    </row>
    <row r="2897">
      <c r="A2897" s="3">
        <f>IFERROR(__xludf.DUMMYFUNCTION("""COMPUTED_VALUE"""),42516.64583333333)</f>
        <v>42516.64583</v>
      </c>
      <c r="B2897" s="2">
        <f>IFERROR(__xludf.DUMMYFUNCTION("""COMPUTED_VALUE"""),1265.0)</f>
        <v>1265</v>
      </c>
      <c r="C2897" s="2">
        <f>IFERROR(__xludf.DUMMYFUNCTION("""COMPUTED_VALUE"""),1282.45)</f>
        <v>1282.45</v>
      </c>
      <c r="D2897" s="2">
        <f>IFERROR(__xludf.DUMMYFUNCTION("""COMPUTED_VALUE"""),1252.55)</f>
        <v>1252.55</v>
      </c>
      <c r="E2897" s="2">
        <f>IFERROR(__xludf.DUMMYFUNCTION("""COMPUTED_VALUE"""),1274.35)</f>
        <v>1274.35</v>
      </c>
      <c r="F2897" s="2">
        <f>IFERROR(__xludf.DUMMYFUNCTION("""COMPUTED_VALUE"""),971624.0)</f>
        <v>971624</v>
      </c>
    </row>
    <row r="2898">
      <c r="A2898" s="3">
        <f>IFERROR(__xludf.DUMMYFUNCTION("""COMPUTED_VALUE"""),42517.64583333333)</f>
        <v>42517.64583</v>
      </c>
      <c r="B2898" s="2">
        <f>IFERROR(__xludf.DUMMYFUNCTION("""COMPUTED_VALUE"""),1276.58)</f>
        <v>1276.58</v>
      </c>
      <c r="C2898" s="2">
        <f>IFERROR(__xludf.DUMMYFUNCTION("""COMPUTED_VALUE"""),1289.93)</f>
        <v>1289.93</v>
      </c>
      <c r="D2898" s="2">
        <f>IFERROR(__xludf.DUMMYFUNCTION("""COMPUTED_VALUE"""),1275.3)</f>
        <v>1275.3</v>
      </c>
      <c r="E2898" s="2">
        <f>IFERROR(__xludf.DUMMYFUNCTION("""COMPUTED_VALUE"""),1286.33)</f>
        <v>1286.33</v>
      </c>
      <c r="F2898" s="2">
        <f>IFERROR(__xludf.DUMMYFUNCTION("""COMPUTED_VALUE"""),552338.0)</f>
        <v>552338</v>
      </c>
    </row>
    <row r="2899">
      <c r="A2899" s="3">
        <f>IFERROR(__xludf.DUMMYFUNCTION("""COMPUTED_VALUE"""),42520.64583333333)</f>
        <v>42520.64583</v>
      </c>
      <c r="B2899" s="2">
        <f>IFERROR(__xludf.DUMMYFUNCTION("""COMPUTED_VALUE"""),1291.5)</f>
        <v>1291.5</v>
      </c>
      <c r="C2899" s="2">
        <f>IFERROR(__xludf.DUMMYFUNCTION("""COMPUTED_VALUE"""),1320.98)</f>
        <v>1320.98</v>
      </c>
      <c r="D2899" s="2">
        <f>IFERROR(__xludf.DUMMYFUNCTION("""COMPUTED_VALUE"""),1291.0)</f>
        <v>1291</v>
      </c>
      <c r="E2899" s="2">
        <f>IFERROR(__xludf.DUMMYFUNCTION("""COMPUTED_VALUE"""),1318.2)</f>
        <v>1318.2</v>
      </c>
      <c r="F2899" s="2">
        <f>IFERROR(__xludf.DUMMYFUNCTION("""COMPUTED_VALUE"""),674732.0)</f>
        <v>674732</v>
      </c>
    </row>
    <row r="2900">
      <c r="A2900" s="3">
        <f>IFERROR(__xludf.DUMMYFUNCTION("""COMPUTED_VALUE"""),42521.64583333333)</f>
        <v>42521.64583</v>
      </c>
      <c r="B2900" s="2">
        <f>IFERROR(__xludf.DUMMYFUNCTION("""COMPUTED_VALUE"""),1320.0)</f>
        <v>1320</v>
      </c>
      <c r="C2900" s="2">
        <f>IFERROR(__xludf.DUMMYFUNCTION("""COMPUTED_VALUE"""),1323.5)</f>
        <v>1323.5</v>
      </c>
      <c r="D2900" s="2">
        <f>IFERROR(__xludf.DUMMYFUNCTION("""COMPUTED_VALUE"""),1281.0)</f>
        <v>1281</v>
      </c>
      <c r="E2900" s="2">
        <f>IFERROR(__xludf.DUMMYFUNCTION("""COMPUTED_VALUE"""),1284.7)</f>
        <v>1284.7</v>
      </c>
      <c r="F2900" s="2">
        <f>IFERROR(__xludf.DUMMYFUNCTION("""COMPUTED_VALUE"""),1861304.0)</f>
        <v>1861304</v>
      </c>
    </row>
    <row r="2901">
      <c r="A2901" s="3">
        <f>IFERROR(__xludf.DUMMYFUNCTION("""COMPUTED_VALUE"""),42522.64583333333)</f>
        <v>42522.64583</v>
      </c>
      <c r="B2901" s="2">
        <f>IFERROR(__xludf.DUMMYFUNCTION("""COMPUTED_VALUE"""),1285.6)</f>
        <v>1285.6</v>
      </c>
      <c r="C2901" s="2">
        <f>IFERROR(__xludf.DUMMYFUNCTION("""COMPUTED_VALUE"""),1322.5)</f>
        <v>1322.5</v>
      </c>
      <c r="D2901" s="2">
        <f>IFERROR(__xludf.DUMMYFUNCTION("""COMPUTED_VALUE"""),1285.5)</f>
        <v>1285.5</v>
      </c>
      <c r="E2901" s="2">
        <f>IFERROR(__xludf.DUMMYFUNCTION("""COMPUTED_VALUE"""),1316.78)</f>
        <v>1316.78</v>
      </c>
      <c r="F2901" s="2">
        <f>IFERROR(__xludf.DUMMYFUNCTION("""COMPUTED_VALUE"""),955971.0)</f>
        <v>955971</v>
      </c>
    </row>
    <row r="2902">
      <c r="A2902" s="3">
        <f>IFERROR(__xludf.DUMMYFUNCTION("""COMPUTED_VALUE"""),42523.64583333333)</f>
        <v>42523.64583</v>
      </c>
      <c r="B2902" s="2">
        <f>IFERROR(__xludf.DUMMYFUNCTION("""COMPUTED_VALUE"""),1300.0)</f>
        <v>1300</v>
      </c>
      <c r="C2902" s="2">
        <f>IFERROR(__xludf.DUMMYFUNCTION("""COMPUTED_VALUE"""),1327.15)</f>
        <v>1327.15</v>
      </c>
      <c r="D2902" s="2">
        <f>IFERROR(__xludf.DUMMYFUNCTION("""COMPUTED_VALUE"""),1300.0)</f>
        <v>1300</v>
      </c>
      <c r="E2902" s="2">
        <f>IFERROR(__xludf.DUMMYFUNCTION("""COMPUTED_VALUE"""),1325.08)</f>
        <v>1325.08</v>
      </c>
      <c r="F2902" s="2">
        <f>IFERROR(__xludf.DUMMYFUNCTION("""COMPUTED_VALUE"""),704378.0)</f>
        <v>704378</v>
      </c>
    </row>
    <row r="2903">
      <c r="A2903" s="3">
        <f>IFERROR(__xludf.DUMMYFUNCTION("""COMPUTED_VALUE"""),42524.64583333333)</f>
        <v>42524.64583</v>
      </c>
      <c r="B2903" s="2">
        <f>IFERROR(__xludf.DUMMYFUNCTION("""COMPUTED_VALUE"""),1325.7)</f>
        <v>1325.7</v>
      </c>
      <c r="C2903" s="2">
        <f>IFERROR(__xludf.DUMMYFUNCTION("""COMPUTED_VALUE"""),1329.0)</f>
        <v>1329</v>
      </c>
      <c r="D2903" s="2">
        <f>IFERROR(__xludf.DUMMYFUNCTION("""COMPUTED_VALUE"""),1310.25)</f>
        <v>1310.25</v>
      </c>
      <c r="E2903" s="2">
        <f>IFERROR(__xludf.DUMMYFUNCTION("""COMPUTED_VALUE"""),1314.78)</f>
        <v>1314.78</v>
      </c>
      <c r="F2903" s="2">
        <f>IFERROR(__xludf.DUMMYFUNCTION("""COMPUTED_VALUE"""),777461.0)</f>
        <v>777461</v>
      </c>
    </row>
    <row r="2904">
      <c r="A2904" s="3">
        <f>IFERROR(__xludf.DUMMYFUNCTION("""COMPUTED_VALUE"""),42527.64583333333)</f>
        <v>42527.64583</v>
      </c>
      <c r="B2904" s="2">
        <f>IFERROR(__xludf.DUMMYFUNCTION("""COMPUTED_VALUE"""),1310.25)</f>
        <v>1310.25</v>
      </c>
      <c r="C2904" s="2">
        <f>IFERROR(__xludf.DUMMYFUNCTION("""COMPUTED_VALUE"""),1319.5)</f>
        <v>1319.5</v>
      </c>
      <c r="D2904" s="2">
        <f>IFERROR(__xludf.DUMMYFUNCTION("""COMPUTED_VALUE"""),1301.6)</f>
        <v>1301.6</v>
      </c>
      <c r="E2904" s="2">
        <f>IFERROR(__xludf.DUMMYFUNCTION("""COMPUTED_VALUE"""),1306.25)</f>
        <v>1306.25</v>
      </c>
      <c r="F2904" s="2">
        <f>IFERROR(__xludf.DUMMYFUNCTION("""COMPUTED_VALUE"""),661013.0)</f>
        <v>661013</v>
      </c>
    </row>
    <row r="2905">
      <c r="A2905" s="3">
        <f>IFERROR(__xludf.DUMMYFUNCTION("""COMPUTED_VALUE"""),42528.64583333333)</f>
        <v>42528.64583</v>
      </c>
      <c r="B2905" s="2">
        <f>IFERROR(__xludf.DUMMYFUNCTION("""COMPUTED_VALUE"""),1307.0)</f>
        <v>1307</v>
      </c>
      <c r="C2905" s="2">
        <f>IFERROR(__xludf.DUMMYFUNCTION("""COMPUTED_VALUE"""),1319.5)</f>
        <v>1319.5</v>
      </c>
      <c r="D2905" s="2">
        <f>IFERROR(__xludf.DUMMYFUNCTION("""COMPUTED_VALUE"""),1306.5)</f>
        <v>1306.5</v>
      </c>
      <c r="E2905" s="2">
        <f>IFERROR(__xludf.DUMMYFUNCTION("""COMPUTED_VALUE"""),1315.58)</f>
        <v>1315.58</v>
      </c>
      <c r="F2905" s="2">
        <f>IFERROR(__xludf.DUMMYFUNCTION("""COMPUTED_VALUE"""),601097.0)</f>
        <v>601097</v>
      </c>
    </row>
    <row r="2906">
      <c r="A2906" s="3">
        <f>IFERROR(__xludf.DUMMYFUNCTION("""COMPUTED_VALUE"""),42529.64583333333)</f>
        <v>42529.64583</v>
      </c>
      <c r="B2906" s="2">
        <f>IFERROR(__xludf.DUMMYFUNCTION("""COMPUTED_VALUE"""),1308.63)</f>
        <v>1308.63</v>
      </c>
      <c r="C2906" s="2">
        <f>IFERROR(__xludf.DUMMYFUNCTION("""COMPUTED_VALUE"""),1314.28)</f>
        <v>1314.28</v>
      </c>
      <c r="D2906" s="2">
        <f>IFERROR(__xludf.DUMMYFUNCTION("""COMPUTED_VALUE"""),1302.75)</f>
        <v>1302.75</v>
      </c>
      <c r="E2906" s="2">
        <f>IFERROR(__xludf.DUMMYFUNCTION("""COMPUTED_VALUE"""),1306.55)</f>
        <v>1306.55</v>
      </c>
      <c r="F2906" s="2">
        <f>IFERROR(__xludf.DUMMYFUNCTION("""COMPUTED_VALUE"""),469133.0)</f>
        <v>469133</v>
      </c>
    </row>
    <row r="2907">
      <c r="A2907" s="3">
        <f>IFERROR(__xludf.DUMMYFUNCTION("""COMPUTED_VALUE"""),42530.64583333333)</f>
        <v>42530.64583</v>
      </c>
      <c r="B2907" s="2">
        <f>IFERROR(__xludf.DUMMYFUNCTION("""COMPUTED_VALUE"""),1311.2)</f>
        <v>1311.2</v>
      </c>
      <c r="C2907" s="2">
        <f>IFERROR(__xludf.DUMMYFUNCTION("""COMPUTED_VALUE"""),1311.2)</f>
        <v>1311.2</v>
      </c>
      <c r="D2907" s="2">
        <f>IFERROR(__xludf.DUMMYFUNCTION("""COMPUTED_VALUE"""),1277.6)</f>
        <v>1277.6</v>
      </c>
      <c r="E2907" s="2">
        <f>IFERROR(__xludf.DUMMYFUNCTION("""COMPUTED_VALUE"""),1288.63)</f>
        <v>1288.63</v>
      </c>
      <c r="F2907" s="2">
        <f>IFERROR(__xludf.DUMMYFUNCTION("""COMPUTED_VALUE"""),781069.0)</f>
        <v>781069</v>
      </c>
    </row>
    <row r="2908">
      <c r="A2908" s="3">
        <f>IFERROR(__xludf.DUMMYFUNCTION("""COMPUTED_VALUE"""),42531.64583333333)</f>
        <v>42531.64583</v>
      </c>
      <c r="B2908" s="2">
        <f>IFERROR(__xludf.DUMMYFUNCTION("""COMPUTED_VALUE"""),1283.0)</f>
        <v>1283</v>
      </c>
      <c r="C2908" s="2">
        <f>IFERROR(__xludf.DUMMYFUNCTION("""COMPUTED_VALUE"""),1301.63)</f>
        <v>1301.63</v>
      </c>
      <c r="D2908" s="2">
        <f>IFERROR(__xludf.DUMMYFUNCTION("""COMPUTED_VALUE"""),1276.6)</f>
        <v>1276.6</v>
      </c>
      <c r="E2908" s="2">
        <f>IFERROR(__xludf.DUMMYFUNCTION("""COMPUTED_VALUE"""),1277.88)</f>
        <v>1277.88</v>
      </c>
      <c r="F2908" s="2">
        <f>IFERROR(__xludf.DUMMYFUNCTION("""COMPUTED_VALUE"""),698416.0)</f>
        <v>698416</v>
      </c>
    </row>
    <row r="2909">
      <c r="A2909" s="3">
        <f>IFERROR(__xludf.DUMMYFUNCTION("""COMPUTED_VALUE"""),42534.64583333333)</f>
        <v>42534.64583</v>
      </c>
      <c r="B2909" s="2">
        <f>IFERROR(__xludf.DUMMYFUNCTION("""COMPUTED_VALUE"""),1270.0)</f>
        <v>1270</v>
      </c>
      <c r="C2909" s="2">
        <f>IFERROR(__xludf.DUMMYFUNCTION("""COMPUTED_VALUE"""),1276.68)</f>
        <v>1276.68</v>
      </c>
      <c r="D2909" s="2">
        <f>IFERROR(__xludf.DUMMYFUNCTION("""COMPUTED_VALUE"""),1259.0)</f>
        <v>1259</v>
      </c>
      <c r="E2909" s="2">
        <f>IFERROR(__xludf.DUMMYFUNCTION("""COMPUTED_VALUE"""),1273.5)</f>
        <v>1273.5</v>
      </c>
      <c r="F2909" s="2">
        <f>IFERROR(__xludf.DUMMYFUNCTION("""COMPUTED_VALUE"""),514989.0)</f>
        <v>514989</v>
      </c>
    </row>
    <row r="2910">
      <c r="A2910" s="3">
        <f>IFERROR(__xludf.DUMMYFUNCTION("""COMPUTED_VALUE"""),42535.64583333333)</f>
        <v>42535.64583</v>
      </c>
      <c r="B2910" s="2">
        <f>IFERROR(__xludf.DUMMYFUNCTION("""COMPUTED_VALUE"""),1279.47)</f>
        <v>1279.47</v>
      </c>
      <c r="C2910" s="2">
        <f>IFERROR(__xludf.DUMMYFUNCTION("""COMPUTED_VALUE"""),1279.47)</f>
        <v>1279.47</v>
      </c>
      <c r="D2910" s="2">
        <f>IFERROR(__xludf.DUMMYFUNCTION("""COMPUTED_VALUE"""),1259.13)</f>
        <v>1259.13</v>
      </c>
      <c r="E2910" s="2">
        <f>IFERROR(__xludf.DUMMYFUNCTION("""COMPUTED_VALUE"""),1267.43)</f>
        <v>1267.43</v>
      </c>
      <c r="F2910" s="2">
        <f>IFERROR(__xludf.DUMMYFUNCTION("""COMPUTED_VALUE"""),488785.0)</f>
        <v>488785</v>
      </c>
    </row>
    <row r="2911">
      <c r="A2911" s="3">
        <f>IFERROR(__xludf.DUMMYFUNCTION("""COMPUTED_VALUE"""),42536.64583333333)</f>
        <v>42536.64583</v>
      </c>
      <c r="B2911" s="2">
        <f>IFERROR(__xludf.DUMMYFUNCTION("""COMPUTED_VALUE"""),1265.0)</f>
        <v>1265</v>
      </c>
      <c r="C2911" s="2">
        <f>IFERROR(__xludf.DUMMYFUNCTION("""COMPUTED_VALUE"""),1282.45)</f>
        <v>1282.45</v>
      </c>
      <c r="D2911" s="2">
        <f>IFERROR(__xludf.DUMMYFUNCTION("""COMPUTED_VALUE"""),1261.0)</f>
        <v>1261</v>
      </c>
      <c r="E2911" s="2">
        <f>IFERROR(__xludf.DUMMYFUNCTION("""COMPUTED_VALUE"""),1278.43)</f>
        <v>1278.43</v>
      </c>
      <c r="F2911" s="2">
        <f>IFERROR(__xludf.DUMMYFUNCTION("""COMPUTED_VALUE"""),635422.0)</f>
        <v>635422</v>
      </c>
    </row>
    <row r="2912">
      <c r="A2912" s="3">
        <f>IFERROR(__xludf.DUMMYFUNCTION("""COMPUTED_VALUE"""),42537.64583333333)</f>
        <v>42537.64583</v>
      </c>
      <c r="B2912" s="2">
        <f>IFERROR(__xludf.DUMMYFUNCTION("""COMPUTED_VALUE"""),1272.78)</f>
        <v>1272.78</v>
      </c>
      <c r="C2912" s="2">
        <f>IFERROR(__xludf.DUMMYFUNCTION("""COMPUTED_VALUE"""),1282.35)</f>
        <v>1282.35</v>
      </c>
      <c r="D2912" s="2">
        <f>IFERROR(__xludf.DUMMYFUNCTION("""COMPUTED_VALUE"""),1258.22)</f>
        <v>1258.22</v>
      </c>
      <c r="E2912" s="2">
        <f>IFERROR(__xludf.DUMMYFUNCTION("""COMPUTED_VALUE"""),1279.15)</f>
        <v>1279.15</v>
      </c>
      <c r="F2912" s="2">
        <f>IFERROR(__xludf.DUMMYFUNCTION("""COMPUTED_VALUE"""),572535.0)</f>
        <v>572535</v>
      </c>
    </row>
    <row r="2913">
      <c r="A2913" s="3">
        <f>IFERROR(__xludf.DUMMYFUNCTION("""COMPUTED_VALUE"""),42538.64583333333)</f>
        <v>42538.64583</v>
      </c>
      <c r="B2913" s="2">
        <f>IFERROR(__xludf.DUMMYFUNCTION("""COMPUTED_VALUE"""),1279.5)</f>
        <v>1279.5</v>
      </c>
      <c r="C2913" s="2">
        <f>IFERROR(__xludf.DUMMYFUNCTION("""COMPUTED_VALUE"""),1305.0)</f>
        <v>1305</v>
      </c>
      <c r="D2913" s="2">
        <f>IFERROR(__xludf.DUMMYFUNCTION("""COMPUTED_VALUE"""),1279.5)</f>
        <v>1279.5</v>
      </c>
      <c r="E2913" s="2">
        <f>IFERROR(__xludf.DUMMYFUNCTION("""COMPUTED_VALUE"""),1301.3)</f>
        <v>1301.3</v>
      </c>
      <c r="F2913" s="2">
        <f>IFERROR(__xludf.DUMMYFUNCTION("""COMPUTED_VALUE"""),939494.0)</f>
        <v>939494</v>
      </c>
    </row>
    <row r="2914">
      <c r="A2914" s="3">
        <f>IFERROR(__xludf.DUMMYFUNCTION("""COMPUTED_VALUE"""),42541.64583333333)</f>
        <v>42541.64583</v>
      </c>
      <c r="B2914" s="2">
        <f>IFERROR(__xludf.DUMMYFUNCTION("""COMPUTED_VALUE"""),1301.3)</f>
        <v>1301.3</v>
      </c>
      <c r="C2914" s="2">
        <f>IFERROR(__xludf.DUMMYFUNCTION("""COMPUTED_VALUE"""),1334.0)</f>
        <v>1334</v>
      </c>
      <c r="D2914" s="2">
        <f>IFERROR(__xludf.DUMMYFUNCTION("""COMPUTED_VALUE"""),1295.9)</f>
        <v>1295.9</v>
      </c>
      <c r="E2914" s="2">
        <f>IFERROR(__xludf.DUMMYFUNCTION("""COMPUTED_VALUE"""),1329.65)</f>
        <v>1329.65</v>
      </c>
      <c r="F2914" s="2">
        <f>IFERROR(__xludf.DUMMYFUNCTION("""COMPUTED_VALUE"""),936419.0)</f>
        <v>936419</v>
      </c>
    </row>
    <row r="2915">
      <c r="A2915" s="3">
        <f>IFERROR(__xludf.DUMMYFUNCTION("""COMPUTED_VALUE"""),42542.64583333333)</f>
        <v>42542.64583</v>
      </c>
      <c r="B2915" s="2">
        <f>IFERROR(__xludf.DUMMYFUNCTION("""COMPUTED_VALUE"""),1331.75)</f>
        <v>1331.75</v>
      </c>
      <c r="C2915" s="2">
        <f>IFERROR(__xludf.DUMMYFUNCTION("""COMPUTED_VALUE"""),1332.5)</f>
        <v>1332.5</v>
      </c>
      <c r="D2915" s="2">
        <f>IFERROR(__xludf.DUMMYFUNCTION("""COMPUTED_VALUE"""),1320.7)</f>
        <v>1320.7</v>
      </c>
      <c r="E2915" s="2">
        <f>IFERROR(__xludf.DUMMYFUNCTION("""COMPUTED_VALUE"""),1325.6)</f>
        <v>1325.6</v>
      </c>
      <c r="F2915" s="2">
        <f>IFERROR(__xludf.DUMMYFUNCTION("""COMPUTED_VALUE"""),513845.0)</f>
        <v>513845</v>
      </c>
    </row>
    <row r="2916">
      <c r="A2916" s="3">
        <f>IFERROR(__xludf.DUMMYFUNCTION("""COMPUTED_VALUE"""),42543.64583333333)</f>
        <v>42543.64583</v>
      </c>
      <c r="B2916" s="2">
        <f>IFERROR(__xludf.DUMMYFUNCTION("""COMPUTED_VALUE"""),1325.0)</f>
        <v>1325</v>
      </c>
      <c r="C2916" s="2">
        <f>IFERROR(__xludf.DUMMYFUNCTION("""COMPUTED_VALUE"""),1338.85)</f>
        <v>1338.85</v>
      </c>
      <c r="D2916" s="2">
        <f>IFERROR(__xludf.DUMMYFUNCTION("""COMPUTED_VALUE"""),1315.88)</f>
        <v>1315.88</v>
      </c>
      <c r="E2916" s="2">
        <f>IFERROR(__xludf.DUMMYFUNCTION("""COMPUTED_VALUE"""),1333.83)</f>
        <v>1333.83</v>
      </c>
      <c r="F2916" s="2">
        <f>IFERROR(__xludf.DUMMYFUNCTION("""COMPUTED_VALUE"""),880856.0)</f>
        <v>880856</v>
      </c>
    </row>
    <row r="2917">
      <c r="A2917" s="3">
        <f>IFERROR(__xludf.DUMMYFUNCTION("""COMPUTED_VALUE"""),42544.64583333333)</f>
        <v>42544.64583</v>
      </c>
      <c r="B2917" s="2">
        <f>IFERROR(__xludf.DUMMYFUNCTION("""COMPUTED_VALUE"""),1327.5)</f>
        <v>1327.5</v>
      </c>
      <c r="C2917" s="2">
        <f>IFERROR(__xludf.DUMMYFUNCTION("""COMPUTED_VALUE"""),1329.75)</f>
        <v>1329.75</v>
      </c>
      <c r="D2917" s="2">
        <f>IFERROR(__xludf.DUMMYFUNCTION("""COMPUTED_VALUE"""),1312.65)</f>
        <v>1312.65</v>
      </c>
      <c r="E2917" s="2">
        <f>IFERROR(__xludf.DUMMYFUNCTION("""COMPUTED_VALUE"""),1322.68)</f>
        <v>1322.68</v>
      </c>
      <c r="F2917" s="2">
        <f>IFERROR(__xludf.DUMMYFUNCTION("""COMPUTED_VALUE"""),698507.0)</f>
        <v>698507</v>
      </c>
    </row>
    <row r="2918">
      <c r="A2918" s="3">
        <f>IFERROR(__xludf.DUMMYFUNCTION("""COMPUTED_VALUE"""),42545.64583333333)</f>
        <v>42545.64583</v>
      </c>
      <c r="B2918" s="2">
        <f>IFERROR(__xludf.DUMMYFUNCTION("""COMPUTED_VALUE"""),1282.58)</f>
        <v>1282.58</v>
      </c>
      <c r="C2918" s="2">
        <f>IFERROR(__xludf.DUMMYFUNCTION("""COMPUTED_VALUE"""),1296.6)</f>
        <v>1296.6</v>
      </c>
      <c r="D2918" s="2">
        <f>IFERROR(__xludf.DUMMYFUNCTION("""COMPUTED_VALUE"""),1257.08)</f>
        <v>1257.08</v>
      </c>
      <c r="E2918" s="2">
        <f>IFERROR(__xludf.DUMMYFUNCTION("""COMPUTED_VALUE"""),1286.97)</f>
        <v>1286.97</v>
      </c>
      <c r="F2918" s="2">
        <f>IFERROR(__xludf.DUMMYFUNCTION("""COMPUTED_VALUE"""),1883293.0)</f>
        <v>1883293</v>
      </c>
    </row>
    <row r="2919">
      <c r="A2919" s="3">
        <f>IFERROR(__xludf.DUMMYFUNCTION("""COMPUTED_VALUE"""),42548.64583333333)</f>
        <v>42548.64583</v>
      </c>
      <c r="B2919" s="2">
        <f>IFERROR(__xludf.DUMMYFUNCTION("""COMPUTED_VALUE"""),1273.5)</f>
        <v>1273.5</v>
      </c>
      <c r="C2919" s="2">
        <f>IFERROR(__xludf.DUMMYFUNCTION("""COMPUTED_VALUE"""),1273.5)</f>
        <v>1273.5</v>
      </c>
      <c r="D2919" s="2">
        <f>IFERROR(__xludf.DUMMYFUNCTION("""COMPUTED_VALUE"""),1241.33)</f>
        <v>1241.33</v>
      </c>
      <c r="E2919" s="2">
        <f>IFERROR(__xludf.DUMMYFUNCTION("""COMPUTED_VALUE"""),1247.93)</f>
        <v>1247.93</v>
      </c>
      <c r="F2919" s="2">
        <f>IFERROR(__xludf.DUMMYFUNCTION("""COMPUTED_VALUE"""),2136283.0)</f>
        <v>2136283</v>
      </c>
    </row>
    <row r="2920">
      <c r="A2920" s="3">
        <f>IFERROR(__xludf.DUMMYFUNCTION("""COMPUTED_VALUE"""),42549.64583333333)</f>
        <v>42549.64583</v>
      </c>
      <c r="B2920" s="2">
        <f>IFERROR(__xludf.DUMMYFUNCTION("""COMPUTED_VALUE"""),1247.93)</f>
        <v>1247.93</v>
      </c>
      <c r="C2920" s="2">
        <f>IFERROR(__xludf.DUMMYFUNCTION("""COMPUTED_VALUE"""),1251.45)</f>
        <v>1251.45</v>
      </c>
      <c r="D2920" s="2">
        <f>IFERROR(__xludf.DUMMYFUNCTION("""COMPUTED_VALUE"""),1229.2)</f>
        <v>1229.2</v>
      </c>
      <c r="E2920" s="2">
        <f>IFERROR(__xludf.DUMMYFUNCTION("""COMPUTED_VALUE"""),1231.97)</f>
        <v>1231.97</v>
      </c>
      <c r="F2920" s="2">
        <f>IFERROR(__xludf.DUMMYFUNCTION("""COMPUTED_VALUE"""),2249762.0)</f>
        <v>2249762</v>
      </c>
    </row>
    <row r="2921">
      <c r="A2921" s="3">
        <f>IFERROR(__xludf.DUMMYFUNCTION("""COMPUTED_VALUE"""),42550.64583333333)</f>
        <v>42550.64583</v>
      </c>
      <c r="B2921" s="2">
        <f>IFERROR(__xludf.DUMMYFUNCTION("""COMPUTED_VALUE"""),1237.5)</f>
        <v>1237.5</v>
      </c>
      <c r="C2921" s="2">
        <f>IFERROR(__xludf.DUMMYFUNCTION("""COMPUTED_VALUE"""),1256.25)</f>
        <v>1256.25</v>
      </c>
      <c r="D2921" s="2">
        <f>IFERROR(__xludf.DUMMYFUNCTION("""COMPUTED_VALUE"""),1232.65)</f>
        <v>1232.65</v>
      </c>
      <c r="E2921" s="2">
        <f>IFERROR(__xludf.DUMMYFUNCTION("""COMPUTED_VALUE"""),1251.45)</f>
        <v>1251.45</v>
      </c>
      <c r="F2921" s="2">
        <f>IFERROR(__xludf.DUMMYFUNCTION("""COMPUTED_VALUE"""),1265632.0)</f>
        <v>1265632</v>
      </c>
    </row>
    <row r="2922">
      <c r="A2922" s="3">
        <f>IFERROR(__xludf.DUMMYFUNCTION("""COMPUTED_VALUE"""),42551.64583333333)</f>
        <v>42551.64583</v>
      </c>
      <c r="B2922" s="2">
        <f>IFERROR(__xludf.DUMMYFUNCTION("""COMPUTED_VALUE"""),1261.0)</f>
        <v>1261</v>
      </c>
      <c r="C2922" s="2">
        <f>IFERROR(__xludf.DUMMYFUNCTION("""COMPUTED_VALUE"""),1281.45)</f>
        <v>1281.45</v>
      </c>
      <c r="D2922" s="2">
        <f>IFERROR(__xludf.DUMMYFUNCTION("""COMPUTED_VALUE"""),1250.18)</f>
        <v>1250.18</v>
      </c>
      <c r="E2922" s="2">
        <f>IFERROR(__xludf.DUMMYFUNCTION("""COMPUTED_VALUE"""),1276.55)</f>
        <v>1276.55</v>
      </c>
      <c r="F2922" s="2">
        <f>IFERROR(__xludf.DUMMYFUNCTION("""COMPUTED_VALUE"""),2560906.0)</f>
        <v>2560906</v>
      </c>
    </row>
    <row r="2923">
      <c r="A2923" s="3">
        <f>IFERROR(__xludf.DUMMYFUNCTION("""COMPUTED_VALUE"""),42552.64583333333)</f>
        <v>42552.64583</v>
      </c>
      <c r="B2923" s="2">
        <f>IFERROR(__xludf.DUMMYFUNCTION("""COMPUTED_VALUE"""),1281.0)</f>
        <v>1281</v>
      </c>
      <c r="C2923" s="2">
        <f>IFERROR(__xludf.DUMMYFUNCTION("""COMPUTED_VALUE"""),1282.3)</f>
        <v>1282.3</v>
      </c>
      <c r="D2923" s="2">
        <f>IFERROR(__xludf.DUMMYFUNCTION("""COMPUTED_VALUE"""),1247.18)</f>
        <v>1247.18</v>
      </c>
      <c r="E2923" s="2">
        <f>IFERROR(__xludf.DUMMYFUNCTION("""COMPUTED_VALUE"""),1250.43)</f>
        <v>1250.43</v>
      </c>
      <c r="F2923" s="2">
        <f>IFERROR(__xludf.DUMMYFUNCTION("""COMPUTED_VALUE"""),1098648.0)</f>
        <v>1098648</v>
      </c>
    </row>
    <row r="2924">
      <c r="A2924" s="3">
        <f>IFERROR(__xludf.DUMMYFUNCTION("""COMPUTED_VALUE"""),42555.64583333333)</f>
        <v>42555.64583</v>
      </c>
      <c r="B2924" s="2">
        <f>IFERROR(__xludf.DUMMYFUNCTION("""COMPUTED_VALUE"""),1258.0)</f>
        <v>1258</v>
      </c>
      <c r="C2924" s="2">
        <f>IFERROR(__xludf.DUMMYFUNCTION("""COMPUTED_VALUE"""),1262.93)</f>
        <v>1262.93</v>
      </c>
      <c r="D2924" s="2">
        <f>IFERROR(__xludf.DUMMYFUNCTION("""COMPUTED_VALUE"""),1241.0)</f>
        <v>1241</v>
      </c>
      <c r="E2924" s="2">
        <f>IFERROR(__xludf.DUMMYFUNCTION("""COMPUTED_VALUE"""),1247.1)</f>
        <v>1247.1</v>
      </c>
      <c r="F2924" s="2">
        <f>IFERROR(__xludf.DUMMYFUNCTION("""COMPUTED_VALUE"""),941742.0)</f>
        <v>941742</v>
      </c>
    </row>
    <row r="2925">
      <c r="A2925" s="3">
        <f>IFERROR(__xludf.DUMMYFUNCTION("""COMPUTED_VALUE"""),42556.64583333333)</f>
        <v>42556.64583</v>
      </c>
      <c r="B2925" s="2">
        <f>IFERROR(__xludf.DUMMYFUNCTION("""COMPUTED_VALUE"""),1247.1)</f>
        <v>1247.1</v>
      </c>
      <c r="C2925" s="2">
        <f>IFERROR(__xludf.DUMMYFUNCTION("""COMPUTED_VALUE"""),1248.53)</f>
        <v>1248.53</v>
      </c>
      <c r="D2925" s="2">
        <f>IFERROR(__xludf.DUMMYFUNCTION("""COMPUTED_VALUE"""),1238.58)</f>
        <v>1238.58</v>
      </c>
      <c r="E2925" s="2">
        <f>IFERROR(__xludf.DUMMYFUNCTION("""COMPUTED_VALUE"""),1242.65)</f>
        <v>1242.65</v>
      </c>
      <c r="F2925" s="2">
        <f>IFERROR(__xludf.DUMMYFUNCTION("""COMPUTED_VALUE"""),779874.0)</f>
        <v>779874</v>
      </c>
    </row>
    <row r="2926">
      <c r="A2926" s="3">
        <f>IFERROR(__xludf.DUMMYFUNCTION("""COMPUTED_VALUE"""),42558.64583333333)</f>
        <v>42558.64583</v>
      </c>
      <c r="B2926" s="2">
        <f>IFERROR(__xludf.DUMMYFUNCTION("""COMPUTED_VALUE"""),1243.85)</f>
        <v>1243.85</v>
      </c>
      <c r="C2926" s="2">
        <f>IFERROR(__xludf.DUMMYFUNCTION("""COMPUTED_VALUE"""),1245.93)</f>
        <v>1245.93</v>
      </c>
      <c r="D2926" s="2">
        <f>IFERROR(__xludf.DUMMYFUNCTION("""COMPUTED_VALUE"""),1212.5)</f>
        <v>1212.5</v>
      </c>
      <c r="E2926" s="2">
        <f>IFERROR(__xludf.DUMMYFUNCTION("""COMPUTED_VALUE"""),1214.9)</f>
        <v>1214.9</v>
      </c>
      <c r="F2926" s="2">
        <f>IFERROR(__xludf.DUMMYFUNCTION("""COMPUTED_VALUE"""),1658400.0)</f>
        <v>1658400</v>
      </c>
    </row>
    <row r="2927">
      <c r="A2927" s="3">
        <f>IFERROR(__xludf.DUMMYFUNCTION("""COMPUTED_VALUE"""),42559.64583333333)</f>
        <v>42559.64583</v>
      </c>
      <c r="B2927" s="2">
        <f>IFERROR(__xludf.DUMMYFUNCTION("""COMPUTED_VALUE"""),1217.5)</f>
        <v>1217.5</v>
      </c>
      <c r="C2927" s="2">
        <f>IFERROR(__xludf.DUMMYFUNCTION("""COMPUTED_VALUE"""),1221.03)</f>
        <v>1221.03</v>
      </c>
      <c r="D2927" s="2">
        <f>IFERROR(__xludf.DUMMYFUNCTION("""COMPUTED_VALUE"""),1201.75)</f>
        <v>1201.75</v>
      </c>
      <c r="E2927" s="2">
        <f>IFERROR(__xludf.DUMMYFUNCTION("""COMPUTED_VALUE"""),1213.3)</f>
        <v>1213.3</v>
      </c>
      <c r="F2927" s="2">
        <f>IFERROR(__xludf.DUMMYFUNCTION("""COMPUTED_VALUE"""),1228178.0)</f>
        <v>1228178</v>
      </c>
    </row>
    <row r="2928">
      <c r="A2928" s="3">
        <f>IFERROR(__xludf.DUMMYFUNCTION("""COMPUTED_VALUE"""),42562.64583333333)</f>
        <v>42562.64583</v>
      </c>
      <c r="B2928" s="2">
        <f>IFERROR(__xludf.DUMMYFUNCTION("""COMPUTED_VALUE"""),1215.0)</f>
        <v>1215</v>
      </c>
      <c r="C2928" s="2">
        <f>IFERROR(__xludf.DUMMYFUNCTION("""COMPUTED_VALUE"""),1235.9)</f>
        <v>1235.9</v>
      </c>
      <c r="D2928" s="2">
        <f>IFERROR(__xludf.DUMMYFUNCTION("""COMPUTED_VALUE"""),1213.5)</f>
        <v>1213.5</v>
      </c>
      <c r="E2928" s="2">
        <f>IFERROR(__xludf.DUMMYFUNCTION("""COMPUTED_VALUE"""),1232.08)</f>
        <v>1232.08</v>
      </c>
      <c r="F2928" s="2">
        <f>IFERROR(__xludf.DUMMYFUNCTION("""COMPUTED_VALUE"""),771816.0)</f>
        <v>771816</v>
      </c>
    </row>
    <row r="2929">
      <c r="A2929" s="3">
        <f>IFERROR(__xludf.DUMMYFUNCTION("""COMPUTED_VALUE"""),42563.64583333333)</f>
        <v>42563.64583</v>
      </c>
      <c r="B2929" s="2">
        <f>IFERROR(__xludf.DUMMYFUNCTION("""COMPUTED_VALUE"""),1235.85)</f>
        <v>1235.85</v>
      </c>
      <c r="C2929" s="2">
        <f>IFERROR(__xludf.DUMMYFUNCTION("""COMPUTED_VALUE"""),1237.5)</f>
        <v>1237.5</v>
      </c>
      <c r="D2929" s="2">
        <f>IFERROR(__xludf.DUMMYFUNCTION("""COMPUTED_VALUE"""),1217.93)</f>
        <v>1217.93</v>
      </c>
      <c r="E2929" s="2">
        <f>IFERROR(__xludf.DUMMYFUNCTION("""COMPUTED_VALUE"""),1232.47)</f>
        <v>1232.47</v>
      </c>
      <c r="F2929" s="2">
        <f>IFERROR(__xludf.DUMMYFUNCTION("""COMPUTED_VALUE"""),732768.0)</f>
        <v>732768</v>
      </c>
    </row>
    <row r="2930">
      <c r="A2930" s="3">
        <f>IFERROR(__xludf.DUMMYFUNCTION("""COMPUTED_VALUE"""),42564.64583333333)</f>
        <v>42564.64583</v>
      </c>
      <c r="B2930" s="2">
        <f>IFERROR(__xludf.DUMMYFUNCTION("""COMPUTED_VALUE"""),1239.0)</f>
        <v>1239</v>
      </c>
      <c r="C2930" s="2">
        <f>IFERROR(__xludf.DUMMYFUNCTION("""COMPUTED_VALUE"""),1249.63)</f>
        <v>1249.63</v>
      </c>
      <c r="D2930" s="2">
        <f>IFERROR(__xludf.DUMMYFUNCTION("""COMPUTED_VALUE"""),1225.63)</f>
        <v>1225.63</v>
      </c>
      <c r="E2930" s="2">
        <f>IFERROR(__xludf.DUMMYFUNCTION("""COMPUTED_VALUE"""),1246.55)</f>
        <v>1246.55</v>
      </c>
      <c r="F2930" s="2">
        <f>IFERROR(__xludf.DUMMYFUNCTION("""COMPUTED_VALUE"""),1051150.0)</f>
        <v>1051150</v>
      </c>
    </row>
    <row r="2931">
      <c r="A2931" s="3">
        <f>IFERROR(__xludf.DUMMYFUNCTION("""COMPUTED_VALUE"""),42565.64583333333)</f>
        <v>42565.64583</v>
      </c>
      <c r="B2931" s="2">
        <f>IFERROR(__xludf.DUMMYFUNCTION("""COMPUTED_VALUE"""),1243.0)</f>
        <v>1243</v>
      </c>
      <c r="C2931" s="2">
        <f>IFERROR(__xludf.DUMMYFUNCTION("""COMPUTED_VALUE"""),1264.5)</f>
        <v>1264.5</v>
      </c>
      <c r="D2931" s="2">
        <f>IFERROR(__xludf.DUMMYFUNCTION("""COMPUTED_VALUE"""),1235.5)</f>
        <v>1235.5</v>
      </c>
      <c r="E2931" s="2">
        <f>IFERROR(__xludf.DUMMYFUNCTION("""COMPUTED_VALUE"""),1260.95)</f>
        <v>1260.95</v>
      </c>
      <c r="F2931" s="2">
        <f>IFERROR(__xludf.DUMMYFUNCTION("""COMPUTED_VALUE"""),1349994.0)</f>
        <v>1349994</v>
      </c>
    </row>
    <row r="2932">
      <c r="A2932" s="3">
        <f>IFERROR(__xludf.DUMMYFUNCTION("""COMPUTED_VALUE"""),42566.64583333333)</f>
        <v>42566.64583</v>
      </c>
      <c r="B2932" s="2">
        <f>IFERROR(__xludf.DUMMYFUNCTION("""COMPUTED_VALUE"""),1258.5)</f>
        <v>1258.5</v>
      </c>
      <c r="C2932" s="2">
        <f>IFERROR(__xludf.DUMMYFUNCTION("""COMPUTED_VALUE"""),1263.9)</f>
        <v>1263.9</v>
      </c>
      <c r="D2932" s="2">
        <f>IFERROR(__xludf.DUMMYFUNCTION("""COMPUTED_VALUE"""),1213.28)</f>
        <v>1213.28</v>
      </c>
      <c r="E2932" s="2">
        <f>IFERROR(__xludf.DUMMYFUNCTION("""COMPUTED_VALUE"""),1222.68)</f>
        <v>1222.68</v>
      </c>
      <c r="F2932" s="2">
        <f>IFERROR(__xludf.DUMMYFUNCTION("""COMPUTED_VALUE"""),4168183.0)</f>
        <v>4168183</v>
      </c>
    </row>
    <row r="2933">
      <c r="A2933" s="3">
        <f>IFERROR(__xludf.DUMMYFUNCTION("""COMPUTED_VALUE"""),42569.64583333333)</f>
        <v>42569.64583</v>
      </c>
      <c r="B2933" s="2">
        <f>IFERROR(__xludf.DUMMYFUNCTION("""COMPUTED_VALUE"""),1223.5)</f>
        <v>1223.5</v>
      </c>
      <c r="C2933" s="2">
        <f>IFERROR(__xludf.DUMMYFUNCTION("""COMPUTED_VALUE"""),1234.5)</f>
        <v>1234.5</v>
      </c>
      <c r="D2933" s="2">
        <f>IFERROR(__xludf.DUMMYFUNCTION("""COMPUTED_VALUE"""),1215.3)</f>
        <v>1215.3</v>
      </c>
      <c r="E2933" s="2">
        <f>IFERROR(__xludf.DUMMYFUNCTION("""COMPUTED_VALUE"""),1216.72)</f>
        <v>1216.72</v>
      </c>
      <c r="F2933" s="2">
        <f>IFERROR(__xludf.DUMMYFUNCTION("""COMPUTED_VALUE"""),1299425.0)</f>
        <v>1299425</v>
      </c>
    </row>
    <row r="2934">
      <c r="A2934" s="3">
        <f>IFERROR(__xludf.DUMMYFUNCTION("""COMPUTED_VALUE"""),42570.64583333333)</f>
        <v>42570.64583</v>
      </c>
      <c r="B2934" s="2">
        <f>IFERROR(__xludf.DUMMYFUNCTION("""COMPUTED_VALUE"""),1213.75)</f>
        <v>1213.75</v>
      </c>
      <c r="C2934" s="2">
        <f>IFERROR(__xludf.DUMMYFUNCTION("""COMPUTED_VALUE"""),1236.4)</f>
        <v>1236.4</v>
      </c>
      <c r="D2934" s="2">
        <f>IFERROR(__xludf.DUMMYFUNCTION("""COMPUTED_VALUE"""),1213.75)</f>
        <v>1213.75</v>
      </c>
      <c r="E2934" s="2">
        <f>IFERROR(__xludf.DUMMYFUNCTION("""COMPUTED_VALUE"""),1233.1)</f>
        <v>1233.1</v>
      </c>
      <c r="F2934" s="2">
        <f>IFERROR(__xludf.DUMMYFUNCTION("""COMPUTED_VALUE"""),1181448.0)</f>
        <v>1181448</v>
      </c>
    </row>
    <row r="2935">
      <c r="A2935" s="3">
        <f>IFERROR(__xludf.DUMMYFUNCTION("""COMPUTED_VALUE"""),42571.64583333333)</f>
        <v>42571.64583</v>
      </c>
      <c r="B2935" s="2">
        <f>IFERROR(__xludf.DUMMYFUNCTION("""COMPUTED_VALUE"""),1225.0)</f>
        <v>1225</v>
      </c>
      <c r="C2935" s="2">
        <f>IFERROR(__xludf.DUMMYFUNCTION("""COMPUTED_VALUE"""),1251.25)</f>
        <v>1251.25</v>
      </c>
      <c r="D2935" s="2">
        <f>IFERROR(__xludf.DUMMYFUNCTION("""COMPUTED_VALUE"""),1224.08)</f>
        <v>1224.08</v>
      </c>
      <c r="E2935" s="2">
        <f>IFERROR(__xludf.DUMMYFUNCTION("""COMPUTED_VALUE"""),1247.47)</f>
        <v>1247.47</v>
      </c>
      <c r="F2935" s="2">
        <f>IFERROR(__xludf.DUMMYFUNCTION("""COMPUTED_VALUE"""),1407626.0)</f>
        <v>1407626</v>
      </c>
    </row>
    <row r="2936">
      <c r="A2936" s="3">
        <f>IFERROR(__xludf.DUMMYFUNCTION("""COMPUTED_VALUE"""),42572.64583333333)</f>
        <v>42572.64583</v>
      </c>
      <c r="B2936" s="2">
        <f>IFERROR(__xludf.DUMMYFUNCTION("""COMPUTED_VALUE"""),1244.75)</f>
        <v>1244.75</v>
      </c>
      <c r="C2936" s="2">
        <f>IFERROR(__xludf.DUMMYFUNCTION("""COMPUTED_VALUE"""),1259.75)</f>
        <v>1259.75</v>
      </c>
      <c r="D2936" s="2">
        <f>IFERROR(__xludf.DUMMYFUNCTION("""COMPUTED_VALUE"""),1232.22)</f>
        <v>1232.22</v>
      </c>
      <c r="E2936" s="2">
        <f>IFERROR(__xludf.DUMMYFUNCTION("""COMPUTED_VALUE"""),1253.03)</f>
        <v>1253.03</v>
      </c>
      <c r="F2936" s="2">
        <f>IFERROR(__xludf.DUMMYFUNCTION("""COMPUTED_VALUE"""),1263574.0)</f>
        <v>1263574</v>
      </c>
    </row>
    <row r="2937">
      <c r="A2937" s="3">
        <f>IFERROR(__xludf.DUMMYFUNCTION("""COMPUTED_VALUE"""),42573.64583333333)</f>
        <v>42573.64583</v>
      </c>
      <c r="B2937" s="2">
        <f>IFERROR(__xludf.DUMMYFUNCTION("""COMPUTED_VALUE"""),1249.45)</f>
        <v>1249.45</v>
      </c>
      <c r="C2937" s="2">
        <f>IFERROR(__xludf.DUMMYFUNCTION("""COMPUTED_VALUE"""),1262.0)</f>
        <v>1262</v>
      </c>
      <c r="D2937" s="2">
        <f>IFERROR(__xludf.DUMMYFUNCTION("""COMPUTED_VALUE"""),1246.0)</f>
        <v>1246</v>
      </c>
      <c r="E2937" s="2">
        <f>IFERROR(__xludf.DUMMYFUNCTION("""COMPUTED_VALUE"""),1257.55)</f>
        <v>1257.55</v>
      </c>
      <c r="F2937" s="2">
        <f>IFERROR(__xludf.DUMMYFUNCTION("""COMPUTED_VALUE"""),758608.0)</f>
        <v>758608</v>
      </c>
    </row>
    <row r="2938">
      <c r="A2938" s="3">
        <f>IFERROR(__xludf.DUMMYFUNCTION("""COMPUTED_VALUE"""),42576.64583333333)</f>
        <v>42576.64583</v>
      </c>
      <c r="B2938" s="2">
        <f>IFERROR(__xludf.DUMMYFUNCTION("""COMPUTED_VALUE"""),1256.0)</f>
        <v>1256</v>
      </c>
      <c r="C2938" s="2">
        <f>IFERROR(__xludf.DUMMYFUNCTION("""COMPUTED_VALUE"""),1281.6)</f>
        <v>1281.6</v>
      </c>
      <c r="D2938" s="2">
        <f>IFERROR(__xludf.DUMMYFUNCTION("""COMPUTED_VALUE"""),1252.9)</f>
        <v>1252.9</v>
      </c>
      <c r="E2938" s="2">
        <f>IFERROR(__xludf.DUMMYFUNCTION("""COMPUTED_VALUE"""),1279.47)</f>
        <v>1279.47</v>
      </c>
      <c r="F2938" s="2">
        <f>IFERROR(__xludf.DUMMYFUNCTION("""COMPUTED_VALUE"""),844398.0)</f>
        <v>844398</v>
      </c>
    </row>
    <row r="2939">
      <c r="A2939" s="3">
        <f>IFERROR(__xludf.DUMMYFUNCTION("""COMPUTED_VALUE"""),42577.64583333333)</f>
        <v>42577.64583</v>
      </c>
      <c r="B2939" s="2">
        <f>IFERROR(__xludf.DUMMYFUNCTION("""COMPUTED_VALUE"""),1279.47)</f>
        <v>1279.47</v>
      </c>
      <c r="C2939" s="2">
        <f>IFERROR(__xludf.DUMMYFUNCTION("""COMPUTED_VALUE"""),1284.0)</f>
        <v>1284</v>
      </c>
      <c r="D2939" s="2">
        <f>IFERROR(__xludf.DUMMYFUNCTION("""COMPUTED_VALUE"""),1266.5)</f>
        <v>1266.5</v>
      </c>
      <c r="E2939" s="2">
        <f>IFERROR(__xludf.DUMMYFUNCTION("""COMPUTED_VALUE"""),1276.3)</f>
        <v>1276.3</v>
      </c>
      <c r="F2939" s="2">
        <f>IFERROR(__xludf.DUMMYFUNCTION("""COMPUTED_VALUE"""),1155645.0)</f>
        <v>1155645</v>
      </c>
    </row>
    <row r="2940">
      <c r="A2940" s="3">
        <f>IFERROR(__xludf.DUMMYFUNCTION("""COMPUTED_VALUE"""),42578.64583333333)</f>
        <v>42578.64583</v>
      </c>
      <c r="B2940" s="2">
        <f>IFERROR(__xludf.DUMMYFUNCTION("""COMPUTED_VALUE"""),1277.5)</f>
        <v>1277.5</v>
      </c>
      <c r="C2940" s="2">
        <f>IFERROR(__xludf.DUMMYFUNCTION("""COMPUTED_VALUE"""),1290.2)</f>
        <v>1290.2</v>
      </c>
      <c r="D2940" s="2">
        <f>IFERROR(__xludf.DUMMYFUNCTION("""COMPUTED_VALUE"""),1272.5)</f>
        <v>1272.5</v>
      </c>
      <c r="E2940" s="2">
        <f>IFERROR(__xludf.DUMMYFUNCTION("""COMPUTED_VALUE"""),1288.78)</f>
        <v>1288.78</v>
      </c>
      <c r="F2940" s="2">
        <f>IFERROR(__xludf.DUMMYFUNCTION("""COMPUTED_VALUE"""),875255.0)</f>
        <v>875255</v>
      </c>
    </row>
    <row r="2941">
      <c r="A2941" s="3">
        <f>IFERROR(__xludf.DUMMYFUNCTION("""COMPUTED_VALUE"""),42579.64583333333)</f>
        <v>42579.64583</v>
      </c>
      <c r="B2941" s="2">
        <f>IFERROR(__xludf.DUMMYFUNCTION("""COMPUTED_VALUE"""),1290.25)</f>
        <v>1290.25</v>
      </c>
      <c r="C2941" s="2">
        <f>IFERROR(__xludf.DUMMYFUNCTION("""COMPUTED_VALUE"""),1314.78)</f>
        <v>1314.78</v>
      </c>
      <c r="D2941" s="2">
        <f>IFERROR(__xludf.DUMMYFUNCTION("""COMPUTED_VALUE"""),1288.53)</f>
        <v>1288.53</v>
      </c>
      <c r="E2941" s="2">
        <f>IFERROR(__xludf.DUMMYFUNCTION("""COMPUTED_VALUE"""),1309.63)</f>
        <v>1309.63</v>
      </c>
      <c r="F2941" s="2">
        <f>IFERROR(__xludf.DUMMYFUNCTION("""COMPUTED_VALUE"""),2316040.0)</f>
        <v>2316040</v>
      </c>
    </row>
    <row r="2942">
      <c r="A2942" s="3">
        <f>IFERROR(__xludf.DUMMYFUNCTION("""COMPUTED_VALUE"""),42580.64583333333)</f>
        <v>42580.64583</v>
      </c>
      <c r="B2942" s="2">
        <f>IFERROR(__xludf.DUMMYFUNCTION("""COMPUTED_VALUE"""),1307.0)</f>
        <v>1307</v>
      </c>
      <c r="C2942" s="2">
        <f>IFERROR(__xludf.DUMMYFUNCTION("""COMPUTED_VALUE"""),1317.45)</f>
        <v>1317.45</v>
      </c>
      <c r="D2942" s="2">
        <f>IFERROR(__xludf.DUMMYFUNCTION("""COMPUTED_VALUE"""),1299.5)</f>
        <v>1299.5</v>
      </c>
      <c r="E2942" s="2">
        <f>IFERROR(__xludf.DUMMYFUNCTION("""COMPUTED_VALUE"""),1309.65)</f>
        <v>1309.65</v>
      </c>
      <c r="F2942" s="2">
        <f>IFERROR(__xludf.DUMMYFUNCTION("""COMPUTED_VALUE"""),1244042.0)</f>
        <v>1244042</v>
      </c>
    </row>
    <row r="2943">
      <c r="A2943" s="3">
        <f>IFERROR(__xludf.DUMMYFUNCTION("""COMPUTED_VALUE"""),42583.64583333333)</f>
        <v>42583.64583</v>
      </c>
      <c r="B2943" s="2">
        <f>IFERROR(__xludf.DUMMYFUNCTION("""COMPUTED_VALUE"""),1316.0)</f>
        <v>1316</v>
      </c>
      <c r="C2943" s="2">
        <f>IFERROR(__xludf.DUMMYFUNCTION("""COMPUTED_VALUE"""),1362.5)</f>
        <v>1362.5</v>
      </c>
      <c r="D2943" s="2">
        <f>IFERROR(__xludf.DUMMYFUNCTION("""COMPUTED_VALUE"""),1316.0)</f>
        <v>1316</v>
      </c>
      <c r="E2943" s="2">
        <f>IFERROR(__xludf.DUMMYFUNCTION("""COMPUTED_VALUE"""),1354.13)</f>
        <v>1354.13</v>
      </c>
      <c r="F2943" s="2">
        <f>IFERROR(__xludf.DUMMYFUNCTION("""COMPUTED_VALUE"""),1980852.0)</f>
        <v>1980852</v>
      </c>
    </row>
    <row r="2944">
      <c r="A2944" s="3">
        <f>IFERROR(__xludf.DUMMYFUNCTION("""COMPUTED_VALUE"""),42584.64583333333)</f>
        <v>42584.64583</v>
      </c>
      <c r="B2944" s="2">
        <f>IFERROR(__xludf.DUMMYFUNCTION("""COMPUTED_VALUE"""),1351.45)</f>
        <v>1351.45</v>
      </c>
      <c r="C2944" s="2">
        <f>IFERROR(__xludf.DUMMYFUNCTION("""COMPUTED_VALUE"""),1357.85)</f>
        <v>1357.85</v>
      </c>
      <c r="D2944" s="2">
        <f>IFERROR(__xludf.DUMMYFUNCTION("""COMPUTED_VALUE"""),1344.9)</f>
        <v>1344.9</v>
      </c>
      <c r="E2944" s="2">
        <f>IFERROR(__xludf.DUMMYFUNCTION("""COMPUTED_VALUE"""),1349.6)</f>
        <v>1349.6</v>
      </c>
      <c r="F2944" s="2">
        <f>IFERROR(__xludf.DUMMYFUNCTION("""COMPUTED_VALUE"""),1289081.0)</f>
        <v>1289081</v>
      </c>
    </row>
    <row r="2945">
      <c r="A2945" s="3">
        <f>IFERROR(__xludf.DUMMYFUNCTION("""COMPUTED_VALUE"""),42585.64583333333)</f>
        <v>42585.64583</v>
      </c>
      <c r="B2945" s="2">
        <f>IFERROR(__xludf.DUMMYFUNCTION("""COMPUTED_VALUE"""),1343.0)</f>
        <v>1343</v>
      </c>
      <c r="C2945" s="2">
        <f>IFERROR(__xludf.DUMMYFUNCTION("""COMPUTED_VALUE"""),1349.5)</f>
        <v>1349.5</v>
      </c>
      <c r="D2945" s="2">
        <f>IFERROR(__xludf.DUMMYFUNCTION("""COMPUTED_VALUE"""),1324.53)</f>
        <v>1324.53</v>
      </c>
      <c r="E2945" s="2">
        <f>IFERROR(__xludf.DUMMYFUNCTION("""COMPUTED_VALUE"""),1328.15)</f>
        <v>1328.15</v>
      </c>
      <c r="F2945" s="2">
        <f>IFERROR(__xludf.DUMMYFUNCTION("""COMPUTED_VALUE"""),1147351.0)</f>
        <v>1147351</v>
      </c>
    </row>
    <row r="2946">
      <c r="A2946" s="3">
        <f>IFERROR(__xludf.DUMMYFUNCTION("""COMPUTED_VALUE"""),42586.64583333333)</f>
        <v>42586.64583</v>
      </c>
      <c r="B2946" s="2">
        <f>IFERROR(__xludf.DUMMYFUNCTION("""COMPUTED_VALUE"""),1335.0)</f>
        <v>1335</v>
      </c>
      <c r="C2946" s="2">
        <f>IFERROR(__xludf.DUMMYFUNCTION("""COMPUTED_VALUE"""),1341.48)</f>
        <v>1341.48</v>
      </c>
      <c r="D2946" s="2">
        <f>IFERROR(__xludf.DUMMYFUNCTION("""COMPUTED_VALUE"""),1318.13)</f>
        <v>1318.13</v>
      </c>
      <c r="E2946" s="2">
        <f>IFERROR(__xludf.DUMMYFUNCTION("""COMPUTED_VALUE"""),1326.0)</f>
        <v>1326</v>
      </c>
      <c r="F2946" s="2">
        <f>IFERROR(__xludf.DUMMYFUNCTION("""COMPUTED_VALUE"""),707708.0)</f>
        <v>707708</v>
      </c>
    </row>
    <row r="2947">
      <c r="A2947" s="3">
        <f>IFERROR(__xludf.DUMMYFUNCTION("""COMPUTED_VALUE"""),42587.64583333333)</f>
        <v>42587.64583</v>
      </c>
      <c r="B2947" s="2">
        <f>IFERROR(__xludf.DUMMYFUNCTION("""COMPUTED_VALUE"""),1336.95)</f>
        <v>1336.95</v>
      </c>
      <c r="C2947" s="2">
        <f>IFERROR(__xludf.DUMMYFUNCTION("""COMPUTED_VALUE"""),1342.15)</f>
        <v>1342.15</v>
      </c>
      <c r="D2947" s="2">
        <f>IFERROR(__xludf.DUMMYFUNCTION("""COMPUTED_VALUE"""),1316.0)</f>
        <v>1316</v>
      </c>
      <c r="E2947" s="2">
        <f>IFERROR(__xludf.DUMMYFUNCTION("""COMPUTED_VALUE"""),1324.55)</f>
        <v>1324.55</v>
      </c>
      <c r="F2947" s="2">
        <f>IFERROR(__xludf.DUMMYFUNCTION("""COMPUTED_VALUE"""),934242.0)</f>
        <v>934242</v>
      </c>
    </row>
    <row r="2948">
      <c r="A2948" s="3">
        <f>IFERROR(__xludf.DUMMYFUNCTION("""COMPUTED_VALUE"""),42590.64583333333)</f>
        <v>42590.64583</v>
      </c>
      <c r="B2948" s="2">
        <f>IFERROR(__xludf.DUMMYFUNCTION("""COMPUTED_VALUE"""),1320.0)</f>
        <v>1320</v>
      </c>
      <c r="C2948" s="2">
        <f>IFERROR(__xludf.DUMMYFUNCTION("""COMPUTED_VALUE"""),1334.0)</f>
        <v>1334</v>
      </c>
      <c r="D2948" s="2">
        <f>IFERROR(__xludf.DUMMYFUNCTION("""COMPUTED_VALUE"""),1314.53)</f>
        <v>1314.53</v>
      </c>
      <c r="E2948" s="2">
        <f>IFERROR(__xludf.DUMMYFUNCTION("""COMPUTED_VALUE"""),1324.75)</f>
        <v>1324.75</v>
      </c>
      <c r="F2948" s="2">
        <f>IFERROR(__xludf.DUMMYFUNCTION("""COMPUTED_VALUE"""),1029122.0)</f>
        <v>1029122</v>
      </c>
    </row>
    <row r="2949">
      <c r="A2949" s="3">
        <f>IFERROR(__xludf.DUMMYFUNCTION("""COMPUTED_VALUE"""),42591.64583333333)</f>
        <v>42591.64583</v>
      </c>
      <c r="B2949" s="2">
        <f>IFERROR(__xludf.DUMMYFUNCTION("""COMPUTED_VALUE"""),1329.0)</f>
        <v>1329</v>
      </c>
      <c r="C2949" s="2">
        <f>IFERROR(__xludf.DUMMYFUNCTION("""COMPUTED_VALUE"""),1329.9)</f>
        <v>1329.9</v>
      </c>
      <c r="D2949" s="2">
        <f>IFERROR(__xludf.DUMMYFUNCTION("""COMPUTED_VALUE"""),1289.43)</f>
        <v>1289.43</v>
      </c>
      <c r="E2949" s="2">
        <f>IFERROR(__xludf.DUMMYFUNCTION("""COMPUTED_VALUE"""),1325.1)</f>
        <v>1325.1</v>
      </c>
      <c r="F2949" s="2">
        <f>IFERROR(__xludf.DUMMYFUNCTION("""COMPUTED_VALUE"""),1130957.0)</f>
        <v>1130957</v>
      </c>
    </row>
    <row r="2950">
      <c r="A2950" s="3">
        <f>IFERROR(__xludf.DUMMYFUNCTION("""COMPUTED_VALUE"""),42592.64583333333)</f>
        <v>42592.64583</v>
      </c>
      <c r="B2950" s="2">
        <f>IFERROR(__xludf.DUMMYFUNCTION("""COMPUTED_VALUE"""),1325.5)</f>
        <v>1325.5</v>
      </c>
      <c r="C2950" s="2">
        <f>IFERROR(__xludf.DUMMYFUNCTION("""COMPUTED_VALUE"""),1341.0)</f>
        <v>1341</v>
      </c>
      <c r="D2950" s="2">
        <f>IFERROR(__xludf.DUMMYFUNCTION("""COMPUTED_VALUE"""),1324.0)</f>
        <v>1324</v>
      </c>
      <c r="E2950" s="2">
        <f>IFERROR(__xludf.DUMMYFUNCTION("""COMPUTED_VALUE"""),1337.7)</f>
        <v>1337.7</v>
      </c>
      <c r="F2950" s="2">
        <f>IFERROR(__xludf.DUMMYFUNCTION("""COMPUTED_VALUE"""),1031039.0)</f>
        <v>1031039</v>
      </c>
    </row>
    <row r="2951">
      <c r="A2951" s="3">
        <f>IFERROR(__xludf.DUMMYFUNCTION("""COMPUTED_VALUE"""),42593.64583333333)</f>
        <v>42593.64583</v>
      </c>
      <c r="B2951" s="2">
        <f>IFERROR(__xludf.DUMMYFUNCTION("""COMPUTED_VALUE"""),1332.78)</f>
        <v>1332.78</v>
      </c>
      <c r="C2951" s="2">
        <f>IFERROR(__xludf.DUMMYFUNCTION("""COMPUTED_VALUE"""),1357.5)</f>
        <v>1357.5</v>
      </c>
      <c r="D2951" s="2">
        <f>IFERROR(__xludf.DUMMYFUNCTION("""COMPUTED_VALUE"""),1332.78)</f>
        <v>1332.78</v>
      </c>
      <c r="E2951" s="2">
        <f>IFERROR(__xludf.DUMMYFUNCTION("""COMPUTED_VALUE"""),1354.95)</f>
        <v>1354.95</v>
      </c>
      <c r="F2951" s="2">
        <f>IFERROR(__xludf.DUMMYFUNCTION("""COMPUTED_VALUE"""),1116569.0)</f>
        <v>1116569</v>
      </c>
    </row>
    <row r="2952">
      <c r="A2952" s="3">
        <f>IFERROR(__xludf.DUMMYFUNCTION("""COMPUTED_VALUE"""),42594.64583333333)</f>
        <v>42594.64583</v>
      </c>
      <c r="B2952" s="2">
        <f>IFERROR(__xludf.DUMMYFUNCTION("""COMPUTED_VALUE"""),1352.5)</f>
        <v>1352.5</v>
      </c>
      <c r="C2952" s="2">
        <f>IFERROR(__xludf.DUMMYFUNCTION("""COMPUTED_VALUE"""),1372.4)</f>
        <v>1372.4</v>
      </c>
      <c r="D2952" s="2">
        <f>IFERROR(__xludf.DUMMYFUNCTION("""COMPUTED_VALUE"""),1351.03)</f>
        <v>1351.03</v>
      </c>
      <c r="E2952" s="2">
        <f>IFERROR(__xludf.DUMMYFUNCTION("""COMPUTED_VALUE"""),1369.23)</f>
        <v>1369.23</v>
      </c>
      <c r="F2952" s="2">
        <f>IFERROR(__xludf.DUMMYFUNCTION("""COMPUTED_VALUE"""),1163679.0)</f>
        <v>1163679</v>
      </c>
    </row>
    <row r="2953">
      <c r="A2953" s="3">
        <f>IFERROR(__xludf.DUMMYFUNCTION("""COMPUTED_VALUE"""),42598.64583333333)</f>
        <v>42598.64583</v>
      </c>
      <c r="B2953" s="2">
        <f>IFERROR(__xludf.DUMMYFUNCTION("""COMPUTED_VALUE"""),1369.0)</f>
        <v>1369</v>
      </c>
      <c r="C2953" s="2">
        <f>IFERROR(__xludf.DUMMYFUNCTION("""COMPUTED_VALUE"""),1370.0)</f>
        <v>1370</v>
      </c>
      <c r="D2953" s="2">
        <f>IFERROR(__xludf.DUMMYFUNCTION("""COMPUTED_VALUE"""),1336.93)</f>
        <v>1336.93</v>
      </c>
      <c r="E2953" s="2">
        <f>IFERROR(__xludf.DUMMYFUNCTION("""COMPUTED_VALUE"""),1345.85)</f>
        <v>1345.85</v>
      </c>
      <c r="F2953" s="2">
        <f>IFERROR(__xludf.DUMMYFUNCTION("""COMPUTED_VALUE"""),1591877.0)</f>
        <v>1591877</v>
      </c>
    </row>
    <row r="2954">
      <c r="A2954" s="3">
        <f>IFERROR(__xludf.DUMMYFUNCTION("""COMPUTED_VALUE"""),42599.64583333333)</f>
        <v>42599.64583</v>
      </c>
      <c r="B2954" s="2">
        <f>IFERROR(__xludf.DUMMYFUNCTION("""COMPUTED_VALUE"""),1349.5)</f>
        <v>1349.5</v>
      </c>
      <c r="C2954" s="2">
        <f>IFERROR(__xludf.DUMMYFUNCTION("""COMPUTED_VALUE"""),1349.5)</f>
        <v>1349.5</v>
      </c>
      <c r="D2954" s="2">
        <f>IFERROR(__xludf.DUMMYFUNCTION("""COMPUTED_VALUE"""),1309.0)</f>
        <v>1309</v>
      </c>
      <c r="E2954" s="2">
        <f>IFERROR(__xludf.DUMMYFUNCTION("""COMPUTED_VALUE"""),1312.28)</f>
        <v>1312.28</v>
      </c>
      <c r="F2954" s="2">
        <f>IFERROR(__xludf.DUMMYFUNCTION("""COMPUTED_VALUE"""),924283.0)</f>
        <v>924283</v>
      </c>
    </row>
    <row r="2955">
      <c r="A2955" s="3">
        <f>IFERROR(__xludf.DUMMYFUNCTION("""COMPUTED_VALUE"""),42600.64583333333)</f>
        <v>42600.64583</v>
      </c>
      <c r="B2955" s="2">
        <f>IFERROR(__xludf.DUMMYFUNCTION("""COMPUTED_VALUE"""),1317.5)</f>
        <v>1317.5</v>
      </c>
      <c r="C2955" s="2">
        <f>IFERROR(__xludf.DUMMYFUNCTION("""COMPUTED_VALUE"""),1328.78)</f>
        <v>1328.78</v>
      </c>
      <c r="D2955" s="2">
        <f>IFERROR(__xludf.DUMMYFUNCTION("""COMPUTED_VALUE"""),1315.05)</f>
        <v>1315.05</v>
      </c>
      <c r="E2955" s="2">
        <f>IFERROR(__xludf.DUMMYFUNCTION("""COMPUTED_VALUE"""),1319.28)</f>
        <v>1319.28</v>
      </c>
      <c r="F2955" s="2">
        <f>IFERROR(__xludf.DUMMYFUNCTION("""COMPUTED_VALUE"""),646032.0)</f>
        <v>646032</v>
      </c>
    </row>
    <row r="2956">
      <c r="A2956" s="3">
        <f>IFERROR(__xludf.DUMMYFUNCTION("""COMPUTED_VALUE"""),42601.64583333333)</f>
        <v>42601.64583</v>
      </c>
      <c r="B2956" s="2">
        <f>IFERROR(__xludf.DUMMYFUNCTION("""COMPUTED_VALUE"""),1320.0)</f>
        <v>1320</v>
      </c>
      <c r="C2956" s="2">
        <f>IFERROR(__xludf.DUMMYFUNCTION("""COMPUTED_VALUE"""),1323.23)</f>
        <v>1323.23</v>
      </c>
      <c r="D2956" s="2">
        <f>IFERROR(__xludf.DUMMYFUNCTION("""COMPUTED_VALUE"""),1300.0)</f>
        <v>1300</v>
      </c>
      <c r="E2956" s="2">
        <f>IFERROR(__xludf.DUMMYFUNCTION("""COMPUTED_VALUE"""),1301.75)</f>
        <v>1301.75</v>
      </c>
      <c r="F2956" s="2">
        <f>IFERROR(__xludf.DUMMYFUNCTION("""COMPUTED_VALUE"""),1208122.0)</f>
        <v>1208122</v>
      </c>
    </row>
    <row r="2957">
      <c r="A2957" s="3">
        <f>IFERROR(__xludf.DUMMYFUNCTION("""COMPUTED_VALUE"""),42604.64583333333)</f>
        <v>42604.64583</v>
      </c>
      <c r="B2957" s="2">
        <f>IFERROR(__xludf.DUMMYFUNCTION("""COMPUTED_VALUE"""),1294.0)</f>
        <v>1294</v>
      </c>
      <c r="C2957" s="2">
        <f>IFERROR(__xludf.DUMMYFUNCTION("""COMPUTED_VALUE"""),1297.22)</f>
        <v>1297.22</v>
      </c>
      <c r="D2957" s="2">
        <f>IFERROR(__xludf.DUMMYFUNCTION("""COMPUTED_VALUE"""),1268.15)</f>
        <v>1268.15</v>
      </c>
      <c r="E2957" s="2">
        <f>IFERROR(__xludf.DUMMYFUNCTION("""COMPUTED_VALUE"""),1274.35)</f>
        <v>1274.35</v>
      </c>
      <c r="F2957" s="2">
        <f>IFERROR(__xludf.DUMMYFUNCTION("""COMPUTED_VALUE"""),1132637.0)</f>
        <v>1132637</v>
      </c>
    </row>
    <row r="2958">
      <c r="A2958" s="3">
        <f>IFERROR(__xludf.DUMMYFUNCTION("""COMPUTED_VALUE"""),42605.64583333333)</f>
        <v>42605.64583</v>
      </c>
      <c r="B2958" s="2">
        <f>IFERROR(__xludf.DUMMYFUNCTION("""COMPUTED_VALUE"""),1272.47)</f>
        <v>1272.47</v>
      </c>
      <c r="C2958" s="2">
        <f>IFERROR(__xludf.DUMMYFUNCTION("""COMPUTED_VALUE"""),1302.47)</f>
        <v>1302.47</v>
      </c>
      <c r="D2958" s="2">
        <f>IFERROR(__xludf.DUMMYFUNCTION("""COMPUTED_VALUE"""),1270.1)</f>
        <v>1270.1</v>
      </c>
      <c r="E2958" s="2">
        <f>IFERROR(__xludf.DUMMYFUNCTION("""COMPUTED_VALUE"""),1300.53)</f>
        <v>1300.53</v>
      </c>
      <c r="F2958" s="2">
        <f>IFERROR(__xludf.DUMMYFUNCTION("""COMPUTED_VALUE"""),751687.0)</f>
        <v>751687</v>
      </c>
    </row>
    <row r="2959">
      <c r="A2959" s="3">
        <f>IFERROR(__xludf.DUMMYFUNCTION("""COMPUTED_VALUE"""),42606.64583333333)</f>
        <v>42606.64583</v>
      </c>
      <c r="B2959" s="2">
        <f>IFERROR(__xludf.DUMMYFUNCTION("""COMPUTED_VALUE"""),1294.9)</f>
        <v>1294.9</v>
      </c>
      <c r="C2959" s="2">
        <f>IFERROR(__xludf.DUMMYFUNCTION("""COMPUTED_VALUE"""),1301.0)</f>
        <v>1301</v>
      </c>
      <c r="D2959" s="2">
        <f>IFERROR(__xludf.DUMMYFUNCTION("""COMPUTED_VALUE"""),1284.53)</f>
        <v>1284.53</v>
      </c>
      <c r="E2959" s="2">
        <f>IFERROR(__xludf.DUMMYFUNCTION("""COMPUTED_VALUE"""),1286.03)</f>
        <v>1286.03</v>
      </c>
      <c r="F2959" s="2">
        <f>IFERROR(__xludf.DUMMYFUNCTION("""COMPUTED_VALUE"""),558439.0)</f>
        <v>558439</v>
      </c>
    </row>
    <row r="2960">
      <c r="A2960" s="3">
        <f>IFERROR(__xludf.DUMMYFUNCTION("""COMPUTED_VALUE"""),42607.64583333333)</f>
        <v>42607.64583</v>
      </c>
      <c r="B2960" s="2">
        <f>IFERROR(__xludf.DUMMYFUNCTION("""COMPUTED_VALUE"""),1290.0)</f>
        <v>1290</v>
      </c>
      <c r="C2960" s="2">
        <f>IFERROR(__xludf.DUMMYFUNCTION("""COMPUTED_VALUE"""),1294.85)</f>
        <v>1294.85</v>
      </c>
      <c r="D2960" s="2">
        <f>IFERROR(__xludf.DUMMYFUNCTION("""COMPUTED_VALUE"""),1263.0)</f>
        <v>1263</v>
      </c>
      <c r="E2960" s="2">
        <f>IFERROR(__xludf.DUMMYFUNCTION("""COMPUTED_VALUE"""),1275.53)</f>
        <v>1275.53</v>
      </c>
      <c r="F2960" s="2">
        <f>IFERROR(__xludf.DUMMYFUNCTION("""COMPUTED_VALUE"""),969845.0)</f>
        <v>969845</v>
      </c>
    </row>
    <row r="2961">
      <c r="A2961" s="3">
        <f>IFERROR(__xludf.DUMMYFUNCTION("""COMPUTED_VALUE"""),42608.64583333333)</f>
        <v>42608.64583</v>
      </c>
      <c r="B2961" s="2">
        <f>IFERROR(__xludf.DUMMYFUNCTION("""COMPUTED_VALUE"""),1279.9)</f>
        <v>1279.9</v>
      </c>
      <c r="C2961" s="2">
        <f>IFERROR(__xludf.DUMMYFUNCTION("""COMPUTED_VALUE"""),1286.28)</f>
        <v>1286.28</v>
      </c>
      <c r="D2961" s="2">
        <f>IFERROR(__xludf.DUMMYFUNCTION("""COMPUTED_VALUE"""),1258.6)</f>
        <v>1258.6</v>
      </c>
      <c r="E2961" s="2">
        <f>IFERROR(__xludf.DUMMYFUNCTION("""COMPUTED_VALUE"""),1262.47)</f>
        <v>1262.47</v>
      </c>
      <c r="F2961" s="2">
        <f>IFERROR(__xludf.DUMMYFUNCTION("""COMPUTED_VALUE"""),625157.0)</f>
        <v>625157</v>
      </c>
    </row>
    <row r="2962">
      <c r="A2962" s="3">
        <f>IFERROR(__xludf.DUMMYFUNCTION("""COMPUTED_VALUE"""),42611.64583333333)</f>
        <v>42611.64583</v>
      </c>
      <c r="B2962" s="2">
        <f>IFERROR(__xludf.DUMMYFUNCTION("""COMPUTED_VALUE"""),1267.47)</f>
        <v>1267.47</v>
      </c>
      <c r="C2962" s="2">
        <f>IFERROR(__xludf.DUMMYFUNCTION("""COMPUTED_VALUE"""),1267.47)</f>
        <v>1267.47</v>
      </c>
      <c r="D2962" s="2">
        <f>IFERROR(__xludf.DUMMYFUNCTION("""COMPUTED_VALUE"""),1233.38)</f>
        <v>1233.38</v>
      </c>
      <c r="E2962" s="2">
        <f>IFERROR(__xludf.DUMMYFUNCTION("""COMPUTED_VALUE"""),1250.28)</f>
        <v>1250.28</v>
      </c>
      <c r="F2962" s="2">
        <f>IFERROR(__xludf.DUMMYFUNCTION("""COMPUTED_VALUE"""),744364.0)</f>
        <v>744364</v>
      </c>
    </row>
    <row r="2963">
      <c r="A2963" s="3">
        <f>IFERROR(__xludf.DUMMYFUNCTION("""COMPUTED_VALUE"""),42612.64583333333)</f>
        <v>42612.64583</v>
      </c>
      <c r="B2963" s="2">
        <f>IFERROR(__xludf.DUMMYFUNCTION("""COMPUTED_VALUE"""),1255.0)</f>
        <v>1255</v>
      </c>
      <c r="C2963" s="2">
        <f>IFERROR(__xludf.DUMMYFUNCTION("""COMPUTED_VALUE"""),1274.9)</f>
        <v>1274.9</v>
      </c>
      <c r="D2963" s="2">
        <f>IFERROR(__xludf.DUMMYFUNCTION("""COMPUTED_VALUE"""),1250.63)</f>
        <v>1250.63</v>
      </c>
      <c r="E2963" s="2">
        <f>IFERROR(__xludf.DUMMYFUNCTION("""COMPUTED_VALUE"""),1272.08)</f>
        <v>1272.08</v>
      </c>
      <c r="F2963" s="2">
        <f>IFERROR(__xludf.DUMMYFUNCTION("""COMPUTED_VALUE"""),722013.0)</f>
        <v>722013</v>
      </c>
    </row>
    <row r="2964">
      <c r="A2964" s="3">
        <f>IFERROR(__xludf.DUMMYFUNCTION("""COMPUTED_VALUE"""),42613.64583333333)</f>
        <v>42613.64583</v>
      </c>
      <c r="B2964" s="2">
        <f>IFERROR(__xludf.DUMMYFUNCTION("""COMPUTED_VALUE"""),1275.0)</f>
        <v>1275</v>
      </c>
      <c r="C2964" s="2">
        <f>IFERROR(__xludf.DUMMYFUNCTION("""COMPUTED_VALUE"""),1275.0)</f>
        <v>1275</v>
      </c>
      <c r="D2964" s="2">
        <f>IFERROR(__xludf.DUMMYFUNCTION("""COMPUTED_VALUE"""),1250.43)</f>
        <v>1250.43</v>
      </c>
      <c r="E2964" s="2">
        <f>IFERROR(__xludf.DUMMYFUNCTION("""COMPUTED_VALUE"""),1255.65)</f>
        <v>1255.65</v>
      </c>
      <c r="F2964" s="2">
        <f>IFERROR(__xludf.DUMMYFUNCTION("""COMPUTED_VALUE"""),1615834.0)</f>
        <v>1615834</v>
      </c>
    </row>
    <row r="2965">
      <c r="A2965" s="3">
        <f>IFERROR(__xludf.DUMMYFUNCTION("""COMPUTED_VALUE"""),42614.64583333333)</f>
        <v>42614.64583</v>
      </c>
      <c r="B2965" s="2">
        <f>IFERROR(__xludf.DUMMYFUNCTION("""COMPUTED_VALUE"""),1262.45)</f>
        <v>1262.45</v>
      </c>
      <c r="C2965" s="2">
        <f>IFERROR(__xludf.DUMMYFUNCTION("""COMPUTED_VALUE"""),1267.47)</f>
        <v>1267.47</v>
      </c>
      <c r="D2965" s="2">
        <f>IFERROR(__xludf.DUMMYFUNCTION("""COMPUTED_VALUE"""),1243.53)</f>
        <v>1243.53</v>
      </c>
      <c r="E2965" s="2">
        <f>IFERROR(__xludf.DUMMYFUNCTION("""COMPUTED_VALUE"""),1253.75)</f>
        <v>1253.75</v>
      </c>
      <c r="F2965" s="2">
        <f>IFERROR(__xludf.DUMMYFUNCTION("""COMPUTED_VALUE"""),672868.0)</f>
        <v>672868</v>
      </c>
    </row>
    <row r="2966">
      <c r="A2966" s="3">
        <f>IFERROR(__xludf.DUMMYFUNCTION("""COMPUTED_VALUE"""),42615.64583333333)</f>
        <v>42615.64583</v>
      </c>
      <c r="B2966" s="2">
        <f>IFERROR(__xludf.DUMMYFUNCTION("""COMPUTED_VALUE"""),1256.0)</f>
        <v>1256</v>
      </c>
      <c r="C2966" s="2">
        <f>IFERROR(__xludf.DUMMYFUNCTION("""COMPUTED_VALUE"""),1259.7)</f>
        <v>1259.7</v>
      </c>
      <c r="D2966" s="2">
        <f>IFERROR(__xludf.DUMMYFUNCTION("""COMPUTED_VALUE"""),1248.03)</f>
        <v>1248.03</v>
      </c>
      <c r="E2966" s="2">
        <f>IFERROR(__xludf.DUMMYFUNCTION("""COMPUTED_VALUE"""),1257.4)</f>
        <v>1257.4</v>
      </c>
      <c r="F2966" s="2">
        <f>IFERROR(__xludf.DUMMYFUNCTION("""COMPUTED_VALUE"""),871165.0)</f>
        <v>871165</v>
      </c>
    </row>
    <row r="2967">
      <c r="A2967" s="3">
        <f>IFERROR(__xludf.DUMMYFUNCTION("""COMPUTED_VALUE"""),42619.64583333333)</f>
        <v>42619.64583</v>
      </c>
      <c r="B2967" s="2">
        <f>IFERROR(__xludf.DUMMYFUNCTION("""COMPUTED_VALUE"""),1259.95)</f>
        <v>1259.95</v>
      </c>
      <c r="C2967" s="2">
        <f>IFERROR(__xludf.DUMMYFUNCTION("""COMPUTED_VALUE"""),1260.08)</f>
        <v>1260.08</v>
      </c>
      <c r="D2967" s="2">
        <f>IFERROR(__xludf.DUMMYFUNCTION("""COMPUTED_VALUE"""),1240.0)</f>
        <v>1240</v>
      </c>
      <c r="E2967" s="2">
        <f>IFERROR(__xludf.DUMMYFUNCTION("""COMPUTED_VALUE"""),1242.03)</f>
        <v>1242.03</v>
      </c>
      <c r="F2967" s="2">
        <f>IFERROR(__xludf.DUMMYFUNCTION("""COMPUTED_VALUE"""),1119533.0)</f>
        <v>1119533</v>
      </c>
    </row>
    <row r="2968">
      <c r="A2968" s="3">
        <f>IFERROR(__xludf.DUMMYFUNCTION("""COMPUTED_VALUE"""),42620.64583333333)</f>
        <v>42620.64583</v>
      </c>
      <c r="B2968" s="2">
        <f>IFERROR(__xludf.DUMMYFUNCTION("""COMPUTED_VALUE"""),1249.85)</f>
        <v>1249.85</v>
      </c>
      <c r="C2968" s="2">
        <f>IFERROR(__xludf.DUMMYFUNCTION("""COMPUTED_VALUE"""),1249.85)</f>
        <v>1249.85</v>
      </c>
      <c r="D2968" s="2">
        <f>IFERROR(__xludf.DUMMYFUNCTION("""COMPUTED_VALUE"""),1211.5)</f>
        <v>1211.5</v>
      </c>
      <c r="E2968" s="2">
        <f>IFERROR(__xludf.DUMMYFUNCTION("""COMPUTED_VALUE"""),1220.28)</f>
        <v>1220.28</v>
      </c>
      <c r="F2968" s="2">
        <f>IFERROR(__xludf.DUMMYFUNCTION("""COMPUTED_VALUE"""),1927020.0)</f>
        <v>1927020</v>
      </c>
    </row>
    <row r="2969">
      <c r="A2969" s="3">
        <f>IFERROR(__xludf.DUMMYFUNCTION("""COMPUTED_VALUE"""),42621.64583333333)</f>
        <v>42621.64583</v>
      </c>
      <c r="B2969" s="2">
        <f>IFERROR(__xludf.DUMMYFUNCTION("""COMPUTED_VALUE"""),1180.0)</f>
        <v>1180</v>
      </c>
      <c r="C2969" s="2">
        <f>IFERROR(__xludf.DUMMYFUNCTION("""COMPUTED_VALUE"""),1180.0)</f>
        <v>1180</v>
      </c>
      <c r="D2969" s="2">
        <f>IFERROR(__xludf.DUMMYFUNCTION("""COMPUTED_VALUE"""),1142.38)</f>
        <v>1142.38</v>
      </c>
      <c r="E2969" s="2">
        <f>IFERROR(__xludf.DUMMYFUNCTION("""COMPUTED_VALUE"""),1161.05)</f>
        <v>1161.05</v>
      </c>
      <c r="F2969" s="2">
        <f>IFERROR(__xludf.DUMMYFUNCTION("""COMPUTED_VALUE"""),3510758.0)</f>
        <v>3510758</v>
      </c>
    </row>
    <row r="2970">
      <c r="A2970" s="3">
        <f>IFERROR(__xludf.DUMMYFUNCTION("""COMPUTED_VALUE"""),42622.64583333333)</f>
        <v>42622.64583</v>
      </c>
      <c r="B2970" s="2">
        <f>IFERROR(__xludf.DUMMYFUNCTION("""COMPUTED_VALUE"""),1164.85)</f>
        <v>1164.85</v>
      </c>
      <c r="C2970" s="2">
        <f>IFERROR(__xludf.DUMMYFUNCTION("""COMPUTED_VALUE"""),1183.33)</f>
        <v>1183.33</v>
      </c>
      <c r="D2970" s="2">
        <f>IFERROR(__xludf.DUMMYFUNCTION("""COMPUTED_VALUE"""),1160.03)</f>
        <v>1160.03</v>
      </c>
      <c r="E2970" s="2">
        <f>IFERROR(__xludf.DUMMYFUNCTION("""COMPUTED_VALUE"""),1176.22)</f>
        <v>1176.22</v>
      </c>
      <c r="F2970" s="2">
        <f>IFERROR(__xludf.DUMMYFUNCTION("""COMPUTED_VALUE"""),1371219.0)</f>
        <v>1371219</v>
      </c>
    </row>
    <row r="2971">
      <c r="A2971" s="3">
        <f>IFERROR(__xludf.DUMMYFUNCTION("""COMPUTED_VALUE"""),42625.64583333333)</f>
        <v>42625.64583</v>
      </c>
      <c r="B2971" s="2">
        <f>IFERROR(__xludf.DUMMYFUNCTION("""COMPUTED_VALUE"""),1168.5)</f>
        <v>1168.5</v>
      </c>
      <c r="C2971" s="2">
        <f>IFERROR(__xludf.DUMMYFUNCTION("""COMPUTED_VALUE"""),1181.97)</f>
        <v>1181.97</v>
      </c>
      <c r="D2971" s="2">
        <f>IFERROR(__xludf.DUMMYFUNCTION("""COMPUTED_VALUE"""),1162.0)</f>
        <v>1162</v>
      </c>
      <c r="E2971" s="2">
        <f>IFERROR(__xludf.DUMMYFUNCTION("""COMPUTED_VALUE"""),1179.53)</f>
        <v>1179.53</v>
      </c>
      <c r="F2971" s="2">
        <f>IFERROR(__xludf.DUMMYFUNCTION("""COMPUTED_VALUE"""),1012227.0)</f>
        <v>1012227</v>
      </c>
    </row>
    <row r="2972">
      <c r="A2972" s="3">
        <f>IFERROR(__xludf.DUMMYFUNCTION("""COMPUTED_VALUE"""),42627.64583333333)</f>
        <v>42627.64583</v>
      </c>
      <c r="B2972" s="2">
        <f>IFERROR(__xludf.DUMMYFUNCTION("""COMPUTED_VALUE"""),1181.0)</f>
        <v>1181</v>
      </c>
      <c r="C2972" s="2">
        <f>IFERROR(__xludf.DUMMYFUNCTION("""COMPUTED_VALUE"""),1188.8)</f>
        <v>1188.8</v>
      </c>
      <c r="D2972" s="2">
        <f>IFERROR(__xludf.DUMMYFUNCTION("""COMPUTED_VALUE"""),1155.0)</f>
        <v>1155</v>
      </c>
      <c r="E2972" s="2">
        <f>IFERROR(__xludf.DUMMYFUNCTION("""COMPUTED_VALUE"""),1164.22)</f>
        <v>1164.22</v>
      </c>
      <c r="F2972" s="2">
        <f>IFERROR(__xludf.DUMMYFUNCTION("""COMPUTED_VALUE"""),1034929.0)</f>
        <v>1034929</v>
      </c>
    </row>
    <row r="2973">
      <c r="A2973" s="3">
        <f>IFERROR(__xludf.DUMMYFUNCTION("""COMPUTED_VALUE"""),42628.64583333333)</f>
        <v>42628.64583</v>
      </c>
      <c r="B2973" s="2">
        <f>IFERROR(__xludf.DUMMYFUNCTION("""COMPUTED_VALUE"""),1169.97)</f>
        <v>1169.97</v>
      </c>
      <c r="C2973" s="2">
        <f>IFERROR(__xludf.DUMMYFUNCTION("""COMPUTED_VALUE"""),1171.05)</f>
        <v>1171.05</v>
      </c>
      <c r="D2973" s="2">
        <f>IFERROR(__xludf.DUMMYFUNCTION("""COMPUTED_VALUE"""),1158.38)</f>
        <v>1158.38</v>
      </c>
      <c r="E2973" s="2">
        <f>IFERROR(__xludf.DUMMYFUNCTION("""COMPUTED_VALUE"""),1163.47)</f>
        <v>1163.47</v>
      </c>
      <c r="F2973" s="2">
        <f>IFERROR(__xludf.DUMMYFUNCTION("""COMPUTED_VALUE"""),1409482.0)</f>
        <v>1409482</v>
      </c>
    </row>
    <row r="2974">
      <c r="A2974" s="3">
        <f>IFERROR(__xludf.DUMMYFUNCTION("""COMPUTED_VALUE"""),42629.64583333333)</f>
        <v>42629.64583</v>
      </c>
      <c r="B2974" s="2">
        <f>IFERROR(__xludf.DUMMYFUNCTION("""COMPUTED_VALUE"""),1168.35)</f>
        <v>1168.35</v>
      </c>
      <c r="C2974" s="2">
        <f>IFERROR(__xludf.DUMMYFUNCTION("""COMPUTED_VALUE"""),1188.0)</f>
        <v>1188</v>
      </c>
      <c r="D2974" s="2">
        <f>IFERROR(__xludf.DUMMYFUNCTION("""COMPUTED_VALUE"""),1160.0)</f>
        <v>1160</v>
      </c>
      <c r="E2974" s="2">
        <f>IFERROR(__xludf.DUMMYFUNCTION("""COMPUTED_VALUE"""),1180.85)</f>
        <v>1180.85</v>
      </c>
      <c r="F2974" s="2">
        <f>IFERROR(__xludf.DUMMYFUNCTION("""COMPUTED_VALUE"""),2179002.0)</f>
        <v>2179002</v>
      </c>
    </row>
    <row r="2975">
      <c r="A2975" s="3">
        <f>IFERROR(__xludf.DUMMYFUNCTION("""COMPUTED_VALUE"""),42632.64583333333)</f>
        <v>42632.64583</v>
      </c>
      <c r="B2975" s="2">
        <f>IFERROR(__xludf.DUMMYFUNCTION("""COMPUTED_VALUE"""),1182.5)</f>
        <v>1182.5</v>
      </c>
      <c r="C2975" s="2">
        <f>IFERROR(__xludf.DUMMYFUNCTION("""COMPUTED_VALUE"""),1213.5)</f>
        <v>1213.5</v>
      </c>
      <c r="D2975" s="2">
        <f>IFERROR(__xludf.DUMMYFUNCTION("""COMPUTED_VALUE"""),1175.0)</f>
        <v>1175</v>
      </c>
      <c r="E2975" s="2">
        <f>IFERROR(__xludf.DUMMYFUNCTION("""COMPUTED_VALUE"""),1205.72)</f>
        <v>1205.72</v>
      </c>
      <c r="F2975" s="2">
        <f>IFERROR(__xludf.DUMMYFUNCTION("""COMPUTED_VALUE"""),1401273.0)</f>
        <v>1401273</v>
      </c>
    </row>
    <row r="2976">
      <c r="A2976" s="3">
        <f>IFERROR(__xludf.DUMMYFUNCTION("""COMPUTED_VALUE"""),42633.64583333333)</f>
        <v>42633.64583</v>
      </c>
      <c r="B2976" s="2">
        <f>IFERROR(__xludf.DUMMYFUNCTION("""COMPUTED_VALUE"""),1205.5)</f>
        <v>1205.5</v>
      </c>
      <c r="C2976" s="2">
        <f>IFERROR(__xludf.DUMMYFUNCTION("""COMPUTED_VALUE"""),1208.45)</f>
        <v>1208.45</v>
      </c>
      <c r="D2976" s="2">
        <f>IFERROR(__xludf.DUMMYFUNCTION("""COMPUTED_VALUE"""),1192.7)</f>
        <v>1192.7</v>
      </c>
      <c r="E2976" s="2">
        <f>IFERROR(__xludf.DUMMYFUNCTION("""COMPUTED_VALUE"""),1203.25)</f>
        <v>1203.25</v>
      </c>
      <c r="F2976" s="2">
        <f>IFERROR(__xludf.DUMMYFUNCTION("""COMPUTED_VALUE"""),592276.0)</f>
        <v>592276</v>
      </c>
    </row>
    <row r="2977">
      <c r="A2977" s="3">
        <f>IFERROR(__xludf.DUMMYFUNCTION("""COMPUTED_VALUE"""),42634.64583333333)</f>
        <v>42634.64583</v>
      </c>
      <c r="B2977" s="2">
        <f>IFERROR(__xludf.DUMMYFUNCTION("""COMPUTED_VALUE"""),1203.85)</f>
        <v>1203.85</v>
      </c>
      <c r="C2977" s="2">
        <f>IFERROR(__xludf.DUMMYFUNCTION("""COMPUTED_VALUE"""),1212.0)</f>
        <v>1212</v>
      </c>
      <c r="D2977" s="2">
        <f>IFERROR(__xludf.DUMMYFUNCTION("""COMPUTED_VALUE"""),1200.35)</f>
        <v>1200.35</v>
      </c>
      <c r="E2977" s="2">
        <f>IFERROR(__xludf.DUMMYFUNCTION("""COMPUTED_VALUE"""),1206.7)</f>
        <v>1206.7</v>
      </c>
      <c r="F2977" s="2">
        <f>IFERROR(__xludf.DUMMYFUNCTION("""COMPUTED_VALUE"""),839010.0)</f>
        <v>839010</v>
      </c>
    </row>
    <row r="2978">
      <c r="A2978" s="3">
        <f>IFERROR(__xludf.DUMMYFUNCTION("""COMPUTED_VALUE"""),42635.64583333333)</f>
        <v>42635.64583</v>
      </c>
      <c r="B2978" s="2">
        <f>IFERROR(__xludf.DUMMYFUNCTION("""COMPUTED_VALUE"""),1212.63)</f>
        <v>1212.63</v>
      </c>
      <c r="C2978" s="2">
        <f>IFERROR(__xludf.DUMMYFUNCTION("""COMPUTED_VALUE"""),1214.0)</f>
        <v>1214</v>
      </c>
      <c r="D2978" s="2">
        <f>IFERROR(__xludf.DUMMYFUNCTION("""COMPUTED_VALUE"""),1185.55)</f>
        <v>1185.55</v>
      </c>
      <c r="E2978" s="2">
        <f>IFERROR(__xludf.DUMMYFUNCTION("""COMPUTED_VALUE"""),1189.0)</f>
        <v>1189</v>
      </c>
      <c r="F2978" s="2">
        <f>IFERROR(__xludf.DUMMYFUNCTION("""COMPUTED_VALUE"""),1428787.0)</f>
        <v>1428787</v>
      </c>
    </row>
    <row r="2979">
      <c r="A2979" s="3">
        <f>IFERROR(__xludf.DUMMYFUNCTION("""COMPUTED_VALUE"""),42636.64583333333)</f>
        <v>42636.64583</v>
      </c>
      <c r="B2979" s="2">
        <f>IFERROR(__xludf.DUMMYFUNCTION("""COMPUTED_VALUE"""),1191.0)</f>
        <v>1191</v>
      </c>
      <c r="C2979" s="2">
        <f>IFERROR(__xludf.DUMMYFUNCTION("""COMPUTED_VALUE"""),1201.93)</f>
        <v>1201.93</v>
      </c>
      <c r="D2979" s="2">
        <f>IFERROR(__xludf.DUMMYFUNCTION("""COMPUTED_VALUE"""),1185.58)</f>
        <v>1185.58</v>
      </c>
      <c r="E2979" s="2">
        <f>IFERROR(__xludf.DUMMYFUNCTION("""COMPUTED_VALUE"""),1199.05)</f>
        <v>1199.05</v>
      </c>
      <c r="F2979" s="2">
        <f>IFERROR(__xludf.DUMMYFUNCTION("""COMPUTED_VALUE"""),900363.0)</f>
        <v>900363</v>
      </c>
    </row>
    <row r="2980">
      <c r="A2980" s="3">
        <f>IFERROR(__xludf.DUMMYFUNCTION("""COMPUTED_VALUE"""),42639.64583333333)</f>
        <v>42639.64583</v>
      </c>
      <c r="B2980" s="2">
        <f>IFERROR(__xludf.DUMMYFUNCTION("""COMPUTED_VALUE"""),1200.55)</f>
        <v>1200.55</v>
      </c>
      <c r="C2980" s="2">
        <f>IFERROR(__xludf.DUMMYFUNCTION("""COMPUTED_VALUE"""),1209.55)</f>
        <v>1209.55</v>
      </c>
      <c r="D2980" s="2">
        <f>IFERROR(__xludf.DUMMYFUNCTION("""COMPUTED_VALUE"""),1197.5)</f>
        <v>1197.5</v>
      </c>
      <c r="E2980" s="2">
        <f>IFERROR(__xludf.DUMMYFUNCTION("""COMPUTED_VALUE"""),1200.55)</f>
        <v>1200.55</v>
      </c>
      <c r="F2980" s="2">
        <f>IFERROR(__xludf.DUMMYFUNCTION("""COMPUTED_VALUE"""),876738.0)</f>
        <v>876738</v>
      </c>
    </row>
    <row r="2981">
      <c r="A2981" s="3">
        <f>IFERROR(__xludf.DUMMYFUNCTION("""COMPUTED_VALUE"""),42640.64583333333)</f>
        <v>42640.64583</v>
      </c>
      <c r="B2981" s="2">
        <f>IFERROR(__xludf.DUMMYFUNCTION("""COMPUTED_VALUE"""),1200.55)</f>
        <v>1200.55</v>
      </c>
      <c r="C2981" s="2">
        <f>IFERROR(__xludf.DUMMYFUNCTION("""COMPUTED_VALUE"""),1224.0)</f>
        <v>1224</v>
      </c>
      <c r="D2981" s="2">
        <f>IFERROR(__xludf.DUMMYFUNCTION("""COMPUTED_VALUE"""),1200.55)</f>
        <v>1200.55</v>
      </c>
      <c r="E2981" s="2">
        <f>IFERROR(__xludf.DUMMYFUNCTION("""COMPUTED_VALUE"""),1218.05)</f>
        <v>1218.05</v>
      </c>
      <c r="F2981" s="2">
        <f>IFERROR(__xludf.DUMMYFUNCTION("""COMPUTED_VALUE"""),1019396.0)</f>
        <v>1019396</v>
      </c>
    </row>
    <row r="2982">
      <c r="A2982" s="3">
        <f>IFERROR(__xludf.DUMMYFUNCTION("""COMPUTED_VALUE"""),42641.64583333333)</f>
        <v>42641.64583</v>
      </c>
      <c r="B2982" s="2">
        <f>IFERROR(__xludf.DUMMYFUNCTION("""COMPUTED_VALUE"""),1215.5)</f>
        <v>1215.5</v>
      </c>
      <c r="C2982" s="2">
        <f>IFERROR(__xludf.DUMMYFUNCTION("""COMPUTED_VALUE"""),1218.75)</f>
        <v>1218.75</v>
      </c>
      <c r="D2982" s="2">
        <f>IFERROR(__xludf.DUMMYFUNCTION("""COMPUTED_VALUE"""),1207.6)</f>
        <v>1207.6</v>
      </c>
      <c r="E2982" s="2">
        <f>IFERROR(__xludf.DUMMYFUNCTION("""COMPUTED_VALUE"""),1211.53)</f>
        <v>1211.53</v>
      </c>
      <c r="F2982" s="2">
        <f>IFERROR(__xludf.DUMMYFUNCTION("""COMPUTED_VALUE"""),865664.0)</f>
        <v>865664</v>
      </c>
    </row>
    <row r="2983">
      <c r="A2983" s="3">
        <f>IFERROR(__xludf.DUMMYFUNCTION("""COMPUTED_VALUE"""),42642.64583333333)</f>
        <v>42642.64583</v>
      </c>
      <c r="B2983" s="2">
        <f>IFERROR(__xludf.DUMMYFUNCTION("""COMPUTED_VALUE"""),1217.5)</f>
        <v>1217.5</v>
      </c>
      <c r="C2983" s="2">
        <f>IFERROR(__xludf.DUMMYFUNCTION("""COMPUTED_VALUE"""),1228.25)</f>
        <v>1228.25</v>
      </c>
      <c r="D2983" s="2">
        <f>IFERROR(__xludf.DUMMYFUNCTION("""COMPUTED_VALUE"""),1209.8)</f>
        <v>1209.8</v>
      </c>
      <c r="E2983" s="2">
        <f>IFERROR(__xludf.DUMMYFUNCTION("""COMPUTED_VALUE"""),1218.9)</f>
        <v>1218.9</v>
      </c>
      <c r="F2983" s="2">
        <f>IFERROR(__xludf.DUMMYFUNCTION("""COMPUTED_VALUE"""),1801979.0)</f>
        <v>1801979</v>
      </c>
    </row>
    <row r="2984">
      <c r="A2984" s="3">
        <f>IFERROR(__xludf.DUMMYFUNCTION("""COMPUTED_VALUE"""),42643.64583333333)</f>
        <v>42643.64583</v>
      </c>
      <c r="B2984" s="2">
        <f>IFERROR(__xludf.DUMMYFUNCTION("""COMPUTED_VALUE"""),1218.53)</f>
        <v>1218.53</v>
      </c>
      <c r="C2984" s="2">
        <f>IFERROR(__xludf.DUMMYFUNCTION("""COMPUTED_VALUE"""),1224.9)</f>
        <v>1224.9</v>
      </c>
      <c r="D2984" s="2">
        <f>IFERROR(__xludf.DUMMYFUNCTION("""COMPUTED_VALUE"""),1211.55)</f>
        <v>1211.55</v>
      </c>
      <c r="E2984" s="2">
        <f>IFERROR(__xludf.DUMMYFUNCTION("""COMPUTED_VALUE"""),1215.4)</f>
        <v>1215.4</v>
      </c>
      <c r="F2984" s="2">
        <f>IFERROR(__xludf.DUMMYFUNCTION("""COMPUTED_VALUE"""),1087682.0)</f>
        <v>1087682</v>
      </c>
    </row>
    <row r="2985">
      <c r="A2985" s="3">
        <f>IFERROR(__xludf.DUMMYFUNCTION("""COMPUTED_VALUE"""),42646.64583333333)</f>
        <v>42646.64583</v>
      </c>
      <c r="B2985" s="2">
        <f>IFERROR(__xludf.DUMMYFUNCTION("""COMPUTED_VALUE"""),1225.0)</f>
        <v>1225</v>
      </c>
      <c r="C2985" s="2">
        <f>IFERROR(__xludf.DUMMYFUNCTION("""COMPUTED_VALUE"""),1228.83)</f>
        <v>1228.83</v>
      </c>
      <c r="D2985" s="2">
        <f>IFERROR(__xludf.DUMMYFUNCTION("""COMPUTED_VALUE"""),1200.55)</f>
        <v>1200.55</v>
      </c>
      <c r="E2985" s="2">
        <f>IFERROR(__xludf.DUMMYFUNCTION("""COMPUTED_VALUE"""),1205.85)</f>
        <v>1205.85</v>
      </c>
      <c r="F2985" s="2">
        <f>IFERROR(__xludf.DUMMYFUNCTION("""COMPUTED_VALUE"""),909440.0)</f>
        <v>909440</v>
      </c>
    </row>
    <row r="2986">
      <c r="A2986" s="3">
        <f>IFERROR(__xludf.DUMMYFUNCTION("""COMPUTED_VALUE"""),42647.64583333333)</f>
        <v>42647.64583</v>
      </c>
      <c r="B2986" s="2">
        <f>IFERROR(__xludf.DUMMYFUNCTION("""COMPUTED_VALUE"""),1210.0)</f>
        <v>1210</v>
      </c>
      <c r="C2986" s="2">
        <f>IFERROR(__xludf.DUMMYFUNCTION("""COMPUTED_VALUE"""),1212.53)</f>
        <v>1212.53</v>
      </c>
      <c r="D2986" s="2">
        <f>IFERROR(__xludf.DUMMYFUNCTION("""COMPUTED_VALUE"""),1199.0)</f>
        <v>1199</v>
      </c>
      <c r="E2986" s="2">
        <f>IFERROR(__xludf.DUMMYFUNCTION("""COMPUTED_VALUE"""),1202.58)</f>
        <v>1202.58</v>
      </c>
      <c r="F2986" s="2">
        <f>IFERROR(__xludf.DUMMYFUNCTION("""COMPUTED_VALUE"""),890359.0)</f>
        <v>890359</v>
      </c>
    </row>
    <row r="2987">
      <c r="A2987" s="3">
        <f>IFERROR(__xludf.DUMMYFUNCTION("""COMPUTED_VALUE"""),42648.64583333333)</f>
        <v>42648.64583</v>
      </c>
      <c r="B2987" s="2">
        <f>IFERROR(__xludf.DUMMYFUNCTION("""COMPUTED_VALUE"""),1204.0)</f>
        <v>1204</v>
      </c>
      <c r="C2987" s="2">
        <f>IFERROR(__xludf.DUMMYFUNCTION("""COMPUTED_VALUE"""),1207.7)</f>
        <v>1207.7</v>
      </c>
      <c r="D2987" s="2">
        <f>IFERROR(__xludf.DUMMYFUNCTION("""COMPUTED_VALUE"""),1188.05)</f>
        <v>1188.05</v>
      </c>
      <c r="E2987" s="2">
        <f>IFERROR(__xludf.DUMMYFUNCTION("""COMPUTED_VALUE"""),1193.18)</f>
        <v>1193.18</v>
      </c>
      <c r="F2987" s="2">
        <f>IFERROR(__xludf.DUMMYFUNCTION("""COMPUTED_VALUE"""),588177.0)</f>
        <v>588177</v>
      </c>
    </row>
    <row r="2988">
      <c r="A2988" s="3">
        <f>IFERROR(__xludf.DUMMYFUNCTION("""COMPUTED_VALUE"""),42649.64583333333)</f>
        <v>42649.64583</v>
      </c>
      <c r="B2988" s="2">
        <f>IFERROR(__xludf.DUMMYFUNCTION("""COMPUTED_VALUE"""),1197.5)</f>
        <v>1197.5</v>
      </c>
      <c r="C2988" s="2">
        <f>IFERROR(__xludf.DUMMYFUNCTION("""COMPUTED_VALUE"""),1201.2)</f>
        <v>1201.2</v>
      </c>
      <c r="D2988" s="2">
        <f>IFERROR(__xludf.DUMMYFUNCTION("""COMPUTED_VALUE"""),1186.38)</f>
        <v>1186.38</v>
      </c>
      <c r="E2988" s="2">
        <f>IFERROR(__xludf.DUMMYFUNCTION("""COMPUTED_VALUE"""),1194.38)</f>
        <v>1194.38</v>
      </c>
      <c r="F2988" s="2">
        <f>IFERROR(__xludf.DUMMYFUNCTION("""COMPUTED_VALUE"""),1133786.0)</f>
        <v>1133786</v>
      </c>
    </row>
    <row r="2989">
      <c r="A2989" s="3">
        <f>IFERROR(__xludf.DUMMYFUNCTION("""COMPUTED_VALUE"""),42650.64583333333)</f>
        <v>42650.64583</v>
      </c>
      <c r="B2989" s="2">
        <f>IFERROR(__xludf.DUMMYFUNCTION("""COMPUTED_VALUE"""),1194.0)</f>
        <v>1194</v>
      </c>
      <c r="C2989" s="2">
        <f>IFERROR(__xludf.DUMMYFUNCTION("""COMPUTED_VALUE"""),1194.0)</f>
        <v>1194</v>
      </c>
      <c r="D2989" s="2">
        <f>IFERROR(__xludf.DUMMYFUNCTION("""COMPUTED_VALUE"""),1179.1)</f>
        <v>1179.1</v>
      </c>
      <c r="E2989" s="2">
        <f>IFERROR(__xludf.DUMMYFUNCTION("""COMPUTED_VALUE"""),1183.9)</f>
        <v>1183.9</v>
      </c>
      <c r="F2989" s="2">
        <f>IFERROR(__xludf.DUMMYFUNCTION("""COMPUTED_VALUE"""),908256.0)</f>
        <v>908256</v>
      </c>
    </row>
    <row r="2990">
      <c r="A2990" s="3">
        <f>IFERROR(__xludf.DUMMYFUNCTION("""COMPUTED_VALUE"""),42653.64583333333)</f>
        <v>42653.64583</v>
      </c>
      <c r="B2990" s="2">
        <f>IFERROR(__xludf.DUMMYFUNCTION("""COMPUTED_VALUE"""),1184.95)</f>
        <v>1184.95</v>
      </c>
      <c r="C2990" s="2">
        <f>IFERROR(__xludf.DUMMYFUNCTION("""COMPUTED_VALUE"""),1193.45)</f>
        <v>1193.45</v>
      </c>
      <c r="D2990" s="2">
        <f>IFERROR(__xludf.DUMMYFUNCTION("""COMPUTED_VALUE"""),1177.53)</f>
        <v>1177.53</v>
      </c>
      <c r="E2990" s="2">
        <f>IFERROR(__xludf.DUMMYFUNCTION("""COMPUTED_VALUE"""),1190.15)</f>
        <v>1190.15</v>
      </c>
      <c r="F2990" s="2">
        <f>IFERROR(__xludf.DUMMYFUNCTION("""COMPUTED_VALUE"""),601071.0)</f>
        <v>601071</v>
      </c>
    </row>
    <row r="2991">
      <c r="A2991" s="3">
        <f>IFERROR(__xludf.DUMMYFUNCTION("""COMPUTED_VALUE"""),42656.64583333333)</f>
        <v>42656.64583</v>
      </c>
      <c r="B2991" s="2">
        <f>IFERROR(__xludf.DUMMYFUNCTION("""COMPUTED_VALUE"""),1181.65)</f>
        <v>1181.65</v>
      </c>
      <c r="C2991" s="2">
        <f>IFERROR(__xludf.DUMMYFUNCTION("""COMPUTED_VALUE"""),1184.95)</f>
        <v>1184.95</v>
      </c>
      <c r="D2991" s="2">
        <f>IFERROR(__xludf.DUMMYFUNCTION("""COMPUTED_VALUE"""),1160.45)</f>
        <v>1160.45</v>
      </c>
      <c r="E2991" s="2">
        <f>IFERROR(__xludf.DUMMYFUNCTION("""COMPUTED_VALUE"""),1164.45)</f>
        <v>1164.45</v>
      </c>
      <c r="F2991" s="2">
        <f>IFERROR(__xludf.DUMMYFUNCTION("""COMPUTED_VALUE"""),2586667.0)</f>
        <v>2586667</v>
      </c>
    </row>
    <row r="2992">
      <c r="A2992" s="3">
        <f>IFERROR(__xludf.DUMMYFUNCTION("""COMPUTED_VALUE"""),42657.64583333333)</f>
        <v>42657.64583</v>
      </c>
      <c r="B2992" s="2">
        <f>IFERROR(__xludf.DUMMYFUNCTION("""COMPUTED_VALUE"""),1157.5)</f>
        <v>1157.5</v>
      </c>
      <c r="C2992" s="2">
        <f>IFERROR(__xludf.DUMMYFUNCTION("""COMPUTED_VALUE"""),1193.5)</f>
        <v>1193.5</v>
      </c>
      <c r="D2992" s="2">
        <f>IFERROR(__xludf.DUMMYFUNCTION("""COMPUTED_VALUE"""),1145.5)</f>
        <v>1145.5</v>
      </c>
      <c r="E2992" s="2">
        <f>IFERROR(__xludf.DUMMYFUNCTION("""COMPUTED_VALUE"""),1183.1)</f>
        <v>1183.1</v>
      </c>
      <c r="F2992" s="2">
        <f>IFERROR(__xludf.DUMMYFUNCTION("""COMPUTED_VALUE"""),3870607.0)</f>
        <v>3870607</v>
      </c>
    </row>
    <row r="2993">
      <c r="A2993" s="3">
        <f>IFERROR(__xludf.DUMMYFUNCTION("""COMPUTED_VALUE"""),42660.64583333333)</f>
        <v>42660.64583</v>
      </c>
      <c r="B2993" s="2">
        <f>IFERROR(__xludf.DUMMYFUNCTION("""COMPUTED_VALUE"""),1184.45)</f>
        <v>1184.45</v>
      </c>
      <c r="C2993" s="2">
        <f>IFERROR(__xludf.DUMMYFUNCTION("""COMPUTED_VALUE"""),1187.9)</f>
        <v>1187.9</v>
      </c>
      <c r="D2993" s="2">
        <f>IFERROR(__xludf.DUMMYFUNCTION("""COMPUTED_VALUE"""),1172.2)</f>
        <v>1172.2</v>
      </c>
      <c r="E2993" s="2">
        <f>IFERROR(__xludf.DUMMYFUNCTION("""COMPUTED_VALUE"""),1181.22)</f>
        <v>1181.22</v>
      </c>
      <c r="F2993" s="2">
        <f>IFERROR(__xludf.DUMMYFUNCTION("""COMPUTED_VALUE"""),1364173.0)</f>
        <v>1364173</v>
      </c>
    </row>
    <row r="2994">
      <c r="A2994" s="3">
        <f>IFERROR(__xludf.DUMMYFUNCTION("""COMPUTED_VALUE"""),42661.64583333333)</f>
        <v>42661.64583</v>
      </c>
      <c r="B2994" s="2">
        <f>IFERROR(__xludf.DUMMYFUNCTION("""COMPUTED_VALUE"""),1188.0)</f>
        <v>1188</v>
      </c>
      <c r="C2994" s="2">
        <f>IFERROR(__xludf.DUMMYFUNCTION("""COMPUTED_VALUE"""),1207.85)</f>
        <v>1207.85</v>
      </c>
      <c r="D2994" s="2">
        <f>IFERROR(__xludf.DUMMYFUNCTION("""COMPUTED_VALUE"""),1177.4)</f>
        <v>1177.4</v>
      </c>
      <c r="E2994" s="2">
        <f>IFERROR(__xludf.DUMMYFUNCTION("""COMPUTED_VALUE"""),1200.1)</f>
        <v>1200.1</v>
      </c>
      <c r="F2994" s="2">
        <f>IFERROR(__xludf.DUMMYFUNCTION("""COMPUTED_VALUE"""),1064316.0)</f>
        <v>1064316</v>
      </c>
    </row>
    <row r="2995">
      <c r="A2995" s="3">
        <f>IFERROR(__xludf.DUMMYFUNCTION("""COMPUTED_VALUE"""),42662.64583333333)</f>
        <v>42662.64583</v>
      </c>
      <c r="B2995" s="2">
        <f>IFERROR(__xludf.DUMMYFUNCTION("""COMPUTED_VALUE"""),1200.5)</f>
        <v>1200.5</v>
      </c>
      <c r="C2995" s="2">
        <f>IFERROR(__xludf.DUMMYFUNCTION("""COMPUTED_VALUE"""),1205.0)</f>
        <v>1205</v>
      </c>
      <c r="D2995" s="2">
        <f>IFERROR(__xludf.DUMMYFUNCTION("""COMPUTED_VALUE"""),1185.15)</f>
        <v>1185.15</v>
      </c>
      <c r="E2995" s="2">
        <f>IFERROR(__xludf.DUMMYFUNCTION("""COMPUTED_VALUE"""),1197.55)</f>
        <v>1197.55</v>
      </c>
      <c r="F2995" s="2">
        <f>IFERROR(__xludf.DUMMYFUNCTION("""COMPUTED_VALUE"""),992529.0)</f>
        <v>992529</v>
      </c>
    </row>
    <row r="2996">
      <c r="A2996" s="3">
        <f>IFERROR(__xludf.DUMMYFUNCTION("""COMPUTED_VALUE"""),42663.64583333333)</f>
        <v>42663.64583</v>
      </c>
      <c r="B2996" s="2">
        <f>IFERROR(__xludf.DUMMYFUNCTION("""COMPUTED_VALUE"""),1198.45)</f>
        <v>1198.45</v>
      </c>
      <c r="C2996" s="2">
        <f>IFERROR(__xludf.DUMMYFUNCTION("""COMPUTED_VALUE"""),1204.68)</f>
        <v>1204.68</v>
      </c>
      <c r="D2996" s="2">
        <f>IFERROR(__xludf.DUMMYFUNCTION("""COMPUTED_VALUE"""),1193.0)</f>
        <v>1193</v>
      </c>
      <c r="E2996" s="2">
        <f>IFERROR(__xludf.DUMMYFUNCTION("""COMPUTED_VALUE"""),1200.58)</f>
        <v>1200.58</v>
      </c>
      <c r="F2996" s="2">
        <f>IFERROR(__xludf.DUMMYFUNCTION("""COMPUTED_VALUE"""),632927.0)</f>
        <v>632927</v>
      </c>
    </row>
    <row r="2997">
      <c r="A2997" s="3">
        <f>IFERROR(__xludf.DUMMYFUNCTION("""COMPUTED_VALUE"""),42664.64583333333)</f>
        <v>42664.64583</v>
      </c>
      <c r="B2997" s="2">
        <f>IFERROR(__xludf.DUMMYFUNCTION("""COMPUTED_VALUE"""),1200.0)</f>
        <v>1200</v>
      </c>
      <c r="C2997" s="2">
        <f>IFERROR(__xludf.DUMMYFUNCTION("""COMPUTED_VALUE"""),1215.95)</f>
        <v>1215.95</v>
      </c>
      <c r="D2997" s="2">
        <f>IFERROR(__xludf.DUMMYFUNCTION("""COMPUTED_VALUE"""),1199.13)</f>
        <v>1199.13</v>
      </c>
      <c r="E2997" s="2">
        <f>IFERROR(__xludf.DUMMYFUNCTION("""COMPUTED_VALUE"""),1214.33)</f>
        <v>1214.33</v>
      </c>
      <c r="F2997" s="2">
        <f>IFERROR(__xludf.DUMMYFUNCTION("""COMPUTED_VALUE"""),629830.0)</f>
        <v>629830</v>
      </c>
    </row>
    <row r="2998">
      <c r="A2998" s="3">
        <f>IFERROR(__xludf.DUMMYFUNCTION("""COMPUTED_VALUE"""),42667.64583333333)</f>
        <v>42667.64583</v>
      </c>
      <c r="B2998" s="2">
        <f>IFERROR(__xludf.DUMMYFUNCTION("""COMPUTED_VALUE"""),1214.1)</f>
        <v>1214.1</v>
      </c>
      <c r="C2998" s="2">
        <f>IFERROR(__xludf.DUMMYFUNCTION("""COMPUTED_VALUE"""),1217.45)</f>
        <v>1217.45</v>
      </c>
      <c r="D2998" s="2">
        <f>IFERROR(__xludf.DUMMYFUNCTION("""COMPUTED_VALUE"""),1201.28)</f>
        <v>1201.28</v>
      </c>
      <c r="E2998" s="2">
        <f>IFERROR(__xludf.DUMMYFUNCTION("""COMPUTED_VALUE"""),1213.85)</f>
        <v>1213.85</v>
      </c>
      <c r="F2998" s="2">
        <f>IFERROR(__xludf.DUMMYFUNCTION("""COMPUTED_VALUE"""),626595.0)</f>
        <v>626595</v>
      </c>
    </row>
    <row r="2999">
      <c r="A2999" s="3">
        <f>IFERROR(__xludf.DUMMYFUNCTION("""COMPUTED_VALUE"""),42668.64583333333)</f>
        <v>42668.64583</v>
      </c>
      <c r="B2999" s="2">
        <f>IFERROR(__xludf.DUMMYFUNCTION("""COMPUTED_VALUE"""),1202.5)</f>
        <v>1202.5</v>
      </c>
      <c r="C2999" s="2">
        <f>IFERROR(__xludf.DUMMYFUNCTION("""COMPUTED_VALUE"""),1207.3)</f>
        <v>1207.3</v>
      </c>
      <c r="D2999" s="2">
        <f>IFERROR(__xludf.DUMMYFUNCTION("""COMPUTED_VALUE"""),1190.5)</f>
        <v>1190.5</v>
      </c>
      <c r="E2999" s="2">
        <f>IFERROR(__xludf.DUMMYFUNCTION("""COMPUTED_VALUE"""),1199.22)</f>
        <v>1199.22</v>
      </c>
      <c r="F2999" s="2">
        <f>IFERROR(__xludf.DUMMYFUNCTION("""COMPUTED_VALUE"""),886233.0)</f>
        <v>886233</v>
      </c>
    </row>
    <row r="3000">
      <c r="A3000" s="3">
        <f>IFERROR(__xludf.DUMMYFUNCTION("""COMPUTED_VALUE"""),42669.64583333333)</f>
        <v>42669.64583</v>
      </c>
      <c r="B3000" s="2">
        <f>IFERROR(__xludf.DUMMYFUNCTION("""COMPUTED_VALUE"""),1199.3)</f>
        <v>1199.3</v>
      </c>
      <c r="C3000" s="2">
        <f>IFERROR(__xludf.DUMMYFUNCTION("""COMPUTED_VALUE"""),1201.38)</f>
        <v>1201.38</v>
      </c>
      <c r="D3000" s="2">
        <f>IFERROR(__xludf.DUMMYFUNCTION("""COMPUTED_VALUE"""),1186.25)</f>
        <v>1186.25</v>
      </c>
      <c r="E3000" s="2">
        <f>IFERROR(__xludf.DUMMYFUNCTION("""COMPUTED_VALUE"""),1198.13)</f>
        <v>1198.13</v>
      </c>
      <c r="F3000" s="2">
        <f>IFERROR(__xludf.DUMMYFUNCTION("""COMPUTED_VALUE"""),718565.0)</f>
        <v>718565</v>
      </c>
    </row>
    <row r="3001">
      <c r="A3001" s="3">
        <f>IFERROR(__xludf.DUMMYFUNCTION("""COMPUTED_VALUE"""),42670.64583333333)</f>
        <v>42670.64583</v>
      </c>
      <c r="B3001" s="2">
        <f>IFERROR(__xludf.DUMMYFUNCTION("""COMPUTED_VALUE"""),1189.85)</f>
        <v>1189.85</v>
      </c>
      <c r="C3001" s="2">
        <f>IFERROR(__xludf.DUMMYFUNCTION("""COMPUTED_VALUE"""),1214.75)</f>
        <v>1214.75</v>
      </c>
      <c r="D3001" s="2">
        <f>IFERROR(__xludf.DUMMYFUNCTION("""COMPUTED_VALUE"""),1182.75)</f>
        <v>1182.75</v>
      </c>
      <c r="E3001" s="2">
        <f>IFERROR(__xludf.DUMMYFUNCTION("""COMPUTED_VALUE"""),1209.05)</f>
        <v>1209.05</v>
      </c>
      <c r="F3001" s="2">
        <f>IFERROR(__xludf.DUMMYFUNCTION("""COMPUTED_VALUE"""),1470801.0)</f>
        <v>1470801</v>
      </c>
    </row>
    <row r="3002">
      <c r="A3002" s="3">
        <f>IFERROR(__xludf.DUMMYFUNCTION("""COMPUTED_VALUE"""),42671.64583333333)</f>
        <v>42671.64583</v>
      </c>
      <c r="B3002" s="2">
        <f>IFERROR(__xludf.DUMMYFUNCTION("""COMPUTED_VALUE"""),1205.0)</f>
        <v>1205</v>
      </c>
      <c r="C3002" s="2">
        <f>IFERROR(__xludf.DUMMYFUNCTION("""COMPUTED_VALUE"""),1207.55)</f>
        <v>1207.55</v>
      </c>
      <c r="D3002" s="2">
        <f>IFERROR(__xludf.DUMMYFUNCTION("""COMPUTED_VALUE"""),1194.0)</f>
        <v>1194</v>
      </c>
      <c r="E3002" s="2">
        <f>IFERROR(__xludf.DUMMYFUNCTION("""COMPUTED_VALUE"""),1199.35)</f>
        <v>1199.35</v>
      </c>
      <c r="F3002" s="2">
        <f>IFERROR(__xludf.DUMMYFUNCTION("""COMPUTED_VALUE"""),876051.0)</f>
        <v>876051</v>
      </c>
    </row>
    <row r="3003">
      <c r="A3003" s="3">
        <f>IFERROR(__xludf.DUMMYFUNCTION("""COMPUTED_VALUE"""),42675.64583333333)</f>
        <v>42675.64583</v>
      </c>
      <c r="B3003" s="2">
        <f>IFERROR(__xludf.DUMMYFUNCTION("""COMPUTED_VALUE"""),1199.85)</f>
        <v>1199.85</v>
      </c>
      <c r="C3003" s="2">
        <f>IFERROR(__xludf.DUMMYFUNCTION("""COMPUTED_VALUE"""),1199.85)</f>
        <v>1199.85</v>
      </c>
      <c r="D3003" s="2">
        <f>IFERROR(__xludf.DUMMYFUNCTION("""COMPUTED_VALUE"""),1167.08)</f>
        <v>1167.08</v>
      </c>
      <c r="E3003" s="2">
        <f>IFERROR(__xludf.DUMMYFUNCTION("""COMPUTED_VALUE"""),1175.0)</f>
        <v>1175</v>
      </c>
      <c r="F3003" s="2">
        <f>IFERROR(__xludf.DUMMYFUNCTION("""COMPUTED_VALUE"""),1467388.0)</f>
        <v>1467388</v>
      </c>
    </row>
    <row r="3004">
      <c r="A3004" s="3">
        <f>IFERROR(__xludf.DUMMYFUNCTION("""COMPUTED_VALUE"""),42676.64583333333)</f>
        <v>42676.64583</v>
      </c>
      <c r="B3004" s="2">
        <f>IFERROR(__xludf.DUMMYFUNCTION("""COMPUTED_VALUE"""),1170.5)</f>
        <v>1170.5</v>
      </c>
      <c r="C3004" s="2">
        <f>IFERROR(__xludf.DUMMYFUNCTION("""COMPUTED_VALUE"""),1172.0)</f>
        <v>1172</v>
      </c>
      <c r="D3004" s="2">
        <f>IFERROR(__xludf.DUMMYFUNCTION("""COMPUTED_VALUE"""),1147.5)</f>
        <v>1147.5</v>
      </c>
      <c r="E3004" s="2">
        <f>IFERROR(__xludf.DUMMYFUNCTION("""COMPUTED_VALUE"""),1152.03)</f>
        <v>1152.03</v>
      </c>
      <c r="F3004" s="2">
        <f>IFERROR(__xludf.DUMMYFUNCTION("""COMPUTED_VALUE"""),1162538.0)</f>
        <v>1162538</v>
      </c>
    </row>
    <row r="3005">
      <c r="A3005" s="3">
        <f>IFERROR(__xludf.DUMMYFUNCTION("""COMPUTED_VALUE"""),42677.64583333333)</f>
        <v>42677.64583</v>
      </c>
      <c r="B3005" s="2">
        <f>IFERROR(__xludf.DUMMYFUNCTION("""COMPUTED_VALUE"""),1147.0)</f>
        <v>1147</v>
      </c>
      <c r="C3005" s="2">
        <f>IFERROR(__xludf.DUMMYFUNCTION("""COMPUTED_VALUE"""),1167.5)</f>
        <v>1167.5</v>
      </c>
      <c r="D3005" s="2">
        <f>IFERROR(__xludf.DUMMYFUNCTION("""COMPUTED_VALUE"""),1142.25)</f>
        <v>1142.25</v>
      </c>
      <c r="E3005" s="2">
        <f>IFERROR(__xludf.DUMMYFUNCTION("""COMPUTED_VALUE"""),1159.72)</f>
        <v>1159.72</v>
      </c>
      <c r="F3005" s="2">
        <f>IFERROR(__xludf.DUMMYFUNCTION("""COMPUTED_VALUE"""),731655.0)</f>
        <v>731655</v>
      </c>
    </row>
    <row r="3006">
      <c r="A3006" s="3">
        <f>IFERROR(__xludf.DUMMYFUNCTION("""COMPUTED_VALUE"""),42678.64583333333)</f>
        <v>42678.64583</v>
      </c>
      <c r="B3006" s="2">
        <f>IFERROR(__xludf.DUMMYFUNCTION("""COMPUTED_VALUE"""),1160.0)</f>
        <v>1160</v>
      </c>
      <c r="C3006" s="2">
        <f>IFERROR(__xludf.DUMMYFUNCTION("""COMPUTED_VALUE"""),1168.08)</f>
        <v>1168.08</v>
      </c>
      <c r="D3006" s="2">
        <f>IFERROR(__xludf.DUMMYFUNCTION("""COMPUTED_VALUE"""),1147.0)</f>
        <v>1147</v>
      </c>
      <c r="E3006" s="2">
        <f>IFERROR(__xludf.DUMMYFUNCTION("""COMPUTED_VALUE"""),1165.28)</f>
        <v>1165.28</v>
      </c>
      <c r="F3006" s="2">
        <f>IFERROR(__xludf.DUMMYFUNCTION("""COMPUTED_VALUE"""),591876.0)</f>
        <v>591876</v>
      </c>
    </row>
    <row r="3007">
      <c r="A3007" s="3">
        <f>IFERROR(__xludf.DUMMYFUNCTION("""COMPUTED_VALUE"""),42681.64583333333)</f>
        <v>42681.64583</v>
      </c>
      <c r="B3007" s="2">
        <f>IFERROR(__xludf.DUMMYFUNCTION("""COMPUTED_VALUE"""),1168.95)</f>
        <v>1168.95</v>
      </c>
      <c r="C3007" s="2">
        <f>IFERROR(__xludf.DUMMYFUNCTION("""COMPUTED_VALUE"""),1172.45)</f>
        <v>1172.45</v>
      </c>
      <c r="D3007" s="2">
        <f>IFERROR(__xludf.DUMMYFUNCTION("""COMPUTED_VALUE"""),1130.03)</f>
        <v>1130.03</v>
      </c>
      <c r="E3007" s="2">
        <f>IFERROR(__xludf.DUMMYFUNCTION("""COMPUTED_VALUE"""),1138.53)</f>
        <v>1138.53</v>
      </c>
      <c r="F3007" s="2">
        <f>IFERROR(__xludf.DUMMYFUNCTION("""COMPUTED_VALUE"""),1024026.0)</f>
        <v>1024026</v>
      </c>
    </row>
    <row r="3008">
      <c r="A3008" s="3">
        <f>IFERROR(__xludf.DUMMYFUNCTION("""COMPUTED_VALUE"""),42682.64583333333)</f>
        <v>42682.64583</v>
      </c>
      <c r="B3008" s="2">
        <f>IFERROR(__xludf.DUMMYFUNCTION("""COMPUTED_VALUE"""),1140.22)</f>
        <v>1140.22</v>
      </c>
      <c r="C3008" s="2">
        <f>IFERROR(__xludf.DUMMYFUNCTION("""COMPUTED_VALUE"""),1153.5)</f>
        <v>1153.5</v>
      </c>
      <c r="D3008" s="2">
        <f>IFERROR(__xludf.DUMMYFUNCTION("""COMPUTED_VALUE"""),1130.0)</f>
        <v>1130</v>
      </c>
      <c r="E3008" s="2">
        <f>IFERROR(__xludf.DUMMYFUNCTION("""COMPUTED_VALUE"""),1141.6)</f>
        <v>1141.6</v>
      </c>
      <c r="F3008" s="2">
        <f>IFERROR(__xludf.DUMMYFUNCTION("""COMPUTED_VALUE"""),966817.0)</f>
        <v>966817</v>
      </c>
    </row>
    <row r="3009">
      <c r="A3009" s="3">
        <f>IFERROR(__xludf.DUMMYFUNCTION("""COMPUTED_VALUE"""),42683.64583333333)</f>
        <v>42683.64583</v>
      </c>
      <c r="B3009" s="2">
        <f>IFERROR(__xludf.DUMMYFUNCTION("""COMPUTED_VALUE"""),1090.0)</f>
        <v>1090</v>
      </c>
      <c r="C3009" s="2">
        <f>IFERROR(__xludf.DUMMYFUNCTION("""COMPUTED_VALUE"""),1137.5)</f>
        <v>1137.5</v>
      </c>
      <c r="D3009" s="2">
        <f>IFERROR(__xludf.DUMMYFUNCTION("""COMPUTED_VALUE"""),1071.43)</f>
        <v>1071.43</v>
      </c>
      <c r="E3009" s="2">
        <f>IFERROR(__xludf.DUMMYFUNCTION("""COMPUTED_VALUE"""),1084.93)</f>
        <v>1084.93</v>
      </c>
      <c r="F3009" s="2">
        <f>IFERROR(__xludf.DUMMYFUNCTION("""COMPUTED_VALUE"""),2250113.0)</f>
        <v>2250113</v>
      </c>
    </row>
    <row r="3010">
      <c r="A3010" s="3">
        <f>IFERROR(__xludf.DUMMYFUNCTION("""COMPUTED_VALUE"""),42684.64583333333)</f>
        <v>42684.64583</v>
      </c>
      <c r="B3010" s="2">
        <f>IFERROR(__xludf.DUMMYFUNCTION("""COMPUTED_VALUE"""),1102.4)</f>
        <v>1102.4</v>
      </c>
      <c r="C3010" s="2">
        <f>IFERROR(__xludf.DUMMYFUNCTION("""COMPUTED_VALUE"""),1108.75)</f>
        <v>1108.75</v>
      </c>
      <c r="D3010" s="2">
        <f>IFERROR(__xludf.DUMMYFUNCTION("""COMPUTED_VALUE"""),1070.4)</f>
        <v>1070.4</v>
      </c>
      <c r="E3010" s="2">
        <f>IFERROR(__xludf.DUMMYFUNCTION("""COMPUTED_VALUE"""),1077.72)</f>
        <v>1077.72</v>
      </c>
      <c r="F3010" s="2">
        <f>IFERROR(__xludf.DUMMYFUNCTION("""COMPUTED_VALUE"""),1086213.0)</f>
        <v>1086213</v>
      </c>
    </row>
    <row r="3011">
      <c r="A3011" s="3">
        <f>IFERROR(__xludf.DUMMYFUNCTION("""COMPUTED_VALUE"""),42685.64583333333)</f>
        <v>42685.64583</v>
      </c>
      <c r="B3011" s="2">
        <f>IFERROR(__xludf.DUMMYFUNCTION("""COMPUTED_VALUE"""),1073.53)</f>
        <v>1073.53</v>
      </c>
      <c r="C3011" s="2">
        <f>IFERROR(__xludf.DUMMYFUNCTION("""COMPUTED_VALUE"""),1073.53)</f>
        <v>1073.53</v>
      </c>
      <c r="D3011" s="2">
        <f>IFERROR(__xludf.DUMMYFUNCTION("""COMPUTED_VALUE"""),1043.1)</f>
        <v>1043.1</v>
      </c>
      <c r="E3011" s="2">
        <f>IFERROR(__xludf.DUMMYFUNCTION("""COMPUTED_VALUE"""),1050.58)</f>
        <v>1050.58</v>
      </c>
      <c r="F3011" s="2">
        <f>IFERROR(__xludf.DUMMYFUNCTION("""COMPUTED_VALUE"""),1199212.0)</f>
        <v>1199212</v>
      </c>
    </row>
    <row r="3012">
      <c r="A3012" s="3">
        <f>IFERROR(__xludf.DUMMYFUNCTION("""COMPUTED_VALUE"""),42689.64583333333)</f>
        <v>42689.64583</v>
      </c>
      <c r="B3012" s="2">
        <f>IFERROR(__xludf.DUMMYFUNCTION("""COMPUTED_VALUE"""),1058.45)</f>
        <v>1058.45</v>
      </c>
      <c r="C3012" s="2">
        <f>IFERROR(__xludf.DUMMYFUNCTION("""COMPUTED_VALUE"""),1078.78)</f>
        <v>1078.78</v>
      </c>
      <c r="D3012" s="2">
        <f>IFERROR(__xludf.DUMMYFUNCTION("""COMPUTED_VALUE"""),1025.95)</f>
        <v>1025.95</v>
      </c>
      <c r="E3012" s="2">
        <f>IFERROR(__xludf.DUMMYFUNCTION("""COMPUTED_VALUE"""),1060.65)</f>
        <v>1060.65</v>
      </c>
      <c r="F3012" s="2">
        <f>IFERROR(__xludf.DUMMYFUNCTION("""COMPUTED_VALUE"""),3145162.0)</f>
        <v>3145162</v>
      </c>
    </row>
    <row r="3013">
      <c r="A3013" s="3">
        <f>IFERROR(__xludf.DUMMYFUNCTION("""COMPUTED_VALUE"""),42690.64583333333)</f>
        <v>42690.64583</v>
      </c>
      <c r="B3013" s="2">
        <f>IFERROR(__xludf.DUMMYFUNCTION("""COMPUTED_VALUE"""),1072.55)</f>
        <v>1072.55</v>
      </c>
      <c r="C3013" s="2">
        <f>IFERROR(__xludf.DUMMYFUNCTION("""COMPUTED_VALUE"""),1104.45)</f>
        <v>1104.45</v>
      </c>
      <c r="D3013" s="2">
        <f>IFERROR(__xludf.DUMMYFUNCTION("""COMPUTED_VALUE"""),1069.0)</f>
        <v>1069</v>
      </c>
      <c r="E3013" s="2">
        <f>IFERROR(__xludf.DUMMYFUNCTION("""COMPUTED_VALUE"""),1094.8)</f>
        <v>1094.8</v>
      </c>
      <c r="F3013" s="2">
        <f>IFERROR(__xludf.DUMMYFUNCTION("""COMPUTED_VALUE"""),2009979.0)</f>
        <v>2009979</v>
      </c>
    </row>
    <row r="3014">
      <c r="A3014" s="3">
        <f>IFERROR(__xludf.DUMMYFUNCTION("""COMPUTED_VALUE"""),42691.64583333333)</f>
        <v>42691.64583</v>
      </c>
      <c r="B3014" s="2">
        <f>IFERROR(__xludf.DUMMYFUNCTION("""COMPUTED_VALUE"""),1092.5)</f>
        <v>1092.5</v>
      </c>
      <c r="C3014" s="2">
        <f>IFERROR(__xludf.DUMMYFUNCTION("""COMPUTED_VALUE"""),1104.3)</f>
        <v>1104.3</v>
      </c>
      <c r="D3014" s="2">
        <f>IFERROR(__xludf.DUMMYFUNCTION("""COMPUTED_VALUE"""),1065.08)</f>
        <v>1065.08</v>
      </c>
      <c r="E3014" s="2">
        <f>IFERROR(__xludf.DUMMYFUNCTION("""COMPUTED_VALUE"""),1068.6)</f>
        <v>1068.6</v>
      </c>
      <c r="F3014" s="2">
        <f>IFERROR(__xludf.DUMMYFUNCTION("""COMPUTED_VALUE"""),1252344.0)</f>
        <v>1252344</v>
      </c>
    </row>
    <row r="3015">
      <c r="A3015" s="3">
        <f>IFERROR(__xludf.DUMMYFUNCTION("""COMPUTED_VALUE"""),42692.64583333333)</f>
        <v>42692.64583</v>
      </c>
      <c r="B3015" s="2">
        <f>IFERROR(__xludf.DUMMYFUNCTION("""COMPUTED_VALUE"""),1071.0)</f>
        <v>1071</v>
      </c>
      <c r="C3015" s="2">
        <f>IFERROR(__xludf.DUMMYFUNCTION("""COMPUTED_VALUE"""),1075.0)</f>
        <v>1075</v>
      </c>
      <c r="D3015" s="2">
        <f>IFERROR(__xludf.DUMMYFUNCTION("""COMPUTED_VALUE"""),1052.1)</f>
        <v>1052.1</v>
      </c>
      <c r="E3015" s="2">
        <f>IFERROR(__xludf.DUMMYFUNCTION("""COMPUTED_VALUE"""),1062.55)</f>
        <v>1062.55</v>
      </c>
      <c r="F3015" s="2">
        <f>IFERROR(__xludf.DUMMYFUNCTION("""COMPUTED_VALUE"""),1070267.0)</f>
        <v>1070267</v>
      </c>
    </row>
    <row r="3016">
      <c r="A3016" s="3">
        <f>IFERROR(__xludf.DUMMYFUNCTION("""COMPUTED_VALUE"""),42695.64583333333)</f>
        <v>42695.64583</v>
      </c>
      <c r="B3016" s="2">
        <f>IFERROR(__xludf.DUMMYFUNCTION("""COMPUTED_VALUE"""),1063.1)</f>
        <v>1063.1</v>
      </c>
      <c r="C3016" s="2">
        <f>IFERROR(__xludf.DUMMYFUNCTION("""COMPUTED_VALUE"""),1070.0)</f>
        <v>1070</v>
      </c>
      <c r="D3016" s="2">
        <f>IFERROR(__xludf.DUMMYFUNCTION("""COMPUTED_VALUE"""),1052.5)</f>
        <v>1052.5</v>
      </c>
      <c r="E3016" s="2">
        <f>IFERROR(__xludf.DUMMYFUNCTION("""COMPUTED_VALUE"""),1066.45)</f>
        <v>1066.45</v>
      </c>
      <c r="F3016" s="2">
        <f>IFERROR(__xludf.DUMMYFUNCTION("""COMPUTED_VALUE"""),896683.0)</f>
        <v>896683</v>
      </c>
    </row>
    <row r="3017">
      <c r="A3017" s="3">
        <f>IFERROR(__xludf.DUMMYFUNCTION("""COMPUTED_VALUE"""),42696.64583333333)</f>
        <v>42696.64583</v>
      </c>
      <c r="B3017" s="2">
        <f>IFERROR(__xludf.DUMMYFUNCTION("""COMPUTED_VALUE"""),1066.0)</f>
        <v>1066</v>
      </c>
      <c r="C3017" s="2">
        <f>IFERROR(__xludf.DUMMYFUNCTION("""COMPUTED_VALUE"""),1088.72)</f>
        <v>1088.72</v>
      </c>
      <c r="D3017" s="2">
        <f>IFERROR(__xludf.DUMMYFUNCTION("""COMPUTED_VALUE"""),1061.03)</f>
        <v>1061.03</v>
      </c>
      <c r="E3017" s="2">
        <f>IFERROR(__xludf.DUMMYFUNCTION("""COMPUTED_VALUE"""),1067.5)</f>
        <v>1067.5</v>
      </c>
      <c r="F3017" s="2">
        <f>IFERROR(__xludf.DUMMYFUNCTION("""COMPUTED_VALUE"""),659430.0)</f>
        <v>659430</v>
      </c>
    </row>
    <row r="3018">
      <c r="A3018" s="3">
        <f>IFERROR(__xludf.DUMMYFUNCTION("""COMPUTED_VALUE"""),42697.64583333333)</f>
        <v>42697.64583</v>
      </c>
      <c r="B3018" s="2">
        <f>IFERROR(__xludf.DUMMYFUNCTION("""COMPUTED_VALUE"""),1074.5)</f>
        <v>1074.5</v>
      </c>
      <c r="C3018" s="2">
        <f>IFERROR(__xludf.DUMMYFUNCTION("""COMPUTED_VALUE"""),1081.47)</f>
        <v>1081.47</v>
      </c>
      <c r="D3018" s="2">
        <f>IFERROR(__xludf.DUMMYFUNCTION("""COMPUTED_VALUE"""),1063.6)</f>
        <v>1063.6</v>
      </c>
      <c r="E3018" s="2">
        <f>IFERROR(__xludf.DUMMYFUNCTION("""COMPUTED_VALUE"""),1078.18)</f>
        <v>1078.18</v>
      </c>
      <c r="F3018" s="2">
        <f>IFERROR(__xludf.DUMMYFUNCTION("""COMPUTED_VALUE"""),637904.0)</f>
        <v>637904</v>
      </c>
    </row>
    <row r="3019">
      <c r="A3019" s="3">
        <f>IFERROR(__xludf.DUMMYFUNCTION("""COMPUTED_VALUE"""),42698.64583333333)</f>
        <v>42698.64583</v>
      </c>
      <c r="B3019" s="2">
        <f>IFERROR(__xludf.DUMMYFUNCTION("""COMPUTED_VALUE"""),1077.45)</f>
        <v>1077.45</v>
      </c>
      <c r="C3019" s="2">
        <f>IFERROR(__xludf.DUMMYFUNCTION("""COMPUTED_VALUE"""),1103.8)</f>
        <v>1103.8</v>
      </c>
      <c r="D3019" s="2">
        <f>IFERROR(__xludf.DUMMYFUNCTION("""COMPUTED_VALUE"""),1068.5)</f>
        <v>1068.5</v>
      </c>
      <c r="E3019" s="2">
        <f>IFERROR(__xludf.DUMMYFUNCTION("""COMPUTED_VALUE"""),1094.22)</f>
        <v>1094.22</v>
      </c>
      <c r="F3019" s="2">
        <f>IFERROR(__xludf.DUMMYFUNCTION("""COMPUTED_VALUE"""),1513117.0)</f>
        <v>1513117</v>
      </c>
    </row>
    <row r="3020">
      <c r="A3020" s="3">
        <f>IFERROR(__xludf.DUMMYFUNCTION("""COMPUTED_VALUE"""),42699.64583333333)</f>
        <v>42699.64583</v>
      </c>
      <c r="B3020" s="2">
        <f>IFERROR(__xludf.DUMMYFUNCTION("""COMPUTED_VALUE"""),1106.0)</f>
        <v>1106</v>
      </c>
      <c r="C3020" s="2">
        <f>IFERROR(__xludf.DUMMYFUNCTION("""COMPUTED_VALUE"""),1153.63)</f>
        <v>1153.63</v>
      </c>
      <c r="D3020" s="2">
        <f>IFERROR(__xludf.DUMMYFUNCTION("""COMPUTED_VALUE"""),1096.1)</f>
        <v>1096.1</v>
      </c>
      <c r="E3020" s="2">
        <f>IFERROR(__xludf.DUMMYFUNCTION("""COMPUTED_VALUE"""),1150.18)</f>
        <v>1150.18</v>
      </c>
      <c r="F3020" s="2">
        <f>IFERROR(__xludf.DUMMYFUNCTION("""COMPUTED_VALUE"""),2138074.0)</f>
        <v>2138074</v>
      </c>
    </row>
    <row r="3021">
      <c r="A3021" s="3">
        <f>IFERROR(__xludf.DUMMYFUNCTION("""COMPUTED_VALUE"""),42702.64583333333)</f>
        <v>42702.64583</v>
      </c>
      <c r="B3021" s="2">
        <f>IFERROR(__xludf.DUMMYFUNCTION("""COMPUTED_VALUE"""),1147.0)</f>
        <v>1147</v>
      </c>
      <c r="C3021" s="2">
        <f>IFERROR(__xludf.DUMMYFUNCTION("""COMPUTED_VALUE"""),1159.72)</f>
        <v>1159.72</v>
      </c>
      <c r="D3021" s="2">
        <f>IFERROR(__xludf.DUMMYFUNCTION("""COMPUTED_VALUE"""),1125.95)</f>
        <v>1125.95</v>
      </c>
      <c r="E3021" s="2">
        <f>IFERROR(__xludf.DUMMYFUNCTION("""COMPUTED_VALUE"""),1141.3)</f>
        <v>1141.3</v>
      </c>
      <c r="F3021" s="2">
        <f>IFERROR(__xludf.DUMMYFUNCTION("""COMPUTED_VALUE"""),962148.0)</f>
        <v>962148</v>
      </c>
    </row>
    <row r="3022">
      <c r="A3022" s="3">
        <f>IFERROR(__xludf.DUMMYFUNCTION("""COMPUTED_VALUE"""),42703.64583333333)</f>
        <v>42703.64583</v>
      </c>
      <c r="B3022" s="2">
        <f>IFERROR(__xludf.DUMMYFUNCTION("""COMPUTED_VALUE"""),1137.5)</f>
        <v>1137.5</v>
      </c>
      <c r="C3022" s="2">
        <f>IFERROR(__xludf.DUMMYFUNCTION("""COMPUTED_VALUE"""),1146.0)</f>
        <v>1146</v>
      </c>
      <c r="D3022" s="2">
        <f>IFERROR(__xludf.DUMMYFUNCTION("""COMPUTED_VALUE"""),1126.28)</f>
        <v>1126.28</v>
      </c>
      <c r="E3022" s="2">
        <f>IFERROR(__xludf.DUMMYFUNCTION("""COMPUTED_VALUE"""),1129.93)</f>
        <v>1129.93</v>
      </c>
      <c r="F3022" s="2">
        <f>IFERROR(__xludf.DUMMYFUNCTION("""COMPUTED_VALUE"""),721148.0)</f>
        <v>721148</v>
      </c>
    </row>
    <row r="3023">
      <c r="A3023" s="3">
        <f>IFERROR(__xludf.DUMMYFUNCTION("""COMPUTED_VALUE"""),42704.64583333333)</f>
        <v>42704.64583</v>
      </c>
      <c r="B3023" s="2">
        <f>IFERROR(__xludf.DUMMYFUNCTION("""COMPUTED_VALUE"""),1132.5)</f>
        <v>1132.5</v>
      </c>
      <c r="C3023" s="2">
        <f>IFERROR(__xludf.DUMMYFUNCTION("""COMPUTED_VALUE"""),1147.38)</f>
        <v>1147.38</v>
      </c>
      <c r="D3023" s="2">
        <f>IFERROR(__xludf.DUMMYFUNCTION("""COMPUTED_VALUE"""),1121.15)</f>
        <v>1121.15</v>
      </c>
      <c r="E3023" s="2">
        <f>IFERROR(__xludf.DUMMYFUNCTION("""COMPUTED_VALUE"""),1138.03)</f>
        <v>1138.03</v>
      </c>
      <c r="F3023" s="2">
        <f>IFERROR(__xludf.DUMMYFUNCTION("""COMPUTED_VALUE"""),1722916.0)</f>
        <v>1722916</v>
      </c>
    </row>
    <row r="3024">
      <c r="A3024" s="3">
        <f>IFERROR(__xludf.DUMMYFUNCTION("""COMPUTED_VALUE"""),42705.64583333333)</f>
        <v>42705.64583</v>
      </c>
      <c r="B3024" s="2">
        <f>IFERROR(__xludf.DUMMYFUNCTION("""COMPUTED_VALUE"""),1138.5)</f>
        <v>1138.5</v>
      </c>
      <c r="C3024" s="2">
        <f>IFERROR(__xludf.DUMMYFUNCTION("""COMPUTED_VALUE"""),1145.0)</f>
        <v>1145</v>
      </c>
      <c r="D3024" s="2">
        <f>IFERROR(__xludf.DUMMYFUNCTION("""COMPUTED_VALUE"""),1127.03)</f>
        <v>1127.03</v>
      </c>
      <c r="E3024" s="2">
        <f>IFERROR(__xludf.DUMMYFUNCTION("""COMPUTED_VALUE"""),1131.72)</f>
        <v>1131.72</v>
      </c>
      <c r="F3024" s="2">
        <f>IFERROR(__xludf.DUMMYFUNCTION("""COMPUTED_VALUE"""),561526.0)</f>
        <v>561526</v>
      </c>
    </row>
    <row r="3025">
      <c r="A3025" s="3">
        <f>IFERROR(__xludf.DUMMYFUNCTION("""COMPUTED_VALUE"""),42706.64583333333)</f>
        <v>42706.64583</v>
      </c>
      <c r="B3025" s="2">
        <f>IFERROR(__xludf.DUMMYFUNCTION("""COMPUTED_VALUE"""),1129.0)</f>
        <v>1129</v>
      </c>
      <c r="C3025" s="2">
        <f>IFERROR(__xludf.DUMMYFUNCTION("""COMPUTED_VALUE"""),1135.4)</f>
        <v>1135.4</v>
      </c>
      <c r="D3025" s="2">
        <f>IFERROR(__xludf.DUMMYFUNCTION("""COMPUTED_VALUE"""),1102.6)</f>
        <v>1102.6</v>
      </c>
      <c r="E3025" s="2">
        <f>IFERROR(__xludf.DUMMYFUNCTION("""COMPUTED_VALUE"""),1110.93)</f>
        <v>1110.93</v>
      </c>
      <c r="F3025" s="2">
        <f>IFERROR(__xludf.DUMMYFUNCTION("""COMPUTED_VALUE"""),999016.0)</f>
        <v>999016</v>
      </c>
    </row>
    <row r="3026">
      <c r="A3026" s="3">
        <f>IFERROR(__xludf.DUMMYFUNCTION("""COMPUTED_VALUE"""),42709.64583333333)</f>
        <v>42709.64583</v>
      </c>
      <c r="B3026" s="2">
        <f>IFERROR(__xludf.DUMMYFUNCTION("""COMPUTED_VALUE"""),1114.5)</f>
        <v>1114.5</v>
      </c>
      <c r="C3026" s="2">
        <f>IFERROR(__xludf.DUMMYFUNCTION("""COMPUTED_VALUE"""),1118.93)</f>
        <v>1118.93</v>
      </c>
      <c r="D3026" s="2">
        <f>IFERROR(__xludf.DUMMYFUNCTION("""COMPUTED_VALUE"""),1085.0)</f>
        <v>1085</v>
      </c>
      <c r="E3026" s="2">
        <f>IFERROR(__xludf.DUMMYFUNCTION("""COMPUTED_VALUE"""),1093.0)</f>
        <v>1093</v>
      </c>
      <c r="F3026" s="2">
        <f>IFERROR(__xludf.DUMMYFUNCTION("""COMPUTED_VALUE"""),1124763.0)</f>
        <v>1124763</v>
      </c>
    </row>
    <row r="3027">
      <c r="A3027" s="3">
        <f>IFERROR(__xludf.DUMMYFUNCTION("""COMPUTED_VALUE"""),42710.64583333333)</f>
        <v>42710.64583</v>
      </c>
      <c r="B3027" s="2">
        <f>IFERROR(__xludf.DUMMYFUNCTION("""COMPUTED_VALUE"""),1095.0)</f>
        <v>1095</v>
      </c>
      <c r="C3027" s="2">
        <f>IFERROR(__xludf.DUMMYFUNCTION("""COMPUTED_VALUE"""),1101.97)</f>
        <v>1101.97</v>
      </c>
      <c r="D3027" s="2">
        <f>IFERROR(__xludf.DUMMYFUNCTION("""COMPUTED_VALUE"""),1084.95)</f>
        <v>1084.95</v>
      </c>
      <c r="E3027" s="2">
        <f>IFERROR(__xludf.DUMMYFUNCTION("""COMPUTED_VALUE"""),1091.18)</f>
        <v>1091.18</v>
      </c>
      <c r="F3027" s="2">
        <f>IFERROR(__xludf.DUMMYFUNCTION("""COMPUTED_VALUE"""),796722.0)</f>
        <v>796722</v>
      </c>
    </row>
    <row r="3028">
      <c r="A3028" s="3">
        <f>IFERROR(__xludf.DUMMYFUNCTION("""COMPUTED_VALUE"""),42711.64583333333)</f>
        <v>42711.64583</v>
      </c>
      <c r="B3028" s="2">
        <f>IFERROR(__xludf.DUMMYFUNCTION("""COMPUTED_VALUE"""),1091.1)</f>
        <v>1091.1</v>
      </c>
      <c r="C3028" s="2">
        <f>IFERROR(__xludf.DUMMYFUNCTION("""COMPUTED_VALUE"""),1092.22)</f>
        <v>1092.22</v>
      </c>
      <c r="D3028" s="2">
        <f>IFERROR(__xludf.DUMMYFUNCTION("""COMPUTED_VALUE"""),1072.83)</f>
        <v>1072.83</v>
      </c>
      <c r="E3028" s="2">
        <f>IFERROR(__xludf.DUMMYFUNCTION("""COMPUTED_VALUE"""),1077.28)</f>
        <v>1077.28</v>
      </c>
      <c r="F3028" s="2">
        <f>IFERROR(__xludf.DUMMYFUNCTION("""COMPUTED_VALUE"""),1032853.0)</f>
        <v>1032853</v>
      </c>
    </row>
    <row r="3029">
      <c r="A3029" s="3">
        <f>IFERROR(__xludf.DUMMYFUNCTION("""COMPUTED_VALUE"""),42712.64583333333)</f>
        <v>42712.64583</v>
      </c>
      <c r="B3029" s="2">
        <f>IFERROR(__xludf.DUMMYFUNCTION("""COMPUTED_VALUE"""),1080.25)</f>
        <v>1080.25</v>
      </c>
      <c r="C3029" s="2">
        <f>IFERROR(__xludf.DUMMYFUNCTION("""COMPUTED_VALUE"""),1099.5)</f>
        <v>1099.5</v>
      </c>
      <c r="D3029" s="2">
        <f>IFERROR(__xludf.DUMMYFUNCTION("""COMPUTED_VALUE"""),1080.0)</f>
        <v>1080</v>
      </c>
      <c r="E3029" s="2">
        <f>IFERROR(__xludf.DUMMYFUNCTION("""COMPUTED_VALUE"""),1097.88)</f>
        <v>1097.88</v>
      </c>
      <c r="F3029" s="2">
        <f>IFERROR(__xludf.DUMMYFUNCTION("""COMPUTED_VALUE"""),1619773.0)</f>
        <v>1619773</v>
      </c>
    </row>
    <row r="3030">
      <c r="A3030" s="3">
        <f>IFERROR(__xludf.DUMMYFUNCTION("""COMPUTED_VALUE"""),42713.64583333333)</f>
        <v>42713.64583</v>
      </c>
      <c r="B3030" s="2">
        <f>IFERROR(__xludf.DUMMYFUNCTION("""COMPUTED_VALUE"""),1102.5)</f>
        <v>1102.5</v>
      </c>
      <c r="C3030" s="2">
        <f>IFERROR(__xludf.DUMMYFUNCTION("""COMPUTED_VALUE"""),1109.95)</f>
        <v>1109.95</v>
      </c>
      <c r="D3030" s="2">
        <f>IFERROR(__xludf.DUMMYFUNCTION("""COMPUTED_VALUE"""),1086.65)</f>
        <v>1086.65</v>
      </c>
      <c r="E3030" s="2">
        <f>IFERROR(__xludf.DUMMYFUNCTION("""COMPUTED_VALUE"""),1097.63)</f>
        <v>1097.63</v>
      </c>
      <c r="F3030" s="2">
        <f>IFERROR(__xludf.DUMMYFUNCTION("""COMPUTED_VALUE"""),794359.0)</f>
        <v>794359</v>
      </c>
    </row>
    <row r="3031">
      <c r="A3031" s="3">
        <f>IFERROR(__xludf.DUMMYFUNCTION("""COMPUTED_VALUE"""),42716.64583333333)</f>
        <v>42716.64583</v>
      </c>
      <c r="B3031" s="2">
        <f>IFERROR(__xludf.DUMMYFUNCTION("""COMPUTED_VALUE"""),1097.4)</f>
        <v>1097.4</v>
      </c>
      <c r="C3031" s="2">
        <f>IFERROR(__xludf.DUMMYFUNCTION("""COMPUTED_VALUE"""),1108.8)</f>
        <v>1108.8</v>
      </c>
      <c r="D3031" s="2">
        <f>IFERROR(__xludf.DUMMYFUNCTION("""COMPUTED_VALUE"""),1081.5)</f>
        <v>1081.5</v>
      </c>
      <c r="E3031" s="2">
        <f>IFERROR(__xludf.DUMMYFUNCTION("""COMPUTED_VALUE"""),1104.1)</f>
        <v>1104.1</v>
      </c>
      <c r="F3031" s="2">
        <f>IFERROR(__xludf.DUMMYFUNCTION("""COMPUTED_VALUE"""),655879.0)</f>
        <v>655879</v>
      </c>
    </row>
    <row r="3032">
      <c r="A3032" s="3">
        <f>IFERROR(__xludf.DUMMYFUNCTION("""COMPUTED_VALUE"""),42717.64583333333)</f>
        <v>42717.64583</v>
      </c>
      <c r="B3032" s="2">
        <f>IFERROR(__xludf.DUMMYFUNCTION("""COMPUTED_VALUE"""),1109.0)</f>
        <v>1109</v>
      </c>
      <c r="C3032" s="2">
        <f>IFERROR(__xludf.DUMMYFUNCTION("""COMPUTED_VALUE"""),1109.0)</f>
        <v>1109</v>
      </c>
      <c r="D3032" s="2">
        <f>IFERROR(__xludf.DUMMYFUNCTION("""COMPUTED_VALUE"""),1091.5)</f>
        <v>1091.5</v>
      </c>
      <c r="E3032" s="2">
        <f>IFERROR(__xludf.DUMMYFUNCTION("""COMPUTED_VALUE"""),1100.15)</f>
        <v>1100.15</v>
      </c>
      <c r="F3032" s="2">
        <f>IFERROR(__xludf.DUMMYFUNCTION("""COMPUTED_VALUE"""),1073767.0)</f>
        <v>1073767</v>
      </c>
    </row>
    <row r="3033">
      <c r="A3033" s="3">
        <f>IFERROR(__xludf.DUMMYFUNCTION("""COMPUTED_VALUE"""),42718.64583333333)</f>
        <v>42718.64583</v>
      </c>
      <c r="B3033" s="2">
        <f>IFERROR(__xludf.DUMMYFUNCTION("""COMPUTED_VALUE"""),1107.0)</f>
        <v>1107</v>
      </c>
      <c r="C3033" s="2">
        <f>IFERROR(__xludf.DUMMYFUNCTION("""COMPUTED_VALUE"""),1112.35)</f>
        <v>1112.35</v>
      </c>
      <c r="D3033" s="2">
        <f>IFERROR(__xludf.DUMMYFUNCTION("""COMPUTED_VALUE"""),1094.5)</f>
        <v>1094.5</v>
      </c>
      <c r="E3033" s="2">
        <f>IFERROR(__xludf.DUMMYFUNCTION("""COMPUTED_VALUE"""),1103.8)</f>
        <v>1103.8</v>
      </c>
      <c r="F3033" s="2">
        <f>IFERROR(__xludf.DUMMYFUNCTION("""COMPUTED_VALUE"""),935183.0)</f>
        <v>935183</v>
      </c>
    </row>
    <row r="3034">
      <c r="A3034" s="3">
        <f>IFERROR(__xludf.DUMMYFUNCTION("""COMPUTED_VALUE"""),42719.64583333333)</f>
        <v>42719.64583</v>
      </c>
      <c r="B3034" s="2">
        <f>IFERROR(__xludf.DUMMYFUNCTION("""COMPUTED_VALUE"""),1101.0)</f>
        <v>1101</v>
      </c>
      <c r="C3034" s="2">
        <f>IFERROR(__xludf.DUMMYFUNCTION("""COMPUTED_VALUE"""),1136.05)</f>
        <v>1136.05</v>
      </c>
      <c r="D3034" s="2">
        <f>IFERROR(__xludf.DUMMYFUNCTION("""COMPUTED_VALUE"""),1101.0)</f>
        <v>1101</v>
      </c>
      <c r="E3034" s="2">
        <f>IFERROR(__xludf.DUMMYFUNCTION("""COMPUTED_VALUE"""),1129.65)</f>
        <v>1129.65</v>
      </c>
      <c r="F3034" s="2">
        <f>IFERROR(__xludf.DUMMYFUNCTION("""COMPUTED_VALUE"""),2147705.0)</f>
        <v>2147705</v>
      </c>
    </row>
    <row r="3035">
      <c r="A3035" s="3">
        <f>IFERROR(__xludf.DUMMYFUNCTION("""COMPUTED_VALUE"""),42720.64583333333)</f>
        <v>42720.64583</v>
      </c>
      <c r="B3035" s="2">
        <f>IFERROR(__xludf.DUMMYFUNCTION("""COMPUTED_VALUE"""),1138.5)</f>
        <v>1138.5</v>
      </c>
      <c r="C3035" s="2">
        <f>IFERROR(__xludf.DUMMYFUNCTION("""COMPUTED_VALUE"""),1145.0)</f>
        <v>1145</v>
      </c>
      <c r="D3035" s="2">
        <f>IFERROR(__xludf.DUMMYFUNCTION("""COMPUTED_VALUE"""),1126.0)</f>
        <v>1126</v>
      </c>
      <c r="E3035" s="2">
        <f>IFERROR(__xludf.DUMMYFUNCTION("""COMPUTED_VALUE"""),1141.33)</f>
        <v>1141.33</v>
      </c>
      <c r="F3035" s="2">
        <f>IFERROR(__xludf.DUMMYFUNCTION("""COMPUTED_VALUE"""),993615.0)</f>
        <v>993615</v>
      </c>
    </row>
    <row r="3036">
      <c r="A3036" s="3">
        <f>IFERROR(__xludf.DUMMYFUNCTION("""COMPUTED_VALUE"""),42723.64583333333)</f>
        <v>42723.64583</v>
      </c>
      <c r="B3036" s="2">
        <f>IFERROR(__xludf.DUMMYFUNCTION("""COMPUTED_VALUE"""),1140.0)</f>
        <v>1140</v>
      </c>
      <c r="C3036" s="2">
        <f>IFERROR(__xludf.DUMMYFUNCTION("""COMPUTED_VALUE"""),1148.85)</f>
        <v>1148.85</v>
      </c>
      <c r="D3036" s="2">
        <f>IFERROR(__xludf.DUMMYFUNCTION("""COMPUTED_VALUE"""),1130.65)</f>
        <v>1130.65</v>
      </c>
      <c r="E3036" s="2">
        <f>IFERROR(__xludf.DUMMYFUNCTION("""COMPUTED_VALUE"""),1144.45)</f>
        <v>1144.45</v>
      </c>
      <c r="F3036" s="2">
        <f>IFERROR(__xludf.DUMMYFUNCTION("""COMPUTED_VALUE"""),667105.0)</f>
        <v>667105</v>
      </c>
    </row>
    <row r="3037">
      <c r="A3037" s="3">
        <f>IFERROR(__xludf.DUMMYFUNCTION("""COMPUTED_VALUE"""),42724.64583333333)</f>
        <v>42724.64583</v>
      </c>
      <c r="B3037" s="2">
        <f>IFERROR(__xludf.DUMMYFUNCTION("""COMPUTED_VALUE"""),1146.0)</f>
        <v>1146</v>
      </c>
      <c r="C3037" s="2">
        <f>IFERROR(__xludf.DUMMYFUNCTION("""COMPUTED_VALUE"""),1172.5)</f>
        <v>1172.5</v>
      </c>
      <c r="D3037" s="2">
        <f>IFERROR(__xludf.DUMMYFUNCTION("""COMPUTED_VALUE"""),1143.53)</f>
        <v>1143.53</v>
      </c>
      <c r="E3037" s="2">
        <f>IFERROR(__xludf.DUMMYFUNCTION("""COMPUTED_VALUE"""),1169.65)</f>
        <v>1169.65</v>
      </c>
      <c r="F3037" s="2">
        <f>IFERROR(__xludf.DUMMYFUNCTION("""COMPUTED_VALUE"""),1461380.0)</f>
        <v>1461380</v>
      </c>
    </row>
    <row r="3038">
      <c r="A3038" s="3">
        <f>IFERROR(__xludf.DUMMYFUNCTION("""COMPUTED_VALUE"""),42725.64583333333)</f>
        <v>42725.64583</v>
      </c>
      <c r="B3038" s="2">
        <f>IFERROR(__xludf.DUMMYFUNCTION("""COMPUTED_VALUE"""),1171.9)</f>
        <v>1171.9</v>
      </c>
      <c r="C3038" s="2">
        <f>IFERROR(__xludf.DUMMYFUNCTION("""COMPUTED_VALUE"""),1171.9)</f>
        <v>1171.9</v>
      </c>
      <c r="D3038" s="2">
        <f>IFERROR(__xludf.DUMMYFUNCTION("""COMPUTED_VALUE"""),1152.8)</f>
        <v>1152.8</v>
      </c>
      <c r="E3038" s="2">
        <f>IFERROR(__xludf.DUMMYFUNCTION("""COMPUTED_VALUE"""),1156.8)</f>
        <v>1156.8</v>
      </c>
      <c r="F3038" s="2">
        <f>IFERROR(__xludf.DUMMYFUNCTION("""COMPUTED_VALUE"""),1017451.0)</f>
        <v>1017451</v>
      </c>
    </row>
    <row r="3039">
      <c r="A3039" s="3">
        <f>IFERROR(__xludf.DUMMYFUNCTION("""COMPUTED_VALUE"""),42726.64583333333)</f>
        <v>42726.64583</v>
      </c>
      <c r="B3039" s="2">
        <f>IFERROR(__xludf.DUMMYFUNCTION("""COMPUTED_VALUE"""),1153.0)</f>
        <v>1153</v>
      </c>
      <c r="C3039" s="2">
        <f>IFERROR(__xludf.DUMMYFUNCTION("""COMPUTED_VALUE"""),1162.5)</f>
        <v>1162.5</v>
      </c>
      <c r="D3039" s="2">
        <f>IFERROR(__xludf.DUMMYFUNCTION("""COMPUTED_VALUE"""),1143.1)</f>
        <v>1143.1</v>
      </c>
      <c r="E3039" s="2">
        <f>IFERROR(__xludf.DUMMYFUNCTION("""COMPUTED_VALUE"""),1153.85)</f>
        <v>1153.85</v>
      </c>
      <c r="F3039" s="2">
        <f>IFERROR(__xludf.DUMMYFUNCTION("""COMPUTED_VALUE"""),934150.0)</f>
        <v>934150</v>
      </c>
    </row>
    <row r="3040">
      <c r="A3040" s="3">
        <f>IFERROR(__xludf.DUMMYFUNCTION("""COMPUTED_VALUE"""),42727.64583333333)</f>
        <v>42727.64583</v>
      </c>
      <c r="B3040" s="2">
        <f>IFERROR(__xludf.DUMMYFUNCTION("""COMPUTED_VALUE"""),1150.0)</f>
        <v>1150</v>
      </c>
      <c r="C3040" s="2">
        <f>IFERROR(__xludf.DUMMYFUNCTION("""COMPUTED_VALUE"""),1158.88)</f>
        <v>1158.88</v>
      </c>
      <c r="D3040" s="2">
        <f>IFERROR(__xludf.DUMMYFUNCTION("""COMPUTED_VALUE"""),1139.4)</f>
        <v>1139.4</v>
      </c>
      <c r="E3040" s="2">
        <f>IFERROR(__xludf.DUMMYFUNCTION("""COMPUTED_VALUE"""),1144.05)</f>
        <v>1144.05</v>
      </c>
      <c r="F3040" s="2">
        <f>IFERROR(__xludf.DUMMYFUNCTION("""COMPUTED_VALUE"""),559477.0)</f>
        <v>559477</v>
      </c>
    </row>
    <row r="3041">
      <c r="A3041" s="3">
        <f>IFERROR(__xludf.DUMMYFUNCTION("""COMPUTED_VALUE"""),42730.64583333333)</f>
        <v>42730.64583</v>
      </c>
      <c r="B3041" s="2">
        <f>IFERROR(__xludf.DUMMYFUNCTION("""COMPUTED_VALUE"""),1133.0)</f>
        <v>1133</v>
      </c>
      <c r="C3041" s="2">
        <f>IFERROR(__xludf.DUMMYFUNCTION("""COMPUTED_VALUE"""),1150.8)</f>
        <v>1150.8</v>
      </c>
      <c r="D3041" s="2">
        <f>IFERROR(__xludf.DUMMYFUNCTION("""COMPUTED_VALUE"""),1133.0)</f>
        <v>1133</v>
      </c>
      <c r="E3041" s="2">
        <f>IFERROR(__xludf.DUMMYFUNCTION("""COMPUTED_VALUE"""),1146.55)</f>
        <v>1146.55</v>
      </c>
      <c r="F3041" s="2">
        <f>IFERROR(__xludf.DUMMYFUNCTION("""COMPUTED_VALUE"""),448704.0)</f>
        <v>448704</v>
      </c>
    </row>
    <row r="3042">
      <c r="A3042" s="3">
        <f>IFERROR(__xludf.DUMMYFUNCTION("""COMPUTED_VALUE"""),42731.64583333333)</f>
        <v>42731.64583</v>
      </c>
      <c r="B3042" s="2">
        <f>IFERROR(__xludf.DUMMYFUNCTION("""COMPUTED_VALUE"""),1140.75)</f>
        <v>1140.75</v>
      </c>
      <c r="C3042" s="2">
        <f>IFERROR(__xludf.DUMMYFUNCTION("""COMPUTED_VALUE"""),1165.0)</f>
        <v>1165</v>
      </c>
      <c r="D3042" s="2">
        <f>IFERROR(__xludf.DUMMYFUNCTION("""COMPUTED_VALUE"""),1140.75)</f>
        <v>1140.75</v>
      </c>
      <c r="E3042" s="2">
        <f>IFERROR(__xludf.DUMMYFUNCTION("""COMPUTED_VALUE"""),1161.7)</f>
        <v>1161.7</v>
      </c>
      <c r="F3042" s="2">
        <f>IFERROR(__xludf.DUMMYFUNCTION("""COMPUTED_VALUE"""),647346.0)</f>
        <v>647346</v>
      </c>
    </row>
    <row r="3043">
      <c r="A3043" s="3">
        <f>IFERROR(__xludf.DUMMYFUNCTION("""COMPUTED_VALUE"""),42732.64583333333)</f>
        <v>42732.64583</v>
      </c>
      <c r="B3043" s="2">
        <f>IFERROR(__xludf.DUMMYFUNCTION("""COMPUTED_VALUE"""),1163.35)</f>
        <v>1163.35</v>
      </c>
      <c r="C3043" s="2">
        <f>IFERROR(__xludf.DUMMYFUNCTION("""COMPUTED_VALUE"""),1174.95)</f>
        <v>1174.95</v>
      </c>
      <c r="D3043" s="2">
        <f>IFERROR(__xludf.DUMMYFUNCTION("""COMPUTED_VALUE"""),1151.58)</f>
        <v>1151.58</v>
      </c>
      <c r="E3043" s="2">
        <f>IFERROR(__xludf.DUMMYFUNCTION("""COMPUTED_VALUE"""),1156.7)</f>
        <v>1156.7</v>
      </c>
      <c r="F3043" s="2">
        <f>IFERROR(__xludf.DUMMYFUNCTION("""COMPUTED_VALUE"""),675209.0)</f>
        <v>675209</v>
      </c>
    </row>
    <row r="3044">
      <c r="A3044" s="3">
        <f>IFERROR(__xludf.DUMMYFUNCTION("""COMPUTED_VALUE"""),42733.64583333333)</f>
        <v>42733.64583</v>
      </c>
      <c r="B3044" s="2">
        <f>IFERROR(__xludf.DUMMYFUNCTION("""COMPUTED_VALUE"""),1151.5)</f>
        <v>1151.5</v>
      </c>
      <c r="C3044" s="2">
        <f>IFERROR(__xludf.DUMMYFUNCTION("""COMPUTED_VALUE"""),1179.95)</f>
        <v>1179.95</v>
      </c>
      <c r="D3044" s="2">
        <f>IFERROR(__xludf.DUMMYFUNCTION("""COMPUTED_VALUE"""),1151.5)</f>
        <v>1151.5</v>
      </c>
      <c r="E3044" s="2">
        <f>IFERROR(__xludf.DUMMYFUNCTION("""COMPUTED_VALUE"""),1175.85)</f>
        <v>1175.85</v>
      </c>
      <c r="F3044" s="2">
        <f>IFERROR(__xludf.DUMMYFUNCTION("""COMPUTED_VALUE"""),981758.0)</f>
        <v>981758</v>
      </c>
    </row>
    <row r="3045">
      <c r="A3045" s="3">
        <f>IFERROR(__xludf.DUMMYFUNCTION("""COMPUTED_VALUE"""),42734.64583333333)</f>
        <v>42734.64583</v>
      </c>
      <c r="B3045" s="2">
        <f>IFERROR(__xludf.DUMMYFUNCTION("""COMPUTED_VALUE"""),1177.45)</f>
        <v>1177.45</v>
      </c>
      <c r="C3045" s="2">
        <f>IFERROR(__xludf.DUMMYFUNCTION("""COMPUTED_VALUE"""),1189.3)</f>
        <v>1189.3</v>
      </c>
      <c r="D3045" s="2">
        <f>IFERROR(__xludf.DUMMYFUNCTION("""COMPUTED_VALUE"""),1172.83)</f>
        <v>1172.83</v>
      </c>
      <c r="E3045" s="2">
        <f>IFERROR(__xludf.DUMMYFUNCTION("""COMPUTED_VALUE"""),1182.78)</f>
        <v>1182.78</v>
      </c>
      <c r="F3045" s="2">
        <f>IFERROR(__xludf.DUMMYFUNCTION("""COMPUTED_VALUE"""),702874.0)</f>
        <v>702874</v>
      </c>
    </row>
    <row r="3046">
      <c r="A3046" s="3">
        <f>IFERROR(__xludf.DUMMYFUNCTION("""COMPUTED_VALUE"""),42737.64583333333)</f>
        <v>42737.64583</v>
      </c>
      <c r="B3046" s="2">
        <f>IFERROR(__xludf.DUMMYFUNCTION("""COMPUTED_VALUE"""),1183.3)</f>
        <v>1183.3</v>
      </c>
      <c r="C3046" s="2">
        <f>IFERROR(__xludf.DUMMYFUNCTION("""COMPUTED_VALUE"""),1187.55)</f>
        <v>1187.55</v>
      </c>
      <c r="D3046" s="2">
        <f>IFERROR(__xludf.DUMMYFUNCTION("""COMPUTED_VALUE"""),1176.2)</f>
        <v>1176.2</v>
      </c>
      <c r="E3046" s="2">
        <f>IFERROR(__xludf.DUMMYFUNCTION("""COMPUTED_VALUE"""),1180.68)</f>
        <v>1180.68</v>
      </c>
      <c r="F3046" s="2">
        <f>IFERROR(__xludf.DUMMYFUNCTION("""COMPUTED_VALUE"""),411566.0)</f>
        <v>411566</v>
      </c>
    </row>
    <row r="3047">
      <c r="A3047" s="3">
        <f>IFERROR(__xludf.DUMMYFUNCTION("""COMPUTED_VALUE"""),42738.64583333333)</f>
        <v>42738.64583</v>
      </c>
      <c r="B3047" s="2">
        <f>IFERROR(__xludf.DUMMYFUNCTION("""COMPUTED_VALUE"""),1180.63)</f>
        <v>1180.63</v>
      </c>
      <c r="C3047" s="2">
        <f>IFERROR(__xludf.DUMMYFUNCTION("""COMPUTED_VALUE"""),1185.85)</f>
        <v>1185.85</v>
      </c>
      <c r="D3047" s="2">
        <f>IFERROR(__xludf.DUMMYFUNCTION("""COMPUTED_VALUE"""),1171.65)</f>
        <v>1171.65</v>
      </c>
      <c r="E3047" s="2">
        <f>IFERROR(__xludf.DUMMYFUNCTION("""COMPUTED_VALUE"""),1184.13)</f>
        <v>1184.13</v>
      </c>
      <c r="F3047" s="2">
        <f>IFERROR(__xludf.DUMMYFUNCTION("""COMPUTED_VALUE"""),737662.0)</f>
        <v>737662</v>
      </c>
    </row>
    <row r="3048">
      <c r="A3048" s="3">
        <f>IFERROR(__xludf.DUMMYFUNCTION("""COMPUTED_VALUE"""),42739.64583333333)</f>
        <v>42739.64583</v>
      </c>
      <c r="B3048" s="2">
        <f>IFERROR(__xludf.DUMMYFUNCTION("""COMPUTED_VALUE"""),1184.85)</f>
        <v>1184.85</v>
      </c>
      <c r="C3048" s="2">
        <f>IFERROR(__xludf.DUMMYFUNCTION("""COMPUTED_VALUE"""),1194.43)</f>
        <v>1194.43</v>
      </c>
      <c r="D3048" s="2">
        <f>IFERROR(__xludf.DUMMYFUNCTION("""COMPUTED_VALUE"""),1179.15)</f>
        <v>1179.15</v>
      </c>
      <c r="E3048" s="2">
        <f>IFERROR(__xludf.DUMMYFUNCTION("""COMPUTED_VALUE"""),1189.75)</f>
        <v>1189.75</v>
      </c>
      <c r="F3048" s="2">
        <f>IFERROR(__xludf.DUMMYFUNCTION("""COMPUTED_VALUE"""),710033.0)</f>
        <v>710033</v>
      </c>
    </row>
    <row r="3049">
      <c r="A3049" s="3">
        <f>IFERROR(__xludf.DUMMYFUNCTION("""COMPUTED_VALUE"""),42740.64583333333)</f>
        <v>42740.64583</v>
      </c>
      <c r="B3049" s="2">
        <f>IFERROR(__xludf.DUMMYFUNCTION("""COMPUTED_VALUE"""),1192.0)</f>
        <v>1192</v>
      </c>
      <c r="C3049" s="2">
        <f>IFERROR(__xludf.DUMMYFUNCTION("""COMPUTED_VALUE"""),1194.97)</f>
        <v>1194.97</v>
      </c>
      <c r="D3049" s="2">
        <f>IFERROR(__xludf.DUMMYFUNCTION("""COMPUTED_VALUE"""),1160.2)</f>
        <v>1160.2</v>
      </c>
      <c r="E3049" s="2">
        <f>IFERROR(__xludf.DUMMYFUNCTION("""COMPUTED_VALUE"""),1167.2)</f>
        <v>1167.2</v>
      </c>
      <c r="F3049" s="2">
        <f>IFERROR(__xludf.DUMMYFUNCTION("""COMPUTED_VALUE"""),1108202.0)</f>
        <v>1108202</v>
      </c>
    </row>
    <row r="3050">
      <c r="A3050" s="3">
        <f>IFERROR(__xludf.DUMMYFUNCTION("""COMPUTED_VALUE"""),42741.64583333333)</f>
        <v>42741.64583</v>
      </c>
      <c r="B3050" s="2">
        <f>IFERROR(__xludf.DUMMYFUNCTION("""COMPUTED_VALUE"""),1160.5)</f>
        <v>1160.5</v>
      </c>
      <c r="C3050" s="2">
        <f>IFERROR(__xludf.DUMMYFUNCTION("""COMPUTED_VALUE"""),1164.68)</f>
        <v>1164.68</v>
      </c>
      <c r="D3050" s="2">
        <f>IFERROR(__xludf.DUMMYFUNCTION("""COMPUTED_VALUE"""),1128.55)</f>
        <v>1128.55</v>
      </c>
      <c r="E3050" s="2">
        <f>IFERROR(__xludf.DUMMYFUNCTION("""COMPUTED_VALUE"""),1140.7)</f>
        <v>1140.7</v>
      </c>
      <c r="F3050" s="2">
        <f>IFERROR(__xludf.DUMMYFUNCTION("""COMPUTED_VALUE"""),1504948.0)</f>
        <v>1504948</v>
      </c>
    </row>
    <row r="3051">
      <c r="A3051" s="3">
        <f>IFERROR(__xludf.DUMMYFUNCTION("""COMPUTED_VALUE"""),42744.64583333333)</f>
        <v>42744.64583</v>
      </c>
      <c r="B3051" s="2">
        <f>IFERROR(__xludf.DUMMYFUNCTION("""COMPUTED_VALUE"""),1137.5)</f>
        <v>1137.5</v>
      </c>
      <c r="C3051" s="2">
        <f>IFERROR(__xludf.DUMMYFUNCTION("""COMPUTED_VALUE"""),1155.65)</f>
        <v>1155.65</v>
      </c>
      <c r="D3051" s="2">
        <f>IFERROR(__xludf.DUMMYFUNCTION("""COMPUTED_VALUE"""),1128.5)</f>
        <v>1128.5</v>
      </c>
      <c r="E3051" s="2">
        <f>IFERROR(__xludf.DUMMYFUNCTION("""COMPUTED_VALUE"""),1151.85)</f>
        <v>1151.85</v>
      </c>
      <c r="F3051" s="2">
        <f>IFERROR(__xludf.DUMMYFUNCTION("""COMPUTED_VALUE"""),927289.0)</f>
        <v>927289</v>
      </c>
    </row>
    <row r="3052">
      <c r="A3052" s="3">
        <f>IFERROR(__xludf.DUMMYFUNCTION("""COMPUTED_VALUE"""),42745.64583333333)</f>
        <v>42745.64583</v>
      </c>
      <c r="B3052" s="2">
        <f>IFERROR(__xludf.DUMMYFUNCTION("""COMPUTED_VALUE"""),1152.0)</f>
        <v>1152</v>
      </c>
      <c r="C3052" s="2">
        <f>IFERROR(__xludf.DUMMYFUNCTION("""COMPUTED_VALUE"""),1164.9)</f>
        <v>1164.9</v>
      </c>
      <c r="D3052" s="2">
        <f>IFERROR(__xludf.DUMMYFUNCTION("""COMPUTED_VALUE"""),1145.75)</f>
        <v>1145.75</v>
      </c>
      <c r="E3052" s="2">
        <f>IFERROR(__xludf.DUMMYFUNCTION("""COMPUTED_VALUE"""),1157.68)</f>
        <v>1157.68</v>
      </c>
      <c r="F3052" s="2">
        <f>IFERROR(__xludf.DUMMYFUNCTION("""COMPUTED_VALUE"""),766957.0)</f>
        <v>766957</v>
      </c>
    </row>
    <row r="3053">
      <c r="A3053" s="3">
        <f>IFERROR(__xludf.DUMMYFUNCTION("""COMPUTED_VALUE"""),42746.64583333333)</f>
        <v>42746.64583</v>
      </c>
      <c r="B3053" s="2">
        <f>IFERROR(__xludf.DUMMYFUNCTION("""COMPUTED_VALUE"""),1157.5)</f>
        <v>1157.5</v>
      </c>
      <c r="C3053" s="2">
        <f>IFERROR(__xludf.DUMMYFUNCTION("""COMPUTED_VALUE"""),1164.8)</f>
        <v>1164.8</v>
      </c>
      <c r="D3053" s="2">
        <f>IFERROR(__xludf.DUMMYFUNCTION("""COMPUTED_VALUE"""),1140.1)</f>
        <v>1140.1</v>
      </c>
      <c r="E3053" s="2">
        <f>IFERROR(__xludf.DUMMYFUNCTION("""COMPUTED_VALUE"""),1162.5)</f>
        <v>1162.5</v>
      </c>
      <c r="F3053" s="2">
        <f>IFERROR(__xludf.DUMMYFUNCTION("""COMPUTED_VALUE"""),965648.0)</f>
        <v>965648</v>
      </c>
    </row>
    <row r="3054">
      <c r="A3054" s="3">
        <f>IFERROR(__xludf.DUMMYFUNCTION("""COMPUTED_VALUE"""),42747.64583333333)</f>
        <v>42747.64583</v>
      </c>
      <c r="B3054" s="2">
        <f>IFERROR(__xludf.DUMMYFUNCTION("""COMPUTED_VALUE"""),1162.2)</f>
        <v>1162.2</v>
      </c>
      <c r="C3054" s="2">
        <f>IFERROR(__xludf.DUMMYFUNCTION("""COMPUTED_VALUE"""),1180.0)</f>
        <v>1180</v>
      </c>
      <c r="D3054" s="2">
        <f>IFERROR(__xludf.DUMMYFUNCTION("""COMPUTED_VALUE"""),1152.0)</f>
        <v>1152</v>
      </c>
      <c r="E3054" s="2">
        <f>IFERROR(__xludf.DUMMYFUNCTION("""COMPUTED_VALUE"""),1172.18)</f>
        <v>1172.18</v>
      </c>
      <c r="F3054" s="2">
        <f>IFERROR(__xludf.DUMMYFUNCTION("""COMPUTED_VALUE"""),1285187.0)</f>
        <v>1285187</v>
      </c>
    </row>
    <row r="3055">
      <c r="A3055" s="3">
        <f>IFERROR(__xludf.DUMMYFUNCTION("""COMPUTED_VALUE"""),42748.64583333333)</f>
        <v>42748.64583</v>
      </c>
      <c r="B3055" s="2">
        <f>IFERROR(__xludf.DUMMYFUNCTION("""COMPUTED_VALUE"""),1174.0)</f>
        <v>1174</v>
      </c>
      <c r="C3055" s="2">
        <f>IFERROR(__xludf.DUMMYFUNCTION("""COMPUTED_VALUE"""),1178.97)</f>
        <v>1178.97</v>
      </c>
      <c r="D3055" s="2">
        <f>IFERROR(__xludf.DUMMYFUNCTION("""COMPUTED_VALUE"""),1118.93)</f>
        <v>1118.93</v>
      </c>
      <c r="E3055" s="2">
        <f>IFERROR(__xludf.DUMMYFUNCTION("""COMPUTED_VALUE"""),1124.65)</f>
        <v>1124.65</v>
      </c>
      <c r="F3055" s="2">
        <f>IFERROR(__xludf.DUMMYFUNCTION("""COMPUTED_VALUE"""),5117790.0)</f>
        <v>5117790</v>
      </c>
    </row>
    <row r="3056">
      <c r="A3056" s="3">
        <f>IFERROR(__xludf.DUMMYFUNCTION("""COMPUTED_VALUE"""),42751.64583333333)</f>
        <v>42751.64583</v>
      </c>
      <c r="B3056" s="2">
        <f>IFERROR(__xludf.DUMMYFUNCTION("""COMPUTED_VALUE"""),1125.0)</f>
        <v>1125</v>
      </c>
      <c r="C3056" s="2">
        <f>IFERROR(__xludf.DUMMYFUNCTION("""COMPUTED_VALUE"""),1136.95)</f>
        <v>1136.95</v>
      </c>
      <c r="D3056" s="2">
        <f>IFERROR(__xludf.DUMMYFUNCTION("""COMPUTED_VALUE"""),1114.0)</f>
        <v>1114</v>
      </c>
      <c r="E3056" s="2">
        <f>IFERROR(__xludf.DUMMYFUNCTION("""COMPUTED_VALUE"""),1129.28)</f>
        <v>1129.28</v>
      </c>
      <c r="F3056" s="2">
        <f>IFERROR(__xludf.DUMMYFUNCTION("""COMPUTED_VALUE"""),1682404.0)</f>
        <v>1682404</v>
      </c>
    </row>
    <row r="3057">
      <c r="A3057" s="3">
        <f>IFERROR(__xludf.DUMMYFUNCTION("""COMPUTED_VALUE"""),42752.64583333333)</f>
        <v>42752.64583</v>
      </c>
      <c r="B3057" s="2">
        <f>IFERROR(__xludf.DUMMYFUNCTION("""COMPUTED_VALUE"""),1127.45)</f>
        <v>1127.45</v>
      </c>
      <c r="C3057" s="2">
        <f>IFERROR(__xludf.DUMMYFUNCTION("""COMPUTED_VALUE"""),1143.9)</f>
        <v>1143.9</v>
      </c>
      <c r="D3057" s="2">
        <f>IFERROR(__xludf.DUMMYFUNCTION("""COMPUTED_VALUE"""),1126.4)</f>
        <v>1126.4</v>
      </c>
      <c r="E3057" s="2">
        <f>IFERROR(__xludf.DUMMYFUNCTION("""COMPUTED_VALUE"""),1139.38)</f>
        <v>1139.38</v>
      </c>
      <c r="F3057" s="2">
        <f>IFERROR(__xludf.DUMMYFUNCTION("""COMPUTED_VALUE"""),1504978.0)</f>
        <v>1504978</v>
      </c>
    </row>
    <row r="3058">
      <c r="A3058" s="3">
        <f>IFERROR(__xludf.DUMMYFUNCTION("""COMPUTED_VALUE"""),42753.64583333333)</f>
        <v>42753.64583</v>
      </c>
      <c r="B3058" s="2">
        <f>IFERROR(__xludf.DUMMYFUNCTION("""COMPUTED_VALUE"""),1139.0)</f>
        <v>1139</v>
      </c>
      <c r="C3058" s="2">
        <f>IFERROR(__xludf.DUMMYFUNCTION("""COMPUTED_VALUE"""),1149.0)</f>
        <v>1149</v>
      </c>
      <c r="D3058" s="2">
        <f>IFERROR(__xludf.DUMMYFUNCTION("""COMPUTED_VALUE"""),1132.72)</f>
        <v>1132.72</v>
      </c>
      <c r="E3058" s="2">
        <f>IFERROR(__xludf.DUMMYFUNCTION("""COMPUTED_VALUE"""),1147.55)</f>
        <v>1147.55</v>
      </c>
      <c r="F3058" s="2">
        <f>IFERROR(__xludf.DUMMYFUNCTION("""COMPUTED_VALUE"""),1568287.0)</f>
        <v>1568287</v>
      </c>
    </row>
    <row r="3059">
      <c r="A3059" s="3">
        <f>IFERROR(__xludf.DUMMYFUNCTION("""COMPUTED_VALUE"""),42754.64583333333)</f>
        <v>42754.64583</v>
      </c>
      <c r="B3059" s="2">
        <f>IFERROR(__xludf.DUMMYFUNCTION("""COMPUTED_VALUE"""),1147.5)</f>
        <v>1147.5</v>
      </c>
      <c r="C3059" s="2">
        <f>IFERROR(__xludf.DUMMYFUNCTION("""COMPUTED_VALUE"""),1147.58)</f>
        <v>1147.58</v>
      </c>
      <c r="D3059" s="2">
        <f>IFERROR(__xludf.DUMMYFUNCTION("""COMPUTED_VALUE"""),1141.47)</f>
        <v>1141.47</v>
      </c>
      <c r="E3059" s="2">
        <f>IFERROR(__xludf.DUMMYFUNCTION("""COMPUTED_VALUE"""),1145.5)</f>
        <v>1145.5</v>
      </c>
      <c r="F3059" s="2">
        <f>IFERROR(__xludf.DUMMYFUNCTION("""COMPUTED_VALUE"""),1125838.0)</f>
        <v>1125838</v>
      </c>
    </row>
    <row r="3060">
      <c r="A3060" s="3">
        <f>IFERROR(__xludf.DUMMYFUNCTION("""COMPUTED_VALUE"""),42755.64583333333)</f>
        <v>42755.64583</v>
      </c>
      <c r="B3060" s="2">
        <f>IFERROR(__xludf.DUMMYFUNCTION("""COMPUTED_VALUE"""),1143.5)</f>
        <v>1143.5</v>
      </c>
      <c r="C3060" s="2">
        <f>IFERROR(__xludf.DUMMYFUNCTION("""COMPUTED_VALUE"""),1150.0)</f>
        <v>1150</v>
      </c>
      <c r="D3060" s="2">
        <f>IFERROR(__xludf.DUMMYFUNCTION("""COMPUTED_VALUE"""),1132.5)</f>
        <v>1132.5</v>
      </c>
      <c r="E3060" s="2">
        <f>IFERROR(__xludf.DUMMYFUNCTION("""COMPUTED_VALUE"""),1142.68)</f>
        <v>1142.68</v>
      </c>
      <c r="F3060" s="2">
        <f>IFERROR(__xludf.DUMMYFUNCTION("""COMPUTED_VALUE"""),1018623.0)</f>
        <v>1018623</v>
      </c>
    </row>
    <row r="3061">
      <c r="A3061" s="3">
        <f>IFERROR(__xludf.DUMMYFUNCTION("""COMPUTED_VALUE"""),42758.64583333333)</f>
        <v>42758.64583</v>
      </c>
      <c r="B3061" s="2">
        <f>IFERROR(__xludf.DUMMYFUNCTION("""COMPUTED_VALUE"""),1132.5)</f>
        <v>1132.5</v>
      </c>
      <c r="C3061" s="2">
        <f>IFERROR(__xludf.DUMMYFUNCTION("""COMPUTED_VALUE"""),1156.75)</f>
        <v>1156.75</v>
      </c>
      <c r="D3061" s="2">
        <f>IFERROR(__xludf.DUMMYFUNCTION("""COMPUTED_VALUE"""),1129.9)</f>
        <v>1129.9</v>
      </c>
      <c r="E3061" s="2">
        <f>IFERROR(__xludf.DUMMYFUNCTION("""COMPUTED_VALUE"""),1153.35)</f>
        <v>1153.35</v>
      </c>
      <c r="F3061" s="2">
        <f>IFERROR(__xludf.DUMMYFUNCTION("""COMPUTED_VALUE"""),1159273.0)</f>
        <v>1159273</v>
      </c>
    </row>
    <row r="3062">
      <c r="A3062" s="3">
        <f>IFERROR(__xludf.DUMMYFUNCTION("""COMPUTED_VALUE"""),42759.64583333333)</f>
        <v>42759.64583</v>
      </c>
      <c r="B3062" s="2">
        <f>IFERROR(__xludf.DUMMYFUNCTION("""COMPUTED_VALUE"""),1152.0)</f>
        <v>1152</v>
      </c>
      <c r="C3062" s="2">
        <f>IFERROR(__xludf.DUMMYFUNCTION("""COMPUTED_VALUE"""),1161.5)</f>
        <v>1161.5</v>
      </c>
      <c r="D3062" s="2">
        <f>IFERROR(__xludf.DUMMYFUNCTION("""COMPUTED_VALUE"""),1145.0)</f>
        <v>1145</v>
      </c>
      <c r="E3062" s="2">
        <f>IFERROR(__xludf.DUMMYFUNCTION("""COMPUTED_VALUE"""),1159.18)</f>
        <v>1159.18</v>
      </c>
      <c r="F3062" s="2">
        <f>IFERROR(__xludf.DUMMYFUNCTION("""COMPUTED_VALUE"""),1141319.0)</f>
        <v>1141319</v>
      </c>
    </row>
    <row r="3063">
      <c r="A3063" s="3">
        <f>IFERROR(__xludf.DUMMYFUNCTION("""COMPUTED_VALUE"""),42760.64583333333)</f>
        <v>42760.64583</v>
      </c>
      <c r="B3063" s="2">
        <f>IFERROR(__xludf.DUMMYFUNCTION("""COMPUTED_VALUE"""),1161.3)</f>
        <v>1161.3</v>
      </c>
      <c r="C3063" s="2">
        <f>IFERROR(__xludf.DUMMYFUNCTION("""COMPUTED_VALUE"""),1180.0)</f>
        <v>1180</v>
      </c>
      <c r="D3063" s="2">
        <f>IFERROR(__xludf.DUMMYFUNCTION("""COMPUTED_VALUE"""),1159.03)</f>
        <v>1159.03</v>
      </c>
      <c r="E3063" s="2">
        <f>IFERROR(__xludf.DUMMYFUNCTION("""COMPUTED_VALUE"""),1176.5)</f>
        <v>1176.5</v>
      </c>
      <c r="F3063" s="2">
        <f>IFERROR(__xludf.DUMMYFUNCTION("""COMPUTED_VALUE"""),2055824.0)</f>
        <v>2055824</v>
      </c>
    </row>
    <row r="3064">
      <c r="A3064" s="3">
        <f>IFERROR(__xludf.DUMMYFUNCTION("""COMPUTED_VALUE"""),42762.64583333333)</f>
        <v>42762.64583</v>
      </c>
      <c r="B3064" s="2">
        <f>IFERROR(__xludf.DUMMYFUNCTION("""COMPUTED_VALUE"""),1172.53)</f>
        <v>1172.53</v>
      </c>
      <c r="C3064" s="2">
        <f>IFERROR(__xludf.DUMMYFUNCTION("""COMPUTED_VALUE"""),1189.38)</f>
        <v>1189.38</v>
      </c>
      <c r="D3064" s="2">
        <f>IFERROR(__xludf.DUMMYFUNCTION("""COMPUTED_VALUE"""),1172.53)</f>
        <v>1172.53</v>
      </c>
      <c r="E3064" s="2">
        <f>IFERROR(__xludf.DUMMYFUNCTION("""COMPUTED_VALUE"""),1178.9)</f>
        <v>1178.9</v>
      </c>
      <c r="F3064" s="2">
        <f>IFERROR(__xludf.DUMMYFUNCTION("""COMPUTED_VALUE"""),1435829.0)</f>
        <v>1435829</v>
      </c>
    </row>
    <row r="3065">
      <c r="A3065" s="3">
        <f>IFERROR(__xludf.DUMMYFUNCTION("""COMPUTED_VALUE"""),42765.64583333333)</f>
        <v>42765.64583</v>
      </c>
      <c r="B3065" s="2">
        <f>IFERROR(__xludf.DUMMYFUNCTION("""COMPUTED_VALUE"""),1170.5)</f>
        <v>1170.5</v>
      </c>
      <c r="C3065" s="2">
        <f>IFERROR(__xludf.DUMMYFUNCTION("""COMPUTED_VALUE"""),1175.97)</f>
        <v>1175.97</v>
      </c>
      <c r="D3065" s="2">
        <f>IFERROR(__xludf.DUMMYFUNCTION("""COMPUTED_VALUE"""),1159.08)</f>
        <v>1159.08</v>
      </c>
      <c r="E3065" s="2">
        <f>IFERROR(__xludf.DUMMYFUNCTION("""COMPUTED_VALUE"""),1166.45)</f>
        <v>1166.45</v>
      </c>
      <c r="F3065" s="2">
        <f>IFERROR(__xludf.DUMMYFUNCTION("""COMPUTED_VALUE"""),1288978.0)</f>
        <v>1288978</v>
      </c>
    </row>
    <row r="3066">
      <c r="A3066" s="3">
        <f>IFERROR(__xludf.DUMMYFUNCTION("""COMPUTED_VALUE"""),42766.64583333333)</f>
        <v>42766.64583</v>
      </c>
      <c r="B3066" s="2">
        <f>IFERROR(__xludf.DUMMYFUNCTION("""COMPUTED_VALUE"""),1160.0)</f>
        <v>1160</v>
      </c>
      <c r="C3066" s="2">
        <f>IFERROR(__xludf.DUMMYFUNCTION("""COMPUTED_VALUE"""),1166.03)</f>
        <v>1166.03</v>
      </c>
      <c r="D3066" s="2">
        <f>IFERROR(__xludf.DUMMYFUNCTION("""COMPUTED_VALUE"""),1100.03)</f>
        <v>1100.03</v>
      </c>
      <c r="E3066" s="2">
        <f>IFERROR(__xludf.DUMMYFUNCTION("""COMPUTED_VALUE"""),1114.9)</f>
        <v>1114.9</v>
      </c>
      <c r="F3066" s="2">
        <f>IFERROR(__xludf.DUMMYFUNCTION("""COMPUTED_VALUE"""),2333402.0)</f>
        <v>2333402</v>
      </c>
    </row>
    <row r="3067">
      <c r="A3067" s="3">
        <f>IFERROR(__xludf.DUMMYFUNCTION("""COMPUTED_VALUE"""),42767.64583333333)</f>
        <v>42767.64583</v>
      </c>
      <c r="B3067" s="2">
        <f>IFERROR(__xludf.DUMMYFUNCTION("""COMPUTED_VALUE"""),1110.0)</f>
        <v>1110</v>
      </c>
      <c r="C3067" s="2">
        <f>IFERROR(__xludf.DUMMYFUNCTION("""COMPUTED_VALUE"""),1119.97)</f>
        <v>1119.97</v>
      </c>
      <c r="D3067" s="2">
        <f>IFERROR(__xludf.DUMMYFUNCTION("""COMPUTED_VALUE"""),1077.78)</f>
        <v>1077.78</v>
      </c>
      <c r="E3067" s="2">
        <f>IFERROR(__xludf.DUMMYFUNCTION("""COMPUTED_VALUE"""),1083.95)</f>
        <v>1083.95</v>
      </c>
      <c r="F3067" s="2">
        <f>IFERROR(__xludf.DUMMYFUNCTION("""COMPUTED_VALUE"""),2432076.0)</f>
        <v>2432076</v>
      </c>
    </row>
    <row r="3068">
      <c r="A3068" s="3">
        <f>IFERROR(__xludf.DUMMYFUNCTION("""COMPUTED_VALUE"""),42768.64583333333)</f>
        <v>42768.64583</v>
      </c>
      <c r="B3068" s="2">
        <f>IFERROR(__xludf.DUMMYFUNCTION("""COMPUTED_VALUE"""),1085.03)</f>
        <v>1085.03</v>
      </c>
      <c r="C3068" s="2">
        <f>IFERROR(__xludf.DUMMYFUNCTION("""COMPUTED_VALUE"""),1109.5)</f>
        <v>1109.5</v>
      </c>
      <c r="D3068" s="2">
        <f>IFERROR(__xludf.DUMMYFUNCTION("""COMPUTED_VALUE"""),1076.5)</f>
        <v>1076.5</v>
      </c>
      <c r="E3068" s="2">
        <f>IFERROR(__xludf.DUMMYFUNCTION("""COMPUTED_VALUE"""),1103.83)</f>
        <v>1103.83</v>
      </c>
      <c r="F3068" s="2">
        <f>IFERROR(__xludf.DUMMYFUNCTION("""COMPUTED_VALUE"""),3004741.0)</f>
        <v>3004741</v>
      </c>
    </row>
    <row r="3069">
      <c r="A3069" s="3">
        <f>IFERROR(__xludf.DUMMYFUNCTION("""COMPUTED_VALUE"""),42769.64583333333)</f>
        <v>42769.64583</v>
      </c>
      <c r="B3069" s="2">
        <f>IFERROR(__xludf.DUMMYFUNCTION("""COMPUTED_VALUE"""),1104.85)</f>
        <v>1104.85</v>
      </c>
      <c r="C3069" s="2">
        <f>IFERROR(__xludf.DUMMYFUNCTION("""COMPUTED_VALUE"""),1121.5)</f>
        <v>1121.5</v>
      </c>
      <c r="D3069" s="2">
        <f>IFERROR(__xludf.DUMMYFUNCTION("""COMPUTED_VALUE"""),1095.5)</f>
        <v>1095.5</v>
      </c>
      <c r="E3069" s="2">
        <f>IFERROR(__xludf.DUMMYFUNCTION("""COMPUTED_VALUE"""),1116.28)</f>
        <v>1116.28</v>
      </c>
      <c r="F3069" s="2">
        <f>IFERROR(__xludf.DUMMYFUNCTION("""COMPUTED_VALUE"""),1076686.0)</f>
        <v>1076686</v>
      </c>
    </row>
    <row r="3070">
      <c r="A3070" s="3">
        <f>IFERROR(__xludf.DUMMYFUNCTION("""COMPUTED_VALUE"""),42772.64583333333)</f>
        <v>42772.64583</v>
      </c>
      <c r="B3070" s="2">
        <f>IFERROR(__xludf.DUMMYFUNCTION("""COMPUTED_VALUE"""),1129.0)</f>
        <v>1129</v>
      </c>
      <c r="C3070" s="2">
        <f>IFERROR(__xludf.DUMMYFUNCTION("""COMPUTED_VALUE"""),1129.25)</f>
        <v>1129.25</v>
      </c>
      <c r="D3070" s="2">
        <f>IFERROR(__xludf.DUMMYFUNCTION("""COMPUTED_VALUE"""),1107.47)</f>
        <v>1107.47</v>
      </c>
      <c r="E3070" s="2">
        <f>IFERROR(__xludf.DUMMYFUNCTION("""COMPUTED_VALUE"""),1120.38)</f>
        <v>1120.38</v>
      </c>
      <c r="F3070" s="2">
        <f>IFERROR(__xludf.DUMMYFUNCTION("""COMPUTED_VALUE"""),1204455.0)</f>
        <v>1204455</v>
      </c>
    </row>
    <row r="3071">
      <c r="A3071" s="3">
        <f>IFERROR(__xludf.DUMMYFUNCTION("""COMPUTED_VALUE"""),42773.64583333333)</f>
        <v>42773.64583</v>
      </c>
      <c r="B3071" s="2">
        <f>IFERROR(__xludf.DUMMYFUNCTION("""COMPUTED_VALUE"""),1122.0)</f>
        <v>1122</v>
      </c>
      <c r="C3071" s="2">
        <f>IFERROR(__xludf.DUMMYFUNCTION("""COMPUTED_VALUE"""),1126.3)</f>
        <v>1126.3</v>
      </c>
      <c r="D3071" s="2">
        <f>IFERROR(__xludf.DUMMYFUNCTION("""COMPUTED_VALUE"""),1113.0)</f>
        <v>1113</v>
      </c>
      <c r="E3071" s="2">
        <f>IFERROR(__xludf.DUMMYFUNCTION("""COMPUTED_VALUE"""),1122.3)</f>
        <v>1122.3</v>
      </c>
      <c r="F3071" s="2">
        <f>IFERROR(__xludf.DUMMYFUNCTION("""COMPUTED_VALUE"""),907319.0)</f>
        <v>907319</v>
      </c>
    </row>
    <row r="3072">
      <c r="A3072" s="3">
        <f>IFERROR(__xludf.DUMMYFUNCTION("""COMPUTED_VALUE"""),42774.64583333333)</f>
        <v>42774.64583</v>
      </c>
      <c r="B3072" s="2">
        <f>IFERROR(__xludf.DUMMYFUNCTION("""COMPUTED_VALUE"""),1122.45)</f>
        <v>1122.45</v>
      </c>
      <c r="C3072" s="2">
        <f>IFERROR(__xludf.DUMMYFUNCTION("""COMPUTED_VALUE"""),1141.3)</f>
        <v>1141.3</v>
      </c>
      <c r="D3072" s="2">
        <f>IFERROR(__xludf.DUMMYFUNCTION("""COMPUTED_VALUE"""),1122.03)</f>
        <v>1122.03</v>
      </c>
      <c r="E3072" s="2">
        <f>IFERROR(__xludf.DUMMYFUNCTION("""COMPUTED_VALUE"""),1135.47)</f>
        <v>1135.47</v>
      </c>
      <c r="F3072" s="2">
        <f>IFERROR(__xludf.DUMMYFUNCTION("""COMPUTED_VALUE"""),1106292.0)</f>
        <v>1106292</v>
      </c>
    </row>
    <row r="3073">
      <c r="A3073" s="3">
        <f>IFERROR(__xludf.DUMMYFUNCTION("""COMPUTED_VALUE"""),42775.64583333333)</f>
        <v>42775.64583</v>
      </c>
      <c r="B3073" s="2">
        <f>IFERROR(__xludf.DUMMYFUNCTION("""COMPUTED_VALUE"""),1137.5)</f>
        <v>1137.5</v>
      </c>
      <c r="C3073" s="2">
        <f>IFERROR(__xludf.DUMMYFUNCTION("""COMPUTED_VALUE"""),1164.0)</f>
        <v>1164</v>
      </c>
      <c r="D3073" s="2">
        <f>IFERROR(__xludf.DUMMYFUNCTION("""COMPUTED_VALUE"""),1135.1)</f>
        <v>1135.1</v>
      </c>
      <c r="E3073" s="2">
        <f>IFERROR(__xludf.DUMMYFUNCTION("""COMPUTED_VALUE"""),1158.65)</f>
        <v>1158.65</v>
      </c>
      <c r="F3073" s="2">
        <f>IFERROR(__xludf.DUMMYFUNCTION("""COMPUTED_VALUE"""),2016601.0)</f>
        <v>2016601</v>
      </c>
    </row>
    <row r="3074">
      <c r="A3074" s="3">
        <f>IFERROR(__xludf.DUMMYFUNCTION("""COMPUTED_VALUE"""),42776.64583333333)</f>
        <v>42776.64583</v>
      </c>
      <c r="B3074" s="2">
        <f>IFERROR(__xludf.DUMMYFUNCTION("""COMPUTED_VALUE"""),1155.5)</f>
        <v>1155.5</v>
      </c>
      <c r="C3074" s="2">
        <f>IFERROR(__xludf.DUMMYFUNCTION("""COMPUTED_VALUE"""),1212.22)</f>
        <v>1212.22</v>
      </c>
      <c r="D3074" s="2">
        <f>IFERROR(__xludf.DUMMYFUNCTION("""COMPUTED_VALUE"""),1155.5)</f>
        <v>1155.5</v>
      </c>
      <c r="E3074" s="2">
        <f>IFERROR(__xludf.DUMMYFUNCTION("""COMPUTED_VALUE"""),1198.97)</f>
        <v>1198.97</v>
      </c>
      <c r="F3074" s="2">
        <f>IFERROR(__xludf.DUMMYFUNCTION("""COMPUTED_VALUE"""),2891080.0)</f>
        <v>2891080</v>
      </c>
    </row>
    <row r="3075">
      <c r="A3075" s="3">
        <f>IFERROR(__xludf.DUMMYFUNCTION("""COMPUTED_VALUE"""),42779.64583333333)</f>
        <v>42779.64583</v>
      </c>
      <c r="B3075" s="2">
        <f>IFERROR(__xludf.DUMMYFUNCTION("""COMPUTED_VALUE"""),1198.0)</f>
        <v>1198</v>
      </c>
      <c r="C3075" s="2">
        <f>IFERROR(__xludf.DUMMYFUNCTION("""COMPUTED_VALUE"""),1214.5)</f>
        <v>1214.5</v>
      </c>
      <c r="D3075" s="2">
        <f>IFERROR(__xludf.DUMMYFUNCTION("""COMPUTED_VALUE"""),1191.18)</f>
        <v>1191.18</v>
      </c>
      <c r="E3075" s="2">
        <f>IFERROR(__xludf.DUMMYFUNCTION("""COMPUTED_VALUE"""),1207.13)</f>
        <v>1207.13</v>
      </c>
      <c r="F3075" s="2">
        <f>IFERROR(__xludf.DUMMYFUNCTION("""COMPUTED_VALUE"""),1909906.0)</f>
        <v>1909906</v>
      </c>
    </row>
    <row r="3076">
      <c r="A3076" s="3">
        <f>IFERROR(__xludf.DUMMYFUNCTION("""COMPUTED_VALUE"""),42780.64583333333)</f>
        <v>42780.64583</v>
      </c>
      <c r="B3076" s="2">
        <f>IFERROR(__xludf.DUMMYFUNCTION("""COMPUTED_VALUE"""),1209.83)</f>
        <v>1209.83</v>
      </c>
      <c r="C3076" s="2">
        <f>IFERROR(__xludf.DUMMYFUNCTION("""COMPUTED_VALUE"""),1209.83)</f>
        <v>1209.83</v>
      </c>
      <c r="D3076" s="2">
        <f>IFERROR(__xludf.DUMMYFUNCTION("""COMPUTED_VALUE"""),1199.0)</f>
        <v>1199</v>
      </c>
      <c r="E3076" s="2">
        <f>IFERROR(__xludf.DUMMYFUNCTION("""COMPUTED_VALUE"""),1203.13)</f>
        <v>1203.13</v>
      </c>
      <c r="F3076" s="2">
        <f>IFERROR(__xludf.DUMMYFUNCTION("""COMPUTED_VALUE"""),1016664.0)</f>
        <v>1016664</v>
      </c>
    </row>
    <row r="3077">
      <c r="A3077" s="3">
        <f>IFERROR(__xludf.DUMMYFUNCTION("""COMPUTED_VALUE"""),42781.64583333333)</f>
        <v>42781.64583</v>
      </c>
      <c r="B3077" s="2">
        <f>IFERROR(__xludf.DUMMYFUNCTION("""COMPUTED_VALUE"""),1198.5)</f>
        <v>1198.5</v>
      </c>
      <c r="C3077" s="2">
        <f>IFERROR(__xludf.DUMMYFUNCTION("""COMPUTED_VALUE"""),1214.0)</f>
        <v>1214</v>
      </c>
      <c r="D3077" s="2">
        <f>IFERROR(__xludf.DUMMYFUNCTION("""COMPUTED_VALUE"""),1187.55)</f>
        <v>1187.55</v>
      </c>
      <c r="E3077" s="2">
        <f>IFERROR(__xludf.DUMMYFUNCTION("""COMPUTED_VALUE"""),1206.85)</f>
        <v>1206.85</v>
      </c>
      <c r="F3077" s="2">
        <f>IFERROR(__xludf.DUMMYFUNCTION("""COMPUTED_VALUE"""),962486.0)</f>
        <v>962486</v>
      </c>
    </row>
    <row r="3078">
      <c r="A3078" s="3">
        <f>IFERROR(__xludf.DUMMYFUNCTION("""COMPUTED_VALUE"""),42782.64583333333)</f>
        <v>42782.64583</v>
      </c>
      <c r="B3078" s="2">
        <f>IFERROR(__xludf.DUMMYFUNCTION("""COMPUTED_VALUE"""),1230.0)</f>
        <v>1230</v>
      </c>
      <c r="C3078" s="2">
        <f>IFERROR(__xludf.DUMMYFUNCTION("""COMPUTED_VALUE"""),1239.0)</f>
        <v>1239</v>
      </c>
      <c r="D3078" s="2">
        <f>IFERROR(__xludf.DUMMYFUNCTION("""COMPUTED_VALUE"""),1217.8)</f>
        <v>1217.8</v>
      </c>
      <c r="E3078" s="2">
        <f>IFERROR(__xludf.DUMMYFUNCTION("""COMPUTED_VALUE"""),1223.88)</f>
        <v>1223.88</v>
      </c>
      <c r="F3078" s="2">
        <f>IFERROR(__xludf.DUMMYFUNCTION("""COMPUTED_VALUE"""),2087840.0)</f>
        <v>2087840</v>
      </c>
    </row>
    <row r="3079">
      <c r="A3079" s="3">
        <f>IFERROR(__xludf.DUMMYFUNCTION("""COMPUTED_VALUE"""),42783.64583333333)</f>
        <v>42783.64583</v>
      </c>
      <c r="B3079" s="2">
        <f>IFERROR(__xludf.DUMMYFUNCTION("""COMPUTED_VALUE"""),1236.0)</f>
        <v>1236</v>
      </c>
      <c r="C3079" s="2">
        <f>IFERROR(__xludf.DUMMYFUNCTION("""COMPUTED_VALUE"""),1237.8)</f>
        <v>1237.8</v>
      </c>
      <c r="D3079" s="2">
        <f>IFERROR(__xludf.DUMMYFUNCTION("""COMPUTED_VALUE"""),1201.0)</f>
        <v>1201</v>
      </c>
      <c r="E3079" s="2">
        <f>IFERROR(__xludf.DUMMYFUNCTION("""COMPUTED_VALUE"""),1203.95)</f>
        <v>1203.95</v>
      </c>
      <c r="F3079" s="2">
        <f>IFERROR(__xludf.DUMMYFUNCTION("""COMPUTED_VALUE"""),1361662.0)</f>
        <v>1361662</v>
      </c>
    </row>
    <row r="3080">
      <c r="A3080" s="3">
        <f>IFERROR(__xludf.DUMMYFUNCTION("""COMPUTED_VALUE"""),42786.64583333333)</f>
        <v>42786.64583</v>
      </c>
      <c r="B3080" s="2">
        <f>IFERROR(__xludf.DUMMYFUNCTION("""COMPUTED_VALUE"""),1212.5)</f>
        <v>1212.5</v>
      </c>
      <c r="C3080" s="2">
        <f>IFERROR(__xludf.DUMMYFUNCTION("""COMPUTED_VALUE"""),1277.5)</f>
        <v>1277.5</v>
      </c>
      <c r="D3080" s="2">
        <f>IFERROR(__xludf.DUMMYFUNCTION("""COMPUTED_VALUE"""),1204.05)</f>
        <v>1204.05</v>
      </c>
      <c r="E3080" s="2">
        <f>IFERROR(__xludf.DUMMYFUNCTION("""COMPUTED_VALUE"""),1251.1)</f>
        <v>1251.1</v>
      </c>
      <c r="F3080" s="2">
        <f>IFERROR(__xludf.DUMMYFUNCTION("""COMPUTED_VALUE"""),1986974.0)</f>
        <v>1986974</v>
      </c>
    </row>
    <row r="3081">
      <c r="A3081" s="3">
        <f>IFERROR(__xludf.DUMMYFUNCTION("""COMPUTED_VALUE"""),42787.64583333333)</f>
        <v>42787.64583</v>
      </c>
      <c r="B3081" s="2">
        <f>IFERROR(__xludf.DUMMYFUNCTION("""COMPUTED_VALUE"""),1257.0)</f>
        <v>1257</v>
      </c>
      <c r="C3081" s="2">
        <f>IFERROR(__xludf.DUMMYFUNCTION("""COMPUTED_VALUE"""),1262.95)</f>
        <v>1262.95</v>
      </c>
      <c r="D3081" s="2">
        <f>IFERROR(__xludf.DUMMYFUNCTION("""COMPUTED_VALUE"""),1227.58)</f>
        <v>1227.58</v>
      </c>
      <c r="E3081" s="2">
        <f>IFERROR(__xludf.DUMMYFUNCTION("""COMPUTED_VALUE"""),1232.68)</f>
        <v>1232.68</v>
      </c>
      <c r="F3081" s="2">
        <f>IFERROR(__xludf.DUMMYFUNCTION("""COMPUTED_VALUE"""),2750556.0)</f>
        <v>2750556</v>
      </c>
    </row>
    <row r="3082">
      <c r="A3082" s="3">
        <f>IFERROR(__xludf.DUMMYFUNCTION("""COMPUTED_VALUE"""),42788.64583333333)</f>
        <v>42788.64583</v>
      </c>
      <c r="B3082" s="2">
        <f>IFERROR(__xludf.DUMMYFUNCTION("""COMPUTED_VALUE"""),1232.95)</f>
        <v>1232.95</v>
      </c>
      <c r="C3082" s="2">
        <f>IFERROR(__xludf.DUMMYFUNCTION("""COMPUTED_VALUE"""),1235.0)</f>
        <v>1235</v>
      </c>
      <c r="D3082" s="2">
        <f>IFERROR(__xludf.DUMMYFUNCTION("""COMPUTED_VALUE"""),1200.08)</f>
        <v>1200.08</v>
      </c>
      <c r="E3082" s="2">
        <f>IFERROR(__xludf.DUMMYFUNCTION("""COMPUTED_VALUE"""),1205.75)</f>
        <v>1205.75</v>
      </c>
      <c r="F3082" s="2">
        <f>IFERROR(__xludf.DUMMYFUNCTION("""COMPUTED_VALUE"""),2252748.0)</f>
        <v>2252748</v>
      </c>
    </row>
    <row r="3083">
      <c r="A3083" s="3">
        <f>IFERROR(__xludf.DUMMYFUNCTION("""COMPUTED_VALUE"""),42789.64583333333)</f>
        <v>42789.64583</v>
      </c>
      <c r="B3083" s="2">
        <f>IFERROR(__xludf.DUMMYFUNCTION("""COMPUTED_VALUE"""),1207.5)</f>
        <v>1207.5</v>
      </c>
      <c r="C3083" s="2">
        <f>IFERROR(__xludf.DUMMYFUNCTION("""COMPUTED_VALUE"""),1246.63)</f>
        <v>1246.63</v>
      </c>
      <c r="D3083" s="2">
        <f>IFERROR(__xludf.DUMMYFUNCTION("""COMPUTED_VALUE"""),1207.5)</f>
        <v>1207.5</v>
      </c>
      <c r="E3083" s="2">
        <f>IFERROR(__xludf.DUMMYFUNCTION("""COMPUTED_VALUE"""),1240.9)</f>
        <v>1240.9</v>
      </c>
      <c r="F3083" s="2">
        <f>IFERROR(__xludf.DUMMYFUNCTION("""COMPUTED_VALUE"""),2426676.0)</f>
        <v>2426676</v>
      </c>
    </row>
    <row r="3084">
      <c r="A3084" s="3">
        <f>IFERROR(__xludf.DUMMYFUNCTION("""COMPUTED_VALUE"""),42793.64583333333)</f>
        <v>42793.64583</v>
      </c>
      <c r="B3084" s="2">
        <f>IFERROR(__xludf.DUMMYFUNCTION("""COMPUTED_VALUE"""),1239.55)</f>
        <v>1239.55</v>
      </c>
      <c r="C3084" s="2">
        <f>IFERROR(__xludf.DUMMYFUNCTION("""COMPUTED_VALUE"""),1251.0)</f>
        <v>1251</v>
      </c>
      <c r="D3084" s="2">
        <f>IFERROR(__xludf.DUMMYFUNCTION("""COMPUTED_VALUE"""),1235.03)</f>
        <v>1235.03</v>
      </c>
      <c r="E3084" s="2">
        <f>IFERROR(__xludf.DUMMYFUNCTION("""COMPUTED_VALUE"""),1244.93)</f>
        <v>1244.93</v>
      </c>
      <c r="F3084" s="2">
        <f>IFERROR(__xludf.DUMMYFUNCTION("""COMPUTED_VALUE"""),1069946.0)</f>
        <v>1069946</v>
      </c>
    </row>
    <row r="3085">
      <c r="A3085" s="3">
        <f>IFERROR(__xludf.DUMMYFUNCTION("""COMPUTED_VALUE"""),42794.64583333333)</f>
        <v>42794.64583</v>
      </c>
      <c r="B3085" s="2">
        <f>IFERROR(__xludf.DUMMYFUNCTION("""COMPUTED_VALUE"""),1244.75)</f>
        <v>1244.75</v>
      </c>
      <c r="C3085" s="2">
        <f>IFERROR(__xludf.DUMMYFUNCTION("""COMPUTED_VALUE"""),1245.0)</f>
        <v>1245</v>
      </c>
      <c r="D3085" s="2">
        <f>IFERROR(__xludf.DUMMYFUNCTION("""COMPUTED_VALUE"""),1225.0)</f>
        <v>1225</v>
      </c>
      <c r="E3085" s="2">
        <f>IFERROR(__xludf.DUMMYFUNCTION("""COMPUTED_VALUE"""),1233.13)</f>
        <v>1233.13</v>
      </c>
      <c r="F3085" s="2">
        <f>IFERROR(__xludf.DUMMYFUNCTION("""COMPUTED_VALUE"""),1177414.0)</f>
        <v>1177414</v>
      </c>
    </row>
    <row r="3086">
      <c r="A3086" s="3">
        <f>IFERROR(__xludf.DUMMYFUNCTION("""COMPUTED_VALUE"""),42795.64583333333)</f>
        <v>42795.64583</v>
      </c>
      <c r="B3086" s="2">
        <f>IFERROR(__xludf.DUMMYFUNCTION("""COMPUTED_VALUE"""),1239.95)</f>
        <v>1239.95</v>
      </c>
      <c r="C3086" s="2">
        <f>IFERROR(__xludf.DUMMYFUNCTION("""COMPUTED_VALUE"""),1250.95)</f>
        <v>1250.95</v>
      </c>
      <c r="D3086" s="2">
        <f>IFERROR(__xludf.DUMMYFUNCTION("""COMPUTED_VALUE"""),1235.0)</f>
        <v>1235</v>
      </c>
      <c r="E3086" s="2">
        <f>IFERROR(__xludf.DUMMYFUNCTION("""COMPUTED_VALUE"""),1239.78)</f>
        <v>1239.78</v>
      </c>
      <c r="F3086" s="2">
        <f>IFERROR(__xludf.DUMMYFUNCTION("""COMPUTED_VALUE"""),565187.0)</f>
        <v>565187</v>
      </c>
    </row>
    <row r="3087">
      <c r="A3087" s="3">
        <f>IFERROR(__xludf.DUMMYFUNCTION("""COMPUTED_VALUE"""),42796.64583333333)</f>
        <v>42796.64583</v>
      </c>
      <c r="B3087" s="2">
        <f>IFERROR(__xludf.DUMMYFUNCTION("""COMPUTED_VALUE"""),1243.35)</f>
        <v>1243.35</v>
      </c>
      <c r="C3087" s="2">
        <f>IFERROR(__xludf.DUMMYFUNCTION("""COMPUTED_VALUE"""),1255.0)</f>
        <v>1255</v>
      </c>
      <c r="D3087" s="2">
        <f>IFERROR(__xludf.DUMMYFUNCTION("""COMPUTED_VALUE"""),1235.03)</f>
        <v>1235.03</v>
      </c>
      <c r="E3087" s="2">
        <f>IFERROR(__xludf.DUMMYFUNCTION("""COMPUTED_VALUE"""),1250.72)</f>
        <v>1250.72</v>
      </c>
      <c r="F3087" s="2">
        <f>IFERROR(__xludf.DUMMYFUNCTION("""COMPUTED_VALUE"""),772471.0)</f>
        <v>772471</v>
      </c>
    </row>
    <row r="3088">
      <c r="A3088" s="3">
        <f>IFERROR(__xludf.DUMMYFUNCTION("""COMPUTED_VALUE"""),42797.64583333333)</f>
        <v>42797.64583</v>
      </c>
      <c r="B3088" s="2">
        <f>IFERROR(__xludf.DUMMYFUNCTION("""COMPUTED_VALUE"""),1246.0)</f>
        <v>1246</v>
      </c>
      <c r="C3088" s="2">
        <f>IFERROR(__xludf.DUMMYFUNCTION("""COMPUTED_VALUE"""),1249.85)</f>
        <v>1249.85</v>
      </c>
      <c r="D3088" s="2">
        <f>IFERROR(__xludf.DUMMYFUNCTION("""COMPUTED_VALUE"""),1237.7)</f>
        <v>1237.7</v>
      </c>
      <c r="E3088" s="2">
        <f>IFERROR(__xludf.DUMMYFUNCTION("""COMPUTED_VALUE"""),1247.03)</f>
        <v>1247.03</v>
      </c>
      <c r="F3088" s="2">
        <f>IFERROR(__xludf.DUMMYFUNCTION("""COMPUTED_VALUE"""),506985.0)</f>
        <v>506985</v>
      </c>
    </row>
    <row r="3089">
      <c r="A3089" s="3">
        <f>IFERROR(__xludf.DUMMYFUNCTION("""COMPUTED_VALUE"""),42800.64583333333)</f>
        <v>42800.64583</v>
      </c>
      <c r="B3089" s="2">
        <f>IFERROR(__xludf.DUMMYFUNCTION("""COMPUTED_VALUE"""),1240.0)</f>
        <v>1240</v>
      </c>
      <c r="C3089" s="2">
        <f>IFERROR(__xludf.DUMMYFUNCTION("""COMPUTED_VALUE"""),1242.0)</f>
        <v>1242</v>
      </c>
      <c r="D3089" s="2">
        <f>IFERROR(__xludf.DUMMYFUNCTION("""COMPUTED_VALUE"""),1227.28)</f>
        <v>1227.28</v>
      </c>
      <c r="E3089" s="2">
        <f>IFERROR(__xludf.DUMMYFUNCTION("""COMPUTED_VALUE"""),1236.25)</f>
        <v>1236.25</v>
      </c>
      <c r="F3089" s="2">
        <f>IFERROR(__xludf.DUMMYFUNCTION("""COMPUTED_VALUE"""),700347.0)</f>
        <v>700347</v>
      </c>
    </row>
    <row r="3090">
      <c r="A3090" s="3">
        <f>IFERROR(__xludf.DUMMYFUNCTION("""COMPUTED_VALUE"""),42801.64583333333)</f>
        <v>42801.64583</v>
      </c>
      <c r="B3090" s="2">
        <f>IFERROR(__xludf.DUMMYFUNCTION("""COMPUTED_VALUE"""),1241.45)</f>
        <v>1241.45</v>
      </c>
      <c r="C3090" s="2">
        <f>IFERROR(__xludf.DUMMYFUNCTION("""COMPUTED_VALUE"""),1252.5)</f>
        <v>1252.5</v>
      </c>
      <c r="D3090" s="2">
        <f>IFERROR(__xludf.DUMMYFUNCTION("""COMPUTED_VALUE"""),1237.53)</f>
        <v>1237.53</v>
      </c>
      <c r="E3090" s="2">
        <f>IFERROR(__xludf.DUMMYFUNCTION("""COMPUTED_VALUE"""),1249.9)</f>
        <v>1249.9</v>
      </c>
      <c r="F3090" s="2">
        <f>IFERROR(__xludf.DUMMYFUNCTION("""COMPUTED_VALUE"""),755836.0)</f>
        <v>755836</v>
      </c>
    </row>
    <row r="3091">
      <c r="A3091" s="3">
        <f>IFERROR(__xludf.DUMMYFUNCTION("""COMPUTED_VALUE"""),42802.64583333333)</f>
        <v>42802.64583</v>
      </c>
      <c r="B3091" s="2">
        <f>IFERROR(__xludf.DUMMYFUNCTION("""COMPUTED_VALUE"""),1251.0)</f>
        <v>1251</v>
      </c>
      <c r="C3091" s="2">
        <f>IFERROR(__xludf.DUMMYFUNCTION("""COMPUTED_VALUE"""),1260.0)</f>
        <v>1260</v>
      </c>
      <c r="D3091" s="2">
        <f>IFERROR(__xludf.DUMMYFUNCTION("""COMPUTED_VALUE"""),1246.1)</f>
        <v>1246.1</v>
      </c>
      <c r="E3091" s="2">
        <f>IFERROR(__xludf.DUMMYFUNCTION("""COMPUTED_VALUE"""),1256.1)</f>
        <v>1256.1</v>
      </c>
      <c r="F3091" s="2">
        <f>IFERROR(__xludf.DUMMYFUNCTION("""COMPUTED_VALUE"""),895755.0)</f>
        <v>895755</v>
      </c>
    </row>
    <row r="3092">
      <c r="A3092" s="3">
        <f>IFERROR(__xludf.DUMMYFUNCTION("""COMPUTED_VALUE"""),42803.64583333333)</f>
        <v>42803.64583</v>
      </c>
      <c r="B3092" s="2">
        <f>IFERROR(__xludf.DUMMYFUNCTION("""COMPUTED_VALUE"""),1257.08)</f>
        <v>1257.08</v>
      </c>
      <c r="C3092" s="2">
        <f>IFERROR(__xludf.DUMMYFUNCTION("""COMPUTED_VALUE"""),1262.0)</f>
        <v>1262</v>
      </c>
      <c r="D3092" s="2">
        <f>IFERROR(__xludf.DUMMYFUNCTION("""COMPUTED_VALUE"""),1252.03)</f>
        <v>1252.03</v>
      </c>
      <c r="E3092" s="2">
        <f>IFERROR(__xludf.DUMMYFUNCTION("""COMPUTED_VALUE"""),1259.88)</f>
        <v>1259.88</v>
      </c>
      <c r="F3092" s="2">
        <f>IFERROR(__xludf.DUMMYFUNCTION("""COMPUTED_VALUE"""),429234.0)</f>
        <v>429234</v>
      </c>
    </row>
    <row r="3093">
      <c r="A3093" s="3">
        <f>IFERROR(__xludf.DUMMYFUNCTION("""COMPUTED_VALUE"""),42804.64583333333)</f>
        <v>42804.64583</v>
      </c>
      <c r="B3093" s="2">
        <f>IFERROR(__xludf.DUMMYFUNCTION("""COMPUTED_VALUE"""),1259.8)</f>
        <v>1259.8</v>
      </c>
      <c r="C3093" s="2">
        <f>IFERROR(__xludf.DUMMYFUNCTION("""COMPUTED_VALUE"""),1274.78)</f>
        <v>1274.78</v>
      </c>
      <c r="D3093" s="2">
        <f>IFERROR(__xludf.DUMMYFUNCTION("""COMPUTED_VALUE"""),1256.97)</f>
        <v>1256.97</v>
      </c>
      <c r="E3093" s="2">
        <f>IFERROR(__xludf.DUMMYFUNCTION("""COMPUTED_VALUE"""),1271.13)</f>
        <v>1271.13</v>
      </c>
      <c r="F3093" s="2">
        <f>IFERROR(__xludf.DUMMYFUNCTION("""COMPUTED_VALUE"""),585710.0)</f>
        <v>585710</v>
      </c>
    </row>
    <row r="3094">
      <c r="A3094" s="3">
        <f>IFERROR(__xludf.DUMMYFUNCTION("""COMPUTED_VALUE"""),42808.64583333333)</f>
        <v>42808.64583</v>
      </c>
      <c r="B3094" s="2">
        <f>IFERROR(__xludf.DUMMYFUNCTION("""COMPUTED_VALUE"""),1278.4)</f>
        <v>1278.4</v>
      </c>
      <c r="C3094" s="2">
        <f>IFERROR(__xludf.DUMMYFUNCTION("""COMPUTED_VALUE"""),1293.58)</f>
        <v>1293.58</v>
      </c>
      <c r="D3094" s="2">
        <f>IFERROR(__xludf.DUMMYFUNCTION("""COMPUTED_VALUE"""),1275.53)</f>
        <v>1275.53</v>
      </c>
      <c r="E3094" s="2">
        <f>IFERROR(__xludf.DUMMYFUNCTION("""COMPUTED_VALUE"""),1283.75)</f>
        <v>1283.75</v>
      </c>
      <c r="F3094" s="2">
        <f>IFERROR(__xludf.DUMMYFUNCTION("""COMPUTED_VALUE"""),1701147.0)</f>
        <v>1701147</v>
      </c>
    </row>
    <row r="3095">
      <c r="A3095" s="3">
        <f>IFERROR(__xludf.DUMMYFUNCTION("""COMPUTED_VALUE"""),42809.64583333333)</f>
        <v>42809.64583</v>
      </c>
      <c r="B3095" s="2">
        <f>IFERROR(__xludf.DUMMYFUNCTION("""COMPUTED_VALUE"""),1286.0)</f>
        <v>1286</v>
      </c>
      <c r="C3095" s="2">
        <f>IFERROR(__xludf.DUMMYFUNCTION("""COMPUTED_VALUE"""),1286.08)</f>
        <v>1286.08</v>
      </c>
      <c r="D3095" s="2">
        <f>IFERROR(__xludf.DUMMYFUNCTION("""COMPUTED_VALUE"""),1246.93)</f>
        <v>1246.93</v>
      </c>
      <c r="E3095" s="2">
        <f>IFERROR(__xludf.DUMMYFUNCTION("""COMPUTED_VALUE"""),1249.15)</f>
        <v>1249.15</v>
      </c>
      <c r="F3095" s="2">
        <f>IFERROR(__xludf.DUMMYFUNCTION("""COMPUTED_VALUE"""),1511248.0)</f>
        <v>1511248</v>
      </c>
    </row>
    <row r="3096">
      <c r="A3096" s="3">
        <f>IFERROR(__xludf.DUMMYFUNCTION("""COMPUTED_VALUE"""),42810.64583333333)</f>
        <v>42810.64583</v>
      </c>
      <c r="B3096" s="2">
        <f>IFERROR(__xludf.DUMMYFUNCTION("""COMPUTED_VALUE"""),1253.0)</f>
        <v>1253</v>
      </c>
      <c r="C3096" s="2">
        <f>IFERROR(__xludf.DUMMYFUNCTION("""COMPUTED_VALUE"""),1263.5)</f>
        <v>1263.5</v>
      </c>
      <c r="D3096" s="2">
        <f>IFERROR(__xludf.DUMMYFUNCTION("""COMPUTED_VALUE"""),1253.0)</f>
        <v>1253</v>
      </c>
      <c r="E3096" s="2">
        <f>IFERROR(__xludf.DUMMYFUNCTION("""COMPUTED_VALUE"""),1260.45)</f>
        <v>1260.45</v>
      </c>
      <c r="F3096" s="2">
        <f>IFERROR(__xludf.DUMMYFUNCTION("""COMPUTED_VALUE"""),785909.0)</f>
        <v>785909</v>
      </c>
    </row>
    <row r="3097">
      <c r="A3097" s="3">
        <f>IFERROR(__xludf.DUMMYFUNCTION("""COMPUTED_VALUE"""),42811.64583333333)</f>
        <v>42811.64583</v>
      </c>
      <c r="B3097" s="2">
        <f>IFERROR(__xludf.DUMMYFUNCTION("""COMPUTED_VALUE"""),1273.0)</f>
        <v>1273</v>
      </c>
      <c r="C3097" s="2">
        <f>IFERROR(__xludf.DUMMYFUNCTION("""COMPUTED_VALUE"""),1273.0)</f>
        <v>1273</v>
      </c>
      <c r="D3097" s="2">
        <f>IFERROR(__xludf.DUMMYFUNCTION("""COMPUTED_VALUE"""),1254.88)</f>
        <v>1254.88</v>
      </c>
      <c r="E3097" s="2">
        <f>IFERROR(__xludf.DUMMYFUNCTION("""COMPUTED_VALUE"""),1262.88)</f>
        <v>1262.88</v>
      </c>
      <c r="F3097" s="2">
        <f>IFERROR(__xludf.DUMMYFUNCTION("""COMPUTED_VALUE"""),1296576.0)</f>
        <v>1296576</v>
      </c>
    </row>
    <row r="3098">
      <c r="A3098" s="3">
        <f>IFERROR(__xludf.DUMMYFUNCTION("""COMPUTED_VALUE"""),42814.64583333333)</f>
        <v>42814.64583</v>
      </c>
      <c r="B3098" s="2">
        <f>IFERROR(__xludf.DUMMYFUNCTION("""COMPUTED_VALUE"""),1262.97)</f>
        <v>1262.97</v>
      </c>
      <c r="C3098" s="2">
        <f>IFERROR(__xludf.DUMMYFUNCTION("""COMPUTED_VALUE"""),1262.97)</f>
        <v>1262.97</v>
      </c>
      <c r="D3098" s="2">
        <f>IFERROR(__xludf.DUMMYFUNCTION("""COMPUTED_VALUE"""),1233.0)</f>
        <v>1233</v>
      </c>
      <c r="E3098" s="2">
        <f>IFERROR(__xludf.DUMMYFUNCTION("""COMPUTED_VALUE"""),1240.0)</f>
        <v>1240</v>
      </c>
      <c r="F3098" s="2">
        <f>IFERROR(__xludf.DUMMYFUNCTION("""COMPUTED_VALUE"""),1743770.0)</f>
        <v>1743770</v>
      </c>
    </row>
    <row r="3099">
      <c r="A3099" s="3">
        <f>IFERROR(__xludf.DUMMYFUNCTION("""COMPUTED_VALUE"""),42815.64583333333)</f>
        <v>42815.64583</v>
      </c>
      <c r="B3099" s="2">
        <f>IFERROR(__xludf.DUMMYFUNCTION("""COMPUTED_VALUE"""),1241.0)</f>
        <v>1241</v>
      </c>
      <c r="C3099" s="2">
        <f>IFERROR(__xludf.DUMMYFUNCTION("""COMPUTED_VALUE"""),1246.0)</f>
        <v>1246</v>
      </c>
      <c r="D3099" s="2">
        <f>IFERROR(__xludf.DUMMYFUNCTION("""COMPUTED_VALUE"""),1232.5)</f>
        <v>1232.5</v>
      </c>
      <c r="E3099" s="2">
        <f>IFERROR(__xludf.DUMMYFUNCTION("""COMPUTED_VALUE"""),1243.35)</f>
        <v>1243.35</v>
      </c>
      <c r="F3099" s="2">
        <f>IFERROR(__xludf.DUMMYFUNCTION("""COMPUTED_VALUE"""),1686850.0)</f>
        <v>1686850</v>
      </c>
    </row>
    <row r="3100">
      <c r="A3100" s="3">
        <f>IFERROR(__xludf.DUMMYFUNCTION("""COMPUTED_VALUE"""),42816.64583333333)</f>
        <v>42816.64583</v>
      </c>
      <c r="B3100" s="2">
        <f>IFERROR(__xludf.DUMMYFUNCTION("""COMPUTED_VALUE"""),1240.08)</f>
        <v>1240.08</v>
      </c>
      <c r="C3100" s="2">
        <f>IFERROR(__xludf.DUMMYFUNCTION("""COMPUTED_VALUE"""),1248.0)</f>
        <v>1248</v>
      </c>
      <c r="D3100" s="2">
        <f>IFERROR(__xludf.DUMMYFUNCTION("""COMPUTED_VALUE"""),1234.97)</f>
        <v>1234.97</v>
      </c>
      <c r="E3100" s="2">
        <f>IFERROR(__xludf.DUMMYFUNCTION("""COMPUTED_VALUE"""),1239.47)</f>
        <v>1239.47</v>
      </c>
      <c r="F3100" s="2">
        <f>IFERROR(__xludf.DUMMYFUNCTION("""COMPUTED_VALUE"""),944358.0)</f>
        <v>944358</v>
      </c>
    </row>
    <row r="3101">
      <c r="A3101" s="3">
        <f>IFERROR(__xludf.DUMMYFUNCTION("""COMPUTED_VALUE"""),42817.64583333333)</f>
        <v>42817.64583</v>
      </c>
      <c r="B3101" s="2">
        <f>IFERROR(__xludf.DUMMYFUNCTION("""COMPUTED_VALUE"""),1241.0)</f>
        <v>1241</v>
      </c>
      <c r="C3101" s="2">
        <f>IFERROR(__xludf.DUMMYFUNCTION("""COMPUTED_VALUE"""),1242.53)</f>
        <v>1242.53</v>
      </c>
      <c r="D3101" s="2">
        <f>IFERROR(__xludf.DUMMYFUNCTION("""COMPUTED_VALUE"""),1223.6)</f>
        <v>1223.6</v>
      </c>
      <c r="E3101" s="2">
        <f>IFERROR(__xludf.DUMMYFUNCTION("""COMPUTED_VALUE"""),1230.18)</f>
        <v>1230.18</v>
      </c>
      <c r="F3101" s="2">
        <f>IFERROR(__xludf.DUMMYFUNCTION("""COMPUTED_VALUE"""),1310319.0)</f>
        <v>1310319</v>
      </c>
    </row>
    <row r="3102">
      <c r="A3102" s="3">
        <f>IFERROR(__xludf.DUMMYFUNCTION("""COMPUTED_VALUE"""),42818.64583333333)</f>
        <v>42818.64583</v>
      </c>
      <c r="B3102" s="2">
        <f>IFERROR(__xludf.DUMMYFUNCTION("""COMPUTED_VALUE"""),1234.9)</f>
        <v>1234.9</v>
      </c>
      <c r="C3102" s="2">
        <f>IFERROR(__xludf.DUMMYFUNCTION("""COMPUTED_VALUE"""),1234.9)</f>
        <v>1234.9</v>
      </c>
      <c r="D3102" s="2">
        <f>IFERROR(__xludf.DUMMYFUNCTION("""COMPUTED_VALUE"""),1211.65)</f>
        <v>1211.65</v>
      </c>
      <c r="E3102" s="2">
        <f>IFERROR(__xludf.DUMMYFUNCTION("""COMPUTED_VALUE"""),1213.6)</f>
        <v>1213.6</v>
      </c>
      <c r="F3102" s="2">
        <f>IFERROR(__xludf.DUMMYFUNCTION("""COMPUTED_VALUE"""),2549907.0)</f>
        <v>2549907</v>
      </c>
    </row>
    <row r="3103">
      <c r="A3103" s="3">
        <f>IFERROR(__xludf.DUMMYFUNCTION("""COMPUTED_VALUE"""),42821.64583333333)</f>
        <v>42821.64583</v>
      </c>
      <c r="B3103" s="2">
        <f>IFERROR(__xludf.DUMMYFUNCTION("""COMPUTED_VALUE"""),1213.47)</f>
        <v>1213.47</v>
      </c>
      <c r="C3103" s="2">
        <f>IFERROR(__xludf.DUMMYFUNCTION("""COMPUTED_VALUE"""),1220.0)</f>
        <v>1220</v>
      </c>
      <c r="D3103" s="2">
        <f>IFERROR(__xludf.DUMMYFUNCTION("""COMPUTED_VALUE"""),1203.0)</f>
        <v>1203</v>
      </c>
      <c r="E3103" s="2">
        <f>IFERROR(__xludf.DUMMYFUNCTION("""COMPUTED_VALUE"""),1206.03)</f>
        <v>1206.03</v>
      </c>
      <c r="F3103" s="2">
        <f>IFERROR(__xludf.DUMMYFUNCTION("""COMPUTED_VALUE"""),1090635.0)</f>
        <v>1090635</v>
      </c>
    </row>
    <row r="3104">
      <c r="A3104" s="3">
        <f>IFERROR(__xludf.DUMMYFUNCTION("""COMPUTED_VALUE"""),42822.64583333333)</f>
        <v>42822.64583</v>
      </c>
      <c r="B3104" s="2">
        <f>IFERROR(__xludf.DUMMYFUNCTION("""COMPUTED_VALUE"""),1205.0)</f>
        <v>1205</v>
      </c>
      <c r="C3104" s="2">
        <f>IFERROR(__xludf.DUMMYFUNCTION("""COMPUTED_VALUE"""),1221.7)</f>
        <v>1221.7</v>
      </c>
      <c r="D3104" s="2">
        <f>IFERROR(__xludf.DUMMYFUNCTION("""COMPUTED_VALUE"""),1205.0)</f>
        <v>1205</v>
      </c>
      <c r="E3104" s="2">
        <f>IFERROR(__xludf.DUMMYFUNCTION("""COMPUTED_VALUE"""),1214.97)</f>
        <v>1214.97</v>
      </c>
      <c r="F3104" s="2">
        <f>IFERROR(__xludf.DUMMYFUNCTION("""COMPUTED_VALUE"""),576579.0)</f>
        <v>576579</v>
      </c>
    </row>
    <row r="3105">
      <c r="A3105" s="3">
        <f>IFERROR(__xludf.DUMMYFUNCTION("""COMPUTED_VALUE"""),42823.64583333333)</f>
        <v>42823.64583</v>
      </c>
      <c r="B3105" s="2">
        <f>IFERROR(__xludf.DUMMYFUNCTION("""COMPUTED_VALUE"""),1218.0)</f>
        <v>1218</v>
      </c>
      <c r="C3105" s="2">
        <f>IFERROR(__xludf.DUMMYFUNCTION("""COMPUTED_VALUE"""),1225.4)</f>
        <v>1225.4</v>
      </c>
      <c r="D3105" s="2">
        <f>IFERROR(__xludf.DUMMYFUNCTION("""COMPUTED_VALUE"""),1212.8)</f>
        <v>1212.8</v>
      </c>
      <c r="E3105" s="2">
        <f>IFERROR(__xludf.DUMMYFUNCTION("""COMPUTED_VALUE"""),1222.3)</f>
        <v>1222.3</v>
      </c>
      <c r="F3105" s="2">
        <f>IFERROR(__xludf.DUMMYFUNCTION("""COMPUTED_VALUE"""),858882.0)</f>
        <v>858882</v>
      </c>
    </row>
    <row r="3106">
      <c r="A3106" s="3">
        <f>IFERROR(__xludf.DUMMYFUNCTION("""COMPUTED_VALUE"""),42824.64583333333)</f>
        <v>42824.64583</v>
      </c>
      <c r="B3106" s="2">
        <f>IFERROR(__xludf.DUMMYFUNCTION("""COMPUTED_VALUE"""),1222.45)</f>
        <v>1222.45</v>
      </c>
      <c r="C3106" s="2">
        <f>IFERROR(__xludf.DUMMYFUNCTION("""COMPUTED_VALUE"""),1232.5)</f>
        <v>1232.5</v>
      </c>
      <c r="D3106" s="2">
        <f>IFERROR(__xludf.DUMMYFUNCTION("""COMPUTED_VALUE"""),1217.5)</f>
        <v>1217.5</v>
      </c>
      <c r="E3106" s="2">
        <f>IFERROR(__xludf.DUMMYFUNCTION("""COMPUTED_VALUE"""),1220.5)</f>
        <v>1220.5</v>
      </c>
      <c r="F3106" s="2">
        <f>IFERROR(__xludf.DUMMYFUNCTION("""COMPUTED_VALUE"""),1493043.0)</f>
        <v>1493043</v>
      </c>
    </row>
    <row r="3107">
      <c r="A3107" s="3">
        <f>IFERROR(__xludf.DUMMYFUNCTION("""COMPUTED_VALUE"""),42825.64583333333)</f>
        <v>42825.64583</v>
      </c>
      <c r="B3107" s="2">
        <f>IFERROR(__xludf.DUMMYFUNCTION("""COMPUTED_VALUE"""),1219.2)</f>
        <v>1219.2</v>
      </c>
      <c r="C3107" s="2">
        <f>IFERROR(__xludf.DUMMYFUNCTION("""COMPUTED_VALUE"""),1220.43)</f>
        <v>1220.43</v>
      </c>
      <c r="D3107" s="2">
        <f>IFERROR(__xludf.DUMMYFUNCTION("""COMPUTED_VALUE"""),1207.5)</f>
        <v>1207.5</v>
      </c>
      <c r="E3107" s="2">
        <f>IFERROR(__xludf.DUMMYFUNCTION("""COMPUTED_VALUE"""),1215.9)</f>
        <v>1215.9</v>
      </c>
      <c r="F3107" s="2">
        <f>IFERROR(__xludf.DUMMYFUNCTION("""COMPUTED_VALUE"""),933522.0)</f>
        <v>933522</v>
      </c>
    </row>
    <row r="3108">
      <c r="A3108" s="3">
        <f>IFERROR(__xludf.DUMMYFUNCTION("""COMPUTED_VALUE"""),42828.64583333333)</f>
        <v>42828.64583</v>
      </c>
      <c r="B3108" s="2">
        <f>IFERROR(__xludf.DUMMYFUNCTION("""COMPUTED_VALUE"""),1217.5)</f>
        <v>1217.5</v>
      </c>
      <c r="C3108" s="2">
        <f>IFERROR(__xludf.DUMMYFUNCTION("""COMPUTED_VALUE"""),1217.5)</f>
        <v>1217.5</v>
      </c>
      <c r="D3108" s="2">
        <f>IFERROR(__xludf.DUMMYFUNCTION("""COMPUTED_VALUE"""),1204.1)</f>
        <v>1204.1</v>
      </c>
      <c r="E3108" s="2">
        <f>IFERROR(__xludf.DUMMYFUNCTION("""COMPUTED_VALUE"""),1205.85)</f>
        <v>1205.85</v>
      </c>
      <c r="F3108" s="2">
        <f>IFERROR(__xludf.DUMMYFUNCTION("""COMPUTED_VALUE"""),598444.0)</f>
        <v>598444</v>
      </c>
    </row>
    <row r="3109">
      <c r="A3109" s="3">
        <f>IFERROR(__xludf.DUMMYFUNCTION("""COMPUTED_VALUE"""),42830.64583333333)</f>
        <v>42830.64583</v>
      </c>
      <c r="B3109" s="2">
        <f>IFERROR(__xludf.DUMMYFUNCTION("""COMPUTED_VALUE"""),1209.95)</f>
        <v>1209.95</v>
      </c>
      <c r="C3109" s="2">
        <f>IFERROR(__xludf.DUMMYFUNCTION("""COMPUTED_VALUE"""),1209.95)</f>
        <v>1209.95</v>
      </c>
      <c r="D3109" s="2">
        <f>IFERROR(__xludf.DUMMYFUNCTION("""COMPUTED_VALUE"""),1197.5)</f>
        <v>1197.5</v>
      </c>
      <c r="E3109" s="2">
        <f>IFERROR(__xludf.DUMMYFUNCTION("""COMPUTED_VALUE"""),1200.63)</f>
        <v>1200.63</v>
      </c>
      <c r="F3109" s="2">
        <f>IFERROR(__xludf.DUMMYFUNCTION("""COMPUTED_VALUE"""),1452784.0)</f>
        <v>1452784</v>
      </c>
    </row>
    <row r="3110">
      <c r="A3110" s="3">
        <f>IFERROR(__xludf.DUMMYFUNCTION("""COMPUTED_VALUE"""),42831.64583333333)</f>
        <v>42831.64583</v>
      </c>
      <c r="B3110" s="2">
        <f>IFERROR(__xludf.DUMMYFUNCTION("""COMPUTED_VALUE"""),1200.0)</f>
        <v>1200</v>
      </c>
      <c r="C3110" s="2">
        <f>IFERROR(__xludf.DUMMYFUNCTION("""COMPUTED_VALUE"""),1205.0)</f>
        <v>1205</v>
      </c>
      <c r="D3110" s="2">
        <f>IFERROR(__xludf.DUMMYFUNCTION("""COMPUTED_VALUE"""),1196.28)</f>
        <v>1196.28</v>
      </c>
      <c r="E3110" s="2">
        <f>IFERROR(__xludf.DUMMYFUNCTION("""COMPUTED_VALUE"""),1200.03)</f>
        <v>1200.03</v>
      </c>
      <c r="F3110" s="2">
        <f>IFERROR(__xludf.DUMMYFUNCTION("""COMPUTED_VALUE"""),860352.0)</f>
        <v>860352</v>
      </c>
    </row>
    <row r="3111">
      <c r="A3111" s="3">
        <f>IFERROR(__xludf.DUMMYFUNCTION("""COMPUTED_VALUE"""),42832.64583333333)</f>
        <v>42832.64583</v>
      </c>
      <c r="B3111" s="2">
        <f>IFERROR(__xludf.DUMMYFUNCTION("""COMPUTED_VALUE"""),1197.45)</f>
        <v>1197.45</v>
      </c>
      <c r="C3111" s="2">
        <f>IFERROR(__xludf.DUMMYFUNCTION("""COMPUTED_VALUE"""),1216.63)</f>
        <v>1216.63</v>
      </c>
      <c r="D3111" s="2">
        <f>IFERROR(__xludf.DUMMYFUNCTION("""COMPUTED_VALUE"""),1196.08)</f>
        <v>1196.08</v>
      </c>
      <c r="E3111" s="2">
        <f>IFERROR(__xludf.DUMMYFUNCTION("""COMPUTED_VALUE"""),1214.53)</f>
        <v>1214.53</v>
      </c>
      <c r="F3111" s="2">
        <f>IFERROR(__xludf.DUMMYFUNCTION("""COMPUTED_VALUE"""),1138506.0)</f>
        <v>1138506</v>
      </c>
    </row>
    <row r="3112">
      <c r="A3112" s="3">
        <f>IFERROR(__xludf.DUMMYFUNCTION("""COMPUTED_VALUE"""),42835.64583333333)</f>
        <v>42835.64583</v>
      </c>
      <c r="B3112" s="2">
        <f>IFERROR(__xludf.DUMMYFUNCTION("""COMPUTED_VALUE"""),1216.0)</f>
        <v>1216</v>
      </c>
      <c r="C3112" s="2">
        <f>IFERROR(__xludf.DUMMYFUNCTION("""COMPUTED_VALUE"""),1224.5)</f>
        <v>1224.5</v>
      </c>
      <c r="D3112" s="2">
        <f>IFERROR(__xludf.DUMMYFUNCTION("""COMPUTED_VALUE"""),1202.5)</f>
        <v>1202.5</v>
      </c>
      <c r="E3112" s="2">
        <f>IFERROR(__xludf.DUMMYFUNCTION("""COMPUTED_VALUE"""),1211.13)</f>
        <v>1211.13</v>
      </c>
      <c r="F3112" s="2">
        <f>IFERROR(__xludf.DUMMYFUNCTION("""COMPUTED_VALUE"""),1271632.0)</f>
        <v>1271632</v>
      </c>
    </row>
    <row r="3113">
      <c r="A3113" s="3">
        <f>IFERROR(__xludf.DUMMYFUNCTION("""COMPUTED_VALUE"""),42836.64583333333)</f>
        <v>42836.64583</v>
      </c>
      <c r="B3113" s="2">
        <f>IFERROR(__xludf.DUMMYFUNCTION("""COMPUTED_VALUE"""),1208.65)</f>
        <v>1208.65</v>
      </c>
      <c r="C3113" s="2">
        <f>IFERROR(__xludf.DUMMYFUNCTION("""COMPUTED_VALUE"""),1221.55)</f>
        <v>1221.55</v>
      </c>
      <c r="D3113" s="2">
        <f>IFERROR(__xludf.DUMMYFUNCTION("""COMPUTED_VALUE"""),1203.0)</f>
        <v>1203</v>
      </c>
      <c r="E3113" s="2">
        <f>IFERROR(__xludf.DUMMYFUNCTION("""COMPUTED_VALUE"""),1209.65)</f>
        <v>1209.65</v>
      </c>
      <c r="F3113" s="2">
        <f>IFERROR(__xludf.DUMMYFUNCTION("""COMPUTED_VALUE"""),778892.0)</f>
        <v>778892</v>
      </c>
    </row>
    <row r="3114">
      <c r="A3114" s="3">
        <f>IFERROR(__xludf.DUMMYFUNCTION("""COMPUTED_VALUE"""),42837.64583333333)</f>
        <v>42837.64583</v>
      </c>
      <c r="B3114" s="2">
        <f>IFERROR(__xludf.DUMMYFUNCTION("""COMPUTED_VALUE"""),1211.25)</f>
        <v>1211.25</v>
      </c>
      <c r="C3114" s="2">
        <f>IFERROR(__xludf.DUMMYFUNCTION("""COMPUTED_VALUE"""),1214.0)</f>
        <v>1214</v>
      </c>
      <c r="D3114" s="2">
        <f>IFERROR(__xludf.DUMMYFUNCTION("""COMPUTED_VALUE"""),1191.5)</f>
        <v>1191.5</v>
      </c>
      <c r="E3114" s="2">
        <f>IFERROR(__xludf.DUMMYFUNCTION("""COMPUTED_VALUE"""),1196.63)</f>
        <v>1196.63</v>
      </c>
      <c r="F3114" s="2">
        <f>IFERROR(__xludf.DUMMYFUNCTION("""COMPUTED_VALUE"""),525269.0)</f>
        <v>525269</v>
      </c>
    </row>
    <row r="3115">
      <c r="A3115" s="3">
        <f>IFERROR(__xludf.DUMMYFUNCTION("""COMPUTED_VALUE"""),42838.64583333333)</f>
        <v>42838.64583</v>
      </c>
      <c r="B3115" s="2">
        <f>IFERROR(__xludf.DUMMYFUNCTION("""COMPUTED_VALUE"""),1200.0)</f>
        <v>1200</v>
      </c>
      <c r="C3115" s="2">
        <f>IFERROR(__xludf.DUMMYFUNCTION("""COMPUTED_VALUE"""),1204.5)</f>
        <v>1204.5</v>
      </c>
      <c r="D3115" s="2">
        <f>IFERROR(__xludf.DUMMYFUNCTION("""COMPUTED_VALUE"""),1160.53)</f>
        <v>1160.53</v>
      </c>
      <c r="E3115" s="2">
        <f>IFERROR(__xludf.DUMMYFUNCTION("""COMPUTED_VALUE"""),1164.33)</f>
        <v>1164.33</v>
      </c>
      <c r="F3115" s="2">
        <f>IFERROR(__xludf.DUMMYFUNCTION("""COMPUTED_VALUE"""),1250236.0)</f>
        <v>1250236</v>
      </c>
    </row>
    <row r="3116">
      <c r="A3116" s="3">
        <f>IFERROR(__xludf.DUMMYFUNCTION("""COMPUTED_VALUE"""),42842.64583333333)</f>
        <v>42842.64583</v>
      </c>
      <c r="B3116" s="2">
        <f>IFERROR(__xludf.DUMMYFUNCTION("""COMPUTED_VALUE"""),1165.2)</f>
        <v>1165.2</v>
      </c>
      <c r="C3116" s="2">
        <f>IFERROR(__xludf.DUMMYFUNCTION("""COMPUTED_VALUE"""),1166.45)</f>
        <v>1166.45</v>
      </c>
      <c r="D3116" s="2">
        <f>IFERROR(__xludf.DUMMYFUNCTION("""COMPUTED_VALUE"""),1147.58)</f>
        <v>1147.58</v>
      </c>
      <c r="E3116" s="2">
        <f>IFERROR(__xludf.DUMMYFUNCTION("""COMPUTED_VALUE"""),1157.43)</f>
        <v>1157.43</v>
      </c>
      <c r="F3116" s="2">
        <f>IFERROR(__xludf.DUMMYFUNCTION("""COMPUTED_VALUE"""),1135441.0)</f>
        <v>1135441</v>
      </c>
    </row>
    <row r="3117">
      <c r="A3117" s="3">
        <f>IFERROR(__xludf.DUMMYFUNCTION("""COMPUTED_VALUE"""),42843.64583333333)</f>
        <v>42843.64583</v>
      </c>
      <c r="B3117" s="2">
        <f>IFERROR(__xludf.DUMMYFUNCTION("""COMPUTED_VALUE"""),1165.0)</f>
        <v>1165</v>
      </c>
      <c r="C3117" s="2">
        <f>IFERROR(__xludf.DUMMYFUNCTION("""COMPUTED_VALUE"""),1167.1)</f>
        <v>1167.1</v>
      </c>
      <c r="D3117" s="2">
        <f>IFERROR(__xludf.DUMMYFUNCTION("""COMPUTED_VALUE"""),1151.03)</f>
        <v>1151.03</v>
      </c>
      <c r="E3117" s="2">
        <f>IFERROR(__xludf.DUMMYFUNCTION("""COMPUTED_VALUE"""),1154.4)</f>
        <v>1154.4</v>
      </c>
      <c r="F3117" s="2">
        <f>IFERROR(__xludf.DUMMYFUNCTION("""COMPUTED_VALUE"""),865310.0)</f>
        <v>865310</v>
      </c>
    </row>
    <row r="3118">
      <c r="A3118" s="3">
        <f>IFERROR(__xludf.DUMMYFUNCTION("""COMPUTED_VALUE"""),42844.64583333333)</f>
        <v>42844.64583</v>
      </c>
      <c r="B3118" s="2">
        <f>IFERROR(__xludf.DUMMYFUNCTION("""COMPUTED_VALUE"""),1131.75)</f>
        <v>1131.75</v>
      </c>
      <c r="C3118" s="2">
        <f>IFERROR(__xludf.DUMMYFUNCTION("""COMPUTED_VALUE"""),1174.35)</f>
        <v>1174.35</v>
      </c>
      <c r="D3118" s="2">
        <f>IFERROR(__xludf.DUMMYFUNCTION("""COMPUTED_VALUE"""),1126.4)</f>
        <v>1126.4</v>
      </c>
      <c r="E3118" s="2">
        <f>IFERROR(__xludf.DUMMYFUNCTION("""COMPUTED_VALUE"""),1149.58)</f>
        <v>1149.58</v>
      </c>
      <c r="F3118" s="2">
        <f>IFERROR(__xludf.DUMMYFUNCTION("""COMPUTED_VALUE"""),2813406.0)</f>
        <v>2813406</v>
      </c>
    </row>
    <row r="3119">
      <c r="A3119" s="3">
        <f>IFERROR(__xludf.DUMMYFUNCTION("""COMPUTED_VALUE"""),42845.64583333333)</f>
        <v>42845.64583</v>
      </c>
      <c r="B3119" s="2">
        <f>IFERROR(__xludf.DUMMYFUNCTION("""COMPUTED_VALUE"""),1152.65)</f>
        <v>1152.65</v>
      </c>
      <c r="C3119" s="2">
        <f>IFERROR(__xludf.DUMMYFUNCTION("""COMPUTED_VALUE"""),1166.0)</f>
        <v>1166</v>
      </c>
      <c r="D3119" s="2">
        <f>IFERROR(__xludf.DUMMYFUNCTION("""COMPUTED_VALUE"""),1145.47)</f>
        <v>1145.47</v>
      </c>
      <c r="E3119" s="2">
        <f>IFERROR(__xludf.DUMMYFUNCTION("""COMPUTED_VALUE"""),1162.75)</f>
        <v>1162.75</v>
      </c>
      <c r="F3119" s="2">
        <f>IFERROR(__xludf.DUMMYFUNCTION("""COMPUTED_VALUE"""),634421.0)</f>
        <v>634421</v>
      </c>
    </row>
    <row r="3120">
      <c r="A3120" s="3">
        <f>IFERROR(__xludf.DUMMYFUNCTION("""COMPUTED_VALUE"""),42846.64583333333)</f>
        <v>42846.64583</v>
      </c>
      <c r="B3120" s="2">
        <f>IFERROR(__xludf.DUMMYFUNCTION("""COMPUTED_VALUE"""),1164.55)</f>
        <v>1164.55</v>
      </c>
      <c r="C3120" s="2">
        <f>IFERROR(__xludf.DUMMYFUNCTION("""COMPUTED_VALUE"""),1167.83)</f>
        <v>1167.83</v>
      </c>
      <c r="D3120" s="2">
        <f>IFERROR(__xludf.DUMMYFUNCTION("""COMPUTED_VALUE"""),1150.5)</f>
        <v>1150.5</v>
      </c>
      <c r="E3120" s="2">
        <f>IFERROR(__xludf.DUMMYFUNCTION("""COMPUTED_VALUE"""),1155.4)</f>
        <v>1155.4</v>
      </c>
      <c r="F3120" s="2">
        <f>IFERROR(__xludf.DUMMYFUNCTION("""COMPUTED_VALUE"""),580577.0)</f>
        <v>580577</v>
      </c>
    </row>
    <row r="3121">
      <c r="A3121" s="3">
        <f>IFERROR(__xludf.DUMMYFUNCTION("""COMPUTED_VALUE"""),42849.64583333333)</f>
        <v>42849.64583</v>
      </c>
      <c r="B3121" s="2">
        <f>IFERROR(__xludf.DUMMYFUNCTION("""COMPUTED_VALUE"""),1150.0)</f>
        <v>1150</v>
      </c>
      <c r="C3121" s="2">
        <f>IFERROR(__xludf.DUMMYFUNCTION("""COMPUTED_VALUE"""),1169.83)</f>
        <v>1169.83</v>
      </c>
      <c r="D3121" s="2">
        <f>IFERROR(__xludf.DUMMYFUNCTION("""COMPUTED_VALUE"""),1141.25)</f>
        <v>1141.25</v>
      </c>
      <c r="E3121" s="2">
        <f>IFERROR(__xludf.DUMMYFUNCTION("""COMPUTED_VALUE"""),1164.05)</f>
        <v>1164.05</v>
      </c>
      <c r="F3121" s="2">
        <f>IFERROR(__xludf.DUMMYFUNCTION("""COMPUTED_VALUE"""),1000010.0)</f>
        <v>1000010</v>
      </c>
    </row>
    <row r="3122">
      <c r="A3122" s="3">
        <f>IFERROR(__xludf.DUMMYFUNCTION("""COMPUTED_VALUE"""),42850.64583333333)</f>
        <v>42850.64583</v>
      </c>
      <c r="B3122" s="2">
        <f>IFERROR(__xludf.DUMMYFUNCTION("""COMPUTED_VALUE"""),1164.0)</f>
        <v>1164</v>
      </c>
      <c r="C3122" s="2">
        <f>IFERROR(__xludf.DUMMYFUNCTION("""COMPUTED_VALUE"""),1172.22)</f>
        <v>1172.22</v>
      </c>
      <c r="D3122" s="2">
        <f>IFERROR(__xludf.DUMMYFUNCTION("""COMPUTED_VALUE"""),1151.35)</f>
        <v>1151.35</v>
      </c>
      <c r="E3122" s="2">
        <f>IFERROR(__xludf.DUMMYFUNCTION("""COMPUTED_VALUE"""),1155.75)</f>
        <v>1155.75</v>
      </c>
      <c r="F3122" s="2">
        <f>IFERROR(__xludf.DUMMYFUNCTION("""COMPUTED_VALUE"""),1574355.0)</f>
        <v>1574355</v>
      </c>
    </row>
    <row r="3123">
      <c r="A3123" s="3">
        <f>IFERROR(__xludf.DUMMYFUNCTION("""COMPUTED_VALUE"""),42851.64583333333)</f>
        <v>42851.64583</v>
      </c>
      <c r="B3123" s="2">
        <f>IFERROR(__xludf.DUMMYFUNCTION("""COMPUTED_VALUE"""),1170.0)</f>
        <v>1170</v>
      </c>
      <c r="C3123" s="2">
        <f>IFERROR(__xludf.DUMMYFUNCTION("""COMPUTED_VALUE"""),1171.97)</f>
        <v>1171.97</v>
      </c>
      <c r="D3123" s="2">
        <f>IFERROR(__xludf.DUMMYFUNCTION("""COMPUTED_VALUE"""),1151.53)</f>
        <v>1151.53</v>
      </c>
      <c r="E3123" s="2">
        <f>IFERROR(__xludf.DUMMYFUNCTION("""COMPUTED_VALUE"""),1155.18)</f>
        <v>1155.18</v>
      </c>
      <c r="F3123" s="2">
        <f>IFERROR(__xludf.DUMMYFUNCTION("""COMPUTED_VALUE"""),1093719.0)</f>
        <v>1093719</v>
      </c>
    </row>
    <row r="3124">
      <c r="A3124" s="3">
        <f>IFERROR(__xludf.DUMMYFUNCTION("""COMPUTED_VALUE"""),42852.64583333333)</f>
        <v>42852.64583</v>
      </c>
      <c r="B3124" s="2">
        <f>IFERROR(__xludf.DUMMYFUNCTION("""COMPUTED_VALUE"""),1153.03)</f>
        <v>1153.03</v>
      </c>
      <c r="C3124" s="2">
        <f>IFERROR(__xludf.DUMMYFUNCTION("""COMPUTED_VALUE"""),1163.9)</f>
        <v>1163.9</v>
      </c>
      <c r="D3124" s="2">
        <f>IFERROR(__xludf.DUMMYFUNCTION("""COMPUTED_VALUE"""),1138.83)</f>
        <v>1138.83</v>
      </c>
      <c r="E3124" s="2">
        <f>IFERROR(__xludf.DUMMYFUNCTION("""COMPUTED_VALUE"""),1151.33)</f>
        <v>1151.33</v>
      </c>
      <c r="F3124" s="2">
        <f>IFERROR(__xludf.DUMMYFUNCTION("""COMPUTED_VALUE"""),2886593.0)</f>
        <v>2886593</v>
      </c>
    </row>
    <row r="3125">
      <c r="A3125" s="3">
        <f>IFERROR(__xludf.DUMMYFUNCTION("""COMPUTED_VALUE"""),42853.64583333333)</f>
        <v>42853.64583</v>
      </c>
      <c r="B3125" s="2">
        <f>IFERROR(__xludf.DUMMYFUNCTION("""COMPUTED_VALUE"""),1147.0)</f>
        <v>1147</v>
      </c>
      <c r="C3125" s="2">
        <f>IFERROR(__xludf.DUMMYFUNCTION("""COMPUTED_VALUE"""),1149.38)</f>
        <v>1149.38</v>
      </c>
      <c r="D3125" s="2">
        <f>IFERROR(__xludf.DUMMYFUNCTION("""COMPUTED_VALUE"""),1134.0)</f>
        <v>1134</v>
      </c>
      <c r="E3125" s="2">
        <f>IFERROR(__xludf.DUMMYFUNCTION("""COMPUTED_VALUE"""),1136.58)</f>
        <v>1136.58</v>
      </c>
      <c r="F3125" s="2">
        <f>IFERROR(__xludf.DUMMYFUNCTION("""COMPUTED_VALUE"""),1270255.0)</f>
        <v>1270255</v>
      </c>
    </row>
    <row r="3126">
      <c r="A3126" s="3">
        <f>IFERROR(__xludf.DUMMYFUNCTION("""COMPUTED_VALUE"""),42857.64583333333)</f>
        <v>42857.64583</v>
      </c>
      <c r="B3126" s="2">
        <f>IFERROR(__xludf.DUMMYFUNCTION("""COMPUTED_VALUE"""),1147.0)</f>
        <v>1147</v>
      </c>
      <c r="C3126" s="2">
        <f>IFERROR(__xludf.DUMMYFUNCTION("""COMPUTED_VALUE"""),1151.0)</f>
        <v>1151</v>
      </c>
      <c r="D3126" s="2">
        <f>IFERROR(__xludf.DUMMYFUNCTION("""COMPUTED_VALUE"""),1140.0)</f>
        <v>1140</v>
      </c>
      <c r="E3126" s="2">
        <f>IFERROR(__xludf.DUMMYFUNCTION("""COMPUTED_VALUE"""),1144.95)</f>
        <v>1144.95</v>
      </c>
      <c r="F3126" s="2">
        <f>IFERROR(__xludf.DUMMYFUNCTION("""COMPUTED_VALUE"""),1191348.0)</f>
        <v>1191348</v>
      </c>
    </row>
    <row r="3127">
      <c r="A3127" s="3">
        <f>IFERROR(__xludf.DUMMYFUNCTION("""COMPUTED_VALUE"""),42858.64583333333)</f>
        <v>42858.64583</v>
      </c>
      <c r="B3127" s="2">
        <f>IFERROR(__xludf.DUMMYFUNCTION("""COMPUTED_VALUE"""),1147.5)</f>
        <v>1147.5</v>
      </c>
      <c r="C3127" s="2">
        <f>IFERROR(__xludf.DUMMYFUNCTION("""COMPUTED_VALUE"""),1172.5)</f>
        <v>1172.5</v>
      </c>
      <c r="D3127" s="2">
        <f>IFERROR(__xludf.DUMMYFUNCTION("""COMPUTED_VALUE"""),1134.25)</f>
        <v>1134.25</v>
      </c>
      <c r="E3127" s="2">
        <f>IFERROR(__xludf.DUMMYFUNCTION("""COMPUTED_VALUE"""),1168.65)</f>
        <v>1168.65</v>
      </c>
      <c r="F3127" s="2">
        <f>IFERROR(__xludf.DUMMYFUNCTION("""COMPUTED_VALUE"""),1757203.0)</f>
        <v>1757203</v>
      </c>
    </row>
    <row r="3128">
      <c r="A3128" s="3">
        <f>IFERROR(__xludf.DUMMYFUNCTION("""COMPUTED_VALUE"""),42859.64583333333)</f>
        <v>42859.64583</v>
      </c>
      <c r="B3128" s="2">
        <f>IFERROR(__xludf.DUMMYFUNCTION("""COMPUTED_VALUE"""),1174.97)</f>
        <v>1174.97</v>
      </c>
      <c r="C3128" s="2">
        <f>IFERROR(__xludf.DUMMYFUNCTION("""COMPUTED_VALUE"""),1175.0)</f>
        <v>1175</v>
      </c>
      <c r="D3128" s="2">
        <f>IFERROR(__xludf.DUMMYFUNCTION("""COMPUTED_VALUE"""),1154.4)</f>
        <v>1154.4</v>
      </c>
      <c r="E3128" s="2">
        <f>IFERROR(__xludf.DUMMYFUNCTION("""COMPUTED_VALUE"""),1165.05)</f>
        <v>1165.05</v>
      </c>
      <c r="F3128" s="2">
        <f>IFERROR(__xludf.DUMMYFUNCTION("""COMPUTED_VALUE"""),1354104.0)</f>
        <v>1354104</v>
      </c>
    </row>
    <row r="3129">
      <c r="A3129" s="3">
        <f>IFERROR(__xludf.DUMMYFUNCTION("""COMPUTED_VALUE"""),42860.64583333333)</f>
        <v>42860.64583</v>
      </c>
      <c r="B3129" s="2">
        <f>IFERROR(__xludf.DUMMYFUNCTION("""COMPUTED_VALUE"""),1154.0)</f>
        <v>1154</v>
      </c>
      <c r="C3129" s="2">
        <f>IFERROR(__xludf.DUMMYFUNCTION("""COMPUTED_VALUE"""),1166.25)</f>
        <v>1166.25</v>
      </c>
      <c r="D3129" s="2">
        <f>IFERROR(__xludf.DUMMYFUNCTION("""COMPUTED_VALUE"""),1151.25)</f>
        <v>1151.25</v>
      </c>
      <c r="E3129" s="2">
        <f>IFERROR(__xludf.DUMMYFUNCTION("""COMPUTED_VALUE"""),1160.25)</f>
        <v>1160.25</v>
      </c>
      <c r="F3129" s="2">
        <f>IFERROR(__xludf.DUMMYFUNCTION("""COMPUTED_VALUE"""),841237.0)</f>
        <v>841237</v>
      </c>
    </row>
    <row r="3130">
      <c r="A3130" s="3">
        <f>IFERROR(__xludf.DUMMYFUNCTION("""COMPUTED_VALUE"""),42863.64583333333)</f>
        <v>42863.64583</v>
      </c>
      <c r="B3130" s="2">
        <f>IFERROR(__xludf.DUMMYFUNCTION("""COMPUTED_VALUE"""),1160.5)</f>
        <v>1160.5</v>
      </c>
      <c r="C3130" s="2">
        <f>IFERROR(__xludf.DUMMYFUNCTION("""COMPUTED_VALUE"""),1173.7)</f>
        <v>1173.7</v>
      </c>
      <c r="D3130" s="2">
        <f>IFERROR(__xludf.DUMMYFUNCTION("""COMPUTED_VALUE"""),1158.85)</f>
        <v>1158.85</v>
      </c>
      <c r="E3130" s="2">
        <f>IFERROR(__xludf.DUMMYFUNCTION("""COMPUTED_VALUE"""),1171.22)</f>
        <v>1171.22</v>
      </c>
      <c r="F3130" s="2">
        <f>IFERROR(__xludf.DUMMYFUNCTION("""COMPUTED_VALUE"""),535891.0)</f>
        <v>535891</v>
      </c>
    </row>
    <row r="3131">
      <c r="A3131" s="3">
        <f>IFERROR(__xludf.DUMMYFUNCTION("""COMPUTED_VALUE"""),42864.64583333333)</f>
        <v>42864.64583</v>
      </c>
      <c r="B3131" s="2">
        <f>IFERROR(__xludf.DUMMYFUNCTION("""COMPUTED_VALUE"""),1171.97)</f>
        <v>1171.97</v>
      </c>
      <c r="C3131" s="2">
        <f>IFERROR(__xludf.DUMMYFUNCTION("""COMPUTED_VALUE"""),1180.5)</f>
        <v>1180.5</v>
      </c>
      <c r="D3131" s="2">
        <f>IFERROR(__xludf.DUMMYFUNCTION("""COMPUTED_VALUE"""),1166.28)</f>
        <v>1166.28</v>
      </c>
      <c r="E3131" s="2">
        <f>IFERROR(__xludf.DUMMYFUNCTION("""COMPUTED_VALUE"""),1176.28)</f>
        <v>1176.28</v>
      </c>
      <c r="F3131" s="2">
        <f>IFERROR(__xludf.DUMMYFUNCTION("""COMPUTED_VALUE"""),895135.0)</f>
        <v>895135</v>
      </c>
    </row>
    <row r="3132">
      <c r="A3132" s="3">
        <f>IFERROR(__xludf.DUMMYFUNCTION("""COMPUTED_VALUE"""),42865.64583333333)</f>
        <v>42865.64583</v>
      </c>
      <c r="B3132" s="2">
        <f>IFERROR(__xludf.DUMMYFUNCTION("""COMPUTED_VALUE"""),1177.5)</f>
        <v>1177.5</v>
      </c>
      <c r="C3132" s="2">
        <f>IFERROR(__xludf.DUMMYFUNCTION("""COMPUTED_VALUE"""),1178.08)</f>
        <v>1178.08</v>
      </c>
      <c r="D3132" s="2">
        <f>IFERROR(__xludf.DUMMYFUNCTION("""COMPUTED_VALUE"""),1158.0)</f>
        <v>1158</v>
      </c>
      <c r="E3132" s="2">
        <f>IFERROR(__xludf.DUMMYFUNCTION("""COMPUTED_VALUE"""),1166.22)</f>
        <v>1166.22</v>
      </c>
      <c r="F3132" s="2">
        <f>IFERROR(__xludf.DUMMYFUNCTION("""COMPUTED_VALUE"""),603194.0)</f>
        <v>603194</v>
      </c>
    </row>
    <row r="3133">
      <c r="A3133" s="3">
        <f>IFERROR(__xludf.DUMMYFUNCTION("""COMPUTED_VALUE"""),42866.64583333333)</f>
        <v>42866.64583</v>
      </c>
      <c r="B3133" s="2">
        <f>IFERROR(__xludf.DUMMYFUNCTION("""COMPUTED_VALUE"""),1173.65)</f>
        <v>1173.65</v>
      </c>
      <c r="C3133" s="2">
        <f>IFERROR(__xludf.DUMMYFUNCTION("""COMPUTED_VALUE"""),1180.0)</f>
        <v>1180</v>
      </c>
      <c r="D3133" s="2">
        <f>IFERROR(__xludf.DUMMYFUNCTION("""COMPUTED_VALUE"""),1161.38)</f>
        <v>1161.38</v>
      </c>
      <c r="E3133" s="2">
        <f>IFERROR(__xludf.DUMMYFUNCTION("""COMPUTED_VALUE"""),1174.72)</f>
        <v>1174.72</v>
      </c>
      <c r="F3133" s="2">
        <f>IFERROR(__xludf.DUMMYFUNCTION("""COMPUTED_VALUE"""),1035651.0)</f>
        <v>1035651</v>
      </c>
    </row>
    <row r="3134">
      <c r="A3134" s="3">
        <f>IFERROR(__xludf.DUMMYFUNCTION("""COMPUTED_VALUE"""),42867.64583333333)</f>
        <v>42867.64583</v>
      </c>
      <c r="B3134" s="2">
        <f>IFERROR(__xludf.DUMMYFUNCTION("""COMPUTED_VALUE"""),1171.65)</f>
        <v>1171.65</v>
      </c>
      <c r="C3134" s="2">
        <f>IFERROR(__xludf.DUMMYFUNCTION("""COMPUTED_VALUE"""),1184.95)</f>
        <v>1184.95</v>
      </c>
      <c r="D3134" s="2">
        <f>IFERROR(__xludf.DUMMYFUNCTION("""COMPUTED_VALUE"""),1160.03)</f>
        <v>1160.03</v>
      </c>
      <c r="E3134" s="2">
        <f>IFERROR(__xludf.DUMMYFUNCTION("""COMPUTED_VALUE"""),1180.33)</f>
        <v>1180.33</v>
      </c>
      <c r="F3134" s="2">
        <f>IFERROR(__xludf.DUMMYFUNCTION("""COMPUTED_VALUE"""),1157223.0)</f>
        <v>1157223</v>
      </c>
    </row>
    <row r="3135">
      <c r="A3135" s="3">
        <f>IFERROR(__xludf.DUMMYFUNCTION("""COMPUTED_VALUE"""),42870.64583333333)</f>
        <v>42870.64583</v>
      </c>
      <c r="B3135" s="2">
        <f>IFERROR(__xludf.DUMMYFUNCTION("""COMPUTED_VALUE"""),1187.55)</f>
        <v>1187.55</v>
      </c>
      <c r="C3135" s="2">
        <f>IFERROR(__xludf.DUMMYFUNCTION("""COMPUTED_VALUE"""),1188.97)</f>
        <v>1188.97</v>
      </c>
      <c r="D3135" s="2">
        <f>IFERROR(__xludf.DUMMYFUNCTION("""COMPUTED_VALUE"""),1170.8)</f>
        <v>1170.8</v>
      </c>
      <c r="E3135" s="2">
        <f>IFERROR(__xludf.DUMMYFUNCTION("""COMPUTED_VALUE"""),1182.55)</f>
        <v>1182.55</v>
      </c>
      <c r="F3135" s="2">
        <f>IFERROR(__xludf.DUMMYFUNCTION("""COMPUTED_VALUE"""),908802.0)</f>
        <v>908802</v>
      </c>
    </row>
    <row r="3136">
      <c r="A3136" s="3">
        <f>IFERROR(__xludf.DUMMYFUNCTION("""COMPUTED_VALUE"""),42871.64583333333)</f>
        <v>42871.64583</v>
      </c>
      <c r="B3136" s="2">
        <f>IFERROR(__xludf.DUMMYFUNCTION("""COMPUTED_VALUE"""),1190.0)</f>
        <v>1190</v>
      </c>
      <c r="C3136" s="2">
        <f>IFERROR(__xludf.DUMMYFUNCTION("""COMPUTED_VALUE"""),1217.5)</f>
        <v>1217.5</v>
      </c>
      <c r="D3136" s="2">
        <f>IFERROR(__xludf.DUMMYFUNCTION("""COMPUTED_VALUE"""),1186.72)</f>
        <v>1186.72</v>
      </c>
      <c r="E3136" s="2">
        <f>IFERROR(__xludf.DUMMYFUNCTION("""COMPUTED_VALUE"""),1214.58)</f>
        <v>1214.58</v>
      </c>
      <c r="F3136" s="2">
        <f>IFERROR(__xludf.DUMMYFUNCTION("""COMPUTED_VALUE"""),1800513.0)</f>
        <v>1800513</v>
      </c>
    </row>
    <row r="3137">
      <c r="A3137" s="3">
        <f>IFERROR(__xludf.DUMMYFUNCTION("""COMPUTED_VALUE"""),42872.64583333333)</f>
        <v>42872.64583</v>
      </c>
      <c r="B3137" s="2">
        <f>IFERROR(__xludf.DUMMYFUNCTION("""COMPUTED_VALUE"""),1216.75)</f>
        <v>1216.75</v>
      </c>
      <c r="C3137" s="2">
        <f>IFERROR(__xludf.DUMMYFUNCTION("""COMPUTED_VALUE"""),1230.38)</f>
        <v>1230.38</v>
      </c>
      <c r="D3137" s="2">
        <f>IFERROR(__xludf.DUMMYFUNCTION("""COMPUTED_VALUE"""),1211.5)</f>
        <v>1211.5</v>
      </c>
      <c r="E3137" s="2">
        <f>IFERROR(__xludf.DUMMYFUNCTION("""COMPUTED_VALUE"""),1227.68)</f>
        <v>1227.68</v>
      </c>
      <c r="F3137" s="2">
        <f>IFERROR(__xludf.DUMMYFUNCTION("""COMPUTED_VALUE"""),1438099.0)</f>
        <v>1438099</v>
      </c>
    </row>
    <row r="3138">
      <c r="A3138" s="3">
        <f>IFERROR(__xludf.DUMMYFUNCTION("""COMPUTED_VALUE"""),42873.64583333333)</f>
        <v>42873.64583</v>
      </c>
      <c r="B3138" s="2">
        <f>IFERROR(__xludf.DUMMYFUNCTION("""COMPUTED_VALUE"""),1225.0)</f>
        <v>1225</v>
      </c>
      <c r="C3138" s="2">
        <f>IFERROR(__xludf.DUMMYFUNCTION("""COMPUTED_VALUE"""),1286.0)</f>
        <v>1286</v>
      </c>
      <c r="D3138" s="2">
        <f>IFERROR(__xludf.DUMMYFUNCTION("""COMPUTED_VALUE"""),1221.13)</f>
        <v>1221.13</v>
      </c>
      <c r="E3138" s="2">
        <f>IFERROR(__xludf.DUMMYFUNCTION("""COMPUTED_VALUE"""),1268.1)</f>
        <v>1268.1</v>
      </c>
      <c r="F3138" s="2">
        <f>IFERROR(__xludf.DUMMYFUNCTION("""COMPUTED_VALUE"""),2569297.0)</f>
        <v>2569297</v>
      </c>
    </row>
    <row r="3139">
      <c r="A3139" s="3">
        <f>IFERROR(__xludf.DUMMYFUNCTION("""COMPUTED_VALUE"""),42874.64583333333)</f>
        <v>42874.64583</v>
      </c>
      <c r="B3139" s="2">
        <f>IFERROR(__xludf.DUMMYFUNCTION("""COMPUTED_VALUE"""),1268.1)</f>
        <v>1268.1</v>
      </c>
      <c r="C3139" s="2">
        <f>IFERROR(__xludf.DUMMYFUNCTION("""COMPUTED_VALUE"""),1270.28)</f>
        <v>1270.28</v>
      </c>
      <c r="D3139" s="2">
        <f>IFERROR(__xludf.DUMMYFUNCTION("""COMPUTED_VALUE"""),1243.0)</f>
        <v>1243</v>
      </c>
      <c r="E3139" s="2">
        <f>IFERROR(__xludf.DUMMYFUNCTION("""COMPUTED_VALUE"""),1253.58)</f>
        <v>1253.58</v>
      </c>
      <c r="F3139" s="2">
        <f>IFERROR(__xludf.DUMMYFUNCTION("""COMPUTED_VALUE"""),893022.0)</f>
        <v>893022</v>
      </c>
    </row>
    <row r="3140">
      <c r="A3140" s="3">
        <f>IFERROR(__xludf.DUMMYFUNCTION("""COMPUTED_VALUE"""),42877.64583333333)</f>
        <v>42877.64583</v>
      </c>
      <c r="B3140" s="2">
        <f>IFERROR(__xludf.DUMMYFUNCTION("""COMPUTED_VALUE"""),1255.0)</f>
        <v>1255</v>
      </c>
      <c r="C3140" s="2">
        <f>IFERROR(__xludf.DUMMYFUNCTION("""COMPUTED_VALUE"""),1276.88)</f>
        <v>1276.88</v>
      </c>
      <c r="D3140" s="2">
        <f>IFERROR(__xludf.DUMMYFUNCTION("""COMPUTED_VALUE"""),1255.0)</f>
        <v>1255</v>
      </c>
      <c r="E3140" s="2">
        <f>IFERROR(__xludf.DUMMYFUNCTION("""COMPUTED_VALUE"""),1265.68)</f>
        <v>1265.68</v>
      </c>
      <c r="F3140" s="2">
        <f>IFERROR(__xludf.DUMMYFUNCTION("""COMPUTED_VALUE"""),831970.0)</f>
        <v>831970</v>
      </c>
    </row>
    <row r="3141">
      <c r="A3141" s="3">
        <f>IFERROR(__xludf.DUMMYFUNCTION("""COMPUTED_VALUE"""),42878.64583333333)</f>
        <v>42878.64583</v>
      </c>
      <c r="B3141" s="2">
        <f>IFERROR(__xludf.DUMMYFUNCTION("""COMPUTED_VALUE"""),1266.6)</f>
        <v>1266.6</v>
      </c>
      <c r="C3141" s="2">
        <f>IFERROR(__xludf.DUMMYFUNCTION("""COMPUTED_VALUE"""),1282.08)</f>
        <v>1282.08</v>
      </c>
      <c r="D3141" s="2">
        <f>IFERROR(__xludf.DUMMYFUNCTION("""COMPUTED_VALUE"""),1257.0)</f>
        <v>1257</v>
      </c>
      <c r="E3141" s="2">
        <f>IFERROR(__xludf.DUMMYFUNCTION("""COMPUTED_VALUE"""),1260.85)</f>
        <v>1260.85</v>
      </c>
      <c r="F3141" s="2">
        <f>IFERROR(__xludf.DUMMYFUNCTION("""COMPUTED_VALUE"""),1374298.0)</f>
        <v>1374298</v>
      </c>
    </row>
    <row r="3142">
      <c r="A3142" s="3">
        <f>IFERROR(__xludf.DUMMYFUNCTION("""COMPUTED_VALUE"""),42879.64583333333)</f>
        <v>42879.64583</v>
      </c>
      <c r="B3142" s="2">
        <f>IFERROR(__xludf.DUMMYFUNCTION("""COMPUTED_VALUE"""),1267.4)</f>
        <v>1267.4</v>
      </c>
      <c r="C3142" s="2">
        <f>IFERROR(__xludf.DUMMYFUNCTION("""COMPUTED_VALUE"""),1285.0)</f>
        <v>1285</v>
      </c>
      <c r="D3142" s="2">
        <f>IFERROR(__xludf.DUMMYFUNCTION("""COMPUTED_VALUE"""),1264.83)</f>
        <v>1264.83</v>
      </c>
      <c r="E3142" s="2">
        <f>IFERROR(__xludf.DUMMYFUNCTION("""COMPUTED_VALUE"""),1279.58)</f>
        <v>1279.58</v>
      </c>
      <c r="F3142" s="2">
        <f>IFERROR(__xludf.DUMMYFUNCTION("""COMPUTED_VALUE"""),1267274.0)</f>
        <v>1267274</v>
      </c>
    </row>
    <row r="3143">
      <c r="A3143" s="3">
        <f>IFERROR(__xludf.DUMMYFUNCTION("""COMPUTED_VALUE"""),42880.64583333333)</f>
        <v>42880.64583</v>
      </c>
      <c r="B3143" s="2">
        <f>IFERROR(__xludf.DUMMYFUNCTION("""COMPUTED_VALUE"""),1288.5)</f>
        <v>1288.5</v>
      </c>
      <c r="C3143" s="2">
        <f>IFERROR(__xludf.DUMMYFUNCTION("""COMPUTED_VALUE"""),1318.78)</f>
        <v>1318.78</v>
      </c>
      <c r="D3143" s="2">
        <f>IFERROR(__xludf.DUMMYFUNCTION("""COMPUTED_VALUE"""),1284.0)</f>
        <v>1284</v>
      </c>
      <c r="E3143" s="2">
        <f>IFERROR(__xludf.DUMMYFUNCTION("""COMPUTED_VALUE"""),1312.3)</f>
        <v>1312.3</v>
      </c>
      <c r="F3143" s="2">
        <f>IFERROR(__xludf.DUMMYFUNCTION("""COMPUTED_VALUE"""),2047047.0)</f>
        <v>2047047</v>
      </c>
    </row>
    <row r="3144">
      <c r="A3144" s="3">
        <f>IFERROR(__xludf.DUMMYFUNCTION("""COMPUTED_VALUE"""),42881.64583333333)</f>
        <v>42881.64583</v>
      </c>
      <c r="B3144" s="2">
        <f>IFERROR(__xludf.DUMMYFUNCTION("""COMPUTED_VALUE"""),1312.5)</f>
        <v>1312.5</v>
      </c>
      <c r="C3144" s="2">
        <f>IFERROR(__xludf.DUMMYFUNCTION("""COMPUTED_VALUE"""),1313.43)</f>
        <v>1313.43</v>
      </c>
      <c r="D3144" s="2">
        <f>IFERROR(__xludf.DUMMYFUNCTION("""COMPUTED_VALUE"""),1282.33)</f>
        <v>1282.33</v>
      </c>
      <c r="E3144" s="2">
        <f>IFERROR(__xludf.DUMMYFUNCTION("""COMPUTED_VALUE"""),1289.13)</f>
        <v>1289.13</v>
      </c>
      <c r="F3144" s="2">
        <f>IFERROR(__xludf.DUMMYFUNCTION("""COMPUTED_VALUE"""),681275.0)</f>
        <v>681275</v>
      </c>
    </row>
    <row r="3145">
      <c r="A3145" s="3">
        <f>IFERROR(__xludf.DUMMYFUNCTION("""COMPUTED_VALUE"""),42884.64583333333)</f>
        <v>42884.64583</v>
      </c>
      <c r="B3145" s="2">
        <f>IFERROR(__xludf.DUMMYFUNCTION("""COMPUTED_VALUE"""),1289.5)</f>
        <v>1289.5</v>
      </c>
      <c r="C3145" s="2">
        <f>IFERROR(__xludf.DUMMYFUNCTION("""COMPUTED_VALUE"""),1298.25)</f>
        <v>1298.25</v>
      </c>
      <c r="D3145" s="2">
        <f>IFERROR(__xludf.DUMMYFUNCTION("""COMPUTED_VALUE"""),1282.0)</f>
        <v>1282</v>
      </c>
      <c r="E3145" s="2">
        <f>IFERROR(__xludf.DUMMYFUNCTION("""COMPUTED_VALUE"""),1286.43)</f>
        <v>1286.43</v>
      </c>
      <c r="F3145" s="2">
        <f>IFERROR(__xludf.DUMMYFUNCTION("""COMPUTED_VALUE"""),874645.0)</f>
        <v>874645</v>
      </c>
    </row>
    <row r="3146">
      <c r="A3146" s="3">
        <f>IFERROR(__xludf.DUMMYFUNCTION("""COMPUTED_VALUE"""),42885.64583333333)</f>
        <v>42885.64583</v>
      </c>
      <c r="B3146" s="2">
        <f>IFERROR(__xludf.DUMMYFUNCTION("""COMPUTED_VALUE"""),1280.0)</f>
        <v>1280</v>
      </c>
      <c r="C3146" s="2">
        <f>IFERROR(__xludf.DUMMYFUNCTION("""COMPUTED_VALUE"""),1287.97)</f>
        <v>1287.97</v>
      </c>
      <c r="D3146" s="2">
        <f>IFERROR(__xludf.DUMMYFUNCTION("""COMPUTED_VALUE"""),1262.5)</f>
        <v>1262.5</v>
      </c>
      <c r="E3146" s="2">
        <f>IFERROR(__xludf.DUMMYFUNCTION("""COMPUTED_VALUE"""),1275.55)</f>
        <v>1275.55</v>
      </c>
      <c r="F3146" s="2">
        <f>IFERROR(__xludf.DUMMYFUNCTION("""COMPUTED_VALUE"""),463817.0)</f>
        <v>463817</v>
      </c>
    </row>
    <row r="3147">
      <c r="A3147" s="3">
        <f>IFERROR(__xludf.DUMMYFUNCTION("""COMPUTED_VALUE"""),42886.64583333333)</f>
        <v>42886.64583</v>
      </c>
      <c r="B3147" s="2">
        <f>IFERROR(__xludf.DUMMYFUNCTION("""COMPUTED_VALUE"""),1266.5)</f>
        <v>1266.5</v>
      </c>
      <c r="C3147" s="2">
        <f>IFERROR(__xludf.DUMMYFUNCTION("""COMPUTED_VALUE"""),1286.25)</f>
        <v>1286.25</v>
      </c>
      <c r="D3147" s="2">
        <f>IFERROR(__xludf.DUMMYFUNCTION("""COMPUTED_VALUE"""),1264.0)</f>
        <v>1264</v>
      </c>
      <c r="E3147" s="2">
        <f>IFERROR(__xludf.DUMMYFUNCTION("""COMPUTED_VALUE"""),1273.3)</f>
        <v>1273.3</v>
      </c>
      <c r="F3147" s="2">
        <f>IFERROR(__xludf.DUMMYFUNCTION("""COMPUTED_VALUE"""),1251365.0)</f>
        <v>1251365</v>
      </c>
    </row>
    <row r="3148">
      <c r="A3148" s="3">
        <f>IFERROR(__xludf.DUMMYFUNCTION("""COMPUTED_VALUE"""),42887.64583333333)</f>
        <v>42887.64583</v>
      </c>
      <c r="B3148" s="2">
        <f>IFERROR(__xludf.DUMMYFUNCTION("""COMPUTED_VALUE"""),1265.0)</f>
        <v>1265</v>
      </c>
      <c r="C3148" s="2">
        <f>IFERROR(__xludf.DUMMYFUNCTION("""COMPUTED_VALUE"""),1282.0)</f>
        <v>1282</v>
      </c>
      <c r="D3148" s="2">
        <f>IFERROR(__xludf.DUMMYFUNCTION("""COMPUTED_VALUE"""),1265.0)</f>
        <v>1265</v>
      </c>
      <c r="E3148" s="2">
        <f>IFERROR(__xludf.DUMMYFUNCTION("""COMPUTED_VALUE"""),1276.8)</f>
        <v>1276.8</v>
      </c>
      <c r="F3148" s="2">
        <f>IFERROR(__xludf.DUMMYFUNCTION("""COMPUTED_VALUE"""),540032.0)</f>
        <v>540032</v>
      </c>
    </row>
    <row r="3149">
      <c r="A3149" s="3">
        <f>IFERROR(__xludf.DUMMYFUNCTION("""COMPUTED_VALUE"""),42888.64583333333)</f>
        <v>42888.64583</v>
      </c>
      <c r="B3149" s="2">
        <f>IFERROR(__xludf.DUMMYFUNCTION("""COMPUTED_VALUE"""),1278.13)</f>
        <v>1278.13</v>
      </c>
      <c r="C3149" s="2">
        <f>IFERROR(__xludf.DUMMYFUNCTION("""COMPUTED_VALUE"""),1295.93)</f>
        <v>1295.93</v>
      </c>
      <c r="D3149" s="2">
        <f>IFERROR(__xludf.DUMMYFUNCTION("""COMPUTED_VALUE"""),1276.25)</f>
        <v>1276.25</v>
      </c>
      <c r="E3149" s="2">
        <f>IFERROR(__xludf.DUMMYFUNCTION("""COMPUTED_VALUE"""),1282.45)</f>
        <v>1282.45</v>
      </c>
      <c r="F3149" s="2">
        <f>IFERROR(__xludf.DUMMYFUNCTION("""COMPUTED_VALUE"""),677824.0)</f>
        <v>677824</v>
      </c>
    </row>
    <row r="3150">
      <c r="A3150" s="3">
        <f>IFERROR(__xludf.DUMMYFUNCTION("""COMPUTED_VALUE"""),42891.64583333333)</f>
        <v>42891.64583</v>
      </c>
      <c r="B3150" s="2">
        <f>IFERROR(__xludf.DUMMYFUNCTION("""COMPUTED_VALUE"""),1282.5)</f>
        <v>1282.5</v>
      </c>
      <c r="C3150" s="2">
        <f>IFERROR(__xludf.DUMMYFUNCTION("""COMPUTED_VALUE"""),1309.95)</f>
        <v>1309.95</v>
      </c>
      <c r="D3150" s="2">
        <f>IFERROR(__xludf.DUMMYFUNCTION("""COMPUTED_VALUE"""),1280.08)</f>
        <v>1280.08</v>
      </c>
      <c r="E3150" s="2">
        <f>IFERROR(__xludf.DUMMYFUNCTION("""COMPUTED_VALUE"""),1301.97)</f>
        <v>1301.97</v>
      </c>
      <c r="F3150" s="2">
        <f>IFERROR(__xludf.DUMMYFUNCTION("""COMPUTED_VALUE"""),750094.0)</f>
        <v>750094</v>
      </c>
    </row>
    <row r="3151">
      <c r="A3151" s="3">
        <f>IFERROR(__xludf.DUMMYFUNCTION("""COMPUTED_VALUE"""),42892.64583333333)</f>
        <v>42892.64583</v>
      </c>
      <c r="B3151" s="2">
        <f>IFERROR(__xludf.DUMMYFUNCTION("""COMPUTED_VALUE"""),1315.5)</f>
        <v>1315.5</v>
      </c>
      <c r="C3151" s="2">
        <f>IFERROR(__xludf.DUMMYFUNCTION("""COMPUTED_VALUE"""),1354.48)</f>
        <v>1354.48</v>
      </c>
      <c r="D3151" s="2">
        <f>IFERROR(__xludf.DUMMYFUNCTION("""COMPUTED_VALUE"""),1315.0)</f>
        <v>1315</v>
      </c>
      <c r="E3151" s="2">
        <f>IFERROR(__xludf.DUMMYFUNCTION("""COMPUTED_VALUE"""),1348.0)</f>
        <v>1348</v>
      </c>
      <c r="F3151" s="2">
        <f>IFERROR(__xludf.DUMMYFUNCTION("""COMPUTED_VALUE"""),2973360.0)</f>
        <v>2973360</v>
      </c>
    </row>
    <row r="3152">
      <c r="A3152" s="3">
        <f>IFERROR(__xludf.DUMMYFUNCTION("""COMPUTED_VALUE"""),42893.64583333333)</f>
        <v>42893.64583</v>
      </c>
      <c r="B3152" s="2">
        <f>IFERROR(__xludf.DUMMYFUNCTION("""COMPUTED_VALUE"""),1348.5)</f>
        <v>1348.5</v>
      </c>
      <c r="C3152" s="2">
        <f>IFERROR(__xludf.DUMMYFUNCTION("""COMPUTED_VALUE"""),1350.0)</f>
        <v>1350</v>
      </c>
      <c r="D3152" s="2">
        <f>IFERROR(__xludf.DUMMYFUNCTION("""COMPUTED_VALUE"""),1288.28)</f>
        <v>1288.28</v>
      </c>
      <c r="E3152" s="2">
        <f>IFERROR(__xludf.DUMMYFUNCTION("""COMPUTED_VALUE"""),1307.63)</f>
        <v>1307.63</v>
      </c>
      <c r="F3152" s="2">
        <f>IFERROR(__xludf.DUMMYFUNCTION("""COMPUTED_VALUE"""),2463888.0)</f>
        <v>2463888</v>
      </c>
    </row>
    <row r="3153">
      <c r="A3153" s="3">
        <f>IFERROR(__xludf.DUMMYFUNCTION("""COMPUTED_VALUE"""),42894.64583333333)</f>
        <v>42894.64583</v>
      </c>
      <c r="B3153" s="2">
        <f>IFERROR(__xludf.DUMMYFUNCTION("""COMPUTED_VALUE"""),1299.0)</f>
        <v>1299</v>
      </c>
      <c r="C3153" s="2">
        <f>IFERROR(__xludf.DUMMYFUNCTION("""COMPUTED_VALUE"""),1302.47)</f>
        <v>1302.47</v>
      </c>
      <c r="D3153" s="2">
        <f>IFERROR(__xludf.DUMMYFUNCTION("""COMPUTED_VALUE"""),1257.75)</f>
        <v>1257.75</v>
      </c>
      <c r="E3153" s="2">
        <f>IFERROR(__xludf.DUMMYFUNCTION("""COMPUTED_VALUE"""),1260.8)</f>
        <v>1260.8</v>
      </c>
      <c r="F3153" s="2">
        <f>IFERROR(__xludf.DUMMYFUNCTION("""COMPUTED_VALUE"""),1665357.0)</f>
        <v>1665357</v>
      </c>
    </row>
    <row r="3154">
      <c r="A3154" s="3">
        <f>IFERROR(__xludf.DUMMYFUNCTION("""COMPUTED_VALUE"""),42895.64583333333)</f>
        <v>42895.64583</v>
      </c>
      <c r="B3154" s="2">
        <f>IFERROR(__xludf.DUMMYFUNCTION("""COMPUTED_VALUE"""),1260.0)</f>
        <v>1260</v>
      </c>
      <c r="C3154" s="2">
        <f>IFERROR(__xludf.DUMMYFUNCTION("""COMPUTED_VALUE"""),1273.7)</f>
        <v>1273.7</v>
      </c>
      <c r="D3154" s="2">
        <f>IFERROR(__xludf.DUMMYFUNCTION("""COMPUTED_VALUE"""),1243.0)</f>
        <v>1243</v>
      </c>
      <c r="E3154" s="2">
        <f>IFERROR(__xludf.DUMMYFUNCTION("""COMPUTED_VALUE"""),1253.5)</f>
        <v>1253.5</v>
      </c>
      <c r="F3154" s="2">
        <f>IFERROR(__xludf.DUMMYFUNCTION("""COMPUTED_VALUE"""),1574017.0)</f>
        <v>1574017</v>
      </c>
    </row>
    <row r="3155">
      <c r="A3155" s="3">
        <f>IFERROR(__xludf.DUMMYFUNCTION("""COMPUTED_VALUE"""),42898.64583333333)</f>
        <v>42898.64583</v>
      </c>
      <c r="B3155" s="2">
        <f>IFERROR(__xludf.DUMMYFUNCTION("""COMPUTED_VALUE"""),1248.5)</f>
        <v>1248.5</v>
      </c>
      <c r="C3155" s="2">
        <f>IFERROR(__xludf.DUMMYFUNCTION("""COMPUTED_VALUE"""),1256.45)</f>
        <v>1256.45</v>
      </c>
      <c r="D3155" s="2">
        <f>IFERROR(__xludf.DUMMYFUNCTION("""COMPUTED_VALUE"""),1235.2)</f>
        <v>1235.2</v>
      </c>
      <c r="E3155" s="2">
        <f>IFERROR(__xludf.DUMMYFUNCTION("""COMPUTED_VALUE"""),1243.6)</f>
        <v>1243.6</v>
      </c>
      <c r="F3155" s="2">
        <f>IFERROR(__xludf.DUMMYFUNCTION("""COMPUTED_VALUE"""),813253.0)</f>
        <v>813253</v>
      </c>
    </row>
    <row r="3156">
      <c r="A3156" s="3">
        <f>IFERROR(__xludf.DUMMYFUNCTION("""COMPUTED_VALUE"""),42899.64583333333)</f>
        <v>42899.64583</v>
      </c>
      <c r="B3156" s="2">
        <f>IFERROR(__xludf.DUMMYFUNCTION("""COMPUTED_VALUE"""),1232.5)</f>
        <v>1232.5</v>
      </c>
      <c r="C3156" s="2">
        <f>IFERROR(__xludf.DUMMYFUNCTION("""COMPUTED_VALUE"""),1240.55)</f>
        <v>1240.55</v>
      </c>
      <c r="D3156" s="2">
        <f>IFERROR(__xludf.DUMMYFUNCTION("""COMPUTED_VALUE"""),1223.5)</f>
        <v>1223.5</v>
      </c>
      <c r="E3156" s="2">
        <f>IFERROR(__xludf.DUMMYFUNCTION("""COMPUTED_VALUE"""),1225.78)</f>
        <v>1225.78</v>
      </c>
      <c r="F3156" s="2">
        <f>IFERROR(__xludf.DUMMYFUNCTION("""COMPUTED_VALUE"""),587707.0)</f>
        <v>587707</v>
      </c>
    </row>
    <row r="3157">
      <c r="A3157" s="3">
        <f>IFERROR(__xludf.DUMMYFUNCTION("""COMPUTED_VALUE"""),42900.64583333333)</f>
        <v>42900.64583</v>
      </c>
      <c r="B3157" s="2">
        <f>IFERROR(__xludf.DUMMYFUNCTION("""COMPUTED_VALUE"""),1227.5)</f>
        <v>1227.5</v>
      </c>
      <c r="C3157" s="2">
        <f>IFERROR(__xludf.DUMMYFUNCTION("""COMPUTED_VALUE"""),1238.0)</f>
        <v>1238</v>
      </c>
      <c r="D3157" s="2">
        <f>IFERROR(__xludf.DUMMYFUNCTION("""COMPUTED_VALUE"""),1227.5)</f>
        <v>1227.5</v>
      </c>
      <c r="E3157" s="2">
        <f>IFERROR(__xludf.DUMMYFUNCTION("""COMPUTED_VALUE"""),1235.1)</f>
        <v>1235.1</v>
      </c>
      <c r="F3157" s="2">
        <f>IFERROR(__xludf.DUMMYFUNCTION("""COMPUTED_VALUE"""),744571.0)</f>
        <v>744571</v>
      </c>
    </row>
    <row r="3158">
      <c r="A3158" s="3">
        <f>IFERROR(__xludf.DUMMYFUNCTION("""COMPUTED_VALUE"""),42901.64583333333)</f>
        <v>42901.64583</v>
      </c>
      <c r="B3158" s="2">
        <f>IFERROR(__xludf.DUMMYFUNCTION("""COMPUTED_VALUE"""),1234.5)</f>
        <v>1234.5</v>
      </c>
      <c r="C3158" s="2">
        <f>IFERROR(__xludf.DUMMYFUNCTION("""COMPUTED_VALUE"""),1234.85)</f>
        <v>1234.85</v>
      </c>
      <c r="D3158" s="2">
        <f>IFERROR(__xludf.DUMMYFUNCTION("""COMPUTED_VALUE"""),1202.5)</f>
        <v>1202.5</v>
      </c>
      <c r="E3158" s="2">
        <f>IFERROR(__xludf.DUMMYFUNCTION("""COMPUTED_VALUE"""),1205.6)</f>
        <v>1205.6</v>
      </c>
      <c r="F3158" s="2">
        <f>IFERROR(__xludf.DUMMYFUNCTION("""COMPUTED_VALUE"""),1498599.0)</f>
        <v>1498599</v>
      </c>
    </row>
    <row r="3159">
      <c r="A3159" s="3">
        <f>IFERROR(__xludf.DUMMYFUNCTION("""COMPUTED_VALUE"""),42902.64583333333)</f>
        <v>42902.64583</v>
      </c>
      <c r="B3159" s="2">
        <f>IFERROR(__xludf.DUMMYFUNCTION("""COMPUTED_VALUE"""),1207.47)</f>
        <v>1207.47</v>
      </c>
      <c r="C3159" s="2">
        <f>IFERROR(__xludf.DUMMYFUNCTION("""COMPUTED_VALUE"""),1217.5)</f>
        <v>1217.5</v>
      </c>
      <c r="D3159" s="2">
        <f>IFERROR(__xludf.DUMMYFUNCTION("""COMPUTED_VALUE"""),1193.25)</f>
        <v>1193.25</v>
      </c>
      <c r="E3159" s="2">
        <f>IFERROR(__xludf.DUMMYFUNCTION("""COMPUTED_VALUE"""),1199.85)</f>
        <v>1199.85</v>
      </c>
      <c r="F3159" s="2">
        <f>IFERROR(__xludf.DUMMYFUNCTION("""COMPUTED_VALUE"""),1225213.0)</f>
        <v>1225213</v>
      </c>
    </row>
    <row r="3160">
      <c r="A3160" s="3">
        <f>IFERROR(__xludf.DUMMYFUNCTION("""COMPUTED_VALUE"""),42905.64583333333)</f>
        <v>42905.64583</v>
      </c>
      <c r="B3160" s="2">
        <f>IFERROR(__xludf.DUMMYFUNCTION("""COMPUTED_VALUE"""),1208.45)</f>
        <v>1208.45</v>
      </c>
      <c r="C3160" s="2">
        <f>IFERROR(__xludf.DUMMYFUNCTION("""COMPUTED_VALUE"""),1223.18)</f>
        <v>1223.18</v>
      </c>
      <c r="D3160" s="2">
        <f>IFERROR(__xludf.DUMMYFUNCTION("""COMPUTED_VALUE"""),1202.58)</f>
        <v>1202.58</v>
      </c>
      <c r="E3160" s="2">
        <f>IFERROR(__xludf.DUMMYFUNCTION("""COMPUTED_VALUE"""),1215.85)</f>
        <v>1215.85</v>
      </c>
      <c r="F3160" s="2">
        <f>IFERROR(__xludf.DUMMYFUNCTION("""COMPUTED_VALUE"""),822371.0)</f>
        <v>822371</v>
      </c>
    </row>
    <row r="3161">
      <c r="A3161" s="3">
        <f>IFERROR(__xludf.DUMMYFUNCTION("""COMPUTED_VALUE"""),42906.64583333333)</f>
        <v>42906.64583</v>
      </c>
      <c r="B3161" s="2">
        <f>IFERROR(__xludf.DUMMYFUNCTION("""COMPUTED_VALUE"""),1215.5)</f>
        <v>1215.5</v>
      </c>
      <c r="C3161" s="2">
        <f>IFERROR(__xludf.DUMMYFUNCTION("""COMPUTED_VALUE"""),1224.5)</f>
        <v>1224.5</v>
      </c>
      <c r="D3161" s="2">
        <f>IFERROR(__xludf.DUMMYFUNCTION("""COMPUTED_VALUE"""),1190.15)</f>
        <v>1190.15</v>
      </c>
      <c r="E3161" s="2">
        <f>IFERROR(__xludf.DUMMYFUNCTION("""COMPUTED_VALUE"""),1222.5)</f>
        <v>1222.5</v>
      </c>
      <c r="F3161" s="2">
        <f>IFERROR(__xludf.DUMMYFUNCTION("""COMPUTED_VALUE"""),835479.0)</f>
        <v>835479</v>
      </c>
    </row>
    <row r="3162">
      <c r="A3162" s="3">
        <f>IFERROR(__xludf.DUMMYFUNCTION("""COMPUTED_VALUE"""),42907.64583333333)</f>
        <v>42907.64583</v>
      </c>
      <c r="B3162" s="2">
        <f>IFERROR(__xludf.DUMMYFUNCTION("""COMPUTED_VALUE"""),1220.0)</f>
        <v>1220</v>
      </c>
      <c r="C3162" s="2">
        <f>IFERROR(__xludf.DUMMYFUNCTION("""COMPUTED_VALUE"""),1221.08)</f>
        <v>1221.08</v>
      </c>
      <c r="D3162" s="2">
        <f>IFERROR(__xludf.DUMMYFUNCTION("""COMPUTED_VALUE"""),1198.6)</f>
        <v>1198.6</v>
      </c>
      <c r="E3162" s="2">
        <f>IFERROR(__xludf.DUMMYFUNCTION("""COMPUTED_VALUE"""),1203.15)</f>
        <v>1203.15</v>
      </c>
      <c r="F3162" s="2">
        <f>IFERROR(__xludf.DUMMYFUNCTION("""COMPUTED_VALUE"""),828909.0)</f>
        <v>828909</v>
      </c>
    </row>
    <row r="3163">
      <c r="A3163" s="3">
        <f>IFERROR(__xludf.DUMMYFUNCTION("""COMPUTED_VALUE"""),42908.64583333333)</f>
        <v>42908.64583</v>
      </c>
      <c r="B3163" s="2">
        <f>IFERROR(__xludf.DUMMYFUNCTION("""COMPUTED_VALUE"""),1204.5)</f>
        <v>1204.5</v>
      </c>
      <c r="C3163" s="2">
        <f>IFERROR(__xludf.DUMMYFUNCTION("""COMPUTED_VALUE"""),1215.5)</f>
        <v>1215.5</v>
      </c>
      <c r="D3163" s="2">
        <f>IFERROR(__xludf.DUMMYFUNCTION("""COMPUTED_VALUE"""),1192.5)</f>
        <v>1192.5</v>
      </c>
      <c r="E3163" s="2">
        <f>IFERROR(__xludf.DUMMYFUNCTION("""COMPUTED_VALUE"""),1197.43)</f>
        <v>1197.43</v>
      </c>
      <c r="F3163" s="2">
        <f>IFERROR(__xludf.DUMMYFUNCTION("""COMPUTED_VALUE"""),2887941.0)</f>
        <v>2887941</v>
      </c>
    </row>
    <row r="3164">
      <c r="A3164" s="3">
        <f>IFERROR(__xludf.DUMMYFUNCTION("""COMPUTED_VALUE"""),42909.64583333333)</f>
        <v>42909.64583</v>
      </c>
      <c r="B3164" s="2">
        <f>IFERROR(__xludf.DUMMYFUNCTION("""COMPUTED_VALUE"""),1199.7)</f>
        <v>1199.7</v>
      </c>
      <c r="C3164" s="2">
        <f>IFERROR(__xludf.DUMMYFUNCTION("""COMPUTED_VALUE"""),1206.97)</f>
        <v>1206.97</v>
      </c>
      <c r="D3164" s="2">
        <f>IFERROR(__xludf.DUMMYFUNCTION("""COMPUTED_VALUE"""),1177.0)</f>
        <v>1177</v>
      </c>
      <c r="E3164" s="2">
        <f>IFERROR(__xludf.DUMMYFUNCTION("""COMPUTED_VALUE"""),1180.85)</f>
        <v>1180.85</v>
      </c>
      <c r="F3164" s="2">
        <f>IFERROR(__xludf.DUMMYFUNCTION("""COMPUTED_VALUE"""),712378.0)</f>
        <v>712378</v>
      </c>
    </row>
    <row r="3165">
      <c r="A3165" s="3">
        <f>IFERROR(__xludf.DUMMYFUNCTION("""COMPUTED_VALUE"""),42913.64583333333)</f>
        <v>42913.64583</v>
      </c>
      <c r="B3165" s="2">
        <f>IFERROR(__xludf.DUMMYFUNCTION("""COMPUTED_VALUE"""),1175.3)</f>
        <v>1175.3</v>
      </c>
      <c r="C3165" s="2">
        <f>IFERROR(__xludf.DUMMYFUNCTION("""COMPUTED_VALUE"""),1192.35)</f>
        <v>1192.35</v>
      </c>
      <c r="D3165" s="2">
        <f>IFERROR(__xludf.DUMMYFUNCTION("""COMPUTED_VALUE"""),1165.8)</f>
        <v>1165.8</v>
      </c>
      <c r="E3165" s="2">
        <f>IFERROR(__xludf.DUMMYFUNCTION("""COMPUTED_VALUE"""),1171.43)</f>
        <v>1171.43</v>
      </c>
      <c r="F3165" s="2">
        <f>IFERROR(__xludf.DUMMYFUNCTION("""COMPUTED_VALUE"""),987165.0)</f>
        <v>987165</v>
      </c>
    </row>
    <row r="3166">
      <c r="A3166" s="3">
        <f>IFERROR(__xludf.DUMMYFUNCTION("""COMPUTED_VALUE"""),42914.64583333333)</f>
        <v>42914.64583</v>
      </c>
      <c r="B3166" s="2">
        <f>IFERROR(__xludf.DUMMYFUNCTION("""COMPUTED_VALUE"""),1174.95)</f>
        <v>1174.95</v>
      </c>
      <c r="C3166" s="2">
        <f>IFERROR(__xludf.DUMMYFUNCTION("""COMPUTED_VALUE"""),1179.0)</f>
        <v>1179</v>
      </c>
      <c r="D3166" s="2">
        <f>IFERROR(__xludf.DUMMYFUNCTION("""COMPUTED_VALUE"""),1167.5)</f>
        <v>1167.5</v>
      </c>
      <c r="E3166" s="2">
        <f>IFERROR(__xludf.DUMMYFUNCTION("""COMPUTED_VALUE"""),1175.03)</f>
        <v>1175.03</v>
      </c>
      <c r="F3166" s="2">
        <f>IFERROR(__xludf.DUMMYFUNCTION("""COMPUTED_VALUE"""),894863.0)</f>
        <v>894863</v>
      </c>
    </row>
    <row r="3167">
      <c r="A3167" s="3">
        <f>IFERROR(__xludf.DUMMYFUNCTION("""COMPUTED_VALUE"""),42915.64583333333)</f>
        <v>42915.64583</v>
      </c>
      <c r="B3167" s="2">
        <f>IFERROR(__xludf.DUMMYFUNCTION("""COMPUTED_VALUE"""),1179.5)</f>
        <v>1179.5</v>
      </c>
      <c r="C3167" s="2">
        <f>IFERROR(__xludf.DUMMYFUNCTION("""COMPUTED_VALUE"""),1186.03)</f>
        <v>1186.03</v>
      </c>
      <c r="D3167" s="2">
        <f>IFERROR(__xludf.DUMMYFUNCTION("""COMPUTED_VALUE"""),1161.55)</f>
        <v>1161.55</v>
      </c>
      <c r="E3167" s="2">
        <f>IFERROR(__xludf.DUMMYFUNCTION("""COMPUTED_VALUE"""),1166.63)</f>
        <v>1166.63</v>
      </c>
      <c r="F3167" s="2">
        <f>IFERROR(__xludf.DUMMYFUNCTION("""COMPUTED_VALUE"""),1235913.0)</f>
        <v>1235913</v>
      </c>
    </row>
    <row r="3168">
      <c r="A3168" s="3">
        <f>IFERROR(__xludf.DUMMYFUNCTION("""COMPUTED_VALUE"""),42916.64583333333)</f>
        <v>42916.64583</v>
      </c>
      <c r="B3168" s="2">
        <f>IFERROR(__xludf.DUMMYFUNCTION("""COMPUTED_VALUE"""),1162.2)</f>
        <v>1162.2</v>
      </c>
      <c r="C3168" s="2">
        <f>IFERROR(__xludf.DUMMYFUNCTION("""COMPUTED_VALUE"""),1188.5)</f>
        <v>1188.5</v>
      </c>
      <c r="D3168" s="2">
        <f>IFERROR(__xludf.DUMMYFUNCTION("""COMPUTED_VALUE"""),1161.55)</f>
        <v>1161.55</v>
      </c>
      <c r="E3168" s="2">
        <f>IFERROR(__xludf.DUMMYFUNCTION("""COMPUTED_VALUE"""),1181.18)</f>
        <v>1181.18</v>
      </c>
      <c r="F3168" s="2">
        <f>IFERROR(__xludf.DUMMYFUNCTION("""COMPUTED_VALUE"""),876924.0)</f>
        <v>876924</v>
      </c>
    </row>
    <row r="3169">
      <c r="A3169" s="3">
        <f>IFERROR(__xludf.DUMMYFUNCTION("""COMPUTED_VALUE"""),42919.64583333333)</f>
        <v>42919.64583</v>
      </c>
      <c r="B3169" s="2">
        <f>IFERROR(__xludf.DUMMYFUNCTION("""COMPUTED_VALUE"""),1178.7)</f>
        <v>1178.7</v>
      </c>
      <c r="C3169" s="2">
        <f>IFERROR(__xludf.DUMMYFUNCTION("""COMPUTED_VALUE"""),1191.53)</f>
        <v>1191.53</v>
      </c>
      <c r="D3169" s="2">
        <f>IFERROR(__xludf.DUMMYFUNCTION("""COMPUTED_VALUE"""),1171.55)</f>
        <v>1171.55</v>
      </c>
      <c r="E3169" s="2">
        <f>IFERROR(__xludf.DUMMYFUNCTION("""COMPUTED_VALUE"""),1186.8)</f>
        <v>1186.8</v>
      </c>
      <c r="F3169" s="2">
        <f>IFERROR(__xludf.DUMMYFUNCTION("""COMPUTED_VALUE"""),737978.0)</f>
        <v>737978</v>
      </c>
    </row>
    <row r="3170">
      <c r="A3170" s="3">
        <f>IFERROR(__xludf.DUMMYFUNCTION("""COMPUTED_VALUE"""),42920.64583333333)</f>
        <v>42920.64583</v>
      </c>
      <c r="B3170" s="2">
        <f>IFERROR(__xludf.DUMMYFUNCTION("""COMPUTED_VALUE"""),1186.65)</f>
        <v>1186.65</v>
      </c>
      <c r="C3170" s="2">
        <f>IFERROR(__xludf.DUMMYFUNCTION("""COMPUTED_VALUE"""),1190.22)</f>
        <v>1190.22</v>
      </c>
      <c r="D3170" s="2">
        <f>IFERROR(__xludf.DUMMYFUNCTION("""COMPUTED_VALUE"""),1175.03)</f>
        <v>1175.03</v>
      </c>
      <c r="E3170" s="2">
        <f>IFERROR(__xludf.DUMMYFUNCTION("""COMPUTED_VALUE"""),1183.43)</f>
        <v>1183.43</v>
      </c>
      <c r="F3170" s="2">
        <f>IFERROR(__xludf.DUMMYFUNCTION("""COMPUTED_VALUE"""),607567.0)</f>
        <v>607567</v>
      </c>
    </row>
    <row r="3171">
      <c r="A3171" s="3">
        <f>IFERROR(__xludf.DUMMYFUNCTION("""COMPUTED_VALUE"""),42921.64583333333)</f>
        <v>42921.64583</v>
      </c>
      <c r="B3171" s="2">
        <f>IFERROR(__xludf.DUMMYFUNCTION("""COMPUTED_VALUE"""),1180.4)</f>
        <v>1180.4</v>
      </c>
      <c r="C3171" s="2">
        <f>IFERROR(__xludf.DUMMYFUNCTION("""COMPUTED_VALUE"""),1182.5)</f>
        <v>1182.5</v>
      </c>
      <c r="D3171" s="2">
        <f>IFERROR(__xludf.DUMMYFUNCTION("""COMPUTED_VALUE"""),1172.5)</f>
        <v>1172.5</v>
      </c>
      <c r="E3171" s="2">
        <f>IFERROR(__xludf.DUMMYFUNCTION("""COMPUTED_VALUE"""),1178.0)</f>
        <v>1178</v>
      </c>
      <c r="F3171" s="2">
        <f>IFERROR(__xludf.DUMMYFUNCTION("""COMPUTED_VALUE"""),407928.0)</f>
        <v>407928</v>
      </c>
    </row>
    <row r="3172">
      <c r="A3172" s="3">
        <f>IFERROR(__xludf.DUMMYFUNCTION("""COMPUTED_VALUE"""),42922.64583333333)</f>
        <v>42922.64583</v>
      </c>
      <c r="B3172" s="2">
        <f>IFERROR(__xludf.DUMMYFUNCTION("""COMPUTED_VALUE"""),1179.5)</f>
        <v>1179.5</v>
      </c>
      <c r="C3172" s="2">
        <f>IFERROR(__xludf.DUMMYFUNCTION("""COMPUTED_VALUE"""),1180.95)</f>
        <v>1180.95</v>
      </c>
      <c r="D3172" s="2">
        <f>IFERROR(__xludf.DUMMYFUNCTION("""COMPUTED_VALUE"""),1170.05)</f>
        <v>1170.05</v>
      </c>
      <c r="E3172" s="2">
        <f>IFERROR(__xludf.DUMMYFUNCTION("""COMPUTED_VALUE"""),1173.78)</f>
        <v>1173.78</v>
      </c>
      <c r="F3172" s="2">
        <f>IFERROR(__xludf.DUMMYFUNCTION("""COMPUTED_VALUE"""),513394.0)</f>
        <v>513394</v>
      </c>
    </row>
    <row r="3173">
      <c r="A3173" s="3">
        <f>IFERROR(__xludf.DUMMYFUNCTION("""COMPUTED_VALUE"""),42923.64583333333)</f>
        <v>42923.64583</v>
      </c>
      <c r="B3173" s="2">
        <f>IFERROR(__xludf.DUMMYFUNCTION("""COMPUTED_VALUE"""),1175.0)</f>
        <v>1175</v>
      </c>
      <c r="C3173" s="2">
        <f>IFERROR(__xludf.DUMMYFUNCTION("""COMPUTED_VALUE"""),1178.22)</f>
        <v>1178.22</v>
      </c>
      <c r="D3173" s="2">
        <f>IFERROR(__xludf.DUMMYFUNCTION("""COMPUTED_VALUE"""),1162.75)</f>
        <v>1162.75</v>
      </c>
      <c r="E3173" s="2">
        <f>IFERROR(__xludf.DUMMYFUNCTION("""COMPUTED_VALUE"""),1165.97)</f>
        <v>1165.97</v>
      </c>
      <c r="F3173" s="2">
        <f>IFERROR(__xludf.DUMMYFUNCTION("""COMPUTED_VALUE"""),616045.0)</f>
        <v>616045</v>
      </c>
    </row>
    <row r="3174">
      <c r="A3174" s="3">
        <f>IFERROR(__xludf.DUMMYFUNCTION("""COMPUTED_VALUE"""),42926.64583333333)</f>
        <v>42926.64583</v>
      </c>
      <c r="B3174" s="2">
        <f>IFERROR(__xludf.DUMMYFUNCTION("""COMPUTED_VALUE"""),1203.0)</f>
        <v>1203</v>
      </c>
      <c r="C3174" s="2">
        <f>IFERROR(__xludf.DUMMYFUNCTION("""COMPUTED_VALUE"""),1222.45)</f>
        <v>1222.45</v>
      </c>
      <c r="D3174" s="2">
        <f>IFERROR(__xludf.DUMMYFUNCTION("""COMPUTED_VALUE"""),1189.47)</f>
        <v>1189.47</v>
      </c>
      <c r="E3174" s="2">
        <f>IFERROR(__xludf.DUMMYFUNCTION("""COMPUTED_VALUE"""),1217.47)</f>
        <v>1217.47</v>
      </c>
      <c r="F3174" s="2">
        <f>IFERROR(__xludf.DUMMYFUNCTION("""COMPUTED_VALUE"""),391804.0)</f>
        <v>391804</v>
      </c>
    </row>
    <row r="3175">
      <c r="A3175" s="3">
        <f>IFERROR(__xludf.DUMMYFUNCTION("""COMPUTED_VALUE"""),42927.64583333333)</f>
        <v>42927.64583</v>
      </c>
      <c r="B3175" s="2">
        <f>IFERROR(__xludf.DUMMYFUNCTION("""COMPUTED_VALUE"""),1213.0)</f>
        <v>1213</v>
      </c>
      <c r="C3175" s="2">
        <f>IFERROR(__xludf.DUMMYFUNCTION("""COMPUTED_VALUE"""),1257.4)</f>
        <v>1257.4</v>
      </c>
      <c r="D3175" s="2">
        <f>IFERROR(__xludf.DUMMYFUNCTION("""COMPUTED_VALUE"""),1213.0)</f>
        <v>1213</v>
      </c>
      <c r="E3175" s="2">
        <f>IFERROR(__xludf.DUMMYFUNCTION("""COMPUTED_VALUE"""),1237.9)</f>
        <v>1237.9</v>
      </c>
      <c r="F3175" s="2">
        <f>IFERROR(__xludf.DUMMYFUNCTION("""COMPUTED_VALUE"""),1768752.0)</f>
        <v>1768752</v>
      </c>
    </row>
    <row r="3176">
      <c r="A3176" s="3">
        <f>IFERROR(__xludf.DUMMYFUNCTION("""COMPUTED_VALUE"""),42928.64583333333)</f>
        <v>42928.64583</v>
      </c>
      <c r="B3176" s="2">
        <f>IFERROR(__xludf.DUMMYFUNCTION("""COMPUTED_VALUE"""),1241.25)</f>
        <v>1241.25</v>
      </c>
      <c r="C3176" s="2">
        <f>IFERROR(__xludf.DUMMYFUNCTION("""COMPUTED_VALUE"""),1241.65)</f>
        <v>1241.65</v>
      </c>
      <c r="D3176" s="2">
        <f>IFERROR(__xludf.DUMMYFUNCTION("""COMPUTED_VALUE"""),1215.05)</f>
        <v>1215.05</v>
      </c>
      <c r="E3176" s="2">
        <f>IFERROR(__xludf.DUMMYFUNCTION("""COMPUTED_VALUE"""),1219.72)</f>
        <v>1219.72</v>
      </c>
      <c r="F3176" s="2">
        <f>IFERROR(__xludf.DUMMYFUNCTION("""COMPUTED_VALUE"""),1323225.0)</f>
        <v>1323225</v>
      </c>
    </row>
    <row r="3177">
      <c r="A3177" s="3">
        <f>IFERROR(__xludf.DUMMYFUNCTION("""COMPUTED_VALUE"""),42929.64583333333)</f>
        <v>42929.64583</v>
      </c>
      <c r="B3177" s="2">
        <f>IFERROR(__xludf.DUMMYFUNCTION("""COMPUTED_VALUE"""),1222.5)</f>
        <v>1222.5</v>
      </c>
      <c r="C3177" s="2">
        <f>IFERROR(__xludf.DUMMYFUNCTION("""COMPUTED_VALUE"""),1236.0)</f>
        <v>1236</v>
      </c>
      <c r="D3177" s="2">
        <f>IFERROR(__xludf.DUMMYFUNCTION("""COMPUTED_VALUE"""),1213.3)</f>
        <v>1213.3</v>
      </c>
      <c r="E3177" s="2">
        <f>IFERROR(__xludf.DUMMYFUNCTION("""COMPUTED_VALUE"""),1223.2)</f>
        <v>1223.2</v>
      </c>
      <c r="F3177" s="2">
        <f>IFERROR(__xludf.DUMMYFUNCTION("""COMPUTED_VALUE"""),1565980.0)</f>
        <v>1565980</v>
      </c>
    </row>
    <row r="3178">
      <c r="A3178" s="3">
        <f>IFERROR(__xludf.DUMMYFUNCTION("""COMPUTED_VALUE"""),42930.64583333333)</f>
        <v>42930.64583</v>
      </c>
      <c r="B3178" s="2">
        <f>IFERROR(__xludf.DUMMYFUNCTION("""COMPUTED_VALUE"""),1191.5)</f>
        <v>1191.5</v>
      </c>
      <c r="C3178" s="2">
        <f>IFERROR(__xludf.DUMMYFUNCTION("""COMPUTED_VALUE"""),1212.5)</f>
        <v>1212.5</v>
      </c>
      <c r="D3178" s="2">
        <f>IFERROR(__xludf.DUMMYFUNCTION("""COMPUTED_VALUE"""),1187.5)</f>
        <v>1187.5</v>
      </c>
      <c r="E3178" s="2">
        <f>IFERROR(__xludf.DUMMYFUNCTION("""COMPUTED_VALUE"""),1198.72)</f>
        <v>1198.72</v>
      </c>
      <c r="F3178" s="2">
        <f>IFERROR(__xludf.DUMMYFUNCTION("""COMPUTED_VALUE"""),2254216.0)</f>
        <v>2254216</v>
      </c>
    </row>
    <row r="3179">
      <c r="A3179" s="3">
        <f>IFERROR(__xludf.DUMMYFUNCTION("""COMPUTED_VALUE"""),42933.64583333333)</f>
        <v>42933.64583</v>
      </c>
      <c r="B3179" s="2">
        <f>IFERROR(__xludf.DUMMYFUNCTION("""COMPUTED_VALUE"""),1198.85)</f>
        <v>1198.85</v>
      </c>
      <c r="C3179" s="2">
        <f>IFERROR(__xludf.DUMMYFUNCTION("""COMPUTED_VALUE"""),1211.05)</f>
        <v>1211.05</v>
      </c>
      <c r="D3179" s="2">
        <f>IFERROR(__xludf.DUMMYFUNCTION("""COMPUTED_VALUE"""),1191.1)</f>
        <v>1191.1</v>
      </c>
      <c r="E3179" s="2">
        <f>IFERROR(__xludf.DUMMYFUNCTION("""COMPUTED_VALUE"""),1197.72)</f>
        <v>1197.72</v>
      </c>
      <c r="F3179" s="2">
        <f>IFERROR(__xludf.DUMMYFUNCTION("""COMPUTED_VALUE"""),1105911.0)</f>
        <v>1105911</v>
      </c>
    </row>
    <row r="3180">
      <c r="A3180" s="3">
        <f>IFERROR(__xludf.DUMMYFUNCTION("""COMPUTED_VALUE"""),42934.64583333333)</f>
        <v>42934.64583</v>
      </c>
      <c r="B3180" s="2">
        <f>IFERROR(__xludf.DUMMYFUNCTION("""COMPUTED_VALUE"""),1198.08)</f>
        <v>1198.08</v>
      </c>
      <c r="C3180" s="2">
        <f>IFERROR(__xludf.DUMMYFUNCTION("""COMPUTED_VALUE"""),1221.5)</f>
        <v>1221.5</v>
      </c>
      <c r="D3180" s="2">
        <f>IFERROR(__xludf.DUMMYFUNCTION("""COMPUTED_VALUE"""),1198.08)</f>
        <v>1198.08</v>
      </c>
      <c r="E3180" s="2">
        <f>IFERROR(__xludf.DUMMYFUNCTION("""COMPUTED_VALUE"""),1204.18)</f>
        <v>1204.18</v>
      </c>
      <c r="F3180" s="2">
        <f>IFERROR(__xludf.DUMMYFUNCTION("""COMPUTED_VALUE"""),954001.0)</f>
        <v>954001</v>
      </c>
    </row>
    <row r="3181">
      <c r="A3181" s="3">
        <f>IFERROR(__xludf.DUMMYFUNCTION("""COMPUTED_VALUE"""),42935.64583333333)</f>
        <v>42935.64583</v>
      </c>
      <c r="B3181" s="2">
        <f>IFERROR(__xludf.DUMMYFUNCTION("""COMPUTED_VALUE"""),1207.75)</f>
        <v>1207.75</v>
      </c>
      <c r="C3181" s="2">
        <f>IFERROR(__xludf.DUMMYFUNCTION("""COMPUTED_VALUE"""),1230.0)</f>
        <v>1230</v>
      </c>
      <c r="D3181" s="2">
        <f>IFERROR(__xludf.DUMMYFUNCTION("""COMPUTED_VALUE"""),1207.55)</f>
        <v>1207.55</v>
      </c>
      <c r="E3181" s="2">
        <f>IFERROR(__xludf.DUMMYFUNCTION("""COMPUTED_VALUE"""),1224.8)</f>
        <v>1224.8</v>
      </c>
      <c r="F3181" s="2">
        <f>IFERROR(__xludf.DUMMYFUNCTION("""COMPUTED_VALUE"""),1957788.0)</f>
        <v>1957788</v>
      </c>
    </row>
    <row r="3182">
      <c r="A3182" s="3">
        <f>IFERROR(__xludf.DUMMYFUNCTION("""COMPUTED_VALUE"""),42936.64583333333)</f>
        <v>42936.64583</v>
      </c>
      <c r="B3182" s="2">
        <f>IFERROR(__xludf.DUMMYFUNCTION("""COMPUTED_VALUE"""),1224.63)</f>
        <v>1224.63</v>
      </c>
      <c r="C3182" s="2">
        <f>IFERROR(__xludf.DUMMYFUNCTION("""COMPUTED_VALUE"""),1228.45)</f>
        <v>1228.45</v>
      </c>
      <c r="D3182" s="2">
        <f>IFERROR(__xludf.DUMMYFUNCTION("""COMPUTED_VALUE"""),1215.25)</f>
        <v>1215.25</v>
      </c>
      <c r="E3182" s="2">
        <f>IFERROR(__xludf.DUMMYFUNCTION("""COMPUTED_VALUE"""),1222.35)</f>
        <v>1222.35</v>
      </c>
      <c r="F3182" s="2">
        <f>IFERROR(__xludf.DUMMYFUNCTION("""COMPUTED_VALUE"""),591252.0)</f>
        <v>591252</v>
      </c>
    </row>
    <row r="3183">
      <c r="A3183" s="3">
        <f>IFERROR(__xludf.DUMMYFUNCTION("""COMPUTED_VALUE"""),42937.64583333333)</f>
        <v>42937.64583</v>
      </c>
      <c r="B3183" s="2">
        <f>IFERROR(__xludf.DUMMYFUNCTION("""COMPUTED_VALUE"""),1217.45)</f>
        <v>1217.45</v>
      </c>
      <c r="C3183" s="2">
        <f>IFERROR(__xludf.DUMMYFUNCTION("""COMPUTED_VALUE"""),1250.0)</f>
        <v>1250</v>
      </c>
      <c r="D3183" s="2">
        <f>IFERROR(__xludf.DUMMYFUNCTION("""COMPUTED_VALUE"""),1217.28)</f>
        <v>1217.28</v>
      </c>
      <c r="E3183" s="2">
        <f>IFERROR(__xludf.DUMMYFUNCTION("""COMPUTED_VALUE"""),1245.6)</f>
        <v>1245.6</v>
      </c>
      <c r="F3183" s="2">
        <f>IFERROR(__xludf.DUMMYFUNCTION("""COMPUTED_VALUE"""),1074208.0)</f>
        <v>1074208</v>
      </c>
    </row>
    <row r="3184">
      <c r="A3184" s="3">
        <f>IFERROR(__xludf.DUMMYFUNCTION("""COMPUTED_VALUE"""),42940.64583333333)</f>
        <v>42940.64583</v>
      </c>
      <c r="B3184" s="2">
        <f>IFERROR(__xludf.DUMMYFUNCTION("""COMPUTED_VALUE"""),1241.0)</f>
        <v>1241</v>
      </c>
      <c r="C3184" s="2">
        <f>IFERROR(__xludf.DUMMYFUNCTION("""COMPUTED_VALUE"""),1270.0)</f>
        <v>1270</v>
      </c>
      <c r="D3184" s="2">
        <f>IFERROR(__xludf.DUMMYFUNCTION("""COMPUTED_VALUE"""),1241.0)</f>
        <v>1241</v>
      </c>
      <c r="E3184" s="2">
        <f>IFERROR(__xludf.DUMMYFUNCTION("""COMPUTED_VALUE"""),1265.35)</f>
        <v>1265.35</v>
      </c>
      <c r="F3184" s="2">
        <f>IFERROR(__xludf.DUMMYFUNCTION("""COMPUTED_VALUE"""),1135701.0)</f>
        <v>1135701</v>
      </c>
    </row>
    <row r="3185">
      <c r="A3185" s="3">
        <f>IFERROR(__xludf.DUMMYFUNCTION("""COMPUTED_VALUE"""),42941.64583333333)</f>
        <v>42941.64583</v>
      </c>
      <c r="B3185" s="2">
        <f>IFERROR(__xludf.DUMMYFUNCTION("""COMPUTED_VALUE"""),1262.88)</f>
        <v>1262.88</v>
      </c>
      <c r="C3185" s="2">
        <f>IFERROR(__xludf.DUMMYFUNCTION("""COMPUTED_VALUE"""),1290.0)</f>
        <v>1290</v>
      </c>
      <c r="D3185" s="2">
        <f>IFERROR(__xludf.DUMMYFUNCTION("""COMPUTED_VALUE"""),1259.2)</f>
        <v>1259.2</v>
      </c>
      <c r="E3185" s="2">
        <f>IFERROR(__xludf.DUMMYFUNCTION("""COMPUTED_VALUE"""),1285.75)</f>
        <v>1285.75</v>
      </c>
      <c r="F3185" s="2">
        <f>IFERROR(__xludf.DUMMYFUNCTION("""COMPUTED_VALUE"""),1339416.0)</f>
        <v>1339416</v>
      </c>
    </row>
    <row r="3186">
      <c r="A3186" s="3">
        <f>IFERROR(__xludf.DUMMYFUNCTION("""COMPUTED_VALUE"""),42942.64583333333)</f>
        <v>42942.64583</v>
      </c>
      <c r="B3186" s="2">
        <f>IFERROR(__xludf.DUMMYFUNCTION("""COMPUTED_VALUE"""),1280.0)</f>
        <v>1280</v>
      </c>
      <c r="C3186" s="2">
        <f>IFERROR(__xludf.DUMMYFUNCTION("""COMPUTED_VALUE"""),1287.5)</f>
        <v>1287.5</v>
      </c>
      <c r="D3186" s="2">
        <f>IFERROR(__xludf.DUMMYFUNCTION("""COMPUTED_VALUE"""),1273.5)</f>
        <v>1273.5</v>
      </c>
      <c r="E3186" s="2">
        <f>IFERROR(__xludf.DUMMYFUNCTION("""COMPUTED_VALUE"""),1278.0)</f>
        <v>1278</v>
      </c>
      <c r="F3186" s="2">
        <f>IFERROR(__xludf.DUMMYFUNCTION("""COMPUTED_VALUE"""),729913.0)</f>
        <v>729913</v>
      </c>
    </row>
    <row r="3187">
      <c r="A3187" s="3">
        <f>IFERROR(__xludf.DUMMYFUNCTION("""COMPUTED_VALUE"""),42943.64583333333)</f>
        <v>42943.64583</v>
      </c>
      <c r="B3187" s="2">
        <f>IFERROR(__xludf.DUMMYFUNCTION("""COMPUTED_VALUE"""),1271.1)</f>
        <v>1271.1</v>
      </c>
      <c r="C3187" s="2">
        <f>IFERROR(__xludf.DUMMYFUNCTION("""COMPUTED_VALUE"""),1292.4)</f>
        <v>1292.4</v>
      </c>
      <c r="D3187" s="2">
        <f>IFERROR(__xludf.DUMMYFUNCTION("""COMPUTED_VALUE"""),1233.25)</f>
        <v>1233.25</v>
      </c>
      <c r="E3187" s="2">
        <f>IFERROR(__xludf.DUMMYFUNCTION("""COMPUTED_VALUE"""),1240.85)</f>
        <v>1240.85</v>
      </c>
      <c r="F3187" s="2">
        <f>IFERROR(__xludf.DUMMYFUNCTION("""COMPUTED_VALUE"""),2127652.0)</f>
        <v>2127652</v>
      </c>
    </row>
    <row r="3188">
      <c r="A3188" s="3">
        <f>IFERROR(__xludf.DUMMYFUNCTION("""COMPUTED_VALUE"""),42944.64583333333)</f>
        <v>42944.64583</v>
      </c>
      <c r="B3188" s="2">
        <f>IFERROR(__xludf.DUMMYFUNCTION("""COMPUTED_VALUE"""),1240.5)</f>
        <v>1240.5</v>
      </c>
      <c r="C3188" s="2">
        <f>IFERROR(__xludf.DUMMYFUNCTION("""COMPUTED_VALUE"""),1246.53)</f>
        <v>1246.53</v>
      </c>
      <c r="D3188" s="2">
        <f>IFERROR(__xludf.DUMMYFUNCTION("""COMPUTED_VALUE"""),1221.0)</f>
        <v>1221</v>
      </c>
      <c r="E3188" s="2">
        <f>IFERROR(__xludf.DUMMYFUNCTION("""COMPUTED_VALUE"""),1242.15)</f>
        <v>1242.15</v>
      </c>
      <c r="F3188" s="2">
        <f>IFERROR(__xludf.DUMMYFUNCTION("""COMPUTED_VALUE"""),691376.0)</f>
        <v>691376</v>
      </c>
    </row>
    <row r="3189">
      <c r="A3189" s="3">
        <f>IFERROR(__xludf.DUMMYFUNCTION("""COMPUTED_VALUE"""),42947.64583333333)</f>
        <v>42947.64583</v>
      </c>
      <c r="B3189" s="2">
        <f>IFERROR(__xludf.DUMMYFUNCTION("""COMPUTED_VALUE"""),1235.5)</f>
        <v>1235.5</v>
      </c>
      <c r="C3189" s="2">
        <f>IFERROR(__xludf.DUMMYFUNCTION("""COMPUTED_VALUE"""),1259.5)</f>
        <v>1259.5</v>
      </c>
      <c r="D3189" s="2">
        <f>IFERROR(__xludf.DUMMYFUNCTION("""COMPUTED_VALUE"""),1231.5)</f>
        <v>1231.5</v>
      </c>
      <c r="E3189" s="2">
        <f>IFERROR(__xludf.DUMMYFUNCTION("""COMPUTED_VALUE"""),1245.9)</f>
        <v>1245.9</v>
      </c>
      <c r="F3189" s="2">
        <f>IFERROR(__xludf.DUMMYFUNCTION("""COMPUTED_VALUE"""),1009831.0)</f>
        <v>1009831</v>
      </c>
    </row>
    <row r="3190">
      <c r="A3190" s="3">
        <f>IFERROR(__xludf.DUMMYFUNCTION("""COMPUTED_VALUE"""),42948.64583333333)</f>
        <v>42948.64583</v>
      </c>
      <c r="B3190" s="2">
        <f>IFERROR(__xludf.DUMMYFUNCTION("""COMPUTED_VALUE"""),1250.0)</f>
        <v>1250</v>
      </c>
      <c r="C3190" s="2">
        <f>IFERROR(__xludf.DUMMYFUNCTION("""COMPUTED_VALUE"""),1260.38)</f>
        <v>1260.38</v>
      </c>
      <c r="D3190" s="2">
        <f>IFERROR(__xludf.DUMMYFUNCTION("""COMPUTED_VALUE"""),1245.5)</f>
        <v>1245.5</v>
      </c>
      <c r="E3190" s="2">
        <f>IFERROR(__xludf.DUMMYFUNCTION("""COMPUTED_VALUE"""),1250.83)</f>
        <v>1250.83</v>
      </c>
      <c r="F3190" s="2">
        <f>IFERROR(__xludf.DUMMYFUNCTION("""COMPUTED_VALUE"""),873730.0)</f>
        <v>873730</v>
      </c>
    </row>
    <row r="3191">
      <c r="A3191" s="3">
        <f>IFERROR(__xludf.DUMMYFUNCTION("""COMPUTED_VALUE"""),42949.64583333333)</f>
        <v>42949.64583</v>
      </c>
      <c r="B3191" s="2">
        <f>IFERROR(__xludf.DUMMYFUNCTION("""COMPUTED_VALUE"""),1250.0)</f>
        <v>1250</v>
      </c>
      <c r="C3191" s="2">
        <f>IFERROR(__xludf.DUMMYFUNCTION("""COMPUTED_VALUE"""),1254.0)</f>
        <v>1254</v>
      </c>
      <c r="D3191" s="2">
        <f>IFERROR(__xludf.DUMMYFUNCTION("""COMPUTED_VALUE"""),1231.0)</f>
        <v>1231</v>
      </c>
      <c r="E3191" s="2">
        <f>IFERROR(__xludf.DUMMYFUNCTION("""COMPUTED_VALUE"""),1236.9)</f>
        <v>1236.9</v>
      </c>
      <c r="F3191" s="2">
        <f>IFERROR(__xludf.DUMMYFUNCTION("""COMPUTED_VALUE"""),625512.0)</f>
        <v>625512</v>
      </c>
    </row>
    <row r="3192">
      <c r="A3192" s="3">
        <f>IFERROR(__xludf.DUMMYFUNCTION("""COMPUTED_VALUE"""),42950.64583333333)</f>
        <v>42950.64583</v>
      </c>
      <c r="B3192" s="2">
        <f>IFERROR(__xludf.DUMMYFUNCTION("""COMPUTED_VALUE"""),1240.0)</f>
        <v>1240</v>
      </c>
      <c r="C3192" s="2">
        <f>IFERROR(__xludf.DUMMYFUNCTION("""COMPUTED_VALUE"""),1251.0)</f>
        <v>1251</v>
      </c>
      <c r="D3192" s="2">
        <f>IFERROR(__xludf.DUMMYFUNCTION("""COMPUTED_VALUE"""),1233.22)</f>
        <v>1233.22</v>
      </c>
      <c r="E3192" s="2">
        <f>IFERROR(__xludf.DUMMYFUNCTION("""COMPUTED_VALUE"""),1244.72)</f>
        <v>1244.72</v>
      </c>
      <c r="F3192" s="2">
        <f>IFERROR(__xludf.DUMMYFUNCTION("""COMPUTED_VALUE"""),941274.0)</f>
        <v>941274</v>
      </c>
    </row>
    <row r="3193">
      <c r="A3193" s="3">
        <f>IFERROR(__xludf.DUMMYFUNCTION("""COMPUTED_VALUE"""),42951.64583333333)</f>
        <v>42951.64583</v>
      </c>
      <c r="B3193" s="2">
        <f>IFERROR(__xludf.DUMMYFUNCTION("""COMPUTED_VALUE"""),1245.4)</f>
        <v>1245.4</v>
      </c>
      <c r="C3193" s="2">
        <f>IFERROR(__xludf.DUMMYFUNCTION("""COMPUTED_VALUE"""),1264.15)</f>
        <v>1264.15</v>
      </c>
      <c r="D3193" s="2">
        <f>IFERROR(__xludf.DUMMYFUNCTION("""COMPUTED_VALUE"""),1244.0)</f>
        <v>1244</v>
      </c>
      <c r="E3193" s="2">
        <f>IFERROR(__xludf.DUMMYFUNCTION("""COMPUTED_VALUE"""),1261.4)</f>
        <v>1261.4</v>
      </c>
      <c r="F3193" s="2">
        <f>IFERROR(__xludf.DUMMYFUNCTION("""COMPUTED_VALUE"""),693945.0)</f>
        <v>693945</v>
      </c>
    </row>
    <row r="3194">
      <c r="A3194" s="3">
        <f>IFERROR(__xludf.DUMMYFUNCTION("""COMPUTED_VALUE"""),42954.64583333333)</f>
        <v>42954.64583</v>
      </c>
      <c r="B3194" s="2">
        <f>IFERROR(__xludf.DUMMYFUNCTION("""COMPUTED_VALUE"""),1258.25)</f>
        <v>1258.25</v>
      </c>
      <c r="C3194" s="2">
        <f>IFERROR(__xludf.DUMMYFUNCTION("""COMPUTED_VALUE"""),1260.0)</f>
        <v>1260</v>
      </c>
      <c r="D3194" s="2">
        <f>IFERROR(__xludf.DUMMYFUNCTION("""COMPUTED_VALUE"""),1240.6)</f>
        <v>1240.6</v>
      </c>
      <c r="E3194" s="2">
        <f>IFERROR(__xludf.DUMMYFUNCTION("""COMPUTED_VALUE"""),1251.72)</f>
        <v>1251.72</v>
      </c>
      <c r="F3194" s="2">
        <f>IFERROR(__xludf.DUMMYFUNCTION("""COMPUTED_VALUE"""),942760.0)</f>
        <v>942760</v>
      </c>
    </row>
    <row r="3195">
      <c r="A3195" s="3">
        <f>IFERROR(__xludf.DUMMYFUNCTION("""COMPUTED_VALUE"""),42955.64583333333)</f>
        <v>42955.64583</v>
      </c>
      <c r="B3195" s="2">
        <f>IFERROR(__xludf.DUMMYFUNCTION("""COMPUTED_VALUE"""),1256.0)</f>
        <v>1256</v>
      </c>
      <c r="C3195" s="2">
        <f>IFERROR(__xludf.DUMMYFUNCTION("""COMPUTED_VALUE"""),1264.3)</f>
        <v>1264.3</v>
      </c>
      <c r="D3195" s="2">
        <f>IFERROR(__xludf.DUMMYFUNCTION("""COMPUTED_VALUE"""),1248.15)</f>
        <v>1248.15</v>
      </c>
      <c r="E3195" s="2">
        <f>IFERROR(__xludf.DUMMYFUNCTION("""COMPUTED_VALUE"""),1251.53)</f>
        <v>1251.53</v>
      </c>
      <c r="F3195" s="2">
        <f>IFERROR(__xludf.DUMMYFUNCTION("""COMPUTED_VALUE"""),536979.0)</f>
        <v>536979</v>
      </c>
    </row>
    <row r="3196">
      <c r="A3196" s="3">
        <f>IFERROR(__xludf.DUMMYFUNCTION("""COMPUTED_VALUE"""),42956.64583333333)</f>
        <v>42956.64583</v>
      </c>
      <c r="B3196" s="2">
        <f>IFERROR(__xludf.DUMMYFUNCTION("""COMPUTED_VALUE"""),1250.0)</f>
        <v>1250</v>
      </c>
      <c r="C3196" s="2">
        <f>IFERROR(__xludf.DUMMYFUNCTION("""COMPUTED_VALUE"""),1261.43)</f>
        <v>1261.43</v>
      </c>
      <c r="D3196" s="2">
        <f>IFERROR(__xludf.DUMMYFUNCTION("""COMPUTED_VALUE"""),1246.65)</f>
        <v>1246.65</v>
      </c>
      <c r="E3196" s="2">
        <f>IFERROR(__xludf.DUMMYFUNCTION("""COMPUTED_VALUE"""),1256.0)</f>
        <v>1256</v>
      </c>
      <c r="F3196" s="2">
        <f>IFERROR(__xludf.DUMMYFUNCTION("""COMPUTED_VALUE"""),496473.0)</f>
        <v>496473</v>
      </c>
    </row>
    <row r="3197">
      <c r="A3197" s="3">
        <f>IFERROR(__xludf.DUMMYFUNCTION("""COMPUTED_VALUE"""),42957.64583333333)</f>
        <v>42957.64583</v>
      </c>
      <c r="B3197" s="2">
        <f>IFERROR(__xludf.DUMMYFUNCTION("""COMPUTED_VALUE"""),1254.5)</f>
        <v>1254.5</v>
      </c>
      <c r="C3197" s="2">
        <f>IFERROR(__xludf.DUMMYFUNCTION("""COMPUTED_VALUE"""),1260.3)</f>
        <v>1260.3</v>
      </c>
      <c r="D3197" s="2">
        <f>IFERROR(__xludf.DUMMYFUNCTION("""COMPUTED_VALUE"""),1243.18)</f>
        <v>1243.18</v>
      </c>
      <c r="E3197" s="2">
        <f>IFERROR(__xludf.DUMMYFUNCTION("""COMPUTED_VALUE"""),1255.72)</f>
        <v>1255.72</v>
      </c>
      <c r="F3197" s="2">
        <f>IFERROR(__xludf.DUMMYFUNCTION("""COMPUTED_VALUE"""),763086.0)</f>
        <v>763086</v>
      </c>
    </row>
    <row r="3198">
      <c r="A3198" s="3">
        <f>IFERROR(__xludf.DUMMYFUNCTION("""COMPUTED_VALUE"""),42958.64583333333)</f>
        <v>42958.64583</v>
      </c>
      <c r="B3198" s="2">
        <f>IFERROR(__xludf.DUMMYFUNCTION("""COMPUTED_VALUE"""),1249.95)</f>
        <v>1249.95</v>
      </c>
      <c r="C3198" s="2">
        <f>IFERROR(__xludf.DUMMYFUNCTION("""COMPUTED_VALUE"""),1267.5)</f>
        <v>1267.5</v>
      </c>
      <c r="D3198" s="2">
        <f>IFERROR(__xludf.DUMMYFUNCTION("""COMPUTED_VALUE"""),1241.5)</f>
        <v>1241.5</v>
      </c>
      <c r="E3198" s="2">
        <f>IFERROR(__xludf.DUMMYFUNCTION("""COMPUTED_VALUE"""),1248.03)</f>
        <v>1248.03</v>
      </c>
      <c r="F3198" s="2">
        <f>IFERROR(__xludf.DUMMYFUNCTION("""COMPUTED_VALUE"""),697368.0)</f>
        <v>697368</v>
      </c>
    </row>
    <row r="3199">
      <c r="A3199" s="3">
        <f>IFERROR(__xludf.DUMMYFUNCTION("""COMPUTED_VALUE"""),42961.64583333333)</f>
        <v>42961.64583</v>
      </c>
      <c r="B3199" s="2">
        <f>IFERROR(__xludf.DUMMYFUNCTION("""COMPUTED_VALUE"""),1251.5)</f>
        <v>1251.5</v>
      </c>
      <c r="C3199" s="2">
        <f>IFERROR(__xludf.DUMMYFUNCTION("""COMPUTED_VALUE"""),1254.95)</f>
        <v>1254.95</v>
      </c>
      <c r="D3199" s="2">
        <f>IFERROR(__xludf.DUMMYFUNCTION("""COMPUTED_VALUE"""),1231.5)</f>
        <v>1231.5</v>
      </c>
      <c r="E3199" s="2">
        <f>IFERROR(__xludf.DUMMYFUNCTION("""COMPUTED_VALUE"""),1234.7)</f>
        <v>1234.7</v>
      </c>
      <c r="F3199" s="2">
        <f>IFERROR(__xludf.DUMMYFUNCTION("""COMPUTED_VALUE"""),393252.0)</f>
        <v>393252</v>
      </c>
    </row>
    <row r="3200">
      <c r="A3200" s="3">
        <f>IFERROR(__xludf.DUMMYFUNCTION("""COMPUTED_VALUE"""),42963.64583333333)</f>
        <v>42963.64583</v>
      </c>
      <c r="B3200" s="2">
        <f>IFERROR(__xludf.DUMMYFUNCTION("""COMPUTED_VALUE"""),1242.0)</f>
        <v>1242</v>
      </c>
      <c r="C3200" s="2">
        <f>IFERROR(__xludf.DUMMYFUNCTION("""COMPUTED_VALUE"""),1271.9)</f>
        <v>1271.9</v>
      </c>
      <c r="D3200" s="2">
        <f>IFERROR(__xludf.DUMMYFUNCTION("""COMPUTED_VALUE"""),1232.6)</f>
        <v>1232.6</v>
      </c>
      <c r="E3200" s="2">
        <f>IFERROR(__xludf.DUMMYFUNCTION("""COMPUTED_VALUE"""),1246.18)</f>
        <v>1246.18</v>
      </c>
      <c r="F3200" s="2">
        <f>IFERROR(__xludf.DUMMYFUNCTION("""COMPUTED_VALUE"""),686670.0)</f>
        <v>686670</v>
      </c>
    </row>
    <row r="3201">
      <c r="A3201" s="3">
        <f>IFERROR(__xludf.DUMMYFUNCTION("""COMPUTED_VALUE"""),42964.64583333333)</f>
        <v>42964.64583</v>
      </c>
      <c r="B3201" s="2">
        <f>IFERROR(__xludf.DUMMYFUNCTION("""COMPUTED_VALUE"""),1250.35)</f>
        <v>1250.35</v>
      </c>
      <c r="C3201" s="2">
        <f>IFERROR(__xludf.DUMMYFUNCTION("""COMPUTED_VALUE"""),1252.5)</f>
        <v>1252.5</v>
      </c>
      <c r="D3201" s="2">
        <f>IFERROR(__xludf.DUMMYFUNCTION("""COMPUTED_VALUE"""),1231.05)</f>
        <v>1231.05</v>
      </c>
      <c r="E3201" s="2">
        <f>IFERROR(__xludf.DUMMYFUNCTION("""COMPUTED_VALUE"""),1242.83)</f>
        <v>1242.83</v>
      </c>
      <c r="F3201" s="2">
        <f>IFERROR(__xludf.DUMMYFUNCTION("""COMPUTED_VALUE"""),876187.0)</f>
        <v>876187</v>
      </c>
    </row>
    <row r="3202">
      <c r="A3202" s="3">
        <f>IFERROR(__xludf.DUMMYFUNCTION("""COMPUTED_VALUE"""),42965.64583333333)</f>
        <v>42965.64583</v>
      </c>
      <c r="B3202" s="2">
        <f>IFERROR(__xludf.DUMMYFUNCTION("""COMPUTED_VALUE"""),1237.0)</f>
        <v>1237</v>
      </c>
      <c r="C3202" s="2">
        <f>IFERROR(__xludf.DUMMYFUNCTION("""COMPUTED_VALUE"""),1274.95)</f>
        <v>1274.95</v>
      </c>
      <c r="D3202" s="2">
        <f>IFERROR(__xludf.DUMMYFUNCTION("""COMPUTED_VALUE"""),1235.7)</f>
        <v>1235.7</v>
      </c>
      <c r="E3202" s="2">
        <f>IFERROR(__xludf.DUMMYFUNCTION("""COMPUTED_VALUE"""),1256.9)</f>
        <v>1256.9</v>
      </c>
      <c r="F3202" s="2">
        <f>IFERROR(__xludf.DUMMYFUNCTION("""COMPUTED_VALUE"""),1418678.0)</f>
        <v>1418678</v>
      </c>
    </row>
    <row r="3203">
      <c r="A3203" s="3">
        <f>IFERROR(__xludf.DUMMYFUNCTION("""COMPUTED_VALUE"""),42968.64583333333)</f>
        <v>42968.64583</v>
      </c>
      <c r="B3203" s="2">
        <f>IFERROR(__xludf.DUMMYFUNCTION("""COMPUTED_VALUE"""),1252.75)</f>
        <v>1252.75</v>
      </c>
      <c r="C3203" s="2">
        <f>IFERROR(__xludf.DUMMYFUNCTION("""COMPUTED_VALUE"""),1274.5)</f>
        <v>1274.5</v>
      </c>
      <c r="D3203" s="2">
        <f>IFERROR(__xludf.DUMMYFUNCTION("""COMPUTED_VALUE"""),1247.15)</f>
        <v>1247.15</v>
      </c>
      <c r="E3203" s="2">
        <f>IFERROR(__xludf.DUMMYFUNCTION("""COMPUTED_VALUE"""),1264.4)</f>
        <v>1264.4</v>
      </c>
      <c r="F3203" s="2">
        <f>IFERROR(__xludf.DUMMYFUNCTION("""COMPUTED_VALUE"""),1152417.0)</f>
        <v>1152417</v>
      </c>
    </row>
    <row r="3204">
      <c r="A3204" s="3">
        <f>IFERROR(__xludf.DUMMYFUNCTION("""COMPUTED_VALUE"""),42969.64583333333)</f>
        <v>42969.64583</v>
      </c>
      <c r="B3204" s="2">
        <f>IFERROR(__xludf.DUMMYFUNCTION("""COMPUTED_VALUE"""),1261.5)</f>
        <v>1261.5</v>
      </c>
      <c r="C3204" s="2">
        <f>IFERROR(__xludf.DUMMYFUNCTION("""COMPUTED_VALUE"""),1269.75)</f>
        <v>1269.75</v>
      </c>
      <c r="D3204" s="2">
        <f>IFERROR(__xludf.DUMMYFUNCTION("""COMPUTED_VALUE"""),1246.0)</f>
        <v>1246</v>
      </c>
      <c r="E3204" s="2">
        <f>IFERROR(__xludf.DUMMYFUNCTION("""COMPUTED_VALUE"""),1248.78)</f>
        <v>1248.78</v>
      </c>
      <c r="F3204" s="2">
        <f>IFERROR(__xludf.DUMMYFUNCTION("""COMPUTED_VALUE"""),565663.0)</f>
        <v>565663</v>
      </c>
    </row>
    <row r="3205">
      <c r="A3205" s="3">
        <f>IFERROR(__xludf.DUMMYFUNCTION("""COMPUTED_VALUE"""),42970.64583333333)</f>
        <v>42970.64583</v>
      </c>
      <c r="B3205" s="2">
        <f>IFERROR(__xludf.DUMMYFUNCTION("""COMPUTED_VALUE"""),1252.5)</f>
        <v>1252.5</v>
      </c>
      <c r="C3205" s="2">
        <f>IFERROR(__xludf.DUMMYFUNCTION("""COMPUTED_VALUE"""),1258.4)</f>
        <v>1258.4</v>
      </c>
      <c r="D3205" s="2">
        <f>IFERROR(__xludf.DUMMYFUNCTION("""COMPUTED_VALUE"""),1236.58)</f>
        <v>1236.58</v>
      </c>
      <c r="E3205" s="2">
        <f>IFERROR(__xludf.DUMMYFUNCTION("""COMPUTED_VALUE"""),1244.72)</f>
        <v>1244.72</v>
      </c>
      <c r="F3205" s="2">
        <f>IFERROR(__xludf.DUMMYFUNCTION("""COMPUTED_VALUE"""),781136.0)</f>
        <v>781136</v>
      </c>
    </row>
    <row r="3206">
      <c r="A3206" s="3">
        <f>IFERROR(__xludf.DUMMYFUNCTION("""COMPUTED_VALUE"""),42971.64583333333)</f>
        <v>42971.64583</v>
      </c>
      <c r="B3206" s="2">
        <f>IFERROR(__xludf.DUMMYFUNCTION("""COMPUTED_VALUE"""),1248.85)</f>
        <v>1248.85</v>
      </c>
      <c r="C3206" s="2">
        <f>IFERROR(__xludf.DUMMYFUNCTION("""COMPUTED_VALUE"""),1258.97)</f>
        <v>1258.97</v>
      </c>
      <c r="D3206" s="2">
        <f>IFERROR(__xludf.DUMMYFUNCTION("""COMPUTED_VALUE"""),1243.08)</f>
        <v>1243.08</v>
      </c>
      <c r="E3206" s="2">
        <f>IFERROR(__xludf.DUMMYFUNCTION("""COMPUTED_VALUE"""),1248.3)</f>
        <v>1248.3</v>
      </c>
      <c r="F3206" s="2">
        <f>IFERROR(__xludf.DUMMYFUNCTION("""COMPUTED_VALUE"""),811954.0)</f>
        <v>811954</v>
      </c>
    </row>
    <row r="3207">
      <c r="A3207" s="3">
        <f>IFERROR(__xludf.DUMMYFUNCTION("""COMPUTED_VALUE"""),42975.64583333333)</f>
        <v>42975.64583</v>
      </c>
      <c r="B3207" s="2">
        <f>IFERROR(__xludf.DUMMYFUNCTION("""COMPUTED_VALUE"""),1252.3)</f>
        <v>1252.3</v>
      </c>
      <c r="C3207" s="2">
        <f>IFERROR(__xludf.DUMMYFUNCTION("""COMPUTED_VALUE"""),1252.7)</f>
        <v>1252.7</v>
      </c>
      <c r="D3207" s="2">
        <f>IFERROR(__xludf.DUMMYFUNCTION("""COMPUTED_VALUE"""),1230.5)</f>
        <v>1230.5</v>
      </c>
      <c r="E3207" s="2">
        <f>IFERROR(__xludf.DUMMYFUNCTION("""COMPUTED_VALUE"""),1243.65)</f>
        <v>1243.65</v>
      </c>
      <c r="F3207" s="2">
        <f>IFERROR(__xludf.DUMMYFUNCTION("""COMPUTED_VALUE"""),1018398.0)</f>
        <v>1018398</v>
      </c>
    </row>
    <row r="3208">
      <c r="A3208" s="3">
        <f>IFERROR(__xludf.DUMMYFUNCTION("""COMPUTED_VALUE"""),42976.64583333333)</f>
        <v>42976.64583</v>
      </c>
      <c r="B3208" s="2">
        <f>IFERROR(__xludf.DUMMYFUNCTION("""COMPUTED_VALUE"""),1241.0)</f>
        <v>1241</v>
      </c>
      <c r="C3208" s="2">
        <f>IFERROR(__xludf.DUMMYFUNCTION("""COMPUTED_VALUE"""),1248.0)</f>
        <v>1248</v>
      </c>
      <c r="D3208" s="2">
        <f>IFERROR(__xludf.DUMMYFUNCTION("""COMPUTED_VALUE"""),1231.97)</f>
        <v>1231.97</v>
      </c>
      <c r="E3208" s="2">
        <f>IFERROR(__xludf.DUMMYFUNCTION("""COMPUTED_VALUE"""),1235.43)</f>
        <v>1235.43</v>
      </c>
      <c r="F3208" s="2">
        <f>IFERROR(__xludf.DUMMYFUNCTION("""COMPUTED_VALUE"""),656301.0)</f>
        <v>656301</v>
      </c>
    </row>
    <row r="3209">
      <c r="A3209" s="3">
        <f>IFERROR(__xludf.DUMMYFUNCTION("""COMPUTED_VALUE"""),42977.64583333333)</f>
        <v>42977.64583</v>
      </c>
      <c r="B3209" s="2">
        <f>IFERROR(__xludf.DUMMYFUNCTION("""COMPUTED_VALUE"""),1240.5)</f>
        <v>1240.5</v>
      </c>
      <c r="C3209" s="2">
        <f>IFERROR(__xludf.DUMMYFUNCTION("""COMPUTED_VALUE"""),1245.0)</f>
        <v>1245</v>
      </c>
      <c r="D3209" s="2">
        <f>IFERROR(__xludf.DUMMYFUNCTION("""COMPUTED_VALUE"""),1230.05)</f>
        <v>1230.05</v>
      </c>
      <c r="E3209" s="2">
        <f>IFERROR(__xludf.DUMMYFUNCTION("""COMPUTED_VALUE"""),1242.28)</f>
        <v>1242.28</v>
      </c>
      <c r="F3209" s="2">
        <f>IFERROR(__xludf.DUMMYFUNCTION("""COMPUTED_VALUE"""),485391.0)</f>
        <v>485391</v>
      </c>
    </row>
    <row r="3210">
      <c r="A3210" s="3">
        <f>IFERROR(__xludf.DUMMYFUNCTION("""COMPUTED_VALUE"""),42978.64583333333)</f>
        <v>42978.64583</v>
      </c>
      <c r="B3210" s="2">
        <f>IFERROR(__xludf.DUMMYFUNCTION("""COMPUTED_VALUE"""),1242.5)</f>
        <v>1242.5</v>
      </c>
      <c r="C3210" s="2">
        <f>IFERROR(__xludf.DUMMYFUNCTION("""COMPUTED_VALUE"""),1252.2)</f>
        <v>1252.2</v>
      </c>
      <c r="D3210" s="2">
        <f>IFERROR(__xludf.DUMMYFUNCTION("""COMPUTED_VALUE"""),1233.33)</f>
        <v>1233.33</v>
      </c>
      <c r="E3210" s="2">
        <f>IFERROR(__xludf.DUMMYFUNCTION("""COMPUTED_VALUE"""),1248.18)</f>
        <v>1248.18</v>
      </c>
      <c r="F3210" s="2">
        <f>IFERROR(__xludf.DUMMYFUNCTION("""COMPUTED_VALUE"""),892332.0)</f>
        <v>892332</v>
      </c>
    </row>
    <row r="3211">
      <c r="A3211" s="3">
        <f>IFERROR(__xludf.DUMMYFUNCTION("""COMPUTED_VALUE"""),42979.64583333333)</f>
        <v>42979.64583</v>
      </c>
      <c r="B3211" s="2">
        <f>IFERROR(__xludf.DUMMYFUNCTION("""COMPUTED_VALUE"""),1240.0)</f>
        <v>1240</v>
      </c>
      <c r="C3211" s="2">
        <f>IFERROR(__xludf.DUMMYFUNCTION("""COMPUTED_VALUE"""),1249.03)</f>
        <v>1249.03</v>
      </c>
      <c r="D3211" s="2">
        <f>IFERROR(__xludf.DUMMYFUNCTION("""COMPUTED_VALUE"""),1218.28)</f>
        <v>1218.28</v>
      </c>
      <c r="E3211" s="2">
        <f>IFERROR(__xludf.DUMMYFUNCTION("""COMPUTED_VALUE"""),1228.22)</f>
        <v>1228.22</v>
      </c>
      <c r="F3211" s="2">
        <f>IFERROR(__xludf.DUMMYFUNCTION("""COMPUTED_VALUE"""),851165.0)</f>
        <v>851165</v>
      </c>
    </row>
    <row r="3212">
      <c r="A3212" s="3">
        <f>IFERROR(__xludf.DUMMYFUNCTION("""COMPUTED_VALUE"""),42982.64583333333)</f>
        <v>42982.64583</v>
      </c>
      <c r="B3212" s="2">
        <f>IFERROR(__xludf.DUMMYFUNCTION("""COMPUTED_VALUE"""),1226.55)</f>
        <v>1226.55</v>
      </c>
      <c r="C3212" s="2">
        <f>IFERROR(__xludf.DUMMYFUNCTION("""COMPUTED_VALUE"""),1230.5)</f>
        <v>1230.5</v>
      </c>
      <c r="D3212" s="2">
        <f>IFERROR(__xludf.DUMMYFUNCTION("""COMPUTED_VALUE"""),1219.0)</f>
        <v>1219</v>
      </c>
      <c r="E3212" s="2">
        <f>IFERROR(__xludf.DUMMYFUNCTION("""COMPUTED_VALUE"""),1228.1)</f>
        <v>1228.1</v>
      </c>
      <c r="F3212" s="2">
        <f>IFERROR(__xludf.DUMMYFUNCTION("""COMPUTED_VALUE"""),531272.0)</f>
        <v>531272</v>
      </c>
    </row>
    <row r="3213">
      <c r="A3213" s="3">
        <f>IFERROR(__xludf.DUMMYFUNCTION("""COMPUTED_VALUE"""),42983.64583333333)</f>
        <v>42983.64583</v>
      </c>
      <c r="B3213" s="2">
        <f>IFERROR(__xludf.DUMMYFUNCTION("""COMPUTED_VALUE"""),1230.0)</f>
        <v>1230</v>
      </c>
      <c r="C3213" s="2">
        <f>IFERROR(__xludf.DUMMYFUNCTION("""COMPUTED_VALUE"""),1245.0)</f>
        <v>1245</v>
      </c>
      <c r="D3213" s="2">
        <f>IFERROR(__xludf.DUMMYFUNCTION("""COMPUTED_VALUE"""),1218.53)</f>
        <v>1218.53</v>
      </c>
      <c r="E3213" s="2">
        <f>IFERROR(__xludf.DUMMYFUNCTION("""COMPUTED_VALUE"""),1242.18)</f>
        <v>1242.18</v>
      </c>
      <c r="F3213" s="2">
        <f>IFERROR(__xludf.DUMMYFUNCTION("""COMPUTED_VALUE"""),582997.0)</f>
        <v>582997</v>
      </c>
    </row>
    <row r="3214">
      <c r="A3214" s="3">
        <f>IFERROR(__xludf.DUMMYFUNCTION("""COMPUTED_VALUE"""),42984.64583333333)</f>
        <v>42984.64583</v>
      </c>
      <c r="B3214" s="2">
        <f>IFERROR(__xludf.DUMMYFUNCTION("""COMPUTED_VALUE"""),1234.08)</f>
        <v>1234.08</v>
      </c>
      <c r="C3214" s="2">
        <f>IFERROR(__xludf.DUMMYFUNCTION("""COMPUTED_VALUE"""),1237.43)</f>
        <v>1237.43</v>
      </c>
      <c r="D3214" s="2">
        <f>IFERROR(__xludf.DUMMYFUNCTION("""COMPUTED_VALUE"""),1225.0)</f>
        <v>1225</v>
      </c>
      <c r="E3214" s="2">
        <f>IFERROR(__xludf.DUMMYFUNCTION("""COMPUTED_VALUE"""),1226.6)</f>
        <v>1226.6</v>
      </c>
      <c r="F3214" s="2">
        <f>IFERROR(__xludf.DUMMYFUNCTION("""COMPUTED_VALUE"""),614382.0)</f>
        <v>614382</v>
      </c>
    </row>
    <row r="3215">
      <c r="A3215" s="3">
        <f>IFERROR(__xludf.DUMMYFUNCTION("""COMPUTED_VALUE"""),42985.64583333333)</f>
        <v>42985.64583</v>
      </c>
      <c r="B3215" s="2">
        <f>IFERROR(__xludf.DUMMYFUNCTION("""COMPUTED_VALUE"""),1229.0)</f>
        <v>1229</v>
      </c>
      <c r="C3215" s="2">
        <f>IFERROR(__xludf.DUMMYFUNCTION("""COMPUTED_VALUE"""),1234.2)</f>
        <v>1234.2</v>
      </c>
      <c r="D3215" s="2">
        <f>IFERROR(__xludf.DUMMYFUNCTION("""COMPUTED_VALUE"""),1225.53)</f>
        <v>1225.53</v>
      </c>
      <c r="E3215" s="2">
        <f>IFERROR(__xludf.DUMMYFUNCTION("""COMPUTED_VALUE"""),1230.05)</f>
        <v>1230.05</v>
      </c>
      <c r="F3215" s="2">
        <f>IFERROR(__xludf.DUMMYFUNCTION("""COMPUTED_VALUE"""),435318.0)</f>
        <v>435318</v>
      </c>
    </row>
    <row r="3216">
      <c r="A3216" s="3">
        <f>IFERROR(__xludf.DUMMYFUNCTION("""COMPUTED_VALUE"""),42986.64583333333)</f>
        <v>42986.64583</v>
      </c>
      <c r="B3216" s="2">
        <f>IFERROR(__xludf.DUMMYFUNCTION("""COMPUTED_VALUE"""),1226.88)</f>
        <v>1226.88</v>
      </c>
      <c r="C3216" s="2">
        <f>IFERROR(__xludf.DUMMYFUNCTION("""COMPUTED_VALUE"""),1237.0)</f>
        <v>1237</v>
      </c>
      <c r="D3216" s="2">
        <f>IFERROR(__xludf.DUMMYFUNCTION("""COMPUTED_VALUE"""),1226.28)</f>
        <v>1226.28</v>
      </c>
      <c r="E3216" s="2">
        <f>IFERROR(__xludf.DUMMYFUNCTION("""COMPUTED_VALUE"""),1235.3)</f>
        <v>1235.3</v>
      </c>
      <c r="F3216" s="2">
        <f>IFERROR(__xludf.DUMMYFUNCTION("""COMPUTED_VALUE"""),510567.0)</f>
        <v>510567</v>
      </c>
    </row>
    <row r="3217">
      <c r="A3217" s="3">
        <f>IFERROR(__xludf.DUMMYFUNCTION("""COMPUTED_VALUE"""),42989.64583333333)</f>
        <v>42989.64583</v>
      </c>
      <c r="B3217" s="2">
        <f>IFERROR(__xludf.DUMMYFUNCTION("""COMPUTED_VALUE"""),1235.6)</f>
        <v>1235.6</v>
      </c>
      <c r="C3217" s="2">
        <f>IFERROR(__xludf.DUMMYFUNCTION("""COMPUTED_VALUE"""),1241.47)</f>
        <v>1241.47</v>
      </c>
      <c r="D3217" s="2">
        <f>IFERROR(__xludf.DUMMYFUNCTION("""COMPUTED_VALUE"""),1225.0)</f>
        <v>1225</v>
      </c>
      <c r="E3217" s="2">
        <f>IFERROR(__xludf.DUMMYFUNCTION("""COMPUTED_VALUE"""),1227.22)</f>
        <v>1227.22</v>
      </c>
      <c r="F3217" s="2">
        <f>IFERROR(__xludf.DUMMYFUNCTION("""COMPUTED_VALUE"""),366382.0)</f>
        <v>366382</v>
      </c>
    </row>
    <row r="3218">
      <c r="A3218" s="3">
        <f>IFERROR(__xludf.DUMMYFUNCTION("""COMPUTED_VALUE"""),42990.64583333333)</f>
        <v>42990.64583</v>
      </c>
      <c r="B3218" s="2">
        <f>IFERROR(__xludf.DUMMYFUNCTION("""COMPUTED_VALUE"""),1236.95)</f>
        <v>1236.95</v>
      </c>
      <c r="C3218" s="2">
        <f>IFERROR(__xludf.DUMMYFUNCTION("""COMPUTED_VALUE"""),1248.5)</f>
        <v>1248.5</v>
      </c>
      <c r="D3218" s="2">
        <f>IFERROR(__xludf.DUMMYFUNCTION("""COMPUTED_VALUE"""),1228.5)</f>
        <v>1228.5</v>
      </c>
      <c r="E3218" s="2">
        <f>IFERROR(__xludf.DUMMYFUNCTION("""COMPUTED_VALUE"""),1244.22)</f>
        <v>1244.22</v>
      </c>
      <c r="F3218" s="2">
        <f>IFERROR(__xludf.DUMMYFUNCTION("""COMPUTED_VALUE"""),698230.0)</f>
        <v>698230</v>
      </c>
    </row>
    <row r="3219">
      <c r="A3219" s="3">
        <f>IFERROR(__xludf.DUMMYFUNCTION("""COMPUTED_VALUE"""),42991.64583333333)</f>
        <v>42991.64583</v>
      </c>
      <c r="B3219" s="2">
        <f>IFERROR(__xludf.DUMMYFUNCTION("""COMPUTED_VALUE"""),1250.0)</f>
        <v>1250</v>
      </c>
      <c r="C3219" s="2">
        <f>IFERROR(__xludf.DUMMYFUNCTION("""COMPUTED_VALUE"""),1265.83)</f>
        <v>1265.83</v>
      </c>
      <c r="D3219" s="2">
        <f>IFERROR(__xludf.DUMMYFUNCTION("""COMPUTED_VALUE"""),1237.6)</f>
        <v>1237.6</v>
      </c>
      <c r="E3219" s="2">
        <f>IFERROR(__xludf.DUMMYFUNCTION("""COMPUTED_VALUE"""),1244.6)</f>
        <v>1244.6</v>
      </c>
      <c r="F3219" s="2">
        <f>IFERROR(__xludf.DUMMYFUNCTION("""COMPUTED_VALUE"""),639490.0)</f>
        <v>639490</v>
      </c>
    </row>
    <row r="3220">
      <c r="A3220" s="3">
        <f>IFERROR(__xludf.DUMMYFUNCTION("""COMPUTED_VALUE"""),42992.64583333333)</f>
        <v>42992.64583</v>
      </c>
      <c r="B3220" s="2">
        <f>IFERROR(__xludf.DUMMYFUNCTION("""COMPUTED_VALUE"""),1241.0)</f>
        <v>1241</v>
      </c>
      <c r="C3220" s="2">
        <f>IFERROR(__xludf.DUMMYFUNCTION("""COMPUTED_VALUE"""),1248.8)</f>
        <v>1248.8</v>
      </c>
      <c r="D3220" s="2">
        <f>IFERROR(__xludf.DUMMYFUNCTION("""COMPUTED_VALUE"""),1235.95)</f>
        <v>1235.95</v>
      </c>
      <c r="E3220" s="2">
        <f>IFERROR(__xludf.DUMMYFUNCTION("""COMPUTED_VALUE"""),1243.47)</f>
        <v>1243.47</v>
      </c>
      <c r="F3220" s="2">
        <f>IFERROR(__xludf.DUMMYFUNCTION("""COMPUTED_VALUE"""),540755.0)</f>
        <v>540755</v>
      </c>
    </row>
    <row r="3221">
      <c r="A3221" s="3">
        <f>IFERROR(__xludf.DUMMYFUNCTION("""COMPUTED_VALUE"""),42993.64583333333)</f>
        <v>42993.64583</v>
      </c>
      <c r="B3221" s="2">
        <f>IFERROR(__xludf.DUMMYFUNCTION("""COMPUTED_VALUE"""),1249.5)</f>
        <v>1249.5</v>
      </c>
      <c r="C3221" s="2">
        <f>IFERROR(__xludf.DUMMYFUNCTION("""COMPUTED_VALUE"""),1258.5)</f>
        <v>1258.5</v>
      </c>
      <c r="D3221" s="2">
        <f>IFERROR(__xludf.DUMMYFUNCTION("""COMPUTED_VALUE"""),1242.5)</f>
        <v>1242.5</v>
      </c>
      <c r="E3221" s="2">
        <f>IFERROR(__xludf.DUMMYFUNCTION("""COMPUTED_VALUE"""),1253.03)</f>
        <v>1253.03</v>
      </c>
      <c r="F3221" s="2">
        <f>IFERROR(__xludf.DUMMYFUNCTION("""COMPUTED_VALUE"""),1472036.0)</f>
        <v>1472036</v>
      </c>
    </row>
    <row r="3222">
      <c r="A3222" s="3">
        <f>IFERROR(__xludf.DUMMYFUNCTION("""COMPUTED_VALUE"""),42996.64583333333)</f>
        <v>42996.64583</v>
      </c>
      <c r="B3222" s="2">
        <f>IFERROR(__xludf.DUMMYFUNCTION("""COMPUTED_VALUE"""),1252.47)</f>
        <v>1252.47</v>
      </c>
      <c r="C3222" s="2">
        <f>IFERROR(__xludf.DUMMYFUNCTION("""COMPUTED_VALUE"""),1259.47)</f>
        <v>1259.47</v>
      </c>
      <c r="D3222" s="2">
        <f>IFERROR(__xludf.DUMMYFUNCTION("""COMPUTED_VALUE"""),1244.63)</f>
        <v>1244.63</v>
      </c>
      <c r="E3222" s="2">
        <f>IFERROR(__xludf.DUMMYFUNCTION("""COMPUTED_VALUE"""),1249.53)</f>
        <v>1249.53</v>
      </c>
      <c r="F3222" s="2">
        <f>IFERROR(__xludf.DUMMYFUNCTION("""COMPUTED_VALUE"""),363300.0)</f>
        <v>363300</v>
      </c>
    </row>
    <row r="3223">
      <c r="A3223" s="3">
        <f>IFERROR(__xludf.DUMMYFUNCTION("""COMPUTED_VALUE"""),42997.64583333333)</f>
        <v>42997.64583</v>
      </c>
      <c r="B3223" s="2">
        <f>IFERROR(__xludf.DUMMYFUNCTION("""COMPUTED_VALUE"""),1252.5)</f>
        <v>1252.5</v>
      </c>
      <c r="C3223" s="2">
        <f>IFERROR(__xludf.DUMMYFUNCTION("""COMPUTED_VALUE"""),1252.5)</f>
        <v>1252.5</v>
      </c>
      <c r="D3223" s="2">
        <f>IFERROR(__xludf.DUMMYFUNCTION("""COMPUTED_VALUE"""),1245.75)</f>
        <v>1245.75</v>
      </c>
      <c r="E3223" s="2">
        <f>IFERROR(__xludf.DUMMYFUNCTION("""COMPUTED_VALUE"""),1249.13)</f>
        <v>1249.13</v>
      </c>
      <c r="F3223" s="2">
        <f>IFERROR(__xludf.DUMMYFUNCTION("""COMPUTED_VALUE"""),391377.0)</f>
        <v>391377</v>
      </c>
    </row>
    <row r="3224">
      <c r="A3224" s="3">
        <f>IFERROR(__xludf.DUMMYFUNCTION("""COMPUTED_VALUE"""),42998.64583333333)</f>
        <v>42998.64583</v>
      </c>
      <c r="B3224" s="2">
        <f>IFERROR(__xludf.DUMMYFUNCTION("""COMPUTED_VALUE"""),1257.0)</f>
        <v>1257</v>
      </c>
      <c r="C3224" s="2">
        <f>IFERROR(__xludf.DUMMYFUNCTION("""COMPUTED_VALUE"""),1257.0)</f>
        <v>1257</v>
      </c>
      <c r="D3224" s="2">
        <f>IFERROR(__xludf.DUMMYFUNCTION("""COMPUTED_VALUE"""),1237.15)</f>
        <v>1237.15</v>
      </c>
      <c r="E3224" s="2">
        <f>IFERROR(__xludf.DUMMYFUNCTION("""COMPUTED_VALUE"""),1246.78)</f>
        <v>1246.78</v>
      </c>
      <c r="F3224" s="2">
        <f>IFERROR(__xludf.DUMMYFUNCTION("""COMPUTED_VALUE"""),667321.0)</f>
        <v>667321</v>
      </c>
    </row>
    <row r="3225">
      <c r="A3225" s="3">
        <f>IFERROR(__xludf.DUMMYFUNCTION("""COMPUTED_VALUE"""),42999.64583333333)</f>
        <v>42999.64583</v>
      </c>
      <c r="B3225" s="2">
        <f>IFERROR(__xludf.DUMMYFUNCTION("""COMPUTED_VALUE"""),1245.53)</f>
        <v>1245.53</v>
      </c>
      <c r="C3225" s="2">
        <f>IFERROR(__xludf.DUMMYFUNCTION("""COMPUTED_VALUE"""),1270.5)</f>
        <v>1270.5</v>
      </c>
      <c r="D3225" s="2">
        <f>IFERROR(__xludf.DUMMYFUNCTION("""COMPUTED_VALUE"""),1240.0)</f>
        <v>1240</v>
      </c>
      <c r="E3225" s="2">
        <f>IFERROR(__xludf.DUMMYFUNCTION("""COMPUTED_VALUE"""),1262.45)</f>
        <v>1262.45</v>
      </c>
      <c r="F3225" s="2">
        <f>IFERROR(__xludf.DUMMYFUNCTION("""COMPUTED_VALUE"""),1219370.0)</f>
        <v>1219370</v>
      </c>
    </row>
    <row r="3226">
      <c r="A3226" s="3">
        <f>IFERROR(__xludf.DUMMYFUNCTION("""COMPUTED_VALUE"""),43000.64583333333)</f>
        <v>43000.64583</v>
      </c>
      <c r="B3226" s="2">
        <f>IFERROR(__xludf.DUMMYFUNCTION("""COMPUTED_VALUE"""),1259.95)</f>
        <v>1259.95</v>
      </c>
      <c r="C3226" s="2">
        <f>IFERROR(__xludf.DUMMYFUNCTION("""COMPUTED_VALUE"""),1263.45)</f>
        <v>1263.45</v>
      </c>
      <c r="D3226" s="2">
        <f>IFERROR(__xludf.DUMMYFUNCTION("""COMPUTED_VALUE"""),1246.0)</f>
        <v>1246</v>
      </c>
      <c r="E3226" s="2">
        <f>IFERROR(__xludf.DUMMYFUNCTION("""COMPUTED_VALUE"""),1251.8)</f>
        <v>1251.8</v>
      </c>
      <c r="F3226" s="2">
        <f>IFERROR(__xludf.DUMMYFUNCTION("""COMPUTED_VALUE"""),1217698.0)</f>
        <v>1217698</v>
      </c>
    </row>
    <row r="3227">
      <c r="A3227" s="3">
        <f>IFERROR(__xludf.DUMMYFUNCTION("""COMPUTED_VALUE"""),43003.64583333333)</f>
        <v>43003.64583</v>
      </c>
      <c r="B3227" s="2">
        <f>IFERROR(__xludf.DUMMYFUNCTION("""COMPUTED_VALUE"""),1248.28)</f>
        <v>1248.28</v>
      </c>
      <c r="C3227" s="2">
        <f>IFERROR(__xludf.DUMMYFUNCTION("""COMPUTED_VALUE"""),1267.0)</f>
        <v>1267</v>
      </c>
      <c r="D3227" s="2">
        <f>IFERROR(__xludf.DUMMYFUNCTION("""COMPUTED_VALUE"""),1246.38)</f>
        <v>1246.38</v>
      </c>
      <c r="E3227" s="2">
        <f>IFERROR(__xludf.DUMMYFUNCTION("""COMPUTED_VALUE"""),1255.38)</f>
        <v>1255.38</v>
      </c>
      <c r="F3227" s="2">
        <f>IFERROR(__xludf.DUMMYFUNCTION("""COMPUTED_VALUE"""),799779.0)</f>
        <v>799779</v>
      </c>
    </row>
    <row r="3228">
      <c r="A3228" s="3">
        <f>IFERROR(__xludf.DUMMYFUNCTION("""COMPUTED_VALUE"""),43004.64583333333)</f>
        <v>43004.64583</v>
      </c>
      <c r="B3228" s="2">
        <f>IFERROR(__xludf.DUMMYFUNCTION("""COMPUTED_VALUE"""),1255.0)</f>
        <v>1255</v>
      </c>
      <c r="C3228" s="2">
        <f>IFERROR(__xludf.DUMMYFUNCTION("""COMPUTED_VALUE"""),1263.2)</f>
        <v>1263.2</v>
      </c>
      <c r="D3228" s="2">
        <f>IFERROR(__xludf.DUMMYFUNCTION("""COMPUTED_VALUE"""),1233.0)</f>
        <v>1233</v>
      </c>
      <c r="E3228" s="2">
        <f>IFERROR(__xludf.DUMMYFUNCTION("""COMPUTED_VALUE"""),1237.33)</f>
        <v>1237.33</v>
      </c>
      <c r="F3228" s="2">
        <f>IFERROR(__xludf.DUMMYFUNCTION("""COMPUTED_VALUE"""),724615.0)</f>
        <v>724615</v>
      </c>
    </row>
    <row r="3229">
      <c r="A3229" s="3">
        <f>IFERROR(__xludf.DUMMYFUNCTION("""COMPUTED_VALUE"""),43005.64583333333)</f>
        <v>43005.64583</v>
      </c>
      <c r="B3229" s="2">
        <f>IFERROR(__xludf.DUMMYFUNCTION("""COMPUTED_VALUE"""),1245.0)</f>
        <v>1245</v>
      </c>
      <c r="C3229" s="2">
        <f>IFERROR(__xludf.DUMMYFUNCTION("""COMPUTED_VALUE"""),1256.1)</f>
        <v>1256.1</v>
      </c>
      <c r="D3229" s="2">
        <f>IFERROR(__xludf.DUMMYFUNCTION("""COMPUTED_VALUE"""),1236.88)</f>
        <v>1236.88</v>
      </c>
      <c r="E3229" s="2">
        <f>IFERROR(__xludf.DUMMYFUNCTION("""COMPUTED_VALUE"""),1247.5)</f>
        <v>1247.5</v>
      </c>
      <c r="F3229" s="2">
        <f>IFERROR(__xludf.DUMMYFUNCTION("""COMPUTED_VALUE"""),1005178.0)</f>
        <v>1005178</v>
      </c>
    </row>
    <row r="3230">
      <c r="A3230" s="3">
        <f>IFERROR(__xludf.DUMMYFUNCTION("""COMPUTED_VALUE"""),43006.64583333333)</f>
        <v>43006.64583</v>
      </c>
      <c r="B3230" s="2">
        <f>IFERROR(__xludf.DUMMYFUNCTION("""COMPUTED_VALUE"""),1247.35)</f>
        <v>1247.35</v>
      </c>
      <c r="C3230" s="2">
        <f>IFERROR(__xludf.DUMMYFUNCTION("""COMPUTED_VALUE"""),1257.0)</f>
        <v>1257</v>
      </c>
      <c r="D3230" s="2">
        <f>IFERROR(__xludf.DUMMYFUNCTION("""COMPUTED_VALUE"""),1226.0)</f>
        <v>1226</v>
      </c>
      <c r="E3230" s="2">
        <f>IFERROR(__xludf.DUMMYFUNCTION("""COMPUTED_VALUE"""),1238.22)</f>
        <v>1238.22</v>
      </c>
      <c r="F3230" s="2">
        <f>IFERROR(__xludf.DUMMYFUNCTION("""COMPUTED_VALUE"""),2166433.0)</f>
        <v>2166433</v>
      </c>
    </row>
    <row r="3231">
      <c r="A3231" s="3">
        <f>IFERROR(__xludf.DUMMYFUNCTION("""COMPUTED_VALUE"""),43007.64583333333)</f>
        <v>43007.64583</v>
      </c>
      <c r="B3231" s="2">
        <f>IFERROR(__xludf.DUMMYFUNCTION("""COMPUTED_VALUE"""),1239.5)</f>
        <v>1239.5</v>
      </c>
      <c r="C3231" s="2">
        <f>IFERROR(__xludf.DUMMYFUNCTION("""COMPUTED_VALUE"""),1242.0)</f>
        <v>1242</v>
      </c>
      <c r="D3231" s="2">
        <f>IFERROR(__xludf.DUMMYFUNCTION("""COMPUTED_VALUE"""),1210.75)</f>
        <v>1210.75</v>
      </c>
      <c r="E3231" s="2">
        <f>IFERROR(__xludf.DUMMYFUNCTION("""COMPUTED_VALUE"""),1217.97)</f>
        <v>1217.97</v>
      </c>
      <c r="F3231" s="2">
        <f>IFERROR(__xludf.DUMMYFUNCTION("""COMPUTED_VALUE"""),992507.0)</f>
        <v>992507</v>
      </c>
    </row>
    <row r="3232">
      <c r="A3232" s="3">
        <f>IFERROR(__xludf.DUMMYFUNCTION("""COMPUTED_VALUE"""),43011.64583333333)</f>
        <v>43011.64583</v>
      </c>
      <c r="B3232" s="2">
        <f>IFERROR(__xludf.DUMMYFUNCTION("""COMPUTED_VALUE"""),1220.0)</f>
        <v>1220</v>
      </c>
      <c r="C3232" s="2">
        <f>IFERROR(__xludf.DUMMYFUNCTION("""COMPUTED_VALUE"""),1227.15)</f>
        <v>1227.15</v>
      </c>
      <c r="D3232" s="2">
        <f>IFERROR(__xludf.DUMMYFUNCTION("""COMPUTED_VALUE"""),1213.53)</f>
        <v>1213.53</v>
      </c>
      <c r="E3232" s="2">
        <f>IFERROR(__xludf.DUMMYFUNCTION("""COMPUTED_VALUE"""),1224.22)</f>
        <v>1224.22</v>
      </c>
      <c r="F3232" s="2">
        <f>IFERROR(__xludf.DUMMYFUNCTION("""COMPUTED_VALUE"""),961503.0)</f>
        <v>961503</v>
      </c>
    </row>
    <row r="3233">
      <c r="A3233" s="3">
        <f>IFERROR(__xludf.DUMMYFUNCTION("""COMPUTED_VALUE"""),43012.64583333333)</f>
        <v>43012.64583</v>
      </c>
      <c r="B3233" s="2">
        <f>IFERROR(__xludf.DUMMYFUNCTION("""COMPUTED_VALUE"""),1224.8)</f>
        <v>1224.8</v>
      </c>
      <c r="C3233" s="2">
        <f>IFERROR(__xludf.DUMMYFUNCTION("""COMPUTED_VALUE"""),1227.0)</f>
        <v>1227</v>
      </c>
      <c r="D3233" s="2">
        <f>IFERROR(__xludf.DUMMYFUNCTION("""COMPUTED_VALUE"""),1212.5)</f>
        <v>1212.5</v>
      </c>
      <c r="E3233" s="2">
        <f>IFERROR(__xludf.DUMMYFUNCTION("""COMPUTED_VALUE"""),1221.15)</f>
        <v>1221.15</v>
      </c>
      <c r="F3233" s="2">
        <f>IFERROR(__xludf.DUMMYFUNCTION("""COMPUTED_VALUE"""),650389.0)</f>
        <v>650389</v>
      </c>
    </row>
    <row r="3234">
      <c r="A3234" s="3">
        <f>IFERROR(__xludf.DUMMYFUNCTION("""COMPUTED_VALUE"""),43013.64583333333)</f>
        <v>43013.64583</v>
      </c>
      <c r="B3234" s="2">
        <f>IFERROR(__xludf.DUMMYFUNCTION("""COMPUTED_VALUE"""),1220.5)</f>
        <v>1220.5</v>
      </c>
      <c r="C3234" s="2">
        <f>IFERROR(__xludf.DUMMYFUNCTION("""COMPUTED_VALUE"""),1221.72)</f>
        <v>1221.72</v>
      </c>
      <c r="D3234" s="2">
        <f>IFERROR(__xludf.DUMMYFUNCTION("""COMPUTED_VALUE"""),1212.2)</f>
        <v>1212.2</v>
      </c>
      <c r="E3234" s="2">
        <f>IFERROR(__xludf.DUMMYFUNCTION("""COMPUTED_VALUE"""),1214.8)</f>
        <v>1214.8</v>
      </c>
      <c r="F3234" s="2">
        <f>IFERROR(__xludf.DUMMYFUNCTION("""COMPUTED_VALUE"""),842343.0)</f>
        <v>842343</v>
      </c>
    </row>
    <row r="3235">
      <c r="A3235" s="3">
        <f>IFERROR(__xludf.DUMMYFUNCTION("""COMPUTED_VALUE"""),43014.64583333333)</f>
        <v>43014.64583</v>
      </c>
      <c r="B3235" s="2">
        <f>IFERROR(__xludf.DUMMYFUNCTION("""COMPUTED_VALUE"""),1215.0)</f>
        <v>1215</v>
      </c>
      <c r="C3235" s="2">
        <f>IFERROR(__xludf.DUMMYFUNCTION("""COMPUTED_VALUE"""),1227.5)</f>
        <v>1227.5</v>
      </c>
      <c r="D3235" s="2">
        <f>IFERROR(__xludf.DUMMYFUNCTION("""COMPUTED_VALUE"""),1214.03)</f>
        <v>1214.03</v>
      </c>
      <c r="E3235" s="2">
        <f>IFERROR(__xludf.DUMMYFUNCTION("""COMPUTED_VALUE"""),1223.33)</f>
        <v>1223.33</v>
      </c>
      <c r="F3235" s="2">
        <f>IFERROR(__xludf.DUMMYFUNCTION("""COMPUTED_VALUE"""),694594.0)</f>
        <v>694594</v>
      </c>
    </row>
    <row r="3236">
      <c r="A3236" s="3">
        <f>IFERROR(__xludf.DUMMYFUNCTION("""COMPUTED_VALUE"""),43017.64583333333)</f>
        <v>43017.64583</v>
      </c>
      <c r="B3236" s="2">
        <f>IFERROR(__xludf.DUMMYFUNCTION("""COMPUTED_VALUE"""),1220.53)</f>
        <v>1220.53</v>
      </c>
      <c r="C3236" s="2">
        <f>IFERROR(__xludf.DUMMYFUNCTION("""COMPUTED_VALUE"""),1233.97)</f>
        <v>1233.97</v>
      </c>
      <c r="D3236" s="2">
        <f>IFERROR(__xludf.DUMMYFUNCTION("""COMPUTED_VALUE"""),1220.53)</f>
        <v>1220.53</v>
      </c>
      <c r="E3236" s="2">
        <f>IFERROR(__xludf.DUMMYFUNCTION("""COMPUTED_VALUE"""),1227.05)</f>
        <v>1227.05</v>
      </c>
      <c r="F3236" s="2">
        <f>IFERROR(__xludf.DUMMYFUNCTION("""COMPUTED_VALUE"""),886808.0)</f>
        <v>886808</v>
      </c>
    </row>
    <row r="3237">
      <c r="A3237" s="3">
        <f>IFERROR(__xludf.DUMMYFUNCTION("""COMPUTED_VALUE"""),43018.64583333333)</f>
        <v>43018.64583</v>
      </c>
      <c r="B3237" s="2">
        <f>IFERROR(__xludf.DUMMYFUNCTION("""COMPUTED_VALUE"""),1227.5)</f>
        <v>1227.5</v>
      </c>
      <c r="C3237" s="2">
        <f>IFERROR(__xludf.DUMMYFUNCTION("""COMPUTED_VALUE"""),1234.97)</f>
        <v>1234.97</v>
      </c>
      <c r="D3237" s="2">
        <f>IFERROR(__xludf.DUMMYFUNCTION("""COMPUTED_VALUE"""),1225.63)</f>
        <v>1225.63</v>
      </c>
      <c r="E3237" s="2">
        <f>IFERROR(__xludf.DUMMYFUNCTION("""COMPUTED_VALUE"""),1229.63)</f>
        <v>1229.63</v>
      </c>
      <c r="F3237" s="2">
        <f>IFERROR(__xludf.DUMMYFUNCTION("""COMPUTED_VALUE"""),611005.0)</f>
        <v>611005</v>
      </c>
    </row>
    <row r="3238">
      <c r="A3238" s="3">
        <f>IFERROR(__xludf.DUMMYFUNCTION("""COMPUTED_VALUE"""),43019.64583333333)</f>
        <v>43019.64583</v>
      </c>
      <c r="B3238" s="2">
        <f>IFERROR(__xludf.DUMMYFUNCTION("""COMPUTED_VALUE"""),1230.0)</f>
        <v>1230</v>
      </c>
      <c r="C3238" s="2">
        <f>IFERROR(__xludf.DUMMYFUNCTION("""COMPUTED_VALUE"""),1257.22)</f>
        <v>1257.22</v>
      </c>
      <c r="D3238" s="2">
        <f>IFERROR(__xludf.DUMMYFUNCTION("""COMPUTED_VALUE"""),1228.38)</f>
        <v>1228.38</v>
      </c>
      <c r="E3238" s="2">
        <f>IFERROR(__xludf.DUMMYFUNCTION("""COMPUTED_VALUE"""),1250.18)</f>
        <v>1250.18</v>
      </c>
      <c r="F3238" s="2">
        <f>IFERROR(__xludf.DUMMYFUNCTION("""COMPUTED_VALUE"""),763873.0)</f>
        <v>763873</v>
      </c>
    </row>
    <row r="3239">
      <c r="A3239" s="3">
        <f>IFERROR(__xludf.DUMMYFUNCTION("""COMPUTED_VALUE"""),43020.64583333333)</f>
        <v>43020.64583</v>
      </c>
      <c r="B3239" s="2">
        <f>IFERROR(__xludf.DUMMYFUNCTION("""COMPUTED_VALUE"""),1256.5)</f>
        <v>1256.5</v>
      </c>
      <c r="C3239" s="2">
        <f>IFERROR(__xludf.DUMMYFUNCTION("""COMPUTED_VALUE"""),1277.5)</f>
        <v>1277.5</v>
      </c>
      <c r="D3239" s="2">
        <f>IFERROR(__xludf.DUMMYFUNCTION("""COMPUTED_VALUE"""),1253.5)</f>
        <v>1253.5</v>
      </c>
      <c r="E3239" s="2">
        <f>IFERROR(__xludf.DUMMYFUNCTION("""COMPUTED_VALUE"""),1274.1)</f>
        <v>1274.1</v>
      </c>
      <c r="F3239" s="2">
        <f>IFERROR(__xludf.DUMMYFUNCTION("""COMPUTED_VALUE"""),2503178.0)</f>
        <v>2503178</v>
      </c>
    </row>
    <row r="3240">
      <c r="A3240" s="3">
        <f>IFERROR(__xludf.DUMMYFUNCTION("""COMPUTED_VALUE"""),43021.64583333333)</f>
        <v>43021.64583</v>
      </c>
      <c r="B3240" s="2">
        <f>IFERROR(__xludf.DUMMYFUNCTION("""COMPUTED_VALUE"""),1274.1)</f>
        <v>1274.1</v>
      </c>
      <c r="C3240" s="2">
        <f>IFERROR(__xludf.DUMMYFUNCTION("""COMPUTED_VALUE"""),1304.47)</f>
        <v>1304.47</v>
      </c>
      <c r="D3240" s="2">
        <f>IFERROR(__xludf.DUMMYFUNCTION("""COMPUTED_VALUE"""),1261.5)</f>
        <v>1261.5</v>
      </c>
      <c r="E3240" s="2">
        <f>IFERROR(__xludf.DUMMYFUNCTION("""COMPUTED_VALUE"""),1279.3)</f>
        <v>1279.3</v>
      </c>
      <c r="F3240" s="2">
        <f>IFERROR(__xludf.DUMMYFUNCTION("""COMPUTED_VALUE"""),2033160.0)</f>
        <v>2033160</v>
      </c>
    </row>
    <row r="3241">
      <c r="A3241" s="3">
        <f>IFERROR(__xludf.DUMMYFUNCTION("""COMPUTED_VALUE"""),43024.64583333333)</f>
        <v>43024.64583</v>
      </c>
      <c r="B3241" s="2">
        <f>IFERROR(__xludf.DUMMYFUNCTION("""COMPUTED_VALUE"""),1277.53)</f>
        <v>1277.53</v>
      </c>
      <c r="C3241" s="2">
        <f>IFERROR(__xludf.DUMMYFUNCTION("""COMPUTED_VALUE"""),1295.0)</f>
        <v>1295</v>
      </c>
      <c r="D3241" s="2">
        <f>IFERROR(__xludf.DUMMYFUNCTION("""COMPUTED_VALUE"""),1277.53)</f>
        <v>1277.53</v>
      </c>
      <c r="E3241" s="2">
        <f>IFERROR(__xludf.DUMMYFUNCTION("""COMPUTED_VALUE"""),1292.2)</f>
        <v>1292.2</v>
      </c>
      <c r="F3241" s="2">
        <f>IFERROR(__xludf.DUMMYFUNCTION("""COMPUTED_VALUE"""),609295.0)</f>
        <v>609295</v>
      </c>
    </row>
    <row r="3242">
      <c r="A3242" s="3">
        <f>IFERROR(__xludf.DUMMYFUNCTION("""COMPUTED_VALUE"""),43025.83333333333)</f>
        <v>43025.83333</v>
      </c>
      <c r="B3242" s="2">
        <f>IFERROR(__xludf.DUMMYFUNCTION("""COMPUTED_VALUE"""),1292.5)</f>
        <v>1292.5</v>
      </c>
      <c r="C3242" s="2">
        <f>IFERROR(__xludf.DUMMYFUNCTION("""COMPUTED_VALUE"""),1307.47)</f>
        <v>1307.47</v>
      </c>
      <c r="D3242" s="2">
        <f>IFERROR(__xludf.DUMMYFUNCTION("""COMPUTED_VALUE"""),1288.78)</f>
        <v>1288.78</v>
      </c>
      <c r="E3242" s="2">
        <f>IFERROR(__xludf.DUMMYFUNCTION("""COMPUTED_VALUE"""),1297.28)</f>
        <v>1297.28</v>
      </c>
      <c r="F3242" s="2">
        <f>IFERROR(__xludf.DUMMYFUNCTION("""COMPUTED_VALUE"""),721508.0)</f>
        <v>721508</v>
      </c>
    </row>
    <row r="3243">
      <c r="A3243" s="3">
        <f>IFERROR(__xludf.DUMMYFUNCTION("""COMPUTED_VALUE"""),43026.64583333333)</f>
        <v>43026.64583</v>
      </c>
      <c r="B3243" s="2">
        <f>IFERROR(__xludf.DUMMYFUNCTION("""COMPUTED_VALUE"""),1297.5)</f>
        <v>1297.5</v>
      </c>
      <c r="C3243" s="2">
        <f>IFERROR(__xludf.DUMMYFUNCTION("""COMPUTED_VALUE"""),1306.83)</f>
        <v>1306.83</v>
      </c>
      <c r="D3243" s="2">
        <f>IFERROR(__xludf.DUMMYFUNCTION("""COMPUTED_VALUE"""),1290.0)</f>
        <v>1290</v>
      </c>
      <c r="E3243" s="2">
        <f>IFERROR(__xludf.DUMMYFUNCTION("""COMPUTED_VALUE"""),1293.3)</f>
        <v>1293.3</v>
      </c>
      <c r="F3243" s="2">
        <f>IFERROR(__xludf.DUMMYFUNCTION("""COMPUTED_VALUE"""),757072.0)</f>
        <v>757072</v>
      </c>
    </row>
    <row r="3244">
      <c r="A3244" s="3">
        <f>IFERROR(__xludf.DUMMYFUNCTION("""COMPUTED_VALUE"""),43027.83333333333)</f>
        <v>43027.83333</v>
      </c>
      <c r="B3244" s="2">
        <f>IFERROR(__xludf.DUMMYFUNCTION("""COMPUTED_VALUE"""),1296.0)</f>
        <v>1296</v>
      </c>
      <c r="C3244" s="2">
        <f>IFERROR(__xludf.DUMMYFUNCTION("""COMPUTED_VALUE"""),1297.9)</f>
        <v>1297.9</v>
      </c>
      <c r="D3244" s="2">
        <f>IFERROR(__xludf.DUMMYFUNCTION("""COMPUTED_VALUE"""),1285.5)</f>
        <v>1285.5</v>
      </c>
      <c r="E3244" s="2">
        <f>IFERROR(__xludf.DUMMYFUNCTION("""COMPUTED_VALUE"""),1291.7)</f>
        <v>1291.7</v>
      </c>
      <c r="F3244" s="2">
        <f>IFERROR(__xludf.DUMMYFUNCTION("""COMPUTED_VALUE"""),43411.0)</f>
        <v>43411</v>
      </c>
    </row>
    <row r="3245">
      <c r="A3245" s="3">
        <f>IFERROR(__xludf.DUMMYFUNCTION("""COMPUTED_VALUE"""),43031.64583333333)</f>
        <v>43031.64583</v>
      </c>
      <c r="B3245" s="2">
        <f>IFERROR(__xludf.DUMMYFUNCTION("""COMPUTED_VALUE"""),1292.0)</f>
        <v>1292</v>
      </c>
      <c r="C3245" s="2">
        <f>IFERROR(__xludf.DUMMYFUNCTION("""COMPUTED_VALUE"""),1314.5)</f>
        <v>1314.5</v>
      </c>
      <c r="D3245" s="2">
        <f>IFERROR(__xludf.DUMMYFUNCTION("""COMPUTED_VALUE"""),1273.72)</f>
        <v>1273.72</v>
      </c>
      <c r="E3245" s="2">
        <f>IFERROR(__xludf.DUMMYFUNCTION("""COMPUTED_VALUE"""),1293.95)</f>
        <v>1293.95</v>
      </c>
      <c r="F3245" s="2">
        <f>IFERROR(__xludf.DUMMYFUNCTION("""COMPUTED_VALUE"""),943044.0)</f>
        <v>943044</v>
      </c>
    </row>
    <row r="3246">
      <c r="A3246" s="3">
        <f>IFERROR(__xludf.DUMMYFUNCTION("""COMPUTED_VALUE"""),43032.64583333333)</f>
        <v>43032.64583</v>
      </c>
      <c r="B3246" s="2">
        <f>IFERROR(__xludf.DUMMYFUNCTION("""COMPUTED_VALUE"""),1310.0)</f>
        <v>1310</v>
      </c>
      <c r="C3246" s="2">
        <f>IFERROR(__xludf.DUMMYFUNCTION("""COMPUTED_VALUE"""),1310.45)</f>
        <v>1310.45</v>
      </c>
      <c r="D3246" s="2">
        <f>IFERROR(__xludf.DUMMYFUNCTION("""COMPUTED_VALUE"""),1284.53)</f>
        <v>1284.53</v>
      </c>
      <c r="E3246" s="2">
        <f>IFERROR(__xludf.DUMMYFUNCTION("""COMPUTED_VALUE"""),1289.2)</f>
        <v>1289.2</v>
      </c>
      <c r="F3246" s="2">
        <f>IFERROR(__xludf.DUMMYFUNCTION("""COMPUTED_VALUE"""),669510.0)</f>
        <v>669510</v>
      </c>
    </row>
    <row r="3247">
      <c r="A3247" s="3">
        <f>IFERROR(__xludf.DUMMYFUNCTION("""COMPUTED_VALUE"""),43033.64583333333)</f>
        <v>43033.64583</v>
      </c>
      <c r="B3247" s="2">
        <f>IFERROR(__xludf.DUMMYFUNCTION("""COMPUTED_VALUE"""),1289.25)</f>
        <v>1289.25</v>
      </c>
      <c r="C3247" s="2">
        <f>IFERROR(__xludf.DUMMYFUNCTION("""COMPUTED_VALUE"""),1307.0)</f>
        <v>1307</v>
      </c>
      <c r="D3247" s="2">
        <f>IFERROR(__xludf.DUMMYFUNCTION("""COMPUTED_VALUE"""),1277.5)</f>
        <v>1277.5</v>
      </c>
      <c r="E3247" s="2">
        <f>IFERROR(__xludf.DUMMYFUNCTION("""COMPUTED_VALUE"""),1279.95)</f>
        <v>1279.95</v>
      </c>
      <c r="F3247" s="2">
        <f>IFERROR(__xludf.DUMMYFUNCTION("""COMPUTED_VALUE"""),552553.0)</f>
        <v>552553</v>
      </c>
    </row>
    <row r="3248">
      <c r="A3248" s="3">
        <f>IFERROR(__xludf.DUMMYFUNCTION("""COMPUTED_VALUE"""),43034.64583333333)</f>
        <v>43034.64583</v>
      </c>
      <c r="B3248" s="2">
        <f>IFERROR(__xludf.DUMMYFUNCTION("""COMPUTED_VALUE"""),1267.55)</f>
        <v>1267.55</v>
      </c>
      <c r="C3248" s="2">
        <f>IFERROR(__xludf.DUMMYFUNCTION("""COMPUTED_VALUE"""),1284.58)</f>
        <v>1284.58</v>
      </c>
      <c r="D3248" s="2">
        <f>IFERROR(__xludf.DUMMYFUNCTION("""COMPUTED_VALUE"""),1258.95)</f>
        <v>1258.95</v>
      </c>
      <c r="E3248" s="2">
        <f>IFERROR(__xludf.DUMMYFUNCTION("""COMPUTED_VALUE"""),1269.43)</f>
        <v>1269.43</v>
      </c>
      <c r="F3248" s="2">
        <f>IFERROR(__xludf.DUMMYFUNCTION("""COMPUTED_VALUE"""),1503776.0)</f>
        <v>1503776</v>
      </c>
    </row>
    <row r="3249">
      <c r="A3249" s="3">
        <f>IFERROR(__xludf.DUMMYFUNCTION("""COMPUTED_VALUE"""),43035.64583333333)</f>
        <v>43035.64583</v>
      </c>
      <c r="B3249" s="2">
        <f>IFERROR(__xludf.DUMMYFUNCTION("""COMPUTED_VALUE"""),1269.0)</f>
        <v>1269</v>
      </c>
      <c r="C3249" s="2">
        <f>IFERROR(__xludf.DUMMYFUNCTION("""COMPUTED_VALUE"""),1296.58)</f>
        <v>1296.58</v>
      </c>
      <c r="D3249" s="2">
        <f>IFERROR(__xludf.DUMMYFUNCTION("""COMPUTED_VALUE"""),1265.15)</f>
        <v>1265.15</v>
      </c>
      <c r="E3249" s="2">
        <f>IFERROR(__xludf.DUMMYFUNCTION("""COMPUTED_VALUE"""),1292.15)</f>
        <v>1292.15</v>
      </c>
      <c r="F3249" s="2">
        <f>IFERROR(__xludf.DUMMYFUNCTION("""COMPUTED_VALUE"""),704635.0)</f>
        <v>704635</v>
      </c>
    </row>
    <row r="3250">
      <c r="A3250" s="3">
        <f>IFERROR(__xludf.DUMMYFUNCTION("""COMPUTED_VALUE"""),43038.64583333333)</f>
        <v>43038.64583</v>
      </c>
      <c r="B3250" s="2">
        <f>IFERROR(__xludf.DUMMYFUNCTION("""COMPUTED_VALUE"""),1293.0)</f>
        <v>1293</v>
      </c>
      <c r="C3250" s="2">
        <f>IFERROR(__xludf.DUMMYFUNCTION("""COMPUTED_VALUE"""),1310.0)</f>
        <v>1310</v>
      </c>
      <c r="D3250" s="2">
        <f>IFERROR(__xludf.DUMMYFUNCTION("""COMPUTED_VALUE"""),1290.85)</f>
        <v>1290.85</v>
      </c>
      <c r="E3250" s="2">
        <f>IFERROR(__xludf.DUMMYFUNCTION("""COMPUTED_VALUE"""),1308.1)</f>
        <v>1308.1</v>
      </c>
      <c r="F3250" s="2">
        <f>IFERROR(__xludf.DUMMYFUNCTION("""COMPUTED_VALUE"""),568626.0)</f>
        <v>568626</v>
      </c>
    </row>
    <row r="3251">
      <c r="A3251" s="3">
        <f>IFERROR(__xludf.DUMMYFUNCTION("""COMPUTED_VALUE"""),43039.64583333333)</f>
        <v>43039.64583</v>
      </c>
      <c r="B3251" s="2">
        <f>IFERROR(__xludf.DUMMYFUNCTION("""COMPUTED_VALUE"""),1300.65)</f>
        <v>1300.65</v>
      </c>
      <c r="C3251" s="2">
        <f>IFERROR(__xludf.DUMMYFUNCTION("""COMPUTED_VALUE"""),1320.0)</f>
        <v>1320</v>
      </c>
      <c r="D3251" s="2">
        <f>IFERROR(__xludf.DUMMYFUNCTION("""COMPUTED_VALUE"""),1300.65)</f>
        <v>1300.65</v>
      </c>
      <c r="E3251" s="2">
        <f>IFERROR(__xludf.DUMMYFUNCTION("""COMPUTED_VALUE"""),1312.0)</f>
        <v>1312</v>
      </c>
      <c r="F3251" s="2">
        <f>IFERROR(__xludf.DUMMYFUNCTION("""COMPUTED_VALUE"""),796317.0)</f>
        <v>796317</v>
      </c>
    </row>
    <row r="3252">
      <c r="A3252" s="3">
        <f>IFERROR(__xludf.DUMMYFUNCTION("""COMPUTED_VALUE"""),43040.64583333333)</f>
        <v>43040.64583</v>
      </c>
      <c r="B3252" s="2">
        <f>IFERROR(__xludf.DUMMYFUNCTION("""COMPUTED_VALUE"""),1312.0)</f>
        <v>1312</v>
      </c>
      <c r="C3252" s="2">
        <f>IFERROR(__xludf.DUMMYFUNCTION("""COMPUTED_VALUE"""),1313.43)</f>
        <v>1313.43</v>
      </c>
      <c r="D3252" s="2">
        <f>IFERROR(__xludf.DUMMYFUNCTION("""COMPUTED_VALUE"""),1289.43)</f>
        <v>1289.43</v>
      </c>
      <c r="E3252" s="2">
        <f>IFERROR(__xludf.DUMMYFUNCTION("""COMPUTED_VALUE"""),1301.43)</f>
        <v>1301.43</v>
      </c>
      <c r="F3252" s="2">
        <f>IFERROR(__xludf.DUMMYFUNCTION("""COMPUTED_VALUE"""),370941.0)</f>
        <v>370941</v>
      </c>
    </row>
    <row r="3253">
      <c r="A3253" s="3">
        <f>IFERROR(__xludf.DUMMYFUNCTION("""COMPUTED_VALUE"""),43041.64583333333)</f>
        <v>43041.64583</v>
      </c>
      <c r="B3253" s="2">
        <f>IFERROR(__xludf.DUMMYFUNCTION("""COMPUTED_VALUE"""),1304.25)</f>
        <v>1304.25</v>
      </c>
      <c r="C3253" s="2">
        <f>IFERROR(__xludf.DUMMYFUNCTION("""COMPUTED_VALUE"""),1337.0)</f>
        <v>1337</v>
      </c>
      <c r="D3253" s="2">
        <f>IFERROR(__xludf.DUMMYFUNCTION("""COMPUTED_VALUE"""),1303.38)</f>
        <v>1303.38</v>
      </c>
      <c r="E3253" s="2">
        <f>IFERROR(__xludf.DUMMYFUNCTION("""COMPUTED_VALUE"""),1313.08)</f>
        <v>1313.08</v>
      </c>
      <c r="F3253" s="2">
        <f>IFERROR(__xludf.DUMMYFUNCTION("""COMPUTED_VALUE"""),734211.0)</f>
        <v>734211</v>
      </c>
    </row>
    <row r="3254">
      <c r="A3254" s="3">
        <f>IFERROR(__xludf.DUMMYFUNCTION("""COMPUTED_VALUE"""),43042.64583333333)</f>
        <v>43042.64583</v>
      </c>
      <c r="B3254" s="2">
        <f>IFERROR(__xludf.DUMMYFUNCTION("""COMPUTED_VALUE"""),1316.2)</f>
        <v>1316.2</v>
      </c>
      <c r="C3254" s="2">
        <f>IFERROR(__xludf.DUMMYFUNCTION("""COMPUTED_VALUE"""),1318.35)</f>
        <v>1318.35</v>
      </c>
      <c r="D3254" s="2">
        <f>IFERROR(__xludf.DUMMYFUNCTION("""COMPUTED_VALUE"""),1301.4)</f>
        <v>1301.4</v>
      </c>
      <c r="E3254" s="2">
        <f>IFERROR(__xludf.DUMMYFUNCTION("""COMPUTED_VALUE"""),1310.05)</f>
        <v>1310.05</v>
      </c>
      <c r="F3254" s="2">
        <f>IFERROR(__xludf.DUMMYFUNCTION("""COMPUTED_VALUE"""),333443.0)</f>
        <v>333443</v>
      </c>
    </row>
    <row r="3255">
      <c r="A3255" s="3">
        <f>IFERROR(__xludf.DUMMYFUNCTION("""COMPUTED_VALUE"""),43045.64583333333)</f>
        <v>43045.64583</v>
      </c>
      <c r="B3255" s="2">
        <f>IFERROR(__xludf.DUMMYFUNCTION("""COMPUTED_VALUE"""),1310.0)</f>
        <v>1310</v>
      </c>
      <c r="C3255" s="2">
        <f>IFERROR(__xludf.DUMMYFUNCTION("""COMPUTED_VALUE"""),1335.9)</f>
        <v>1335.9</v>
      </c>
      <c r="D3255" s="2">
        <f>IFERROR(__xludf.DUMMYFUNCTION("""COMPUTED_VALUE"""),1305.88)</f>
        <v>1305.88</v>
      </c>
      <c r="E3255" s="2">
        <f>IFERROR(__xludf.DUMMYFUNCTION("""COMPUTED_VALUE"""),1332.78)</f>
        <v>1332.78</v>
      </c>
      <c r="F3255" s="2">
        <f>IFERROR(__xludf.DUMMYFUNCTION("""COMPUTED_VALUE"""),688500.0)</f>
        <v>688500</v>
      </c>
    </row>
    <row r="3256">
      <c r="A3256" s="3">
        <f>IFERROR(__xludf.DUMMYFUNCTION("""COMPUTED_VALUE"""),43046.64583333333)</f>
        <v>43046.64583</v>
      </c>
      <c r="B3256" s="2">
        <f>IFERROR(__xludf.DUMMYFUNCTION("""COMPUTED_VALUE"""),1335.0)</f>
        <v>1335</v>
      </c>
      <c r="C3256" s="2">
        <f>IFERROR(__xludf.DUMMYFUNCTION("""COMPUTED_VALUE"""),1384.0)</f>
        <v>1384</v>
      </c>
      <c r="D3256" s="2">
        <f>IFERROR(__xludf.DUMMYFUNCTION("""COMPUTED_VALUE"""),1333.03)</f>
        <v>1333.03</v>
      </c>
      <c r="E3256" s="2">
        <f>IFERROR(__xludf.DUMMYFUNCTION("""COMPUTED_VALUE"""),1355.03)</f>
        <v>1355.03</v>
      </c>
      <c r="F3256" s="2">
        <f>IFERROR(__xludf.DUMMYFUNCTION("""COMPUTED_VALUE"""),1348446.0)</f>
        <v>1348446</v>
      </c>
    </row>
    <row r="3257">
      <c r="A3257" s="3">
        <f>IFERROR(__xludf.DUMMYFUNCTION("""COMPUTED_VALUE"""),43047.64583333333)</f>
        <v>43047.64583</v>
      </c>
      <c r="B3257" s="2">
        <f>IFERROR(__xludf.DUMMYFUNCTION("""COMPUTED_VALUE"""),1361.5)</f>
        <v>1361.5</v>
      </c>
      <c r="C3257" s="2">
        <f>IFERROR(__xludf.DUMMYFUNCTION("""COMPUTED_VALUE"""),1379.5)</f>
        <v>1379.5</v>
      </c>
      <c r="D3257" s="2">
        <f>IFERROR(__xludf.DUMMYFUNCTION("""COMPUTED_VALUE"""),1359.13)</f>
        <v>1359.13</v>
      </c>
      <c r="E3257" s="2">
        <f>IFERROR(__xludf.DUMMYFUNCTION("""COMPUTED_VALUE"""),1367.5)</f>
        <v>1367.5</v>
      </c>
      <c r="F3257" s="2">
        <f>IFERROR(__xludf.DUMMYFUNCTION("""COMPUTED_VALUE"""),701126.0)</f>
        <v>701126</v>
      </c>
    </row>
    <row r="3258">
      <c r="A3258" s="3">
        <f>IFERROR(__xludf.DUMMYFUNCTION("""COMPUTED_VALUE"""),43048.64583333333)</f>
        <v>43048.64583</v>
      </c>
      <c r="B3258" s="2">
        <f>IFERROR(__xludf.DUMMYFUNCTION("""COMPUTED_VALUE"""),1375.0)</f>
        <v>1375</v>
      </c>
      <c r="C3258" s="2">
        <f>IFERROR(__xludf.DUMMYFUNCTION("""COMPUTED_VALUE"""),1375.0)</f>
        <v>1375</v>
      </c>
      <c r="D3258" s="2">
        <f>IFERROR(__xludf.DUMMYFUNCTION("""COMPUTED_VALUE"""),1359.65)</f>
        <v>1359.65</v>
      </c>
      <c r="E3258" s="2">
        <f>IFERROR(__xludf.DUMMYFUNCTION("""COMPUTED_VALUE"""),1368.2)</f>
        <v>1368.2</v>
      </c>
      <c r="F3258" s="2">
        <f>IFERROR(__xludf.DUMMYFUNCTION("""COMPUTED_VALUE"""),576216.0)</f>
        <v>576216</v>
      </c>
    </row>
    <row r="3259">
      <c r="A3259" s="3">
        <f>IFERROR(__xludf.DUMMYFUNCTION("""COMPUTED_VALUE"""),43049.64583333333)</f>
        <v>43049.64583</v>
      </c>
      <c r="B3259" s="2">
        <f>IFERROR(__xludf.DUMMYFUNCTION("""COMPUTED_VALUE"""),1361.1)</f>
        <v>1361.1</v>
      </c>
      <c r="C3259" s="2">
        <f>IFERROR(__xludf.DUMMYFUNCTION("""COMPUTED_VALUE"""),1363.0)</f>
        <v>1363</v>
      </c>
      <c r="D3259" s="2">
        <f>IFERROR(__xludf.DUMMYFUNCTION("""COMPUTED_VALUE"""),1346.68)</f>
        <v>1346.68</v>
      </c>
      <c r="E3259" s="2">
        <f>IFERROR(__xludf.DUMMYFUNCTION("""COMPUTED_VALUE"""),1354.38)</f>
        <v>1354.38</v>
      </c>
      <c r="F3259" s="2">
        <f>IFERROR(__xludf.DUMMYFUNCTION("""COMPUTED_VALUE"""),678283.0)</f>
        <v>678283</v>
      </c>
    </row>
    <row r="3260">
      <c r="A3260" s="3">
        <f>IFERROR(__xludf.DUMMYFUNCTION("""COMPUTED_VALUE"""),43052.64583333333)</f>
        <v>43052.64583</v>
      </c>
      <c r="B3260" s="2">
        <f>IFERROR(__xludf.DUMMYFUNCTION("""COMPUTED_VALUE"""),1351.03)</f>
        <v>1351.03</v>
      </c>
      <c r="C3260" s="2">
        <f>IFERROR(__xludf.DUMMYFUNCTION("""COMPUTED_VALUE"""),1388.7)</f>
        <v>1388.7</v>
      </c>
      <c r="D3260" s="2">
        <f>IFERROR(__xludf.DUMMYFUNCTION("""COMPUTED_VALUE"""),1351.03)</f>
        <v>1351.03</v>
      </c>
      <c r="E3260" s="2">
        <f>IFERROR(__xludf.DUMMYFUNCTION("""COMPUTED_VALUE"""),1379.48)</f>
        <v>1379.48</v>
      </c>
      <c r="F3260" s="2">
        <f>IFERROR(__xludf.DUMMYFUNCTION("""COMPUTED_VALUE"""),748498.0)</f>
        <v>748498</v>
      </c>
    </row>
    <row r="3261">
      <c r="A3261" s="3">
        <f>IFERROR(__xludf.DUMMYFUNCTION("""COMPUTED_VALUE"""),43053.64583333333)</f>
        <v>43053.64583</v>
      </c>
      <c r="B3261" s="2">
        <f>IFERROR(__xludf.DUMMYFUNCTION("""COMPUTED_VALUE"""),1378.28)</f>
        <v>1378.28</v>
      </c>
      <c r="C3261" s="2">
        <f>IFERROR(__xludf.DUMMYFUNCTION("""COMPUTED_VALUE"""),1378.28)</f>
        <v>1378.28</v>
      </c>
      <c r="D3261" s="2">
        <f>IFERROR(__xludf.DUMMYFUNCTION("""COMPUTED_VALUE"""),1353.75)</f>
        <v>1353.75</v>
      </c>
      <c r="E3261" s="2">
        <f>IFERROR(__xludf.DUMMYFUNCTION("""COMPUTED_VALUE"""),1357.3)</f>
        <v>1357.3</v>
      </c>
      <c r="F3261" s="2">
        <f>IFERROR(__xludf.DUMMYFUNCTION("""COMPUTED_VALUE"""),828626.0)</f>
        <v>828626</v>
      </c>
    </row>
    <row r="3262">
      <c r="A3262" s="3">
        <f>IFERROR(__xludf.DUMMYFUNCTION("""COMPUTED_VALUE"""),43054.64583333333)</f>
        <v>43054.64583</v>
      </c>
      <c r="B3262" s="2">
        <f>IFERROR(__xludf.DUMMYFUNCTION("""COMPUTED_VALUE"""),1353.0)</f>
        <v>1353</v>
      </c>
      <c r="C3262" s="2">
        <f>IFERROR(__xludf.DUMMYFUNCTION("""COMPUTED_VALUE"""),1377.5)</f>
        <v>1377.5</v>
      </c>
      <c r="D3262" s="2">
        <f>IFERROR(__xludf.DUMMYFUNCTION("""COMPUTED_VALUE"""),1350.68)</f>
        <v>1350.68</v>
      </c>
      <c r="E3262" s="2">
        <f>IFERROR(__xludf.DUMMYFUNCTION("""COMPUTED_VALUE"""),1352.65)</f>
        <v>1352.65</v>
      </c>
      <c r="F3262" s="2">
        <f>IFERROR(__xludf.DUMMYFUNCTION("""COMPUTED_VALUE"""),3335417.0)</f>
        <v>3335417</v>
      </c>
    </row>
    <row r="3263">
      <c r="A3263" s="3">
        <f>IFERROR(__xludf.DUMMYFUNCTION("""COMPUTED_VALUE"""),43055.64583333333)</f>
        <v>43055.64583</v>
      </c>
      <c r="B3263" s="2">
        <f>IFERROR(__xludf.DUMMYFUNCTION("""COMPUTED_VALUE"""),1355.0)</f>
        <v>1355</v>
      </c>
      <c r="C3263" s="2">
        <f>IFERROR(__xludf.DUMMYFUNCTION("""COMPUTED_VALUE"""),1381.5)</f>
        <v>1381.5</v>
      </c>
      <c r="D3263" s="2">
        <f>IFERROR(__xludf.DUMMYFUNCTION("""COMPUTED_VALUE"""),1343.48)</f>
        <v>1343.48</v>
      </c>
      <c r="E3263" s="2">
        <f>IFERROR(__xludf.DUMMYFUNCTION("""COMPUTED_VALUE"""),1373.33)</f>
        <v>1373.33</v>
      </c>
      <c r="F3263" s="2">
        <f>IFERROR(__xludf.DUMMYFUNCTION("""COMPUTED_VALUE"""),826741.0)</f>
        <v>826741</v>
      </c>
    </row>
    <row r="3264">
      <c r="A3264" s="3">
        <f>IFERROR(__xludf.DUMMYFUNCTION("""COMPUTED_VALUE"""),43056.64583333333)</f>
        <v>43056.64583</v>
      </c>
      <c r="B3264" s="2">
        <f>IFERROR(__xludf.DUMMYFUNCTION("""COMPUTED_VALUE"""),1374.05)</f>
        <v>1374.05</v>
      </c>
      <c r="C3264" s="2">
        <f>IFERROR(__xludf.DUMMYFUNCTION("""COMPUTED_VALUE"""),1374.05)</f>
        <v>1374.05</v>
      </c>
      <c r="D3264" s="2">
        <f>IFERROR(__xludf.DUMMYFUNCTION("""COMPUTED_VALUE"""),1351.8)</f>
        <v>1351.8</v>
      </c>
      <c r="E3264" s="2">
        <f>IFERROR(__xludf.DUMMYFUNCTION("""COMPUTED_VALUE"""),1353.65)</f>
        <v>1353.65</v>
      </c>
      <c r="F3264" s="2">
        <f>IFERROR(__xludf.DUMMYFUNCTION("""COMPUTED_VALUE"""),662732.0)</f>
        <v>662732</v>
      </c>
    </row>
    <row r="3265">
      <c r="A3265" s="3">
        <f>IFERROR(__xludf.DUMMYFUNCTION("""COMPUTED_VALUE"""),43059.64583333333)</f>
        <v>43059.64583</v>
      </c>
      <c r="B3265" s="2">
        <f>IFERROR(__xludf.DUMMYFUNCTION("""COMPUTED_VALUE"""),1357.5)</f>
        <v>1357.5</v>
      </c>
      <c r="C3265" s="2">
        <f>IFERROR(__xludf.DUMMYFUNCTION("""COMPUTED_VALUE"""),1363.45)</f>
        <v>1363.45</v>
      </c>
      <c r="D3265" s="2">
        <f>IFERROR(__xludf.DUMMYFUNCTION("""COMPUTED_VALUE"""),1347.65)</f>
        <v>1347.65</v>
      </c>
      <c r="E3265" s="2">
        <f>IFERROR(__xludf.DUMMYFUNCTION("""COMPUTED_VALUE"""),1351.73)</f>
        <v>1351.73</v>
      </c>
      <c r="F3265" s="2">
        <f>IFERROR(__xludf.DUMMYFUNCTION("""COMPUTED_VALUE"""),507249.0)</f>
        <v>507249</v>
      </c>
    </row>
    <row r="3266">
      <c r="A3266" s="3">
        <f>IFERROR(__xludf.DUMMYFUNCTION("""COMPUTED_VALUE"""),43060.64583333333)</f>
        <v>43060.64583</v>
      </c>
      <c r="B3266" s="2">
        <f>IFERROR(__xludf.DUMMYFUNCTION("""COMPUTED_VALUE"""),1350.5)</f>
        <v>1350.5</v>
      </c>
      <c r="C3266" s="2">
        <f>IFERROR(__xludf.DUMMYFUNCTION("""COMPUTED_VALUE"""),1350.5)</f>
        <v>1350.5</v>
      </c>
      <c r="D3266" s="2">
        <f>IFERROR(__xludf.DUMMYFUNCTION("""COMPUTED_VALUE"""),1333.0)</f>
        <v>1333</v>
      </c>
      <c r="E3266" s="2">
        <f>IFERROR(__xludf.DUMMYFUNCTION("""COMPUTED_VALUE"""),1336.48)</f>
        <v>1336.48</v>
      </c>
      <c r="F3266" s="2">
        <f>IFERROR(__xludf.DUMMYFUNCTION("""COMPUTED_VALUE"""),763870.0)</f>
        <v>763870</v>
      </c>
    </row>
    <row r="3267">
      <c r="A3267" s="3">
        <f>IFERROR(__xludf.DUMMYFUNCTION("""COMPUTED_VALUE"""),43061.64583333333)</f>
        <v>43061.64583</v>
      </c>
      <c r="B3267" s="2">
        <f>IFERROR(__xludf.DUMMYFUNCTION("""COMPUTED_VALUE"""),1336.5)</f>
        <v>1336.5</v>
      </c>
      <c r="C3267" s="2">
        <f>IFERROR(__xludf.DUMMYFUNCTION("""COMPUTED_VALUE"""),1354.85)</f>
        <v>1354.85</v>
      </c>
      <c r="D3267" s="2">
        <f>IFERROR(__xludf.DUMMYFUNCTION("""COMPUTED_VALUE"""),1336.2)</f>
        <v>1336.2</v>
      </c>
      <c r="E3267" s="2">
        <f>IFERROR(__xludf.DUMMYFUNCTION("""COMPUTED_VALUE"""),1340.33)</f>
        <v>1340.33</v>
      </c>
      <c r="F3267" s="2">
        <f>IFERROR(__xludf.DUMMYFUNCTION("""COMPUTED_VALUE"""),911312.0)</f>
        <v>911312</v>
      </c>
    </row>
    <row r="3268">
      <c r="A3268" s="3">
        <f>IFERROR(__xludf.DUMMYFUNCTION("""COMPUTED_VALUE"""),43062.64583333333)</f>
        <v>43062.64583</v>
      </c>
      <c r="B3268" s="2">
        <f>IFERROR(__xludf.DUMMYFUNCTION("""COMPUTED_VALUE"""),1340.5)</f>
        <v>1340.5</v>
      </c>
      <c r="C3268" s="2">
        <f>IFERROR(__xludf.DUMMYFUNCTION("""COMPUTED_VALUE"""),1346.5)</f>
        <v>1346.5</v>
      </c>
      <c r="D3268" s="2">
        <f>IFERROR(__xludf.DUMMYFUNCTION("""COMPUTED_VALUE"""),1334.5)</f>
        <v>1334.5</v>
      </c>
      <c r="E3268" s="2">
        <f>IFERROR(__xludf.DUMMYFUNCTION("""COMPUTED_VALUE"""),1340.63)</f>
        <v>1340.63</v>
      </c>
      <c r="F3268" s="2">
        <f>IFERROR(__xludf.DUMMYFUNCTION("""COMPUTED_VALUE"""),396735.0)</f>
        <v>396735</v>
      </c>
    </row>
    <row r="3269">
      <c r="A3269" s="3">
        <f>IFERROR(__xludf.DUMMYFUNCTION("""COMPUTED_VALUE"""),43063.64583333333)</f>
        <v>43063.64583</v>
      </c>
      <c r="B3269" s="2">
        <f>IFERROR(__xludf.DUMMYFUNCTION("""COMPUTED_VALUE"""),1341.0)</f>
        <v>1341</v>
      </c>
      <c r="C3269" s="2">
        <f>IFERROR(__xludf.DUMMYFUNCTION("""COMPUTED_VALUE"""),1351.45)</f>
        <v>1351.45</v>
      </c>
      <c r="D3269" s="2">
        <f>IFERROR(__xludf.DUMMYFUNCTION("""COMPUTED_VALUE"""),1336.55)</f>
        <v>1336.55</v>
      </c>
      <c r="E3269" s="2">
        <f>IFERROR(__xludf.DUMMYFUNCTION("""COMPUTED_VALUE"""),1344.03)</f>
        <v>1344.03</v>
      </c>
      <c r="F3269" s="2">
        <f>IFERROR(__xludf.DUMMYFUNCTION("""COMPUTED_VALUE"""),1143756.0)</f>
        <v>1143756</v>
      </c>
    </row>
    <row r="3270">
      <c r="A3270" s="3">
        <f>IFERROR(__xludf.DUMMYFUNCTION("""COMPUTED_VALUE"""),43066.64583333333)</f>
        <v>43066.64583</v>
      </c>
      <c r="B3270" s="2">
        <f>IFERROR(__xludf.DUMMYFUNCTION("""COMPUTED_VALUE"""),1344.0)</f>
        <v>1344</v>
      </c>
      <c r="C3270" s="2">
        <f>IFERROR(__xludf.DUMMYFUNCTION("""COMPUTED_VALUE"""),1347.95)</f>
        <v>1347.95</v>
      </c>
      <c r="D3270" s="2">
        <f>IFERROR(__xludf.DUMMYFUNCTION("""COMPUTED_VALUE"""),1331.1)</f>
        <v>1331.1</v>
      </c>
      <c r="E3270" s="2">
        <f>IFERROR(__xludf.DUMMYFUNCTION("""COMPUTED_VALUE"""),1342.93)</f>
        <v>1342.93</v>
      </c>
      <c r="F3270" s="2">
        <f>IFERROR(__xludf.DUMMYFUNCTION("""COMPUTED_VALUE"""),928393.0)</f>
        <v>928393</v>
      </c>
    </row>
    <row r="3271">
      <c r="A3271" s="3">
        <f>IFERROR(__xludf.DUMMYFUNCTION("""COMPUTED_VALUE"""),43067.64583333333)</f>
        <v>43067.64583</v>
      </c>
      <c r="B3271" s="2">
        <f>IFERROR(__xludf.DUMMYFUNCTION("""COMPUTED_VALUE"""),1343.0)</f>
        <v>1343</v>
      </c>
      <c r="C3271" s="2">
        <f>IFERROR(__xludf.DUMMYFUNCTION("""COMPUTED_VALUE"""),1351.2)</f>
        <v>1351.2</v>
      </c>
      <c r="D3271" s="2">
        <f>IFERROR(__xludf.DUMMYFUNCTION("""COMPUTED_VALUE"""),1335.0)</f>
        <v>1335</v>
      </c>
      <c r="E3271" s="2">
        <f>IFERROR(__xludf.DUMMYFUNCTION("""COMPUTED_VALUE"""),1342.65)</f>
        <v>1342.65</v>
      </c>
      <c r="F3271" s="2">
        <f>IFERROR(__xludf.DUMMYFUNCTION("""COMPUTED_VALUE"""),455858.0)</f>
        <v>455858</v>
      </c>
    </row>
    <row r="3272">
      <c r="A3272" s="3">
        <f>IFERROR(__xludf.DUMMYFUNCTION("""COMPUTED_VALUE"""),43068.64583333333)</f>
        <v>43068.64583</v>
      </c>
      <c r="B3272" s="2">
        <f>IFERROR(__xludf.DUMMYFUNCTION("""COMPUTED_VALUE"""),1338.75)</f>
        <v>1338.75</v>
      </c>
      <c r="C3272" s="2">
        <f>IFERROR(__xludf.DUMMYFUNCTION("""COMPUTED_VALUE"""),1346.5)</f>
        <v>1346.5</v>
      </c>
      <c r="D3272" s="2">
        <f>IFERROR(__xludf.DUMMYFUNCTION("""COMPUTED_VALUE"""),1325.0)</f>
        <v>1325</v>
      </c>
      <c r="E3272" s="2">
        <f>IFERROR(__xludf.DUMMYFUNCTION("""COMPUTED_VALUE"""),1329.08)</f>
        <v>1329.08</v>
      </c>
      <c r="F3272" s="2">
        <f>IFERROR(__xludf.DUMMYFUNCTION("""COMPUTED_VALUE"""),723766.0)</f>
        <v>723766</v>
      </c>
    </row>
    <row r="3273">
      <c r="A3273" s="3">
        <f>IFERROR(__xludf.DUMMYFUNCTION("""COMPUTED_VALUE"""),43069.64583333333)</f>
        <v>43069.64583</v>
      </c>
      <c r="B3273" s="2">
        <f>IFERROR(__xludf.DUMMYFUNCTION("""COMPUTED_VALUE"""),1326.83)</f>
        <v>1326.83</v>
      </c>
      <c r="C3273" s="2">
        <f>IFERROR(__xludf.DUMMYFUNCTION("""COMPUTED_VALUE"""),1333.48)</f>
        <v>1333.48</v>
      </c>
      <c r="D3273" s="2">
        <f>IFERROR(__xludf.DUMMYFUNCTION("""COMPUTED_VALUE"""),1311.5)</f>
        <v>1311.5</v>
      </c>
      <c r="E3273" s="2">
        <f>IFERROR(__xludf.DUMMYFUNCTION("""COMPUTED_VALUE"""),1318.5)</f>
        <v>1318.5</v>
      </c>
      <c r="F3273" s="2">
        <f>IFERROR(__xludf.DUMMYFUNCTION("""COMPUTED_VALUE"""),2149981.0)</f>
        <v>2149981</v>
      </c>
    </row>
    <row r="3274">
      <c r="A3274" s="3">
        <f>IFERROR(__xludf.DUMMYFUNCTION("""COMPUTED_VALUE"""),43070.64583333333)</f>
        <v>43070.64583</v>
      </c>
      <c r="B3274" s="2">
        <f>IFERROR(__xludf.DUMMYFUNCTION("""COMPUTED_VALUE"""),1317.5)</f>
        <v>1317.5</v>
      </c>
      <c r="C3274" s="2">
        <f>IFERROR(__xludf.DUMMYFUNCTION("""COMPUTED_VALUE"""),1334.0)</f>
        <v>1334</v>
      </c>
      <c r="D3274" s="2">
        <f>IFERROR(__xludf.DUMMYFUNCTION("""COMPUTED_VALUE"""),1310.75)</f>
        <v>1310.75</v>
      </c>
      <c r="E3274" s="2">
        <f>IFERROR(__xludf.DUMMYFUNCTION("""COMPUTED_VALUE"""),1314.98)</f>
        <v>1314.98</v>
      </c>
      <c r="F3274" s="2">
        <f>IFERROR(__xludf.DUMMYFUNCTION("""COMPUTED_VALUE"""),515572.0)</f>
        <v>515572</v>
      </c>
    </row>
    <row r="3275">
      <c r="A3275" s="3">
        <f>IFERROR(__xludf.DUMMYFUNCTION("""COMPUTED_VALUE"""),43073.64583333333)</f>
        <v>43073.64583</v>
      </c>
      <c r="B3275" s="2">
        <f>IFERROR(__xludf.DUMMYFUNCTION("""COMPUTED_VALUE"""),1311.0)</f>
        <v>1311</v>
      </c>
      <c r="C3275" s="2">
        <f>IFERROR(__xludf.DUMMYFUNCTION("""COMPUTED_VALUE"""),1329.25)</f>
        <v>1329.25</v>
      </c>
      <c r="D3275" s="2">
        <f>IFERROR(__xludf.DUMMYFUNCTION("""COMPUTED_VALUE"""),1301.47)</f>
        <v>1301.47</v>
      </c>
      <c r="E3275" s="2">
        <f>IFERROR(__xludf.DUMMYFUNCTION("""COMPUTED_VALUE"""),1316.18)</f>
        <v>1316.18</v>
      </c>
      <c r="F3275" s="2">
        <f>IFERROR(__xludf.DUMMYFUNCTION("""COMPUTED_VALUE"""),629552.0)</f>
        <v>629552</v>
      </c>
    </row>
    <row r="3276">
      <c r="A3276" s="3">
        <f>IFERROR(__xludf.DUMMYFUNCTION("""COMPUTED_VALUE"""),43074.64583333333)</f>
        <v>43074.64583</v>
      </c>
      <c r="B3276" s="2">
        <f>IFERROR(__xludf.DUMMYFUNCTION("""COMPUTED_VALUE"""),1315.5)</f>
        <v>1315.5</v>
      </c>
      <c r="C3276" s="2">
        <f>IFERROR(__xludf.DUMMYFUNCTION("""COMPUTED_VALUE"""),1325.85)</f>
        <v>1325.85</v>
      </c>
      <c r="D3276" s="2">
        <f>IFERROR(__xludf.DUMMYFUNCTION("""COMPUTED_VALUE"""),1314.08)</f>
        <v>1314.08</v>
      </c>
      <c r="E3276" s="2">
        <f>IFERROR(__xludf.DUMMYFUNCTION("""COMPUTED_VALUE"""),1317.78)</f>
        <v>1317.78</v>
      </c>
      <c r="F3276" s="2">
        <f>IFERROR(__xludf.DUMMYFUNCTION("""COMPUTED_VALUE"""),583957.0)</f>
        <v>583957</v>
      </c>
    </row>
    <row r="3277">
      <c r="A3277" s="3">
        <f>IFERROR(__xludf.DUMMYFUNCTION("""COMPUTED_VALUE"""),43075.64583333333)</f>
        <v>43075.64583</v>
      </c>
      <c r="B3277" s="2">
        <f>IFERROR(__xludf.DUMMYFUNCTION("""COMPUTED_VALUE"""),1318.0)</f>
        <v>1318</v>
      </c>
      <c r="C3277" s="2">
        <f>IFERROR(__xludf.DUMMYFUNCTION("""COMPUTED_VALUE"""),1322.5)</f>
        <v>1322.5</v>
      </c>
      <c r="D3277" s="2">
        <f>IFERROR(__xludf.DUMMYFUNCTION("""COMPUTED_VALUE"""),1306.43)</f>
        <v>1306.43</v>
      </c>
      <c r="E3277" s="2">
        <f>IFERROR(__xludf.DUMMYFUNCTION("""COMPUTED_VALUE"""),1316.65)</f>
        <v>1316.65</v>
      </c>
      <c r="F3277" s="2">
        <f>IFERROR(__xludf.DUMMYFUNCTION("""COMPUTED_VALUE"""),703759.0)</f>
        <v>703759</v>
      </c>
    </row>
    <row r="3278">
      <c r="A3278" s="3">
        <f>IFERROR(__xludf.DUMMYFUNCTION("""COMPUTED_VALUE"""),43076.64583333333)</f>
        <v>43076.64583</v>
      </c>
      <c r="B3278" s="2">
        <f>IFERROR(__xludf.DUMMYFUNCTION("""COMPUTED_VALUE"""),1316.15)</f>
        <v>1316.15</v>
      </c>
      <c r="C3278" s="2">
        <f>IFERROR(__xludf.DUMMYFUNCTION("""COMPUTED_VALUE"""),1322.98)</f>
        <v>1322.98</v>
      </c>
      <c r="D3278" s="2">
        <f>IFERROR(__xludf.DUMMYFUNCTION("""COMPUTED_VALUE"""),1307.5)</f>
        <v>1307.5</v>
      </c>
      <c r="E3278" s="2">
        <f>IFERROR(__xludf.DUMMYFUNCTION("""COMPUTED_VALUE"""),1308.97)</f>
        <v>1308.97</v>
      </c>
      <c r="F3278" s="2">
        <f>IFERROR(__xludf.DUMMYFUNCTION("""COMPUTED_VALUE"""),663150.0)</f>
        <v>663150</v>
      </c>
    </row>
    <row r="3279">
      <c r="A3279" s="3">
        <f>IFERROR(__xludf.DUMMYFUNCTION("""COMPUTED_VALUE"""),43077.64583333333)</f>
        <v>43077.64583</v>
      </c>
      <c r="B3279" s="2">
        <f>IFERROR(__xludf.DUMMYFUNCTION("""COMPUTED_VALUE"""),1309.0)</f>
        <v>1309</v>
      </c>
      <c r="C3279" s="2">
        <f>IFERROR(__xludf.DUMMYFUNCTION("""COMPUTED_VALUE"""),1322.5)</f>
        <v>1322.5</v>
      </c>
      <c r="D3279" s="2">
        <f>IFERROR(__xludf.DUMMYFUNCTION("""COMPUTED_VALUE"""),1298.5)</f>
        <v>1298.5</v>
      </c>
      <c r="E3279" s="2">
        <f>IFERROR(__xludf.DUMMYFUNCTION("""COMPUTED_VALUE"""),1300.75)</f>
        <v>1300.75</v>
      </c>
      <c r="F3279" s="2">
        <f>IFERROR(__xludf.DUMMYFUNCTION("""COMPUTED_VALUE"""),692774.0)</f>
        <v>692774</v>
      </c>
    </row>
    <row r="3280">
      <c r="A3280" s="3">
        <f>IFERROR(__xludf.DUMMYFUNCTION("""COMPUTED_VALUE"""),43080.64583333333)</f>
        <v>43080.64583</v>
      </c>
      <c r="B3280" s="2">
        <f>IFERROR(__xludf.DUMMYFUNCTION("""COMPUTED_VALUE"""),1304.18)</f>
        <v>1304.18</v>
      </c>
      <c r="C3280" s="2">
        <f>IFERROR(__xludf.DUMMYFUNCTION("""COMPUTED_VALUE"""),1336.33)</f>
        <v>1336.33</v>
      </c>
      <c r="D3280" s="2">
        <f>IFERROR(__xludf.DUMMYFUNCTION("""COMPUTED_VALUE"""),1304.18)</f>
        <v>1304.18</v>
      </c>
      <c r="E3280" s="2">
        <f>IFERROR(__xludf.DUMMYFUNCTION("""COMPUTED_VALUE"""),1330.55)</f>
        <v>1330.55</v>
      </c>
      <c r="F3280" s="2">
        <f>IFERROR(__xludf.DUMMYFUNCTION("""COMPUTED_VALUE"""),504001.0)</f>
        <v>504001</v>
      </c>
    </row>
    <row r="3281">
      <c r="A3281" s="3">
        <f>IFERROR(__xludf.DUMMYFUNCTION("""COMPUTED_VALUE"""),43081.64583333333)</f>
        <v>43081.64583</v>
      </c>
      <c r="B3281" s="2">
        <f>IFERROR(__xludf.DUMMYFUNCTION("""COMPUTED_VALUE"""),1330.5)</f>
        <v>1330.5</v>
      </c>
      <c r="C3281" s="2">
        <f>IFERROR(__xludf.DUMMYFUNCTION("""COMPUTED_VALUE"""),1331.0)</f>
        <v>1331</v>
      </c>
      <c r="D3281" s="2">
        <f>IFERROR(__xludf.DUMMYFUNCTION("""COMPUTED_VALUE"""),1303.7)</f>
        <v>1303.7</v>
      </c>
      <c r="E3281" s="2">
        <f>IFERROR(__xludf.DUMMYFUNCTION("""COMPUTED_VALUE"""),1306.08)</f>
        <v>1306.08</v>
      </c>
      <c r="F3281" s="2">
        <f>IFERROR(__xludf.DUMMYFUNCTION("""COMPUTED_VALUE"""),941123.0)</f>
        <v>941123</v>
      </c>
    </row>
    <row r="3282">
      <c r="A3282" s="3">
        <f>IFERROR(__xludf.DUMMYFUNCTION("""COMPUTED_VALUE"""),43082.64583333333)</f>
        <v>43082.64583</v>
      </c>
      <c r="B3282" s="2">
        <f>IFERROR(__xludf.DUMMYFUNCTION("""COMPUTED_VALUE"""),1305.7)</f>
        <v>1305.7</v>
      </c>
      <c r="C3282" s="2">
        <f>IFERROR(__xludf.DUMMYFUNCTION("""COMPUTED_VALUE"""),1325.73)</f>
        <v>1325.73</v>
      </c>
      <c r="D3282" s="2">
        <f>IFERROR(__xludf.DUMMYFUNCTION("""COMPUTED_VALUE"""),1300.5)</f>
        <v>1300.5</v>
      </c>
      <c r="E3282" s="2">
        <f>IFERROR(__xludf.DUMMYFUNCTION("""COMPUTED_VALUE"""),1314.2)</f>
        <v>1314.2</v>
      </c>
      <c r="F3282" s="2">
        <f>IFERROR(__xludf.DUMMYFUNCTION("""COMPUTED_VALUE"""),1480729.0)</f>
        <v>1480729</v>
      </c>
    </row>
    <row r="3283">
      <c r="A3283" s="3">
        <f>IFERROR(__xludf.DUMMYFUNCTION("""COMPUTED_VALUE"""),43083.64583333333)</f>
        <v>43083.64583</v>
      </c>
      <c r="B3283" s="2">
        <f>IFERROR(__xludf.DUMMYFUNCTION("""COMPUTED_VALUE"""),1316.0)</f>
        <v>1316</v>
      </c>
      <c r="C3283" s="2">
        <f>IFERROR(__xludf.DUMMYFUNCTION("""COMPUTED_VALUE"""),1316.0)</f>
        <v>1316</v>
      </c>
      <c r="D3283" s="2">
        <f>IFERROR(__xludf.DUMMYFUNCTION("""COMPUTED_VALUE"""),1265.55)</f>
        <v>1265.55</v>
      </c>
      <c r="E3283" s="2">
        <f>IFERROR(__xludf.DUMMYFUNCTION("""COMPUTED_VALUE"""),1278.9)</f>
        <v>1278.9</v>
      </c>
      <c r="F3283" s="2">
        <f>IFERROR(__xludf.DUMMYFUNCTION("""COMPUTED_VALUE"""),2752075.0)</f>
        <v>2752075</v>
      </c>
    </row>
    <row r="3284">
      <c r="A3284" s="3">
        <f>IFERROR(__xludf.DUMMYFUNCTION("""COMPUTED_VALUE"""),43084.64583333333)</f>
        <v>43084.64583</v>
      </c>
      <c r="B3284" s="2">
        <f>IFERROR(__xludf.DUMMYFUNCTION("""COMPUTED_VALUE"""),1281.88)</f>
        <v>1281.88</v>
      </c>
      <c r="C3284" s="2">
        <f>IFERROR(__xludf.DUMMYFUNCTION("""COMPUTED_VALUE"""),1292.22)</f>
        <v>1292.22</v>
      </c>
      <c r="D3284" s="2">
        <f>IFERROR(__xludf.DUMMYFUNCTION("""COMPUTED_VALUE"""),1268.43)</f>
        <v>1268.43</v>
      </c>
      <c r="E3284" s="2">
        <f>IFERROR(__xludf.DUMMYFUNCTION("""COMPUTED_VALUE"""),1272.8)</f>
        <v>1272.8</v>
      </c>
      <c r="F3284" s="2">
        <f>IFERROR(__xludf.DUMMYFUNCTION("""COMPUTED_VALUE"""),1359069.0)</f>
        <v>1359069</v>
      </c>
    </row>
    <row r="3285">
      <c r="A3285" s="3">
        <f>IFERROR(__xludf.DUMMYFUNCTION("""COMPUTED_VALUE"""),43087.64583333333)</f>
        <v>43087.64583</v>
      </c>
      <c r="B3285" s="2">
        <f>IFERROR(__xludf.DUMMYFUNCTION("""COMPUTED_VALUE"""),1268.5)</f>
        <v>1268.5</v>
      </c>
      <c r="C3285" s="2">
        <f>IFERROR(__xludf.DUMMYFUNCTION("""COMPUTED_VALUE"""),1294.47)</f>
        <v>1294.47</v>
      </c>
      <c r="D3285" s="2">
        <f>IFERROR(__xludf.DUMMYFUNCTION("""COMPUTED_VALUE"""),1247.18)</f>
        <v>1247.18</v>
      </c>
      <c r="E3285" s="2">
        <f>IFERROR(__xludf.DUMMYFUNCTION("""COMPUTED_VALUE"""),1290.25)</f>
        <v>1290.25</v>
      </c>
      <c r="F3285" s="2">
        <f>IFERROR(__xludf.DUMMYFUNCTION("""COMPUTED_VALUE"""),1090332.0)</f>
        <v>1090332</v>
      </c>
    </row>
    <row r="3286">
      <c r="A3286" s="3">
        <f>IFERROR(__xludf.DUMMYFUNCTION("""COMPUTED_VALUE"""),43088.64583333333)</f>
        <v>43088.64583</v>
      </c>
      <c r="B3286" s="2">
        <f>IFERROR(__xludf.DUMMYFUNCTION("""COMPUTED_VALUE"""),1288.0)</f>
        <v>1288</v>
      </c>
      <c r="C3286" s="2">
        <f>IFERROR(__xludf.DUMMYFUNCTION("""COMPUTED_VALUE"""),1298.9)</f>
        <v>1298.9</v>
      </c>
      <c r="D3286" s="2">
        <f>IFERROR(__xludf.DUMMYFUNCTION("""COMPUTED_VALUE"""),1282.35)</f>
        <v>1282.35</v>
      </c>
      <c r="E3286" s="2">
        <f>IFERROR(__xludf.DUMMYFUNCTION("""COMPUTED_VALUE"""),1287.65)</f>
        <v>1287.65</v>
      </c>
      <c r="F3286" s="2">
        <f>IFERROR(__xludf.DUMMYFUNCTION("""COMPUTED_VALUE"""),900976.0)</f>
        <v>900976</v>
      </c>
    </row>
    <row r="3287">
      <c r="A3287" s="3">
        <f>IFERROR(__xludf.DUMMYFUNCTION("""COMPUTED_VALUE"""),43089.64583333333)</f>
        <v>43089.64583</v>
      </c>
      <c r="B3287" s="2">
        <f>IFERROR(__xludf.DUMMYFUNCTION("""COMPUTED_VALUE"""),1291.0)</f>
        <v>1291</v>
      </c>
      <c r="C3287" s="2">
        <f>IFERROR(__xludf.DUMMYFUNCTION("""COMPUTED_VALUE"""),1296.38)</f>
        <v>1296.38</v>
      </c>
      <c r="D3287" s="2">
        <f>IFERROR(__xludf.DUMMYFUNCTION("""COMPUTED_VALUE"""),1275.33)</f>
        <v>1275.33</v>
      </c>
      <c r="E3287" s="2">
        <f>IFERROR(__xludf.DUMMYFUNCTION("""COMPUTED_VALUE"""),1294.47)</f>
        <v>1294.47</v>
      </c>
      <c r="F3287" s="2">
        <f>IFERROR(__xludf.DUMMYFUNCTION("""COMPUTED_VALUE"""),788785.0)</f>
        <v>788785</v>
      </c>
    </row>
    <row r="3288">
      <c r="A3288" s="3">
        <f>IFERROR(__xludf.DUMMYFUNCTION("""COMPUTED_VALUE"""),43090.64583333333)</f>
        <v>43090.64583</v>
      </c>
      <c r="B3288" s="2">
        <f>IFERROR(__xludf.DUMMYFUNCTION("""COMPUTED_VALUE"""),1293.5)</f>
        <v>1293.5</v>
      </c>
      <c r="C3288" s="2">
        <f>IFERROR(__xludf.DUMMYFUNCTION("""COMPUTED_VALUE"""),1304.0)</f>
        <v>1304</v>
      </c>
      <c r="D3288" s="2">
        <f>IFERROR(__xludf.DUMMYFUNCTION("""COMPUTED_VALUE"""),1290.03)</f>
        <v>1290.03</v>
      </c>
      <c r="E3288" s="2">
        <f>IFERROR(__xludf.DUMMYFUNCTION("""COMPUTED_VALUE"""),1297.85)</f>
        <v>1297.85</v>
      </c>
      <c r="F3288" s="2">
        <f>IFERROR(__xludf.DUMMYFUNCTION("""COMPUTED_VALUE"""),646824.0)</f>
        <v>646824</v>
      </c>
    </row>
    <row r="3289">
      <c r="A3289" s="3">
        <f>IFERROR(__xludf.DUMMYFUNCTION("""COMPUTED_VALUE"""),43091.64583333333)</f>
        <v>43091.64583</v>
      </c>
      <c r="B3289" s="2">
        <f>IFERROR(__xludf.DUMMYFUNCTION("""COMPUTED_VALUE"""),1302.0)</f>
        <v>1302</v>
      </c>
      <c r="C3289" s="2">
        <f>IFERROR(__xludf.DUMMYFUNCTION("""COMPUTED_VALUE"""),1331.95)</f>
        <v>1331.95</v>
      </c>
      <c r="D3289" s="2">
        <f>IFERROR(__xludf.DUMMYFUNCTION("""COMPUTED_VALUE"""),1295.1)</f>
        <v>1295.1</v>
      </c>
      <c r="E3289" s="2">
        <f>IFERROR(__xludf.DUMMYFUNCTION("""COMPUTED_VALUE"""),1323.38)</f>
        <v>1323.38</v>
      </c>
      <c r="F3289" s="2">
        <f>IFERROR(__xludf.DUMMYFUNCTION("""COMPUTED_VALUE"""),1832832.0)</f>
        <v>1832832</v>
      </c>
    </row>
    <row r="3290">
      <c r="A3290" s="3">
        <f>IFERROR(__xludf.DUMMYFUNCTION("""COMPUTED_VALUE"""),43095.64583333333)</f>
        <v>43095.64583</v>
      </c>
      <c r="B3290" s="2">
        <f>IFERROR(__xludf.DUMMYFUNCTION("""COMPUTED_VALUE"""),1343.0)</f>
        <v>1343</v>
      </c>
      <c r="C3290" s="2">
        <f>IFERROR(__xludf.DUMMYFUNCTION("""COMPUTED_VALUE"""),1344.88)</f>
        <v>1344.88</v>
      </c>
      <c r="D3290" s="2">
        <f>IFERROR(__xludf.DUMMYFUNCTION("""COMPUTED_VALUE"""),1315.8)</f>
        <v>1315.8</v>
      </c>
      <c r="E3290" s="2">
        <f>IFERROR(__xludf.DUMMYFUNCTION("""COMPUTED_VALUE"""),1324.73)</f>
        <v>1324.73</v>
      </c>
      <c r="F3290" s="2">
        <f>IFERROR(__xludf.DUMMYFUNCTION("""COMPUTED_VALUE"""),1087893.0)</f>
        <v>1087893</v>
      </c>
    </row>
    <row r="3291">
      <c r="A3291" s="3">
        <f>IFERROR(__xludf.DUMMYFUNCTION("""COMPUTED_VALUE"""),43096.64583333333)</f>
        <v>43096.64583</v>
      </c>
      <c r="B3291" s="2">
        <f>IFERROR(__xludf.DUMMYFUNCTION("""COMPUTED_VALUE"""),1324.73)</f>
        <v>1324.73</v>
      </c>
      <c r="C3291" s="2">
        <f>IFERROR(__xludf.DUMMYFUNCTION("""COMPUTED_VALUE"""),1329.25)</f>
        <v>1329.25</v>
      </c>
      <c r="D3291" s="2">
        <f>IFERROR(__xludf.DUMMYFUNCTION("""COMPUTED_VALUE"""),1305.25)</f>
        <v>1305.25</v>
      </c>
      <c r="E3291" s="2">
        <f>IFERROR(__xludf.DUMMYFUNCTION("""COMPUTED_VALUE"""),1309.95)</f>
        <v>1309.95</v>
      </c>
      <c r="F3291" s="2">
        <f>IFERROR(__xludf.DUMMYFUNCTION("""COMPUTED_VALUE"""),369642.0)</f>
        <v>369642</v>
      </c>
    </row>
    <row r="3292">
      <c r="A3292" s="3">
        <f>IFERROR(__xludf.DUMMYFUNCTION("""COMPUTED_VALUE"""),43097.64583333333)</f>
        <v>43097.64583</v>
      </c>
      <c r="B3292" s="2">
        <f>IFERROR(__xludf.DUMMYFUNCTION("""COMPUTED_VALUE"""),1304.4)</f>
        <v>1304.4</v>
      </c>
      <c r="C3292" s="2">
        <f>IFERROR(__xludf.DUMMYFUNCTION("""COMPUTED_VALUE"""),1326.75)</f>
        <v>1326.75</v>
      </c>
      <c r="D3292" s="2">
        <f>IFERROR(__xludf.DUMMYFUNCTION("""COMPUTED_VALUE"""),1302.83)</f>
        <v>1302.83</v>
      </c>
      <c r="E3292" s="2">
        <f>IFERROR(__xludf.DUMMYFUNCTION("""COMPUTED_VALUE"""),1313.48)</f>
        <v>1313.48</v>
      </c>
      <c r="F3292" s="2">
        <f>IFERROR(__xludf.DUMMYFUNCTION("""COMPUTED_VALUE"""),1302544.0)</f>
        <v>1302544</v>
      </c>
    </row>
    <row r="3293">
      <c r="A3293" s="3">
        <f>IFERROR(__xludf.DUMMYFUNCTION("""COMPUTED_VALUE"""),43098.64583333333)</f>
        <v>43098.64583</v>
      </c>
      <c r="B3293" s="2">
        <f>IFERROR(__xludf.DUMMYFUNCTION("""COMPUTED_VALUE"""),1311.55)</f>
        <v>1311.55</v>
      </c>
      <c r="C3293" s="2">
        <f>IFERROR(__xludf.DUMMYFUNCTION("""COMPUTED_VALUE"""),1354.45)</f>
        <v>1354.45</v>
      </c>
      <c r="D3293" s="2">
        <f>IFERROR(__xludf.DUMMYFUNCTION("""COMPUTED_VALUE"""),1309.28)</f>
        <v>1309.28</v>
      </c>
      <c r="E3293" s="2">
        <f>IFERROR(__xludf.DUMMYFUNCTION("""COMPUTED_VALUE"""),1350.6)</f>
        <v>1350.6</v>
      </c>
      <c r="F3293" s="2">
        <f>IFERROR(__xludf.DUMMYFUNCTION("""COMPUTED_VALUE"""),1304771.0)</f>
        <v>1304771</v>
      </c>
    </row>
    <row r="3294">
      <c r="A3294" s="3">
        <f>IFERROR(__xludf.DUMMYFUNCTION("""COMPUTED_VALUE"""),43101.64583333333)</f>
        <v>43101.64583</v>
      </c>
      <c r="B3294" s="2">
        <f>IFERROR(__xludf.DUMMYFUNCTION("""COMPUTED_VALUE"""),1341.15)</f>
        <v>1341.15</v>
      </c>
      <c r="C3294" s="2">
        <f>IFERROR(__xludf.DUMMYFUNCTION("""COMPUTED_VALUE"""),1347.4)</f>
        <v>1347.4</v>
      </c>
      <c r="D3294" s="2">
        <f>IFERROR(__xludf.DUMMYFUNCTION("""COMPUTED_VALUE"""),1317.5)</f>
        <v>1317.5</v>
      </c>
      <c r="E3294" s="2">
        <f>IFERROR(__xludf.DUMMYFUNCTION("""COMPUTED_VALUE"""),1322.8)</f>
        <v>1322.8</v>
      </c>
      <c r="F3294" s="2">
        <f>IFERROR(__xludf.DUMMYFUNCTION("""COMPUTED_VALUE"""),675880.0)</f>
        <v>675880</v>
      </c>
    </row>
    <row r="3295">
      <c r="A3295" s="3">
        <f>IFERROR(__xludf.DUMMYFUNCTION("""COMPUTED_VALUE"""),43102.64583333333)</f>
        <v>43102.64583</v>
      </c>
      <c r="B3295" s="2">
        <f>IFERROR(__xludf.DUMMYFUNCTION("""COMPUTED_VALUE"""),1330.0)</f>
        <v>1330</v>
      </c>
      <c r="C3295" s="2">
        <f>IFERROR(__xludf.DUMMYFUNCTION("""COMPUTED_VALUE"""),1334.8)</f>
        <v>1334.8</v>
      </c>
      <c r="D3295" s="2">
        <f>IFERROR(__xludf.DUMMYFUNCTION("""COMPUTED_VALUE"""),1310.1)</f>
        <v>1310.1</v>
      </c>
      <c r="E3295" s="2">
        <f>IFERROR(__xludf.DUMMYFUNCTION("""COMPUTED_VALUE"""),1315.6)</f>
        <v>1315.6</v>
      </c>
      <c r="F3295" s="2">
        <f>IFERROR(__xludf.DUMMYFUNCTION("""COMPUTED_VALUE"""),960145.0)</f>
        <v>960145</v>
      </c>
    </row>
    <row r="3296">
      <c r="A3296" s="3">
        <f>IFERROR(__xludf.DUMMYFUNCTION("""COMPUTED_VALUE"""),43103.64583333333)</f>
        <v>43103.64583</v>
      </c>
      <c r="B3296" s="2">
        <f>IFERROR(__xludf.DUMMYFUNCTION("""COMPUTED_VALUE"""),1316.0)</f>
        <v>1316</v>
      </c>
      <c r="C3296" s="2">
        <f>IFERROR(__xludf.DUMMYFUNCTION("""COMPUTED_VALUE"""),1334.5)</f>
        <v>1334.5</v>
      </c>
      <c r="D3296" s="2">
        <f>IFERROR(__xludf.DUMMYFUNCTION("""COMPUTED_VALUE"""),1315.6)</f>
        <v>1315.6</v>
      </c>
      <c r="E3296" s="2">
        <f>IFERROR(__xludf.DUMMYFUNCTION("""COMPUTED_VALUE"""),1319.33)</f>
        <v>1319.33</v>
      </c>
      <c r="F3296" s="2">
        <f>IFERROR(__xludf.DUMMYFUNCTION("""COMPUTED_VALUE"""),628560.0)</f>
        <v>628560</v>
      </c>
    </row>
    <row r="3297">
      <c r="A3297" s="3">
        <f>IFERROR(__xludf.DUMMYFUNCTION("""COMPUTED_VALUE"""),43104.64583333333)</f>
        <v>43104.64583</v>
      </c>
      <c r="B3297" s="2">
        <f>IFERROR(__xludf.DUMMYFUNCTION("""COMPUTED_VALUE"""),1325.0)</f>
        <v>1325</v>
      </c>
      <c r="C3297" s="2">
        <f>IFERROR(__xludf.DUMMYFUNCTION("""COMPUTED_VALUE"""),1331.0)</f>
        <v>1331</v>
      </c>
      <c r="D3297" s="2">
        <f>IFERROR(__xludf.DUMMYFUNCTION("""COMPUTED_VALUE"""),1320.0)</f>
        <v>1320</v>
      </c>
      <c r="E3297" s="2">
        <f>IFERROR(__xludf.DUMMYFUNCTION("""COMPUTED_VALUE"""),1328.55)</f>
        <v>1328.55</v>
      </c>
      <c r="F3297" s="2">
        <f>IFERROR(__xludf.DUMMYFUNCTION("""COMPUTED_VALUE"""),456541.0)</f>
        <v>456541</v>
      </c>
    </row>
    <row r="3298">
      <c r="A3298" s="3">
        <f>IFERROR(__xludf.DUMMYFUNCTION("""COMPUTED_VALUE"""),43105.64583333333)</f>
        <v>43105.64583</v>
      </c>
      <c r="B3298" s="2">
        <f>IFERROR(__xludf.DUMMYFUNCTION("""COMPUTED_VALUE"""),1325.0)</f>
        <v>1325</v>
      </c>
      <c r="C3298" s="2">
        <f>IFERROR(__xludf.DUMMYFUNCTION("""COMPUTED_VALUE"""),1349.75)</f>
        <v>1349.75</v>
      </c>
      <c r="D3298" s="2">
        <f>IFERROR(__xludf.DUMMYFUNCTION("""COMPUTED_VALUE"""),1325.0)</f>
        <v>1325</v>
      </c>
      <c r="E3298" s="2">
        <f>IFERROR(__xludf.DUMMYFUNCTION("""COMPUTED_VALUE"""),1344.6)</f>
        <v>1344.6</v>
      </c>
      <c r="F3298" s="2">
        <f>IFERROR(__xludf.DUMMYFUNCTION("""COMPUTED_VALUE"""),576853.0)</f>
        <v>576853</v>
      </c>
    </row>
    <row r="3299">
      <c r="A3299" s="3">
        <f>IFERROR(__xludf.DUMMYFUNCTION("""COMPUTED_VALUE"""),43108.64583333333)</f>
        <v>43108.64583</v>
      </c>
      <c r="B3299" s="2">
        <f>IFERROR(__xludf.DUMMYFUNCTION("""COMPUTED_VALUE"""),1350.0)</f>
        <v>1350</v>
      </c>
      <c r="C3299" s="2">
        <f>IFERROR(__xludf.DUMMYFUNCTION("""COMPUTED_VALUE"""),1363.43)</f>
        <v>1363.43</v>
      </c>
      <c r="D3299" s="2">
        <f>IFERROR(__xludf.DUMMYFUNCTION("""COMPUTED_VALUE"""),1340.93)</f>
        <v>1340.93</v>
      </c>
      <c r="E3299" s="2">
        <f>IFERROR(__xludf.DUMMYFUNCTION("""COMPUTED_VALUE"""),1357.2)</f>
        <v>1357.2</v>
      </c>
      <c r="F3299" s="2">
        <f>IFERROR(__xludf.DUMMYFUNCTION("""COMPUTED_VALUE"""),621110.0)</f>
        <v>621110</v>
      </c>
    </row>
    <row r="3300">
      <c r="A3300" s="3">
        <f>IFERROR(__xludf.DUMMYFUNCTION("""COMPUTED_VALUE"""),43109.64583333333)</f>
        <v>43109.64583</v>
      </c>
      <c r="B3300" s="2">
        <f>IFERROR(__xludf.DUMMYFUNCTION("""COMPUTED_VALUE"""),1357.5)</f>
        <v>1357.5</v>
      </c>
      <c r="C3300" s="2">
        <f>IFERROR(__xludf.DUMMYFUNCTION("""COMPUTED_VALUE"""),1360.5)</f>
        <v>1360.5</v>
      </c>
      <c r="D3300" s="2">
        <f>IFERROR(__xludf.DUMMYFUNCTION("""COMPUTED_VALUE"""),1338.28)</f>
        <v>1338.28</v>
      </c>
      <c r="E3300" s="2">
        <f>IFERROR(__xludf.DUMMYFUNCTION("""COMPUTED_VALUE"""),1354.5)</f>
        <v>1354.5</v>
      </c>
      <c r="F3300" s="2">
        <f>IFERROR(__xludf.DUMMYFUNCTION("""COMPUTED_VALUE"""),1074698.0)</f>
        <v>1074698</v>
      </c>
    </row>
    <row r="3301">
      <c r="A3301" s="3">
        <f>IFERROR(__xludf.DUMMYFUNCTION("""COMPUTED_VALUE"""),43110.64583333333)</f>
        <v>43110.64583</v>
      </c>
      <c r="B3301" s="2">
        <f>IFERROR(__xludf.DUMMYFUNCTION("""COMPUTED_VALUE"""),1355.5)</f>
        <v>1355.5</v>
      </c>
      <c r="C3301" s="2">
        <f>IFERROR(__xludf.DUMMYFUNCTION("""COMPUTED_VALUE"""),1408.0)</f>
        <v>1408</v>
      </c>
      <c r="D3301" s="2">
        <f>IFERROR(__xludf.DUMMYFUNCTION("""COMPUTED_VALUE"""),1347.33)</f>
        <v>1347.33</v>
      </c>
      <c r="E3301" s="2">
        <f>IFERROR(__xludf.DUMMYFUNCTION("""COMPUTED_VALUE"""),1403.3)</f>
        <v>1403.3</v>
      </c>
      <c r="F3301" s="2">
        <f>IFERROR(__xludf.DUMMYFUNCTION("""COMPUTED_VALUE"""),1682925.0)</f>
        <v>1682925</v>
      </c>
    </row>
    <row r="3302">
      <c r="A3302" s="3">
        <f>IFERROR(__xludf.DUMMYFUNCTION("""COMPUTED_VALUE"""),43111.64583333333)</f>
        <v>43111.64583</v>
      </c>
      <c r="B3302" s="2">
        <f>IFERROR(__xludf.DUMMYFUNCTION("""COMPUTED_VALUE"""),1405.0)</f>
        <v>1405</v>
      </c>
      <c r="C3302" s="2">
        <f>IFERROR(__xludf.DUMMYFUNCTION("""COMPUTED_VALUE"""),1410.95)</f>
        <v>1410.95</v>
      </c>
      <c r="D3302" s="2">
        <f>IFERROR(__xludf.DUMMYFUNCTION("""COMPUTED_VALUE"""),1391.1)</f>
        <v>1391.1</v>
      </c>
      <c r="E3302" s="2">
        <f>IFERROR(__xludf.DUMMYFUNCTION("""COMPUTED_VALUE"""),1395.25)</f>
        <v>1395.25</v>
      </c>
      <c r="F3302" s="2">
        <f>IFERROR(__xludf.DUMMYFUNCTION("""COMPUTED_VALUE"""),1260524.0)</f>
        <v>1260524</v>
      </c>
    </row>
    <row r="3303">
      <c r="A3303" s="3">
        <f>IFERROR(__xludf.DUMMYFUNCTION("""COMPUTED_VALUE"""),43112.64583333333)</f>
        <v>43112.64583</v>
      </c>
      <c r="B3303" s="2">
        <f>IFERROR(__xludf.DUMMYFUNCTION("""COMPUTED_VALUE"""),1402.5)</f>
        <v>1402.5</v>
      </c>
      <c r="C3303" s="2">
        <f>IFERROR(__xludf.DUMMYFUNCTION("""COMPUTED_VALUE"""),1402.5)</f>
        <v>1402.5</v>
      </c>
      <c r="D3303" s="2">
        <f>IFERROR(__xludf.DUMMYFUNCTION("""COMPUTED_VALUE"""),1370.28)</f>
        <v>1370.28</v>
      </c>
      <c r="E3303" s="2">
        <f>IFERROR(__xludf.DUMMYFUNCTION("""COMPUTED_VALUE"""),1388.18)</f>
        <v>1388.18</v>
      </c>
      <c r="F3303" s="2">
        <f>IFERROR(__xludf.DUMMYFUNCTION("""COMPUTED_VALUE"""),1680157.0)</f>
        <v>1680157</v>
      </c>
    </row>
    <row r="3304">
      <c r="A3304" s="3">
        <f>IFERROR(__xludf.DUMMYFUNCTION("""COMPUTED_VALUE"""),43115.64583333333)</f>
        <v>43115.64583</v>
      </c>
      <c r="B3304" s="2">
        <f>IFERROR(__xludf.DUMMYFUNCTION("""COMPUTED_VALUE"""),1388.58)</f>
        <v>1388.58</v>
      </c>
      <c r="C3304" s="2">
        <f>IFERROR(__xludf.DUMMYFUNCTION("""COMPUTED_VALUE"""),1404.0)</f>
        <v>1404</v>
      </c>
      <c r="D3304" s="2">
        <f>IFERROR(__xludf.DUMMYFUNCTION("""COMPUTED_VALUE"""),1367.53)</f>
        <v>1367.53</v>
      </c>
      <c r="E3304" s="2">
        <f>IFERROR(__xludf.DUMMYFUNCTION("""COMPUTED_VALUE"""),1373.05)</f>
        <v>1373.05</v>
      </c>
      <c r="F3304" s="2">
        <f>IFERROR(__xludf.DUMMYFUNCTION("""COMPUTED_VALUE"""),728607.0)</f>
        <v>728607</v>
      </c>
    </row>
    <row r="3305">
      <c r="A3305" s="3">
        <f>IFERROR(__xludf.DUMMYFUNCTION("""COMPUTED_VALUE"""),43116.64583333333)</f>
        <v>43116.64583</v>
      </c>
      <c r="B3305" s="2">
        <f>IFERROR(__xludf.DUMMYFUNCTION("""COMPUTED_VALUE"""),1378.0)</f>
        <v>1378</v>
      </c>
      <c r="C3305" s="2">
        <f>IFERROR(__xludf.DUMMYFUNCTION("""COMPUTED_VALUE"""),1430.83)</f>
        <v>1430.83</v>
      </c>
      <c r="D3305" s="2">
        <f>IFERROR(__xludf.DUMMYFUNCTION("""COMPUTED_VALUE"""),1375.28)</f>
        <v>1375.28</v>
      </c>
      <c r="E3305" s="2">
        <f>IFERROR(__xludf.DUMMYFUNCTION("""COMPUTED_VALUE"""),1425.43)</f>
        <v>1425.43</v>
      </c>
      <c r="F3305" s="2">
        <f>IFERROR(__xludf.DUMMYFUNCTION("""COMPUTED_VALUE"""),2133876.0)</f>
        <v>2133876</v>
      </c>
    </row>
    <row r="3306">
      <c r="A3306" s="3">
        <f>IFERROR(__xludf.DUMMYFUNCTION("""COMPUTED_VALUE"""),43117.64583333333)</f>
        <v>43117.64583</v>
      </c>
      <c r="B3306" s="2">
        <f>IFERROR(__xludf.DUMMYFUNCTION("""COMPUTED_VALUE"""),1435.0)</f>
        <v>1435</v>
      </c>
      <c r="C3306" s="2">
        <f>IFERROR(__xludf.DUMMYFUNCTION("""COMPUTED_VALUE"""),1462.5)</f>
        <v>1462.5</v>
      </c>
      <c r="D3306" s="2">
        <f>IFERROR(__xludf.DUMMYFUNCTION("""COMPUTED_VALUE"""),1431.08)</f>
        <v>1431.08</v>
      </c>
      <c r="E3306" s="2">
        <f>IFERROR(__xludf.DUMMYFUNCTION("""COMPUTED_VALUE"""),1444.48)</f>
        <v>1444.48</v>
      </c>
      <c r="F3306" s="2">
        <f>IFERROR(__xludf.DUMMYFUNCTION("""COMPUTED_VALUE"""),2140403.0)</f>
        <v>2140403</v>
      </c>
    </row>
    <row r="3307">
      <c r="A3307" s="3">
        <f>IFERROR(__xludf.DUMMYFUNCTION("""COMPUTED_VALUE"""),43118.64583333333)</f>
        <v>43118.64583</v>
      </c>
      <c r="B3307" s="2">
        <f>IFERROR(__xludf.DUMMYFUNCTION("""COMPUTED_VALUE"""),1448.5)</f>
        <v>1448.5</v>
      </c>
      <c r="C3307" s="2">
        <f>IFERROR(__xludf.DUMMYFUNCTION("""COMPUTED_VALUE"""),1466.5)</f>
        <v>1466.5</v>
      </c>
      <c r="D3307" s="2">
        <f>IFERROR(__xludf.DUMMYFUNCTION("""COMPUTED_VALUE"""),1434.03)</f>
        <v>1434.03</v>
      </c>
      <c r="E3307" s="2">
        <f>IFERROR(__xludf.DUMMYFUNCTION("""COMPUTED_VALUE"""),1459.1)</f>
        <v>1459.1</v>
      </c>
      <c r="F3307" s="2">
        <f>IFERROR(__xludf.DUMMYFUNCTION("""COMPUTED_VALUE"""),1104739.0)</f>
        <v>1104739</v>
      </c>
    </row>
    <row r="3308">
      <c r="A3308" s="3">
        <f>IFERROR(__xludf.DUMMYFUNCTION("""COMPUTED_VALUE"""),43119.64583333333)</f>
        <v>43119.64583</v>
      </c>
      <c r="B3308" s="2">
        <f>IFERROR(__xludf.DUMMYFUNCTION("""COMPUTED_VALUE"""),1465.28)</f>
        <v>1465.28</v>
      </c>
      <c r="C3308" s="2">
        <f>IFERROR(__xludf.DUMMYFUNCTION("""COMPUTED_VALUE"""),1491.0)</f>
        <v>1491</v>
      </c>
      <c r="D3308" s="2">
        <f>IFERROR(__xludf.DUMMYFUNCTION("""COMPUTED_VALUE"""),1451.83)</f>
        <v>1451.83</v>
      </c>
      <c r="E3308" s="2">
        <f>IFERROR(__xludf.DUMMYFUNCTION("""COMPUTED_VALUE"""),1479.65)</f>
        <v>1479.65</v>
      </c>
      <c r="F3308" s="2">
        <f>IFERROR(__xludf.DUMMYFUNCTION("""COMPUTED_VALUE"""),910000.0)</f>
        <v>910000</v>
      </c>
    </row>
    <row r="3309">
      <c r="A3309" s="3">
        <f>IFERROR(__xludf.DUMMYFUNCTION("""COMPUTED_VALUE"""),43122.64583333333)</f>
        <v>43122.64583</v>
      </c>
      <c r="B3309" s="2">
        <f>IFERROR(__xludf.DUMMYFUNCTION("""COMPUTED_VALUE"""),1480.5)</f>
        <v>1480.5</v>
      </c>
      <c r="C3309" s="2">
        <f>IFERROR(__xludf.DUMMYFUNCTION("""COMPUTED_VALUE"""),1567.35)</f>
        <v>1567.35</v>
      </c>
      <c r="D3309" s="2">
        <f>IFERROR(__xludf.DUMMYFUNCTION("""COMPUTED_VALUE"""),1461.0)</f>
        <v>1461</v>
      </c>
      <c r="E3309" s="2">
        <f>IFERROR(__xludf.DUMMYFUNCTION("""COMPUTED_VALUE"""),1558.2)</f>
        <v>1558.2</v>
      </c>
      <c r="F3309" s="2">
        <f>IFERROR(__xludf.DUMMYFUNCTION("""COMPUTED_VALUE"""),2183555.0)</f>
        <v>2183555</v>
      </c>
    </row>
    <row r="3310">
      <c r="A3310" s="3">
        <f>IFERROR(__xludf.DUMMYFUNCTION("""COMPUTED_VALUE"""),43123.64583333333)</f>
        <v>43123.64583</v>
      </c>
      <c r="B3310" s="2">
        <f>IFERROR(__xludf.DUMMYFUNCTION("""COMPUTED_VALUE"""),1557.48)</f>
        <v>1557.48</v>
      </c>
      <c r="C3310" s="2">
        <f>IFERROR(__xludf.DUMMYFUNCTION("""COMPUTED_VALUE"""),1571.18)</f>
        <v>1571.18</v>
      </c>
      <c r="D3310" s="2">
        <f>IFERROR(__xludf.DUMMYFUNCTION("""COMPUTED_VALUE"""),1545.03)</f>
        <v>1545.03</v>
      </c>
      <c r="E3310" s="2">
        <f>IFERROR(__xludf.DUMMYFUNCTION("""COMPUTED_VALUE"""),1551.0)</f>
        <v>1551</v>
      </c>
      <c r="F3310" s="2">
        <f>IFERROR(__xludf.DUMMYFUNCTION("""COMPUTED_VALUE"""),1619805.0)</f>
        <v>1619805</v>
      </c>
    </row>
    <row r="3311">
      <c r="A3311" s="3">
        <f>IFERROR(__xludf.DUMMYFUNCTION("""COMPUTED_VALUE"""),43124.64583333333)</f>
        <v>43124.64583</v>
      </c>
      <c r="B3311" s="2">
        <f>IFERROR(__xludf.DUMMYFUNCTION("""COMPUTED_VALUE"""),1545.0)</f>
        <v>1545</v>
      </c>
      <c r="C3311" s="2">
        <f>IFERROR(__xludf.DUMMYFUNCTION("""COMPUTED_VALUE"""),1629.53)</f>
        <v>1629.53</v>
      </c>
      <c r="D3311" s="2">
        <f>IFERROR(__xludf.DUMMYFUNCTION("""COMPUTED_VALUE"""),1541.33)</f>
        <v>1541.33</v>
      </c>
      <c r="E3311" s="2">
        <f>IFERROR(__xludf.DUMMYFUNCTION("""COMPUTED_VALUE"""),1587.3)</f>
        <v>1587.3</v>
      </c>
      <c r="F3311" s="2">
        <f>IFERROR(__xludf.DUMMYFUNCTION("""COMPUTED_VALUE"""),2810769.0)</f>
        <v>2810769</v>
      </c>
    </row>
    <row r="3312">
      <c r="A3312" s="3">
        <f>IFERROR(__xludf.DUMMYFUNCTION("""COMPUTED_VALUE"""),43125.64583333333)</f>
        <v>43125.64583</v>
      </c>
      <c r="B3312" s="2">
        <f>IFERROR(__xludf.DUMMYFUNCTION("""COMPUTED_VALUE"""),1587.5)</f>
        <v>1587.5</v>
      </c>
      <c r="C3312" s="2">
        <f>IFERROR(__xludf.DUMMYFUNCTION("""COMPUTED_VALUE"""),1589.9)</f>
        <v>1589.9</v>
      </c>
      <c r="D3312" s="2">
        <f>IFERROR(__xludf.DUMMYFUNCTION("""COMPUTED_VALUE"""),1540.5)</f>
        <v>1540.5</v>
      </c>
      <c r="E3312" s="2">
        <f>IFERROR(__xludf.DUMMYFUNCTION("""COMPUTED_VALUE"""),1560.53)</f>
        <v>1560.53</v>
      </c>
      <c r="F3312" s="2">
        <f>IFERROR(__xludf.DUMMYFUNCTION("""COMPUTED_VALUE"""),1916922.0)</f>
        <v>1916922</v>
      </c>
    </row>
    <row r="3313">
      <c r="A3313" s="3">
        <f>IFERROR(__xludf.DUMMYFUNCTION("""COMPUTED_VALUE"""),43129.64583333333)</f>
        <v>43129.64583</v>
      </c>
      <c r="B3313" s="2">
        <f>IFERROR(__xludf.DUMMYFUNCTION("""COMPUTED_VALUE"""),1565.7)</f>
        <v>1565.7</v>
      </c>
      <c r="C3313" s="2">
        <f>IFERROR(__xludf.DUMMYFUNCTION("""COMPUTED_VALUE"""),1612.5)</f>
        <v>1612.5</v>
      </c>
      <c r="D3313" s="2">
        <f>IFERROR(__xludf.DUMMYFUNCTION("""COMPUTED_VALUE"""),1561.0)</f>
        <v>1561</v>
      </c>
      <c r="E3313" s="2">
        <f>IFERROR(__xludf.DUMMYFUNCTION("""COMPUTED_VALUE"""),1599.43)</f>
        <v>1599.43</v>
      </c>
      <c r="F3313" s="2">
        <f>IFERROR(__xludf.DUMMYFUNCTION("""COMPUTED_VALUE"""),1570530.0)</f>
        <v>1570530</v>
      </c>
    </row>
    <row r="3314">
      <c r="A3314" s="3">
        <f>IFERROR(__xludf.DUMMYFUNCTION("""COMPUTED_VALUE"""),43130.64583333333)</f>
        <v>43130.64583</v>
      </c>
      <c r="B3314" s="2">
        <f>IFERROR(__xludf.DUMMYFUNCTION("""COMPUTED_VALUE"""),1590.0)</f>
        <v>1590</v>
      </c>
      <c r="C3314" s="2">
        <f>IFERROR(__xludf.DUMMYFUNCTION("""COMPUTED_VALUE"""),1601.9)</f>
        <v>1601.9</v>
      </c>
      <c r="D3314" s="2">
        <f>IFERROR(__xludf.DUMMYFUNCTION("""COMPUTED_VALUE"""),1571.85)</f>
        <v>1571.85</v>
      </c>
      <c r="E3314" s="2">
        <f>IFERROR(__xludf.DUMMYFUNCTION("""COMPUTED_VALUE"""),1576.43)</f>
        <v>1576.43</v>
      </c>
      <c r="F3314" s="2">
        <f>IFERROR(__xludf.DUMMYFUNCTION("""COMPUTED_VALUE"""),787379.0)</f>
        <v>787379</v>
      </c>
    </row>
    <row r="3315">
      <c r="A3315" s="3">
        <f>IFERROR(__xludf.DUMMYFUNCTION("""COMPUTED_VALUE"""),43131.64583333333)</f>
        <v>43131.64583</v>
      </c>
      <c r="B3315" s="2">
        <f>IFERROR(__xludf.DUMMYFUNCTION("""COMPUTED_VALUE"""),1568.5)</f>
        <v>1568.5</v>
      </c>
      <c r="C3315" s="2">
        <f>IFERROR(__xludf.DUMMYFUNCTION("""COMPUTED_VALUE"""),1575.0)</f>
        <v>1575</v>
      </c>
      <c r="D3315" s="2">
        <f>IFERROR(__xludf.DUMMYFUNCTION("""COMPUTED_VALUE"""),1549.3)</f>
        <v>1549.3</v>
      </c>
      <c r="E3315" s="2">
        <f>IFERROR(__xludf.DUMMYFUNCTION("""COMPUTED_VALUE"""),1556.18)</f>
        <v>1556.18</v>
      </c>
      <c r="F3315" s="2">
        <f>IFERROR(__xludf.DUMMYFUNCTION("""COMPUTED_VALUE"""),1521607.0)</f>
        <v>1521607</v>
      </c>
    </row>
    <row r="3316">
      <c r="A3316" s="3">
        <f>IFERROR(__xludf.DUMMYFUNCTION("""COMPUTED_VALUE"""),43132.64583333333)</f>
        <v>43132.64583</v>
      </c>
      <c r="B3316" s="2">
        <f>IFERROR(__xludf.DUMMYFUNCTION("""COMPUTED_VALUE"""),1562.0)</f>
        <v>1562</v>
      </c>
      <c r="C3316" s="2">
        <f>IFERROR(__xludf.DUMMYFUNCTION("""COMPUTED_VALUE"""),1595.0)</f>
        <v>1595</v>
      </c>
      <c r="D3316" s="2">
        <f>IFERROR(__xludf.DUMMYFUNCTION("""COMPUTED_VALUE"""),1544.4)</f>
        <v>1544.4</v>
      </c>
      <c r="E3316" s="2">
        <f>IFERROR(__xludf.DUMMYFUNCTION("""COMPUTED_VALUE"""),1569.3)</f>
        <v>1569.3</v>
      </c>
      <c r="F3316" s="2">
        <f>IFERROR(__xludf.DUMMYFUNCTION("""COMPUTED_VALUE"""),1200315.0)</f>
        <v>1200315</v>
      </c>
    </row>
    <row r="3317">
      <c r="A3317" s="3">
        <f>IFERROR(__xludf.DUMMYFUNCTION("""COMPUTED_VALUE"""),43133.64583333333)</f>
        <v>43133.64583</v>
      </c>
      <c r="B3317" s="2">
        <f>IFERROR(__xludf.DUMMYFUNCTION("""COMPUTED_VALUE"""),1560.0)</f>
        <v>1560</v>
      </c>
      <c r="C3317" s="2">
        <f>IFERROR(__xludf.DUMMYFUNCTION("""COMPUTED_VALUE"""),1595.0)</f>
        <v>1595</v>
      </c>
      <c r="D3317" s="2">
        <f>IFERROR(__xludf.DUMMYFUNCTION("""COMPUTED_VALUE"""),1551.73)</f>
        <v>1551.73</v>
      </c>
      <c r="E3317" s="2">
        <f>IFERROR(__xludf.DUMMYFUNCTION("""COMPUTED_VALUE"""),1576.83)</f>
        <v>1576.83</v>
      </c>
      <c r="F3317" s="2">
        <f>IFERROR(__xludf.DUMMYFUNCTION("""COMPUTED_VALUE"""),1228245.0)</f>
        <v>1228245</v>
      </c>
    </row>
    <row r="3318">
      <c r="A3318" s="3">
        <f>IFERROR(__xludf.DUMMYFUNCTION("""COMPUTED_VALUE"""),43136.64583333333)</f>
        <v>43136.64583</v>
      </c>
      <c r="B3318" s="2">
        <f>IFERROR(__xludf.DUMMYFUNCTION("""COMPUTED_VALUE"""),1555.0)</f>
        <v>1555</v>
      </c>
      <c r="C3318" s="2">
        <f>IFERROR(__xludf.DUMMYFUNCTION("""COMPUTED_VALUE"""),1594.0)</f>
        <v>1594</v>
      </c>
      <c r="D3318" s="2">
        <f>IFERROR(__xludf.DUMMYFUNCTION("""COMPUTED_VALUE"""),1538.43)</f>
        <v>1538.43</v>
      </c>
      <c r="E3318" s="2">
        <f>IFERROR(__xludf.DUMMYFUNCTION("""COMPUTED_VALUE"""),1551.6)</f>
        <v>1551.6</v>
      </c>
      <c r="F3318" s="2">
        <f>IFERROR(__xludf.DUMMYFUNCTION("""COMPUTED_VALUE"""),1378871.0)</f>
        <v>1378871</v>
      </c>
    </row>
    <row r="3319">
      <c r="A3319" s="3">
        <f>IFERROR(__xludf.DUMMYFUNCTION("""COMPUTED_VALUE"""),43137.64583333333)</f>
        <v>43137.64583</v>
      </c>
      <c r="B3319" s="2">
        <f>IFERROR(__xludf.DUMMYFUNCTION("""COMPUTED_VALUE"""),1505.0)</f>
        <v>1505</v>
      </c>
      <c r="C3319" s="2">
        <f>IFERROR(__xludf.DUMMYFUNCTION("""COMPUTED_VALUE"""),1538.58)</f>
        <v>1538.58</v>
      </c>
      <c r="D3319" s="2">
        <f>IFERROR(__xludf.DUMMYFUNCTION("""COMPUTED_VALUE"""),1492.5)</f>
        <v>1492.5</v>
      </c>
      <c r="E3319" s="2">
        <f>IFERROR(__xludf.DUMMYFUNCTION("""COMPUTED_VALUE"""),1498.63)</f>
        <v>1498.63</v>
      </c>
      <c r="F3319" s="2">
        <f>IFERROR(__xludf.DUMMYFUNCTION("""COMPUTED_VALUE"""),1328653.0)</f>
        <v>1328653</v>
      </c>
    </row>
    <row r="3320">
      <c r="A3320" s="3">
        <f>IFERROR(__xludf.DUMMYFUNCTION("""COMPUTED_VALUE"""),43138.64583333333)</f>
        <v>43138.64583</v>
      </c>
      <c r="B3320" s="2">
        <f>IFERROR(__xludf.DUMMYFUNCTION("""COMPUTED_VALUE"""),1513.5)</f>
        <v>1513.5</v>
      </c>
      <c r="C3320" s="2">
        <f>IFERROR(__xludf.DUMMYFUNCTION("""COMPUTED_VALUE"""),1515.5)</f>
        <v>1515.5</v>
      </c>
      <c r="D3320" s="2">
        <f>IFERROR(__xludf.DUMMYFUNCTION("""COMPUTED_VALUE"""),1473.73)</f>
        <v>1473.73</v>
      </c>
      <c r="E3320" s="2">
        <f>IFERROR(__xludf.DUMMYFUNCTION("""COMPUTED_VALUE"""),1477.53)</f>
        <v>1477.53</v>
      </c>
      <c r="F3320" s="2">
        <f>IFERROR(__xludf.DUMMYFUNCTION("""COMPUTED_VALUE"""),1090162.0)</f>
        <v>1090162</v>
      </c>
    </row>
    <row r="3321">
      <c r="A3321" s="3">
        <f>IFERROR(__xludf.DUMMYFUNCTION("""COMPUTED_VALUE"""),43139.64583333333)</f>
        <v>43139.64583</v>
      </c>
      <c r="B3321" s="2">
        <f>IFERROR(__xludf.DUMMYFUNCTION("""COMPUTED_VALUE"""),1489.88)</f>
        <v>1489.88</v>
      </c>
      <c r="C3321" s="2">
        <f>IFERROR(__xludf.DUMMYFUNCTION("""COMPUTED_VALUE"""),1513.8)</f>
        <v>1513.8</v>
      </c>
      <c r="D3321" s="2">
        <f>IFERROR(__xludf.DUMMYFUNCTION("""COMPUTED_VALUE"""),1479.5)</f>
        <v>1479.5</v>
      </c>
      <c r="E3321" s="2">
        <f>IFERROR(__xludf.DUMMYFUNCTION("""COMPUTED_VALUE"""),1487.1)</f>
        <v>1487.1</v>
      </c>
      <c r="F3321" s="2">
        <f>IFERROR(__xludf.DUMMYFUNCTION("""COMPUTED_VALUE"""),1377502.0)</f>
        <v>1377502</v>
      </c>
    </row>
    <row r="3322">
      <c r="A3322" s="3">
        <f>IFERROR(__xludf.DUMMYFUNCTION("""COMPUTED_VALUE"""),43140.64583333333)</f>
        <v>43140.64583</v>
      </c>
      <c r="B3322" s="2">
        <f>IFERROR(__xludf.DUMMYFUNCTION("""COMPUTED_VALUE"""),1475.0)</f>
        <v>1475</v>
      </c>
      <c r="C3322" s="2">
        <f>IFERROR(__xludf.DUMMYFUNCTION("""COMPUTED_VALUE"""),1497.0)</f>
        <v>1497</v>
      </c>
      <c r="D3322" s="2">
        <f>IFERROR(__xludf.DUMMYFUNCTION("""COMPUTED_VALUE"""),1448.33)</f>
        <v>1448.33</v>
      </c>
      <c r="E3322" s="2">
        <f>IFERROR(__xludf.DUMMYFUNCTION("""COMPUTED_VALUE"""),1485.85)</f>
        <v>1485.85</v>
      </c>
      <c r="F3322" s="2">
        <f>IFERROR(__xludf.DUMMYFUNCTION("""COMPUTED_VALUE"""),1051229.0)</f>
        <v>1051229</v>
      </c>
    </row>
    <row r="3323">
      <c r="A3323" s="3">
        <f>IFERROR(__xludf.DUMMYFUNCTION("""COMPUTED_VALUE"""),43143.64583333333)</f>
        <v>43143.64583</v>
      </c>
      <c r="B3323" s="2">
        <f>IFERROR(__xludf.DUMMYFUNCTION("""COMPUTED_VALUE"""),1489.15)</f>
        <v>1489.15</v>
      </c>
      <c r="C3323" s="2">
        <f>IFERROR(__xludf.DUMMYFUNCTION("""COMPUTED_VALUE"""),1511.68)</f>
        <v>1511.68</v>
      </c>
      <c r="D3323" s="2">
        <f>IFERROR(__xludf.DUMMYFUNCTION("""COMPUTED_VALUE"""),1477.78)</f>
        <v>1477.78</v>
      </c>
      <c r="E3323" s="2">
        <f>IFERROR(__xludf.DUMMYFUNCTION("""COMPUTED_VALUE"""),1483.65)</f>
        <v>1483.65</v>
      </c>
      <c r="F3323" s="2">
        <f>IFERROR(__xludf.DUMMYFUNCTION("""COMPUTED_VALUE"""),987281.0)</f>
        <v>987281</v>
      </c>
    </row>
    <row r="3324">
      <c r="A3324" s="3">
        <f>IFERROR(__xludf.DUMMYFUNCTION("""COMPUTED_VALUE"""),43145.64583333333)</f>
        <v>43145.64583</v>
      </c>
      <c r="B3324" s="2">
        <f>IFERROR(__xludf.DUMMYFUNCTION("""COMPUTED_VALUE"""),1485.0)</f>
        <v>1485</v>
      </c>
      <c r="C3324" s="2">
        <f>IFERROR(__xludf.DUMMYFUNCTION("""COMPUTED_VALUE"""),1487.23)</f>
        <v>1487.23</v>
      </c>
      <c r="D3324" s="2">
        <f>IFERROR(__xludf.DUMMYFUNCTION("""COMPUTED_VALUE"""),1446.25)</f>
        <v>1446.25</v>
      </c>
      <c r="E3324" s="2">
        <f>IFERROR(__xludf.DUMMYFUNCTION("""COMPUTED_VALUE"""),1455.9)</f>
        <v>1455.9</v>
      </c>
      <c r="F3324" s="2">
        <f>IFERROR(__xludf.DUMMYFUNCTION("""COMPUTED_VALUE"""),1423766.0)</f>
        <v>1423766</v>
      </c>
    </row>
    <row r="3325">
      <c r="A3325" s="3">
        <f>IFERROR(__xludf.DUMMYFUNCTION("""COMPUTED_VALUE"""),43146.64583333333)</f>
        <v>43146.64583</v>
      </c>
      <c r="B3325" s="2">
        <f>IFERROR(__xludf.DUMMYFUNCTION("""COMPUTED_VALUE"""),1465.98)</f>
        <v>1465.98</v>
      </c>
      <c r="C3325" s="2">
        <f>IFERROR(__xludf.DUMMYFUNCTION("""COMPUTED_VALUE"""),1471.5)</f>
        <v>1471.5</v>
      </c>
      <c r="D3325" s="2">
        <f>IFERROR(__xludf.DUMMYFUNCTION("""COMPUTED_VALUE"""),1452.55)</f>
        <v>1452.55</v>
      </c>
      <c r="E3325" s="2">
        <f>IFERROR(__xludf.DUMMYFUNCTION("""COMPUTED_VALUE"""),1462.93)</f>
        <v>1462.93</v>
      </c>
      <c r="F3325" s="2">
        <f>IFERROR(__xludf.DUMMYFUNCTION("""COMPUTED_VALUE"""),1232618.0)</f>
        <v>1232618</v>
      </c>
    </row>
    <row r="3326">
      <c r="A3326" s="3">
        <f>IFERROR(__xludf.DUMMYFUNCTION("""COMPUTED_VALUE"""),43147.64583333333)</f>
        <v>43147.64583</v>
      </c>
      <c r="B3326" s="2">
        <f>IFERROR(__xludf.DUMMYFUNCTION("""COMPUTED_VALUE"""),1461.5)</f>
        <v>1461.5</v>
      </c>
      <c r="C3326" s="2">
        <f>IFERROR(__xludf.DUMMYFUNCTION("""COMPUTED_VALUE"""),1499.8)</f>
        <v>1499.8</v>
      </c>
      <c r="D3326" s="2">
        <f>IFERROR(__xludf.DUMMYFUNCTION("""COMPUTED_VALUE"""),1461.5)</f>
        <v>1461.5</v>
      </c>
      <c r="E3326" s="2">
        <f>IFERROR(__xludf.DUMMYFUNCTION("""COMPUTED_VALUE"""),1466.53)</f>
        <v>1466.53</v>
      </c>
      <c r="F3326" s="2">
        <f>IFERROR(__xludf.DUMMYFUNCTION("""COMPUTED_VALUE"""),1257878.0)</f>
        <v>1257878</v>
      </c>
    </row>
    <row r="3327">
      <c r="A3327" s="3">
        <f>IFERROR(__xludf.DUMMYFUNCTION("""COMPUTED_VALUE"""),43150.64583333333)</f>
        <v>43150.64583</v>
      </c>
      <c r="B3327" s="2">
        <f>IFERROR(__xludf.DUMMYFUNCTION("""COMPUTED_VALUE"""),1472.5)</f>
        <v>1472.5</v>
      </c>
      <c r="C3327" s="2">
        <f>IFERROR(__xludf.DUMMYFUNCTION("""COMPUTED_VALUE"""),1476.65)</f>
        <v>1476.65</v>
      </c>
      <c r="D3327" s="2">
        <f>IFERROR(__xludf.DUMMYFUNCTION("""COMPUTED_VALUE"""),1447.6)</f>
        <v>1447.6</v>
      </c>
      <c r="E3327" s="2">
        <f>IFERROR(__xludf.DUMMYFUNCTION("""COMPUTED_VALUE"""),1461.8)</f>
        <v>1461.8</v>
      </c>
      <c r="F3327" s="2">
        <f>IFERROR(__xludf.DUMMYFUNCTION("""COMPUTED_VALUE"""),784112.0)</f>
        <v>784112</v>
      </c>
    </row>
    <row r="3328">
      <c r="A3328" s="3">
        <f>IFERROR(__xludf.DUMMYFUNCTION("""COMPUTED_VALUE"""),43151.64583333333)</f>
        <v>43151.64583</v>
      </c>
      <c r="B3328" s="2">
        <f>IFERROR(__xludf.DUMMYFUNCTION("""COMPUTED_VALUE"""),1464.0)</f>
        <v>1464</v>
      </c>
      <c r="C3328" s="2">
        <f>IFERROR(__xludf.DUMMYFUNCTION("""COMPUTED_VALUE"""),1492.53)</f>
        <v>1492.53</v>
      </c>
      <c r="D3328" s="2">
        <f>IFERROR(__xludf.DUMMYFUNCTION("""COMPUTED_VALUE"""),1463.95)</f>
        <v>1463.95</v>
      </c>
      <c r="E3328" s="2">
        <f>IFERROR(__xludf.DUMMYFUNCTION("""COMPUTED_VALUE"""),1472.38)</f>
        <v>1472.38</v>
      </c>
      <c r="F3328" s="2">
        <f>IFERROR(__xludf.DUMMYFUNCTION("""COMPUTED_VALUE"""),944534.0)</f>
        <v>944534</v>
      </c>
    </row>
    <row r="3329">
      <c r="A3329" s="3">
        <f>IFERROR(__xludf.DUMMYFUNCTION("""COMPUTED_VALUE"""),43152.64583333333)</f>
        <v>43152.64583</v>
      </c>
      <c r="B3329" s="2">
        <f>IFERROR(__xludf.DUMMYFUNCTION("""COMPUTED_VALUE"""),1487.0)</f>
        <v>1487</v>
      </c>
      <c r="C3329" s="2">
        <f>IFERROR(__xludf.DUMMYFUNCTION("""COMPUTED_VALUE"""),1531.3)</f>
        <v>1531.3</v>
      </c>
      <c r="D3329" s="2">
        <f>IFERROR(__xludf.DUMMYFUNCTION("""COMPUTED_VALUE"""),1480.03)</f>
        <v>1480.03</v>
      </c>
      <c r="E3329" s="2">
        <f>IFERROR(__xludf.DUMMYFUNCTION("""COMPUTED_VALUE"""),1521.15)</f>
        <v>1521.15</v>
      </c>
      <c r="F3329" s="2">
        <f>IFERROR(__xludf.DUMMYFUNCTION("""COMPUTED_VALUE"""),1544614.0)</f>
        <v>1544614</v>
      </c>
    </row>
    <row r="3330">
      <c r="A3330" s="3">
        <f>IFERROR(__xludf.DUMMYFUNCTION("""COMPUTED_VALUE"""),43153.64583333333)</f>
        <v>43153.64583</v>
      </c>
      <c r="B3330" s="2">
        <f>IFERROR(__xludf.DUMMYFUNCTION("""COMPUTED_VALUE"""),1526.0)</f>
        <v>1526</v>
      </c>
      <c r="C3330" s="2">
        <f>IFERROR(__xludf.DUMMYFUNCTION("""COMPUTED_VALUE"""),1539.5)</f>
        <v>1539.5</v>
      </c>
      <c r="D3330" s="2">
        <f>IFERROR(__xludf.DUMMYFUNCTION("""COMPUTED_VALUE"""),1511.25)</f>
        <v>1511.25</v>
      </c>
      <c r="E3330" s="2">
        <f>IFERROR(__xludf.DUMMYFUNCTION("""COMPUTED_VALUE"""),1525.1)</f>
        <v>1525.1</v>
      </c>
      <c r="F3330" s="2">
        <f>IFERROR(__xludf.DUMMYFUNCTION("""COMPUTED_VALUE"""),1731505.0)</f>
        <v>1731505</v>
      </c>
    </row>
    <row r="3331">
      <c r="A3331" s="3">
        <f>IFERROR(__xludf.DUMMYFUNCTION("""COMPUTED_VALUE"""),43154.64583333333)</f>
        <v>43154.64583</v>
      </c>
      <c r="B3331" s="2">
        <f>IFERROR(__xludf.DUMMYFUNCTION("""COMPUTED_VALUE"""),1525.0)</f>
        <v>1525</v>
      </c>
      <c r="C3331" s="2">
        <f>IFERROR(__xludf.DUMMYFUNCTION("""COMPUTED_VALUE"""),1544.5)</f>
        <v>1544.5</v>
      </c>
      <c r="D3331" s="2">
        <f>IFERROR(__xludf.DUMMYFUNCTION("""COMPUTED_VALUE"""),1496.05)</f>
        <v>1496.05</v>
      </c>
      <c r="E3331" s="2">
        <f>IFERROR(__xludf.DUMMYFUNCTION("""COMPUTED_VALUE"""),1537.9)</f>
        <v>1537.9</v>
      </c>
      <c r="F3331" s="2">
        <f>IFERROR(__xludf.DUMMYFUNCTION("""COMPUTED_VALUE"""),1681250.0)</f>
        <v>1681250</v>
      </c>
    </row>
    <row r="3332">
      <c r="A3332" s="3">
        <f>IFERROR(__xludf.DUMMYFUNCTION("""COMPUTED_VALUE"""),43157.64583333333)</f>
        <v>43157.64583</v>
      </c>
      <c r="B3332" s="2">
        <f>IFERROR(__xludf.DUMMYFUNCTION("""COMPUTED_VALUE"""),1537.5)</f>
        <v>1537.5</v>
      </c>
      <c r="C3332" s="2">
        <f>IFERROR(__xludf.DUMMYFUNCTION("""COMPUTED_VALUE"""),1544.98)</f>
        <v>1544.98</v>
      </c>
      <c r="D3332" s="2">
        <f>IFERROR(__xludf.DUMMYFUNCTION("""COMPUTED_VALUE"""),1510.6)</f>
        <v>1510.6</v>
      </c>
      <c r="E3332" s="2">
        <f>IFERROR(__xludf.DUMMYFUNCTION("""COMPUTED_VALUE"""),1515.85)</f>
        <v>1515.85</v>
      </c>
      <c r="F3332" s="2">
        <f>IFERROR(__xludf.DUMMYFUNCTION("""COMPUTED_VALUE"""),681941.0)</f>
        <v>681941</v>
      </c>
    </row>
    <row r="3333">
      <c r="A3333" s="3">
        <f>IFERROR(__xludf.DUMMYFUNCTION("""COMPUTED_VALUE"""),43158.64583333333)</f>
        <v>43158.64583</v>
      </c>
      <c r="B3333" s="2">
        <f>IFERROR(__xludf.DUMMYFUNCTION("""COMPUTED_VALUE"""),1520.5)</f>
        <v>1520.5</v>
      </c>
      <c r="C3333" s="2">
        <f>IFERROR(__xludf.DUMMYFUNCTION("""COMPUTED_VALUE"""),1539.28)</f>
        <v>1539.28</v>
      </c>
      <c r="D3333" s="2">
        <f>IFERROR(__xludf.DUMMYFUNCTION("""COMPUTED_VALUE"""),1516.0)</f>
        <v>1516</v>
      </c>
      <c r="E3333" s="2">
        <f>IFERROR(__xludf.DUMMYFUNCTION("""COMPUTED_VALUE"""),1521.18)</f>
        <v>1521.18</v>
      </c>
      <c r="F3333" s="2">
        <f>IFERROR(__xludf.DUMMYFUNCTION("""COMPUTED_VALUE"""),858900.0)</f>
        <v>858900</v>
      </c>
    </row>
    <row r="3334">
      <c r="A3334" s="3">
        <f>IFERROR(__xludf.DUMMYFUNCTION("""COMPUTED_VALUE"""),43159.64583333333)</f>
        <v>43159.64583</v>
      </c>
      <c r="B3334" s="2">
        <f>IFERROR(__xludf.DUMMYFUNCTION("""COMPUTED_VALUE"""),1517.5)</f>
        <v>1517.5</v>
      </c>
      <c r="C3334" s="2">
        <f>IFERROR(__xludf.DUMMYFUNCTION("""COMPUTED_VALUE"""),1531.98)</f>
        <v>1531.98</v>
      </c>
      <c r="D3334" s="2">
        <f>IFERROR(__xludf.DUMMYFUNCTION("""COMPUTED_VALUE"""),1510.73)</f>
        <v>1510.73</v>
      </c>
      <c r="E3334" s="2">
        <f>IFERROR(__xludf.DUMMYFUNCTION("""COMPUTED_VALUE"""),1517.53)</f>
        <v>1517.53</v>
      </c>
      <c r="F3334" s="2">
        <f>IFERROR(__xludf.DUMMYFUNCTION("""COMPUTED_VALUE"""),1353432.0)</f>
        <v>1353432</v>
      </c>
    </row>
    <row r="3335">
      <c r="A3335" s="3">
        <f>IFERROR(__xludf.DUMMYFUNCTION("""COMPUTED_VALUE"""),43160.64583333333)</f>
        <v>43160.64583</v>
      </c>
      <c r="B3335" s="2">
        <f>IFERROR(__xludf.DUMMYFUNCTION("""COMPUTED_VALUE"""),1524.5)</f>
        <v>1524.5</v>
      </c>
      <c r="C3335" s="2">
        <f>IFERROR(__xludf.DUMMYFUNCTION("""COMPUTED_VALUE"""),1530.6)</f>
        <v>1530.6</v>
      </c>
      <c r="D3335" s="2">
        <f>IFERROR(__xludf.DUMMYFUNCTION("""COMPUTED_VALUE"""),1510.0)</f>
        <v>1510</v>
      </c>
      <c r="E3335" s="2">
        <f>IFERROR(__xludf.DUMMYFUNCTION("""COMPUTED_VALUE"""),1518.85)</f>
        <v>1518.85</v>
      </c>
      <c r="F3335" s="2">
        <f>IFERROR(__xludf.DUMMYFUNCTION("""COMPUTED_VALUE"""),859062.0)</f>
        <v>859062</v>
      </c>
    </row>
    <row r="3336">
      <c r="A3336" s="3">
        <f>IFERROR(__xludf.DUMMYFUNCTION("""COMPUTED_VALUE"""),43164.64583333333)</f>
        <v>43164.64583</v>
      </c>
      <c r="B3336" s="2">
        <f>IFERROR(__xludf.DUMMYFUNCTION("""COMPUTED_VALUE"""),1524.5)</f>
        <v>1524.5</v>
      </c>
      <c r="C3336" s="2">
        <f>IFERROR(__xludf.DUMMYFUNCTION("""COMPUTED_VALUE"""),1556.83)</f>
        <v>1556.83</v>
      </c>
      <c r="D3336" s="2">
        <f>IFERROR(__xludf.DUMMYFUNCTION("""COMPUTED_VALUE"""),1516.48)</f>
        <v>1516.48</v>
      </c>
      <c r="E3336" s="2">
        <f>IFERROR(__xludf.DUMMYFUNCTION("""COMPUTED_VALUE"""),1552.93)</f>
        <v>1552.93</v>
      </c>
      <c r="F3336" s="2">
        <f>IFERROR(__xludf.DUMMYFUNCTION("""COMPUTED_VALUE"""),1429084.0)</f>
        <v>1429084</v>
      </c>
    </row>
    <row r="3337">
      <c r="A3337" s="3">
        <f>IFERROR(__xludf.DUMMYFUNCTION("""COMPUTED_VALUE"""),43165.64583333333)</f>
        <v>43165.64583</v>
      </c>
      <c r="B3337" s="2">
        <f>IFERROR(__xludf.DUMMYFUNCTION("""COMPUTED_VALUE"""),1561.0)</f>
        <v>1561</v>
      </c>
      <c r="C3337" s="2">
        <f>IFERROR(__xludf.DUMMYFUNCTION("""COMPUTED_VALUE"""),1563.5)</f>
        <v>1563.5</v>
      </c>
      <c r="D3337" s="2">
        <f>IFERROR(__xludf.DUMMYFUNCTION("""COMPUTED_VALUE"""),1515.08)</f>
        <v>1515.08</v>
      </c>
      <c r="E3337" s="2">
        <f>IFERROR(__xludf.DUMMYFUNCTION("""COMPUTED_VALUE"""),1521.4)</f>
        <v>1521.4</v>
      </c>
      <c r="F3337" s="2">
        <f>IFERROR(__xludf.DUMMYFUNCTION("""COMPUTED_VALUE"""),953382.0)</f>
        <v>953382</v>
      </c>
    </row>
    <row r="3338">
      <c r="A3338" s="3">
        <f>IFERROR(__xludf.DUMMYFUNCTION("""COMPUTED_VALUE"""),43166.64583333333)</f>
        <v>43166.64583</v>
      </c>
      <c r="B3338" s="2">
        <f>IFERROR(__xludf.DUMMYFUNCTION("""COMPUTED_VALUE"""),1535.0)</f>
        <v>1535</v>
      </c>
      <c r="C3338" s="2">
        <f>IFERROR(__xludf.DUMMYFUNCTION("""COMPUTED_VALUE"""),1544.5)</f>
        <v>1544.5</v>
      </c>
      <c r="D3338" s="2">
        <f>IFERROR(__xludf.DUMMYFUNCTION("""COMPUTED_VALUE"""),1509.25)</f>
        <v>1509.25</v>
      </c>
      <c r="E3338" s="2">
        <f>IFERROR(__xludf.DUMMYFUNCTION("""COMPUTED_VALUE"""),1513.73)</f>
        <v>1513.73</v>
      </c>
      <c r="F3338" s="2">
        <f>IFERROR(__xludf.DUMMYFUNCTION("""COMPUTED_VALUE"""),958886.0)</f>
        <v>958886</v>
      </c>
    </row>
    <row r="3339">
      <c r="A3339" s="3">
        <f>IFERROR(__xludf.DUMMYFUNCTION("""COMPUTED_VALUE"""),43167.64583333333)</f>
        <v>43167.64583</v>
      </c>
      <c r="B3339" s="2">
        <f>IFERROR(__xludf.DUMMYFUNCTION("""COMPUTED_VALUE"""),1527.45)</f>
        <v>1527.45</v>
      </c>
      <c r="C3339" s="2">
        <f>IFERROR(__xludf.DUMMYFUNCTION("""COMPUTED_VALUE"""),1527.45)</f>
        <v>1527.45</v>
      </c>
      <c r="D3339" s="2">
        <f>IFERROR(__xludf.DUMMYFUNCTION("""COMPUTED_VALUE"""),1493.75)</f>
        <v>1493.75</v>
      </c>
      <c r="E3339" s="2">
        <f>IFERROR(__xludf.DUMMYFUNCTION("""COMPUTED_VALUE"""),1501.98)</f>
        <v>1501.98</v>
      </c>
      <c r="F3339" s="2">
        <f>IFERROR(__xludf.DUMMYFUNCTION("""COMPUTED_VALUE"""),975913.0)</f>
        <v>975913</v>
      </c>
    </row>
    <row r="3340">
      <c r="A3340" s="3">
        <f>IFERROR(__xludf.DUMMYFUNCTION("""COMPUTED_VALUE"""),43168.64583333333)</f>
        <v>43168.64583</v>
      </c>
      <c r="B3340" s="2">
        <f>IFERROR(__xludf.DUMMYFUNCTION("""COMPUTED_VALUE"""),1502.5)</f>
        <v>1502.5</v>
      </c>
      <c r="C3340" s="2">
        <f>IFERROR(__xludf.DUMMYFUNCTION("""COMPUTED_VALUE"""),1531.6)</f>
        <v>1531.6</v>
      </c>
      <c r="D3340" s="2">
        <f>IFERROR(__xludf.DUMMYFUNCTION("""COMPUTED_VALUE"""),1488.6)</f>
        <v>1488.6</v>
      </c>
      <c r="E3340" s="2">
        <f>IFERROR(__xludf.DUMMYFUNCTION("""COMPUTED_VALUE"""),1517.05)</f>
        <v>1517.05</v>
      </c>
      <c r="F3340" s="2">
        <f>IFERROR(__xludf.DUMMYFUNCTION("""COMPUTED_VALUE"""),936218.0)</f>
        <v>936218</v>
      </c>
    </row>
    <row r="3341">
      <c r="A3341" s="3">
        <f>IFERROR(__xludf.DUMMYFUNCTION("""COMPUTED_VALUE"""),43171.64583333333)</f>
        <v>43171.64583</v>
      </c>
      <c r="B3341" s="2">
        <f>IFERROR(__xludf.DUMMYFUNCTION("""COMPUTED_VALUE"""),1521.5)</f>
        <v>1521.5</v>
      </c>
      <c r="C3341" s="2">
        <f>IFERROR(__xludf.DUMMYFUNCTION("""COMPUTED_VALUE"""),1541.95)</f>
        <v>1541.95</v>
      </c>
      <c r="D3341" s="2">
        <f>IFERROR(__xludf.DUMMYFUNCTION("""COMPUTED_VALUE"""),1517.75)</f>
        <v>1517.75</v>
      </c>
      <c r="E3341" s="2">
        <f>IFERROR(__xludf.DUMMYFUNCTION("""COMPUTED_VALUE"""),1526.08)</f>
        <v>1526.08</v>
      </c>
      <c r="F3341" s="2">
        <f>IFERROR(__xludf.DUMMYFUNCTION("""COMPUTED_VALUE"""),1045670.0)</f>
        <v>1045670</v>
      </c>
    </row>
    <row r="3342">
      <c r="A3342" s="3">
        <f>IFERROR(__xludf.DUMMYFUNCTION("""COMPUTED_VALUE"""),43172.64583333333)</f>
        <v>43172.64583</v>
      </c>
      <c r="B3342" s="2">
        <f>IFERROR(__xludf.DUMMYFUNCTION("""COMPUTED_VALUE"""),1462.45)</f>
        <v>1462.45</v>
      </c>
      <c r="C3342" s="2">
        <f>IFERROR(__xludf.DUMMYFUNCTION("""COMPUTED_VALUE"""),1469.85)</f>
        <v>1469.85</v>
      </c>
      <c r="D3342" s="2">
        <f>IFERROR(__xludf.DUMMYFUNCTION("""COMPUTED_VALUE"""),1436.0)</f>
        <v>1436</v>
      </c>
      <c r="E3342" s="2">
        <f>IFERROR(__xludf.DUMMYFUNCTION("""COMPUTED_VALUE"""),1443.4)</f>
        <v>1443.4</v>
      </c>
      <c r="F3342" s="2">
        <f>IFERROR(__xludf.DUMMYFUNCTION("""COMPUTED_VALUE"""),4.4033577E7)</f>
        <v>44033577</v>
      </c>
    </row>
    <row r="3343">
      <c r="A3343" s="3">
        <f>IFERROR(__xludf.DUMMYFUNCTION("""COMPUTED_VALUE"""),43173.64583333333)</f>
        <v>43173.64583</v>
      </c>
      <c r="B3343" s="2">
        <f>IFERROR(__xludf.DUMMYFUNCTION("""COMPUTED_VALUE"""),1446.48)</f>
        <v>1446.48</v>
      </c>
      <c r="C3343" s="2">
        <f>IFERROR(__xludf.DUMMYFUNCTION("""COMPUTED_VALUE"""),1461.53)</f>
        <v>1461.53</v>
      </c>
      <c r="D3343" s="2">
        <f>IFERROR(__xludf.DUMMYFUNCTION("""COMPUTED_VALUE"""),1437.53)</f>
        <v>1437.53</v>
      </c>
      <c r="E3343" s="2">
        <f>IFERROR(__xludf.DUMMYFUNCTION("""COMPUTED_VALUE"""),1443.45)</f>
        <v>1443.45</v>
      </c>
      <c r="F3343" s="2">
        <f>IFERROR(__xludf.DUMMYFUNCTION("""COMPUTED_VALUE"""),1834334.0)</f>
        <v>1834334</v>
      </c>
    </row>
    <row r="3344">
      <c r="A3344" s="3">
        <f>IFERROR(__xludf.DUMMYFUNCTION("""COMPUTED_VALUE"""),43174.64583333333)</f>
        <v>43174.64583</v>
      </c>
      <c r="B3344" s="2">
        <f>IFERROR(__xludf.DUMMYFUNCTION("""COMPUTED_VALUE"""),1447.5)</f>
        <v>1447.5</v>
      </c>
      <c r="C3344" s="2">
        <f>IFERROR(__xludf.DUMMYFUNCTION("""COMPUTED_VALUE"""),1451.28)</f>
        <v>1451.28</v>
      </c>
      <c r="D3344" s="2">
        <f>IFERROR(__xludf.DUMMYFUNCTION("""COMPUTED_VALUE"""),1427.8)</f>
        <v>1427.8</v>
      </c>
      <c r="E3344" s="2">
        <f>IFERROR(__xludf.DUMMYFUNCTION("""COMPUTED_VALUE"""),1434.85)</f>
        <v>1434.85</v>
      </c>
      <c r="F3344" s="2">
        <f>IFERROR(__xludf.DUMMYFUNCTION("""COMPUTED_VALUE"""),1174453.0)</f>
        <v>1174453</v>
      </c>
    </row>
    <row r="3345">
      <c r="A3345" s="3">
        <f>IFERROR(__xludf.DUMMYFUNCTION("""COMPUTED_VALUE"""),43175.64583333333)</f>
        <v>43175.64583</v>
      </c>
      <c r="B3345" s="2">
        <f>IFERROR(__xludf.DUMMYFUNCTION("""COMPUTED_VALUE"""),1434.4)</f>
        <v>1434.4</v>
      </c>
      <c r="C3345" s="2">
        <f>IFERROR(__xludf.DUMMYFUNCTION("""COMPUTED_VALUE"""),1436.0)</f>
        <v>1436</v>
      </c>
      <c r="D3345" s="2">
        <f>IFERROR(__xludf.DUMMYFUNCTION("""COMPUTED_VALUE"""),1402.5)</f>
        <v>1402.5</v>
      </c>
      <c r="E3345" s="2">
        <f>IFERROR(__xludf.DUMMYFUNCTION("""COMPUTED_VALUE"""),1412.85)</f>
        <v>1412.85</v>
      </c>
      <c r="F3345" s="2">
        <f>IFERROR(__xludf.DUMMYFUNCTION("""COMPUTED_VALUE"""),3598741.0)</f>
        <v>3598741</v>
      </c>
    </row>
    <row r="3346">
      <c r="A3346" s="3">
        <f>IFERROR(__xludf.DUMMYFUNCTION("""COMPUTED_VALUE"""),43178.64583333333)</f>
        <v>43178.64583</v>
      </c>
      <c r="B3346" s="2">
        <f>IFERROR(__xludf.DUMMYFUNCTION("""COMPUTED_VALUE"""),1414.5)</f>
        <v>1414.5</v>
      </c>
      <c r="C3346" s="2">
        <f>IFERROR(__xludf.DUMMYFUNCTION("""COMPUTED_VALUE"""),1424.0)</f>
        <v>1424</v>
      </c>
      <c r="D3346" s="2">
        <f>IFERROR(__xludf.DUMMYFUNCTION("""COMPUTED_VALUE"""),1410.0)</f>
        <v>1410</v>
      </c>
      <c r="E3346" s="2">
        <f>IFERROR(__xludf.DUMMYFUNCTION("""COMPUTED_VALUE"""),1415.5)</f>
        <v>1415.5</v>
      </c>
      <c r="F3346" s="2">
        <f>IFERROR(__xludf.DUMMYFUNCTION("""COMPUTED_VALUE"""),1744970.0)</f>
        <v>1744970</v>
      </c>
    </row>
    <row r="3347">
      <c r="A3347" s="3">
        <f>IFERROR(__xludf.DUMMYFUNCTION("""COMPUTED_VALUE"""),43179.64583333333)</f>
        <v>43179.64583</v>
      </c>
      <c r="B3347" s="2">
        <f>IFERROR(__xludf.DUMMYFUNCTION("""COMPUTED_VALUE"""),1410.0)</f>
        <v>1410</v>
      </c>
      <c r="C3347" s="2">
        <f>IFERROR(__xludf.DUMMYFUNCTION("""COMPUTED_VALUE"""),1436.6)</f>
        <v>1436.6</v>
      </c>
      <c r="D3347" s="2">
        <f>IFERROR(__xludf.DUMMYFUNCTION("""COMPUTED_VALUE"""),1409.5)</f>
        <v>1409.5</v>
      </c>
      <c r="E3347" s="2">
        <f>IFERROR(__xludf.DUMMYFUNCTION("""COMPUTED_VALUE"""),1432.43)</f>
        <v>1432.43</v>
      </c>
      <c r="F3347" s="2">
        <f>IFERROR(__xludf.DUMMYFUNCTION("""COMPUTED_VALUE"""),2012492.0)</f>
        <v>2012492</v>
      </c>
    </row>
    <row r="3348">
      <c r="A3348" s="3">
        <f>IFERROR(__xludf.DUMMYFUNCTION("""COMPUTED_VALUE"""),43180.64583333333)</f>
        <v>43180.64583</v>
      </c>
      <c r="B3348" s="2">
        <f>IFERROR(__xludf.DUMMYFUNCTION("""COMPUTED_VALUE"""),1436.25)</f>
        <v>1436.25</v>
      </c>
      <c r="C3348" s="2">
        <f>IFERROR(__xludf.DUMMYFUNCTION("""COMPUTED_VALUE"""),1442.15)</f>
        <v>1442.15</v>
      </c>
      <c r="D3348" s="2">
        <f>IFERROR(__xludf.DUMMYFUNCTION("""COMPUTED_VALUE"""),1425.0)</f>
        <v>1425</v>
      </c>
      <c r="E3348" s="2">
        <f>IFERROR(__xludf.DUMMYFUNCTION("""COMPUTED_VALUE"""),1428.38)</f>
        <v>1428.38</v>
      </c>
      <c r="F3348" s="2">
        <f>IFERROR(__xludf.DUMMYFUNCTION("""COMPUTED_VALUE"""),1953839.0)</f>
        <v>1953839</v>
      </c>
    </row>
    <row r="3349">
      <c r="A3349" s="3">
        <f>IFERROR(__xludf.DUMMYFUNCTION("""COMPUTED_VALUE"""),43181.64583333333)</f>
        <v>43181.64583</v>
      </c>
      <c r="B3349" s="2">
        <f>IFERROR(__xludf.DUMMYFUNCTION("""COMPUTED_VALUE"""),1429.98)</f>
        <v>1429.98</v>
      </c>
      <c r="C3349" s="2">
        <f>IFERROR(__xludf.DUMMYFUNCTION("""COMPUTED_VALUE"""),1437.98)</f>
        <v>1437.98</v>
      </c>
      <c r="D3349" s="2">
        <f>IFERROR(__xludf.DUMMYFUNCTION("""COMPUTED_VALUE"""),1411.28)</f>
        <v>1411.28</v>
      </c>
      <c r="E3349" s="2">
        <f>IFERROR(__xludf.DUMMYFUNCTION("""COMPUTED_VALUE"""),1415.68)</f>
        <v>1415.68</v>
      </c>
      <c r="F3349" s="2">
        <f>IFERROR(__xludf.DUMMYFUNCTION("""COMPUTED_VALUE"""),1163047.0)</f>
        <v>1163047</v>
      </c>
    </row>
    <row r="3350">
      <c r="A3350" s="3">
        <f>IFERROR(__xludf.DUMMYFUNCTION("""COMPUTED_VALUE"""),43182.64583333333)</f>
        <v>43182.64583</v>
      </c>
      <c r="B3350" s="2">
        <f>IFERROR(__xludf.DUMMYFUNCTION("""COMPUTED_VALUE"""),1401.0)</f>
        <v>1401</v>
      </c>
      <c r="C3350" s="2">
        <f>IFERROR(__xludf.DUMMYFUNCTION("""COMPUTED_VALUE"""),1417.05)</f>
        <v>1417.05</v>
      </c>
      <c r="D3350" s="2">
        <f>IFERROR(__xludf.DUMMYFUNCTION("""COMPUTED_VALUE"""),1399.03)</f>
        <v>1399.03</v>
      </c>
      <c r="E3350" s="2">
        <f>IFERROR(__xludf.DUMMYFUNCTION("""COMPUTED_VALUE"""),1409.08)</f>
        <v>1409.08</v>
      </c>
      <c r="F3350" s="2">
        <f>IFERROR(__xludf.DUMMYFUNCTION("""COMPUTED_VALUE"""),1827061.0)</f>
        <v>1827061</v>
      </c>
    </row>
    <row r="3351">
      <c r="A3351" s="3">
        <f>IFERROR(__xludf.DUMMYFUNCTION("""COMPUTED_VALUE"""),43185.64583333333)</f>
        <v>43185.64583</v>
      </c>
      <c r="B3351" s="2">
        <f>IFERROR(__xludf.DUMMYFUNCTION("""COMPUTED_VALUE"""),1409.5)</f>
        <v>1409.5</v>
      </c>
      <c r="C3351" s="2">
        <f>IFERROR(__xludf.DUMMYFUNCTION("""COMPUTED_VALUE"""),1413.7)</f>
        <v>1413.7</v>
      </c>
      <c r="D3351" s="2">
        <f>IFERROR(__xludf.DUMMYFUNCTION("""COMPUTED_VALUE"""),1390.78)</f>
        <v>1390.78</v>
      </c>
      <c r="E3351" s="2">
        <f>IFERROR(__xludf.DUMMYFUNCTION("""COMPUTED_VALUE"""),1408.5)</f>
        <v>1408.5</v>
      </c>
      <c r="F3351" s="2">
        <f>IFERROR(__xludf.DUMMYFUNCTION("""COMPUTED_VALUE"""),1482105.0)</f>
        <v>1482105</v>
      </c>
    </row>
    <row r="3352">
      <c r="A3352" s="3">
        <f>IFERROR(__xludf.DUMMYFUNCTION("""COMPUTED_VALUE"""),43186.64583333333)</f>
        <v>43186.64583</v>
      </c>
      <c r="B3352" s="2">
        <f>IFERROR(__xludf.DUMMYFUNCTION("""COMPUTED_VALUE"""),1412.5)</f>
        <v>1412.5</v>
      </c>
      <c r="C3352" s="2">
        <f>IFERROR(__xludf.DUMMYFUNCTION("""COMPUTED_VALUE"""),1431.5)</f>
        <v>1431.5</v>
      </c>
      <c r="D3352" s="2">
        <f>IFERROR(__xludf.DUMMYFUNCTION("""COMPUTED_VALUE"""),1411.53)</f>
        <v>1411.53</v>
      </c>
      <c r="E3352" s="2">
        <f>IFERROR(__xludf.DUMMYFUNCTION("""COMPUTED_VALUE"""),1423.85)</f>
        <v>1423.85</v>
      </c>
      <c r="F3352" s="2">
        <f>IFERROR(__xludf.DUMMYFUNCTION("""COMPUTED_VALUE"""),1247287.0)</f>
        <v>1247287</v>
      </c>
    </row>
    <row r="3353">
      <c r="A3353" s="3">
        <f>IFERROR(__xludf.DUMMYFUNCTION("""COMPUTED_VALUE"""),43187.64583333333)</f>
        <v>43187.64583</v>
      </c>
      <c r="B3353" s="2">
        <f>IFERROR(__xludf.DUMMYFUNCTION("""COMPUTED_VALUE"""),1417.95)</f>
        <v>1417.95</v>
      </c>
      <c r="C3353" s="2">
        <f>IFERROR(__xludf.DUMMYFUNCTION("""COMPUTED_VALUE"""),1437.5)</f>
        <v>1437.5</v>
      </c>
      <c r="D3353" s="2">
        <f>IFERROR(__xludf.DUMMYFUNCTION("""COMPUTED_VALUE"""),1412.5)</f>
        <v>1412.5</v>
      </c>
      <c r="E3353" s="2">
        <f>IFERROR(__xludf.DUMMYFUNCTION("""COMPUTED_VALUE"""),1424.58)</f>
        <v>1424.58</v>
      </c>
      <c r="F3353" s="2">
        <f>IFERROR(__xludf.DUMMYFUNCTION("""COMPUTED_VALUE"""),3432827.0)</f>
        <v>3432827</v>
      </c>
    </row>
    <row r="3354">
      <c r="A3354" s="3">
        <f>IFERROR(__xludf.DUMMYFUNCTION("""COMPUTED_VALUE"""),43192.64583333333)</f>
        <v>43192.64583</v>
      </c>
      <c r="B3354" s="2">
        <f>IFERROR(__xludf.DUMMYFUNCTION("""COMPUTED_VALUE"""),1420.0)</f>
        <v>1420</v>
      </c>
      <c r="C3354" s="2">
        <f>IFERROR(__xludf.DUMMYFUNCTION("""COMPUTED_VALUE"""),1457.0)</f>
        <v>1457</v>
      </c>
      <c r="D3354" s="2">
        <f>IFERROR(__xludf.DUMMYFUNCTION("""COMPUTED_VALUE"""),1420.0)</f>
        <v>1420</v>
      </c>
      <c r="E3354" s="2">
        <f>IFERROR(__xludf.DUMMYFUNCTION("""COMPUTED_VALUE"""),1454.83)</f>
        <v>1454.83</v>
      </c>
      <c r="F3354" s="2">
        <f>IFERROR(__xludf.DUMMYFUNCTION("""COMPUTED_VALUE"""),831494.0)</f>
        <v>831494</v>
      </c>
    </row>
    <row r="3355">
      <c r="A3355" s="3">
        <f>IFERROR(__xludf.DUMMYFUNCTION("""COMPUTED_VALUE"""),43193.64583333333)</f>
        <v>43193.64583</v>
      </c>
      <c r="B3355" s="2">
        <f>IFERROR(__xludf.DUMMYFUNCTION("""COMPUTED_VALUE"""),1446.05)</f>
        <v>1446.05</v>
      </c>
      <c r="C3355" s="2">
        <f>IFERROR(__xludf.DUMMYFUNCTION("""COMPUTED_VALUE"""),1464.95)</f>
        <v>1464.95</v>
      </c>
      <c r="D3355" s="2">
        <f>IFERROR(__xludf.DUMMYFUNCTION("""COMPUTED_VALUE"""),1446.05)</f>
        <v>1446.05</v>
      </c>
      <c r="E3355" s="2">
        <f>IFERROR(__xludf.DUMMYFUNCTION("""COMPUTED_VALUE"""),1455.63)</f>
        <v>1455.63</v>
      </c>
      <c r="F3355" s="2">
        <f>IFERROR(__xludf.DUMMYFUNCTION("""COMPUTED_VALUE"""),968645.0)</f>
        <v>968645</v>
      </c>
    </row>
    <row r="3356">
      <c r="A3356" s="3">
        <f>IFERROR(__xludf.DUMMYFUNCTION("""COMPUTED_VALUE"""),43194.64583333333)</f>
        <v>43194.64583</v>
      </c>
      <c r="B3356" s="2">
        <f>IFERROR(__xludf.DUMMYFUNCTION("""COMPUTED_VALUE"""),1464.73)</f>
        <v>1464.73</v>
      </c>
      <c r="C3356" s="2">
        <f>IFERROR(__xludf.DUMMYFUNCTION("""COMPUTED_VALUE"""),1467.0)</f>
        <v>1467</v>
      </c>
      <c r="D3356" s="2">
        <f>IFERROR(__xludf.DUMMYFUNCTION("""COMPUTED_VALUE"""),1446.0)</f>
        <v>1446</v>
      </c>
      <c r="E3356" s="2">
        <f>IFERROR(__xludf.DUMMYFUNCTION("""COMPUTED_VALUE"""),1455.45)</f>
        <v>1455.45</v>
      </c>
      <c r="F3356" s="2">
        <f>IFERROR(__xludf.DUMMYFUNCTION("""COMPUTED_VALUE"""),1420910.0)</f>
        <v>1420910</v>
      </c>
    </row>
    <row r="3357">
      <c r="A3357" s="3">
        <f>IFERROR(__xludf.DUMMYFUNCTION("""COMPUTED_VALUE"""),43195.64583333333)</f>
        <v>43195.64583</v>
      </c>
      <c r="B3357" s="2">
        <f>IFERROR(__xludf.DUMMYFUNCTION("""COMPUTED_VALUE"""),1463.28)</f>
        <v>1463.28</v>
      </c>
      <c r="C3357" s="2">
        <f>IFERROR(__xludf.DUMMYFUNCTION("""COMPUTED_VALUE"""),1481.88)</f>
        <v>1481.88</v>
      </c>
      <c r="D3357" s="2">
        <f>IFERROR(__xludf.DUMMYFUNCTION("""COMPUTED_VALUE"""),1460.18)</f>
        <v>1460.18</v>
      </c>
      <c r="E3357" s="2">
        <f>IFERROR(__xludf.DUMMYFUNCTION("""COMPUTED_VALUE"""),1478.98)</f>
        <v>1478.98</v>
      </c>
      <c r="F3357" s="2">
        <f>IFERROR(__xludf.DUMMYFUNCTION("""COMPUTED_VALUE"""),904712.0)</f>
        <v>904712</v>
      </c>
    </row>
    <row r="3358">
      <c r="A3358" s="3">
        <f>IFERROR(__xludf.DUMMYFUNCTION("""COMPUTED_VALUE"""),43196.64583333333)</f>
        <v>43196.64583</v>
      </c>
      <c r="B3358" s="2">
        <f>IFERROR(__xludf.DUMMYFUNCTION("""COMPUTED_VALUE"""),1477.0)</f>
        <v>1477</v>
      </c>
      <c r="C3358" s="2">
        <f>IFERROR(__xludf.DUMMYFUNCTION("""COMPUTED_VALUE"""),1480.0)</f>
        <v>1480</v>
      </c>
      <c r="D3358" s="2">
        <f>IFERROR(__xludf.DUMMYFUNCTION("""COMPUTED_VALUE"""),1463.28)</f>
        <v>1463.28</v>
      </c>
      <c r="E3358" s="2">
        <f>IFERROR(__xludf.DUMMYFUNCTION("""COMPUTED_VALUE"""),1475.15)</f>
        <v>1475.15</v>
      </c>
      <c r="F3358" s="2">
        <f>IFERROR(__xludf.DUMMYFUNCTION("""COMPUTED_VALUE"""),564509.0)</f>
        <v>564509</v>
      </c>
    </row>
    <row r="3359">
      <c r="A3359" s="3">
        <f>IFERROR(__xludf.DUMMYFUNCTION("""COMPUTED_VALUE"""),43199.64583333333)</f>
        <v>43199.64583</v>
      </c>
      <c r="B3359" s="2">
        <f>IFERROR(__xludf.DUMMYFUNCTION("""COMPUTED_VALUE"""),1469.85)</f>
        <v>1469.85</v>
      </c>
      <c r="C3359" s="2">
        <f>IFERROR(__xludf.DUMMYFUNCTION("""COMPUTED_VALUE"""),1481.75)</f>
        <v>1481.75</v>
      </c>
      <c r="D3359" s="2">
        <f>IFERROR(__xludf.DUMMYFUNCTION("""COMPUTED_VALUE"""),1457.5)</f>
        <v>1457.5</v>
      </c>
      <c r="E3359" s="2">
        <f>IFERROR(__xludf.DUMMYFUNCTION("""COMPUTED_VALUE"""),1461.95)</f>
        <v>1461.95</v>
      </c>
      <c r="F3359" s="2">
        <f>IFERROR(__xludf.DUMMYFUNCTION("""COMPUTED_VALUE"""),617933.0)</f>
        <v>617933</v>
      </c>
    </row>
    <row r="3360">
      <c r="A3360" s="3">
        <f>IFERROR(__xludf.DUMMYFUNCTION("""COMPUTED_VALUE"""),43200.64583333333)</f>
        <v>43200.64583</v>
      </c>
      <c r="B3360" s="2">
        <f>IFERROR(__xludf.DUMMYFUNCTION("""COMPUTED_VALUE"""),1462.85)</f>
        <v>1462.85</v>
      </c>
      <c r="C3360" s="2">
        <f>IFERROR(__xludf.DUMMYFUNCTION("""COMPUTED_VALUE"""),1478.63)</f>
        <v>1478.63</v>
      </c>
      <c r="D3360" s="2">
        <f>IFERROR(__xludf.DUMMYFUNCTION("""COMPUTED_VALUE"""),1462.85)</f>
        <v>1462.85</v>
      </c>
      <c r="E3360" s="2">
        <f>IFERROR(__xludf.DUMMYFUNCTION("""COMPUTED_VALUE"""),1468.8)</f>
        <v>1468.8</v>
      </c>
      <c r="F3360" s="2">
        <f>IFERROR(__xludf.DUMMYFUNCTION("""COMPUTED_VALUE"""),592266.0)</f>
        <v>592266</v>
      </c>
    </row>
    <row r="3361">
      <c r="A3361" s="3">
        <f>IFERROR(__xludf.DUMMYFUNCTION("""COMPUTED_VALUE"""),43201.64583333333)</f>
        <v>43201.64583</v>
      </c>
      <c r="B3361" s="2">
        <f>IFERROR(__xludf.DUMMYFUNCTION("""COMPUTED_VALUE"""),1475.3)</f>
        <v>1475.3</v>
      </c>
      <c r="C3361" s="2">
        <f>IFERROR(__xludf.DUMMYFUNCTION("""COMPUTED_VALUE"""),1512.5)</f>
        <v>1512.5</v>
      </c>
      <c r="D3361" s="2">
        <f>IFERROR(__xludf.DUMMYFUNCTION("""COMPUTED_VALUE"""),1472.8)</f>
        <v>1472.8</v>
      </c>
      <c r="E3361" s="2">
        <f>IFERROR(__xludf.DUMMYFUNCTION("""COMPUTED_VALUE"""),1507.08)</f>
        <v>1507.08</v>
      </c>
      <c r="F3361" s="2">
        <f>IFERROR(__xludf.DUMMYFUNCTION("""COMPUTED_VALUE"""),1562208.0)</f>
        <v>1562208</v>
      </c>
    </row>
    <row r="3362">
      <c r="A3362" s="3">
        <f>IFERROR(__xludf.DUMMYFUNCTION("""COMPUTED_VALUE"""),43202.64583333333)</f>
        <v>43202.64583</v>
      </c>
      <c r="B3362" s="2">
        <f>IFERROR(__xludf.DUMMYFUNCTION("""COMPUTED_VALUE"""),1505.0)</f>
        <v>1505</v>
      </c>
      <c r="C3362" s="2">
        <f>IFERROR(__xludf.DUMMYFUNCTION("""COMPUTED_VALUE"""),1575.0)</f>
        <v>1575</v>
      </c>
      <c r="D3362" s="2">
        <f>IFERROR(__xludf.DUMMYFUNCTION("""COMPUTED_VALUE"""),1503.98)</f>
        <v>1503.98</v>
      </c>
      <c r="E3362" s="2">
        <f>IFERROR(__xludf.DUMMYFUNCTION("""COMPUTED_VALUE"""),1569.63)</f>
        <v>1569.63</v>
      </c>
      <c r="F3362" s="2">
        <f>IFERROR(__xludf.DUMMYFUNCTION("""COMPUTED_VALUE"""),3057180.0)</f>
        <v>3057180</v>
      </c>
    </row>
    <row r="3363">
      <c r="A3363" s="3">
        <f>IFERROR(__xludf.DUMMYFUNCTION("""COMPUTED_VALUE"""),43203.64583333333)</f>
        <v>43203.64583</v>
      </c>
      <c r="B3363" s="2">
        <f>IFERROR(__xludf.DUMMYFUNCTION("""COMPUTED_VALUE"""),1575.0)</f>
        <v>1575</v>
      </c>
      <c r="C3363" s="2">
        <f>IFERROR(__xludf.DUMMYFUNCTION("""COMPUTED_VALUE"""),1620.4)</f>
        <v>1620.4</v>
      </c>
      <c r="D3363" s="2">
        <f>IFERROR(__xludf.DUMMYFUNCTION("""COMPUTED_VALUE"""),1566.05)</f>
        <v>1566.05</v>
      </c>
      <c r="E3363" s="2">
        <f>IFERROR(__xludf.DUMMYFUNCTION("""COMPUTED_VALUE"""),1576.65)</f>
        <v>1576.65</v>
      </c>
      <c r="F3363" s="2">
        <f>IFERROR(__xludf.DUMMYFUNCTION("""COMPUTED_VALUE"""),4089559.0)</f>
        <v>4089559</v>
      </c>
    </row>
    <row r="3364">
      <c r="A3364" s="3">
        <f>IFERROR(__xludf.DUMMYFUNCTION("""COMPUTED_VALUE"""),43206.64583333333)</f>
        <v>43206.64583</v>
      </c>
      <c r="B3364" s="2">
        <f>IFERROR(__xludf.DUMMYFUNCTION("""COMPUTED_VALUE"""),1558.0)</f>
        <v>1558</v>
      </c>
      <c r="C3364" s="2">
        <f>IFERROR(__xludf.DUMMYFUNCTION("""COMPUTED_VALUE"""),1599.98)</f>
        <v>1599.98</v>
      </c>
      <c r="D3364" s="2">
        <f>IFERROR(__xludf.DUMMYFUNCTION("""COMPUTED_VALUE"""),1555.38)</f>
        <v>1555.38</v>
      </c>
      <c r="E3364" s="2">
        <f>IFERROR(__xludf.DUMMYFUNCTION("""COMPUTED_VALUE"""),1593.83)</f>
        <v>1593.83</v>
      </c>
      <c r="F3364" s="2">
        <f>IFERROR(__xludf.DUMMYFUNCTION("""COMPUTED_VALUE"""),3135137.0)</f>
        <v>3135137</v>
      </c>
    </row>
    <row r="3365">
      <c r="A3365" s="3">
        <f>IFERROR(__xludf.DUMMYFUNCTION("""COMPUTED_VALUE"""),43207.64583333333)</f>
        <v>43207.64583</v>
      </c>
      <c r="B3365" s="2">
        <f>IFERROR(__xludf.DUMMYFUNCTION("""COMPUTED_VALUE"""),1593.83)</f>
        <v>1593.83</v>
      </c>
      <c r="C3365" s="2">
        <f>IFERROR(__xludf.DUMMYFUNCTION("""COMPUTED_VALUE"""),1597.48)</f>
        <v>1597.48</v>
      </c>
      <c r="D3365" s="2">
        <f>IFERROR(__xludf.DUMMYFUNCTION("""COMPUTED_VALUE"""),1573.6)</f>
        <v>1573.6</v>
      </c>
      <c r="E3365" s="2">
        <f>IFERROR(__xludf.DUMMYFUNCTION("""COMPUTED_VALUE"""),1583.3)</f>
        <v>1583.3</v>
      </c>
      <c r="F3365" s="2">
        <f>IFERROR(__xludf.DUMMYFUNCTION("""COMPUTED_VALUE"""),1650862.0)</f>
        <v>1650862</v>
      </c>
    </row>
    <row r="3366">
      <c r="A3366" s="3">
        <f>IFERROR(__xludf.DUMMYFUNCTION("""COMPUTED_VALUE"""),43208.64583333333)</f>
        <v>43208.64583</v>
      </c>
      <c r="B3366" s="2">
        <f>IFERROR(__xludf.DUMMYFUNCTION("""COMPUTED_VALUE"""),1583.0)</f>
        <v>1583</v>
      </c>
      <c r="C3366" s="2">
        <f>IFERROR(__xludf.DUMMYFUNCTION("""COMPUTED_VALUE"""),1596.73)</f>
        <v>1596.73</v>
      </c>
      <c r="D3366" s="2">
        <f>IFERROR(__xludf.DUMMYFUNCTION("""COMPUTED_VALUE"""),1572.93)</f>
        <v>1572.93</v>
      </c>
      <c r="E3366" s="2">
        <f>IFERROR(__xludf.DUMMYFUNCTION("""COMPUTED_VALUE"""),1579.55)</f>
        <v>1579.55</v>
      </c>
      <c r="F3366" s="2">
        <f>IFERROR(__xludf.DUMMYFUNCTION("""COMPUTED_VALUE"""),1216533.0)</f>
        <v>1216533</v>
      </c>
    </row>
    <row r="3367">
      <c r="A3367" s="3">
        <f>IFERROR(__xludf.DUMMYFUNCTION("""COMPUTED_VALUE"""),43209.64583333333)</f>
        <v>43209.64583</v>
      </c>
      <c r="B3367" s="2">
        <f>IFERROR(__xludf.DUMMYFUNCTION("""COMPUTED_VALUE"""),1589.95)</f>
        <v>1589.95</v>
      </c>
      <c r="C3367" s="2">
        <f>IFERROR(__xludf.DUMMYFUNCTION("""COMPUTED_VALUE"""),1608.6)</f>
        <v>1608.6</v>
      </c>
      <c r="D3367" s="2">
        <f>IFERROR(__xludf.DUMMYFUNCTION("""COMPUTED_VALUE"""),1582.88)</f>
        <v>1582.88</v>
      </c>
      <c r="E3367" s="2">
        <f>IFERROR(__xludf.DUMMYFUNCTION("""COMPUTED_VALUE"""),1595.58)</f>
        <v>1595.58</v>
      </c>
      <c r="F3367" s="2">
        <f>IFERROR(__xludf.DUMMYFUNCTION("""COMPUTED_VALUE"""),2410476.0)</f>
        <v>2410476</v>
      </c>
    </row>
    <row r="3368">
      <c r="A3368" s="3">
        <f>IFERROR(__xludf.DUMMYFUNCTION("""COMPUTED_VALUE"""),43210.64583333333)</f>
        <v>43210.64583</v>
      </c>
      <c r="B3368" s="2">
        <f>IFERROR(__xludf.DUMMYFUNCTION("""COMPUTED_VALUE"""),1625.0)</f>
        <v>1625</v>
      </c>
      <c r="C3368" s="2">
        <f>IFERROR(__xludf.DUMMYFUNCTION("""COMPUTED_VALUE"""),1711.18)</f>
        <v>1711.18</v>
      </c>
      <c r="D3368" s="2">
        <f>IFERROR(__xludf.DUMMYFUNCTION("""COMPUTED_VALUE"""),1620.0)</f>
        <v>1620</v>
      </c>
      <c r="E3368" s="2">
        <f>IFERROR(__xludf.DUMMYFUNCTION("""COMPUTED_VALUE"""),1701.23)</f>
        <v>1701.23</v>
      </c>
      <c r="F3368" s="2">
        <f>IFERROR(__xludf.DUMMYFUNCTION("""COMPUTED_VALUE"""),9232831.0)</f>
        <v>9232831</v>
      </c>
    </row>
    <row r="3369">
      <c r="A3369" s="3">
        <f>IFERROR(__xludf.DUMMYFUNCTION("""COMPUTED_VALUE"""),43213.64583333333)</f>
        <v>43213.64583</v>
      </c>
      <c r="B3369" s="2">
        <f>IFERROR(__xludf.DUMMYFUNCTION("""COMPUTED_VALUE"""),1712.0)</f>
        <v>1712</v>
      </c>
      <c r="C3369" s="2">
        <f>IFERROR(__xludf.DUMMYFUNCTION("""COMPUTED_VALUE"""),1778.95)</f>
        <v>1778.95</v>
      </c>
      <c r="D3369" s="2">
        <f>IFERROR(__xludf.DUMMYFUNCTION("""COMPUTED_VALUE"""),1694.78)</f>
        <v>1694.78</v>
      </c>
      <c r="E3369" s="2">
        <f>IFERROR(__xludf.DUMMYFUNCTION("""COMPUTED_VALUE"""),1704.33)</f>
        <v>1704.33</v>
      </c>
      <c r="F3369" s="2">
        <f>IFERROR(__xludf.DUMMYFUNCTION("""COMPUTED_VALUE"""),7592955.0)</f>
        <v>7592955</v>
      </c>
    </row>
    <row r="3370">
      <c r="A3370" s="3">
        <f>IFERROR(__xludf.DUMMYFUNCTION("""COMPUTED_VALUE"""),43214.64583333333)</f>
        <v>43214.64583</v>
      </c>
      <c r="B3370" s="2">
        <f>IFERROR(__xludf.DUMMYFUNCTION("""COMPUTED_VALUE"""),1705.0)</f>
        <v>1705</v>
      </c>
      <c r="C3370" s="2">
        <f>IFERROR(__xludf.DUMMYFUNCTION("""COMPUTED_VALUE"""),1721.58)</f>
        <v>1721.58</v>
      </c>
      <c r="D3370" s="2">
        <f>IFERROR(__xludf.DUMMYFUNCTION("""COMPUTED_VALUE"""),1671.25)</f>
        <v>1671.25</v>
      </c>
      <c r="E3370" s="2">
        <f>IFERROR(__xludf.DUMMYFUNCTION("""COMPUTED_VALUE"""),1692.83)</f>
        <v>1692.83</v>
      </c>
      <c r="F3370" s="2">
        <f>IFERROR(__xludf.DUMMYFUNCTION("""COMPUTED_VALUE"""),4157168.0)</f>
        <v>4157168</v>
      </c>
    </row>
    <row r="3371">
      <c r="A3371" s="3">
        <f>IFERROR(__xludf.DUMMYFUNCTION("""COMPUTED_VALUE"""),43215.64583333333)</f>
        <v>43215.64583</v>
      </c>
      <c r="B3371" s="2">
        <f>IFERROR(__xludf.DUMMYFUNCTION("""COMPUTED_VALUE"""),1692.5)</f>
        <v>1692.5</v>
      </c>
      <c r="C3371" s="2">
        <f>IFERROR(__xludf.DUMMYFUNCTION("""COMPUTED_VALUE"""),1741.5)</f>
        <v>1741.5</v>
      </c>
      <c r="D3371" s="2">
        <f>IFERROR(__xludf.DUMMYFUNCTION("""COMPUTED_VALUE"""),1682.53)</f>
        <v>1682.53</v>
      </c>
      <c r="E3371" s="2">
        <f>IFERROR(__xludf.DUMMYFUNCTION("""COMPUTED_VALUE"""),1735.13)</f>
        <v>1735.13</v>
      </c>
      <c r="F3371" s="2">
        <f>IFERROR(__xludf.DUMMYFUNCTION("""COMPUTED_VALUE"""),4098287.0)</f>
        <v>4098287</v>
      </c>
    </row>
    <row r="3372">
      <c r="A3372" s="3">
        <f>IFERROR(__xludf.DUMMYFUNCTION("""COMPUTED_VALUE"""),43216.64583333333)</f>
        <v>43216.64583</v>
      </c>
      <c r="B3372" s="2">
        <f>IFERROR(__xludf.DUMMYFUNCTION("""COMPUTED_VALUE"""),1733.5)</f>
        <v>1733.5</v>
      </c>
      <c r="C3372" s="2">
        <f>IFERROR(__xludf.DUMMYFUNCTION("""COMPUTED_VALUE"""),1780.0)</f>
        <v>1780</v>
      </c>
      <c r="D3372" s="2">
        <f>IFERROR(__xludf.DUMMYFUNCTION("""COMPUTED_VALUE"""),1733.5)</f>
        <v>1733.5</v>
      </c>
      <c r="E3372" s="2">
        <f>IFERROR(__xludf.DUMMYFUNCTION("""COMPUTED_VALUE"""),1769.63)</f>
        <v>1769.63</v>
      </c>
      <c r="F3372" s="2">
        <f>IFERROR(__xludf.DUMMYFUNCTION("""COMPUTED_VALUE"""),6067517.0)</f>
        <v>6067517</v>
      </c>
    </row>
    <row r="3373">
      <c r="A3373" s="3">
        <f>IFERROR(__xludf.DUMMYFUNCTION("""COMPUTED_VALUE"""),43217.64583333333)</f>
        <v>43217.64583</v>
      </c>
      <c r="B3373" s="2">
        <f>IFERROR(__xludf.DUMMYFUNCTION("""COMPUTED_VALUE"""),1762.5)</f>
        <v>1762.5</v>
      </c>
      <c r="C3373" s="2">
        <f>IFERROR(__xludf.DUMMYFUNCTION("""COMPUTED_VALUE"""),1772.0)</f>
        <v>1772</v>
      </c>
      <c r="D3373" s="2">
        <f>IFERROR(__xludf.DUMMYFUNCTION("""COMPUTED_VALUE"""),1710.0)</f>
        <v>1710</v>
      </c>
      <c r="E3373" s="2">
        <f>IFERROR(__xludf.DUMMYFUNCTION("""COMPUTED_VALUE"""),1725.98)</f>
        <v>1725.98</v>
      </c>
      <c r="F3373" s="2">
        <f>IFERROR(__xludf.DUMMYFUNCTION("""COMPUTED_VALUE"""),2250665.0)</f>
        <v>2250665</v>
      </c>
    </row>
    <row r="3374">
      <c r="A3374" s="3">
        <f>IFERROR(__xludf.DUMMYFUNCTION("""COMPUTED_VALUE"""),43220.64583333333)</f>
        <v>43220.64583</v>
      </c>
      <c r="B3374" s="2">
        <f>IFERROR(__xludf.DUMMYFUNCTION("""COMPUTED_VALUE"""),1725.98)</f>
        <v>1725.98</v>
      </c>
      <c r="C3374" s="2">
        <f>IFERROR(__xludf.DUMMYFUNCTION("""COMPUTED_VALUE"""),1774.5)</f>
        <v>1774.5</v>
      </c>
      <c r="D3374" s="2">
        <f>IFERROR(__xludf.DUMMYFUNCTION("""COMPUTED_VALUE"""),1718.8)</f>
        <v>1718.8</v>
      </c>
      <c r="E3374" s="2">
        <f>IFERROR(__xludf.DUMMYFUNCTION("""COMPUTED_VALUE"""),1766.05)</f>
        <v>1766.05</v>
      </c>
      <c r="F3374" s="2">
        <f>IFERROR(__xludf.DUMMYFUNCTION("""COMPUTED_VALUE"""),1729279.0)</f>
        <v>1729279</v>
      </c>
    </row>
    <row r="3375">
      <c r="A3375" s="3">
        <f>IFERROR(__xludf.DUMMYFUNCTION("""COMPUTED_VALUE"""),43222.64583333333)</f>
        <v>43222.64583</v>
      </c>
      <c r="B3375" s="2">
        <f>IFERROR(__xludf.DUMMYFUNCTION("""COMPUTED_VALUE"""),1765.25)</f>
        <v>1765.25</v>
      </c>
      <c r="C3375" s="2">
        <f>IFERROR(__xludf.DUMMYFUNCTION("""COMPUTED_VALUE"""),1766.1)</f>
        <v>1766.1</v>
      </c>
      <c r="D3375" s="2">
        <f>IFERROR(__xludf.DUMMYFUNCTION("""COMPUTED_VALUE"""),1735.65)</f>
        <v>1735.65</v>
      </c>
      <c r="E3375" s="2">
        <f>IFERROR(__xludf.DUMMYFUNCTION("""COMPUTED_VALUE"""),1749.88)</f>
        <v>1749.88</v>
      </c>
      <c r="F3375" s="2">
        <f>IFERROR(__xludf.DUMMYFUNCTION("""COMPUTED_VALUE"""),1579023.0)</f>
        <v>1579023</v>
      </c>
    </row>
    <row r="3376">
      <c r="A3376" s="3">
        <f>IFERROR(__xludf.DUMMYFUNCTION("""COMPUTED_VALUE"""),43223.64583333333)</f>
        <v>43223.64583</v>
      </c>
      <c r="B3376" s="2">
        <f>IFERROR(__xludf.DUMMYFUNCTION("""COMPUTED_VALUE"""),1754.9)</f>
        <v>1754.9</v>
      </c>
      <c r="C3376" s="2">
        <f>IFERROR(__xludf.DUMMYFUNCTION("""COMPUTED_VALUE"""),1763.0)</f>
        <v>1763</v>
      </c>
      <c r="D3376" s="2">
        <f>IFERROR(__xludf.DUMMYFUNCTION("""COMPUTED_VALUE"""),1735.2)</f>
        <v>1735.2</v>
      </c>
      <c r="E3376" s="2">
        <f>IFERROR(__xludf.DUMMYFUNCTION("""COMPUTED_VALUE"""),1740.93)</f>
        <v>1740.93</v>
      </c>
      <c r="F3376" s="2">
        <f>IFERROR(__xludf.DUMMYFUNCTION("""COMPUTED_VALUE"""),1880775.0)</f>
        <v>1880775</v>
      </c>
    </row>
    <row r="3377">
      <c r="A3377" s="3">
        <f>IFERROR(__xludf.DUMMYFUNCTION("""COMPUTED_VALUE"""),43224.64583333333)</f>
        <v>43224.64583</v>
      </c>
      <c r="B3377" s="2">
        <f>IFERROR(__xludf.DUMMYFUNCTION("""COMPUTED_VALUE"""),1746.0)</f>
        <v>1746</v>
      </c>
      <c r="C3377" s="2">
        <f>IFERROR(__xludf.DUMMYFUNCTION("""COMPUTED_VALUE"""),1748.5)</f>
        <v>1748.5</v>
      </c>
      <c r="D3377" s="2">
        <f>IFERROR(__xludf.DUMMYFUNCTION("""COMPUTED_VALUE"""),1735.0)</f>
        <v>1735</v>
      </c>
      <c r="E3377" s="2">
        <f>IFERROR(__xludf.DUMMYFUNCTION("""COMPUTED_VALUE"""),1740.38)</f>
        <v>1740.38</v>
      </c>
      <c r="F3377" s="2">
        <f>IFERROR(__xludf.DUMMYFUNCTION("""COMPUTED_VALUE"""),1173622.0)</f>
        <v>1173622</v>
      </c>
    </row>
    <row r="3378">
      <c r="A3378" s="3">
        <f>IFERROR(__xludf.DUMMYFUNCTION("""COMPUTED_VALUE"""),43227.64583333333)</f>
        <v>43227.64583</v>
      </c>
      <c r="B3378" s="2">
        <f>IFERROR(__xludf.DUMMYFUNCTION("""COMPUTED_VALUE"""),1745.0)</f>
        <v>1745</v>
      </c>
      <c r="C3378" s="2">
        <f>IFERROR(__xludf.DUMMYFUNCTION("""COMPUTED_VALUE"""),1745.0)</f>
        <v>1745</v>
      </c>
      <c r="D3378" s="2">
        <f>IFERROR(__xludf.DUMMYFUNCTION("""COMPUTED_VALUE"""),1705.45)</f>
        <v>1705.45</v>
      </c>
      <c r="E3378" s="2">
        <f>IFERROR(__xludf.DUMMYFUNCTION("""COMPUTED_VALUE"""),1710.48)</f>
        <v>1710.48</v>
      </c>
      <c r="F3378" s="2">
        <f>IFERROR(__xludf.DUMMYFUNCTION("""COMPUTED_VALUE"""),1742213.0)</f>
        <v>1742213</v>
      </c>
    </row>
    <row r="3379">
      <c r="A3379" s="3">
        <f>IFERROR(__xludf.DUMMYFUNCTION("""COMPUTED_VALUE"""),43228.64583333333)</f>
        <v>43228.64583</v>
      </c>
      <c r="B3379" s="2">
        <f>IFERROR(__xludf.DUMMYFUNCTION("""COMPUTED_VALUE"""),1717.35)</f>
        <v>1717.35</v>
      </c>
      <c r="C3379" s="2">
        <f>IFERROR(__xludf.DUMMYFUNCTION("""COMPUTED_VALUE"""),1743.25)</f>
        <v>1743.25</v>
      </c>
      <c r="D3379" s="2">
        <f>IFERROR(__xludf.DUMMYFUNCTION("""COMPUTED_VALUE"""),1698.35)</f>
        <v>1698.35</v>
      </c>
      <c r="E3379" s="2">
        <f>IFERROR(__xludf.DUMMYFUNCTION("""COMPUTED_VALUE"""),1720.6)</f>
        <v>1720.6</v>
      </c>
      <c r="F3379" s="2">
        <f>IFERROR(__xludf.DUMMYFUNCTION("""COMPUTED_VALUE"""),1496410.0)</f>
        <v>1496410</v>
      </c>
    </row>
    <row r="3380">
      <c r="A3380" s="3">
        <f>IFERROR(__xludf.DUMMYFUNCTION("""COMPUTED_VALUE"""),43229.64583333333)</f>
        <v>43229.64583</v>
      </c>
      <c r="B3380" s="2">
        <f>IFERROR(__xludf.DUMMYFUNCTION("""COMPUTED_VALUE"""),1720.1)</f>
        <v>1720.1</v>
      </c>
      <c r="C3380" s="2">
        <f>IFERROR(__xludf.DUMMYFUNCTION("""COMPUTED_VALUE"""),1747.38)</f>
        <v>1747.38</v>
      </c>
      <c r="D3380" s="2">
        <f>IFERROR(__xludf.DUMMYFUNCTION("""COMPUTED_VALUE"""),1720.1)</f>
        <v>1720.1</v>
      </c>
      <c r="E3380" s="2">
        <f>IFERROR(__xludf.DUMMYFUNCTION("""COMPUTED_VALUE"""),1744.65)</f>
        <v>1744.65</v>
      </c>
      <c r="F3380" s="2">
        <f>IFERROR(__xludf.DUMMYFUNCTION("""COMPUTED_VALUE"""),1307525.0)</f>
        <v>1307525</v>
      </c>
    </row>
    <row r="3381">
      <c r="A3381" s="3">
        <f>IFERROR(__xludf.DUMMYFUNCTION("""COMPUTED_VALUE"""),43230.64583333333)</f>
        <v>43230.64583</v>
      </c>
      <c r="B3381" s="2">
        <f>IFERROR(__xludf.DUMMYFUNCTION("""COMPUTED_VALUE"""),1751.48)</f>
        <v>1751.48</v>
      </c>
      <c r="C3381" s="2">
        <f>IFERROR(__xludf.DUMMYFUNCTION("""COMPUTED_VALUE"""),1755.58)</f>
        <v>1755.58</v>
      </c>
      <c r="D3381" s="2">
        <f>IFERROR(__xludf.DUMMYFUNCTION("""COMPUTED_VALUE"""),1720.1)</f>
        <v>1720.1</v>
      </c>
      <c r="E3381" s="2">
        <f>IFERROR(__xludf.DUMMYFUNCTION("""COMPUTED_VALUE"""),1725.63)</f>
        <v>1725.63</v>
      </c>
      <c r="F3381" s="2">
        <f>IFERROR(__xludf.DUMMYFUNCTION("""COMPUTED_VALUE"""),1929339.0)</f>
        <v>1929339</v>
      </c>
    </row>
    <row r="3382">
      <c r="A3382" s="3">
        <f>IFERROR(__xludf.DUMMYFUNCTION("""COMPUTED_VALUE"""),43231.64583333333)</f>
        <v>43231.64583</v>
      </c>
      <c r="B3382" s="2">
        <f>IFERROR(__xludf.DUMMYFUNCTION("""COMPUTED_VALUE"""),1727.1)</f>
        <v>1727.1</v>
      </c>
      <c r="C3382" s="2">
        <f>IFERROR(__xludf.DUMMYFUNCTION("""COMPUTED_VALUE"""),1742.5)</f>
        <v>1742.5</v>
      </c>
      <c r="D3382" s="2">
        <f>IFERROR(__xludf.DUMMYFUNCTION("""COMPUTED_VALUE"""),1721.25)</f>
        <v>1721.25</v>
      </c>
      <c r="E3382" s="2">
        <f>IFERROR(__xludf.DUMMYFUNCTION("""COMPUTED_VALUE"""),1728.48)</f>
        <v>1728.48</v>
      </c>
      <c r="F3382" s="2">
        <f>IFERROR(__xludf.DUMMYFUNCTION("""COMPUTED_VALUE"""),1313938.0)</f>
        <v>1313938</v>
      </c>
    </row>
    <row r="3383">
      <c r="A3383" s="3">
        <f>IFERROR(__xludf.DUMMYFUNCTION("""COMPUTED_VALUE"""),43234.64583333333)</f>
        <v>43234.64583</v>
      </c>
      <c r="B3383" s="2">
        <f>IFERROR(__xludf.DUMMYFUNCTION("""COMPUTED_VALUE"""),1728.5)</f>
        <v>1728.5</v>
      </c>
      <c r="C3383" s="2">
        <f>IFERROR(__xludf.DUMMYFUNCTION("""COMPUTED_VALUE"""),1735.5)</f>
        <v>1735.5</v>
      </c>
      <c r="D3383" s="2">
        <f>IFERROR(__xludf.DUMMYFUNCTION("""COMPUTED_VALUE"""),1705.4)</f>
        <v>1705.4</v>
      </c>
      <c r="E3383" s="2">
        <f>IFERROR(__xludf.DUMMYFUNCTION("""COMPUTED_VALUE"""),1716.78)</f>
        <v>1716.78</v>
      </c>
      <c r="F3383" s="2">
        <f>IFERROR(__xludf.DUMMYFUNCTION("""COMPUTED_VALUE"""),1216947.0)</f>
        <v>1216947</v>
      </c>
    </row>
    <row r="3384">
      <c r="A3384" s="3">
        <f>IFERROR(__xludf.DUMMYFUNCTION("""COMPUTED_VALUE"""),43235.64583333333)</f>
        <v>43235.64583</v>
      </c>
      <c r="B3384" s="2">
        <f>IFERROR(__xludf.DUMMYFUNCTION("""COMPUTED_VALUE"""),1725.0)</f>
        <v>1725</v>
      </c>
      <c r="C3384" s="2">
        <f>IFERROR(__xludf.DUMMYFUNCTION("""COMPUTED_VALUE"""),1747.9)</f>
        <v>1747.9</v>
      </c>
      <c r="D3384" s="2">
        <f>IFERROR(__xludf.DUMMYFUNCTION("""COMPUTED_VALUE"""),1716.85)</f>
        <v>1716.85</v>
      </c>
      <c r="E3384" s="2">
        <f>IFERROR(__xludf.DUMMYFUNCTION("""COMPUTED_VALUE"""),1741.2)</f>
        <v>1741.2</v>
      </c>
      <c r="F3384" s="2">
        <f>IFERROR(__xludf.DUMMYFUNCTION("""COMPUTED_VALUE"""),976445.0)</f>
        <v>976445</v>
      </c>
    </row>
    <row r="3385">
      <c r="A3385" s="3">
        <f>IFERROR(__xludf.DUMMYFUNCTION("""COMPUTED_VALUE"""),43236.64583333333)</f>
        <v>43236.64583</v>
      </c>
      <c r="B3385" s="2">
        <f>IFERROR(__xludf.DUMMYFUNCTION("""COMPUTED_VALUE"""),1739.98)</f>
        <v>1739.98</v>
      </c>
      <c r="C3385" s="2">
        <f>IFERROR(__xludf.DUMMYFUNCTION("""COMPUTED_VALUE"""),1754.5)</f>
        <v>1754.5</v>
      </c>
      <c r="D3385" s="2">
        <f>IFERROR(__xludf.DUMMYFUNCTION("""COMPUTED_VALUE"""),1737.63)</f>
        <v>1737.63</v>
      </c>
      <c r="E3385" s="2">
        <f>IFERROR(__xludf.DUMMYFUNCTION("""COMPUTED_VALUE"""),1746.95)</f>
        <v>1746.95</v>
      </c>
      <c r="F3385" s="2">
        <f>IFERROR(__xludf.DUMMYFUNCTION("""COMPUTED_VALUE"""),824225.0)</f>
        <v>824225</v>
      </c>
    </row>
    <row r="3386">
      <c r="A3386" s="3">
        <f>IFERROR(__xludf.DUMMYFUNCTION("""COMPUTED_VALUE"""),43237.64583333333)</f>
        <v>43237.64583</v>
      </c>
      <c r="B3386" s="2">
        <f>IFERROR(__xludf.DUMMYFUNCTION("""COMPUTED_VALUE"""),1756.48)</f>
        <v>1756.48</v>
      </c>
      <c r="C3386" s="2">
        <f>IFERROR(__xludf.DUMMYFUNCTION("""COMPUTED_VALUE"""),1766.58)</f>
        <v>1766.58</v>
      </c>
      <c r="D3386" s="2">
        <f>IFERROR(__xludf.DUMMYFUNCTION("""COMPUTED_VALUE"""),1738.0)</f>
        <v>1738</v>
      </c>
      <c r="E3386" s="2">
        <f>IFERROR(__xludf.DUMMYFUNCTION("""COMPUTED_VALUE"""),1745.9)</f>
        <v>1745.9</v>
      </c>
      <c r="F3386" s="2">
        <f>IFERROR(__xludf.DUMMYFUNCTION("""COMPUTED_VALUE"""),1484024.0)</f>
        <v>1484024</v>
      </c>
    </row>
    <row r="3387">
      <c r="A3387" s="3">
        <f>IFERROR(__xludf.DUMMYFUNCTION("""COMPUTED_VALUE"""),43238.64583333333)</f>
        <v>43238.64583</v>
      </c>
      <c r="B3387" s="2">
        <f>IFERROR(__xludf.DUMMYFUNCTION("""COMPUTED_VALUE"""),1740.4)</f>
        <v>1740.4</v>
      </c>
      <c r="C3387" s="2">
        <f>IFERROR(__xludf.DUMMYFUNCTION("""COMPUTED_VALUE"""),1758.85)</f>
        <v>1758.85</v>
      </c>
      <c r="D3387" s="2">
        <f>IFERROR(__xludf.DUMMYFUNCTION("""COMPUTED_VALUE"""),1729.0)</f>
        <v>1729</v>
      </c>
      <c r="E3387" s="2">
        <f>IFERROR(__xludf.DUMMYFUNCTION("""COMPUTED_VALUE"""),1751.03)</f>
        <v>1751.03</v>
      </c>
      <c r="F3387" s="2">
        <f>IFERROR(__xludf.DUMMYFUNCTION("""COMPUTED_VALUE"""),937498.0)</f>
        <v>937498</v>
      </c>
    </row>
    <row r="3388">
      <c r="A3388" s="3">
        <f>IFERROR(__xludf.DUMMYFUNCTION("""COMPUTED_VALUE"""),43241.64583333333)</f>
        <v>43241.64583</v>
      </c>
      <c r="B3388" s="2">
        <f>IFERROR(__xludf.DUMMYFUNCTION("""COMPUTED_VALUE"""),1764.35)</f>
        <v>1764.35</v>
      </c>
      <c r="C3388" s="2">
        <f>IFERROR(__xludf.DUMMYFUNCTION("""COMPUTED_VALUE"""),1796.0)</f>
        <v>1796</v>
      </c>
      <c r="D3388" s="2">
        <f>IFERROR(__xludf.DUMMYFUNCTION("""COMPUTED_VALUE"""),1759.03)</f>
        <v>1759.03</v>
      </c>
      <c r="E3388" s="2">
        <f>IFERROR(__xludf.DUMMYFUNCTION("""COMPUTED_VALUE"""),1778.38)</f>
        <v>1778.38</v>
      </c>
      <c r="F3388" s="2">
        <f>IFERROR(__xludf.DUMMYFUNCTION("""COMPUTED_VALUE"""),1723089.0)</f>
        <v>1723089</v>
      </c>
    </row>
    <row r="3389">
      <c r="A3389" s="3">
        <f>IFERROR(__xludf.DUMMYFUNCTION("""COMPUTED_VALUE"""),43242.64583333333)</f>
        <v>43242.64583</v>
      </c>
      <c r="B3389" s="2">
        <f>IFERROR(__xludf.DUMMYFUNCTION("""COMPUTED_VALUE"""),1779.0)</f>
        <v>1779</v>
      </c>
      <c r="C3389" s="2">
        <f>IFERROR(__xludf.DUMMYFUNCTION("""COMPUTED_VALUE"""),1787.48)</f>
        <v>1787.48</v>
      </c>
      <c r="D3389" s="2">
        <f>IFERROR(__xludf.DUMMYFUNCTION("""COMPUTED_VALUE"""),1746.85)</f>
        <v>1746.85</v>
      </c>
      <c r="E3389" s="2">
        <f>IFERROR(__xludf.DUMMYFUNCTION("""COMPUTED_VALUE"""),1754.45)</f>
        <v>1754.45</v>
      </c>
      <c r="F3389" s="2">
        <f>IFERROR(__xludf.DUMMYFUNCTION("""COMPUTED_VALUE"""),928708.0)</f>
        <v>928708</v>
      </c>
    </row>
    <row r="3390">
      <c r="A3390" s="3">
        <f>IFERROR(__xludf.DUMMYFUNCTION("""COMPUTED_VALUE"""),43243.64583333333)</f>
        <v>43243.64583</v>
      </c>
      <c r="B3390" s="2">
        <f>IFERROR(__xludf.DUMMYFUNCTION("""COMPUTED_VALUE"""),1762.5)</f>
        <v>1762.5</v>
      </c>
      <c r="C3390" s="2">
        <f>IFERROR(__xludf.DUMMYFUNCTION("""COMPUTED_VALUE"""),1772.5)</f>
        <v>1772.5</v>
      </c>
      <c r="D3390" s="2">
        <f>IFERROR(__xludf.DUMMYFUNCTION("""COMPUTED_VALUE"""),1740.5)</f>
        <v>1740.5</v>
      </c>
      <c r="E3390" s="2">
        <f>IFERROR(__xludf.DUMMYFUNCTION("""COMPUTED_VALUE"""),1747.55)</f>
        <v>1747.55</v>
      </c>
      <c r="F3390" s="2">
        <f>IFERROR(__xludf.DUMMYFUNCTION("""COMPUTED_VALUE"""),753649.0)</f>
        <v>753649</v>
      </c>
    </row>
    <row r="3391">
      <c r="A3391" s="3">
        <f>IFERROR(__xludf.DUMMYFUNCTION("""COMPUTED_VALUE"""),43244.64583333333)</f>
        <v>43244.64583</v>
      </c>
      <c r="B3391" s="2">
        <f>IFERROR(__xludf.DUMMYFUNCTION("""COMPUTED_VALUE"""),1755.0)</f>
        <v>1755</v>
      </c>
      <c r="C3391" s="2">
        <f>IFERROR(__xludf.DUMMYFUNCTION("""COMPUTED_VALUE"""),1807.5)</f>
        <v>1807.5</v>
      </c>
      <c r="D3391" s="2">
        <f>IFERROR(__xludf.DUMMYFUNCTION("""COMPUTED_VALUE"""),1751.18)</f>
        <v>1751.18</v>
      </c>
      <c r="E3391" s="2">
        <f>IFERROR(__xludf.DUMMYFUNCTION("""COMPUTED_VALUE"""),1801.85)</f>
        <v>1801.85</v>
      </c>
      <c r="F3391" s="2">
        <f>IFERROR(__xludf.DUMMYFUNCTION("""COMPUTED_VALUE"""),1481158.0)</f>
        <v>1481158</v>
      </c>
    </row>
    <row r="3392">
      <c r="A3392" s="3">
        <f>IFERROR(__xludf.DUMMYFUNCTION("""COMPUTED_VALUE"""),43245.64583333333)</f>
        <v>43245.64583</v>
      </c>
      <c r="B3392" s="2">
        <f>IFERROR(__xludf.DUMMYFUNCTION("""COMPUTED_VALUE"""),1812.5)</f>
        <v>1812.5</v>
      </c>
      <c r="C3392" s="2">
        <f>IFERROR(__xludf.DUMMYFUNCTION("""COMPUTED_VALUE"""),1837.4)</f>
        <v>1837.4</v>
      </c>
      <c r="D3392" s="2">
        <f>IFERROR(__xludf.DUMMYFUNCTION("""COMPUTED_VALUE"""),1786.28)</f>
        <v>1786.28</v>
      </c>
      <c r="E3392" s="2">
        <f>IFERROR(__xludf.DUMMYFUNCTION("""COMPUTED_VALUE"""),1792.9)</f>
        <v>1792.9</v>
      </c>
      <c r="F3392" s="2">
        <f>IFERROR(__xludf.DUMMYFUNCTION("""COMPUTED_VALUE"""),1884886.0)</f>
        <v>1884886</v>
      </c>
    </row>
    <row r="3393">
      <c r="A3393" s="3">
        <f>IFERROR(__xludf.DUMMYFUNCTION("""COMPUTED_VALUE"""),43248.64583333333)</f>
        <v>43248.64583</v>
      </c>
      <c r="B3393" s="2">
        <f>IFERROR(__xludf.DUMMYFUNCTION("""COMPUTED_VALUE"""),1808.25)</f>
        <v>1808.25</v>
      </c>
      <c r="C3393" s="2">
        <f>IFERROR(__xludf.DUMMYFUNCTION("""COMPUTED_VALUE"""),1808.25)</f>
        <v>1808.25</v>
      </c>
      <c r="D3393" s="2">
        <f>IFERROR(__xludf.DUMMYFUNCTION("""COMPUTED_VALUE"""),1743.0)</f>
        <v>1743</v>
      </c>
      <c r="E3393" s="2">
        <f>IFERROR(__xludf.DUMMYFUNCTION("""COMPUTED_VALUE"""),1751.03)</f>
        <v>1751.03</v>
      </c>
      <c r="F3393" s="2">
        <f>IFERROR(__xludf.DUMMYFUNCTION("""COMPUTED_VALUE"""),1858399.0)</f>
        <v>1858399</v>
      </c>
    </row>
    <row r="3394">
      <c r="A3394" s="3">
        <f>IFERROR(__xludf.DUMMYFUNCTION("""COMPUTED_VALUE"""),43249.64583333333)</f>
        <v>43249.64583</v>
      </c>
      <c r="B3394" s="2">
        <f>IFERROR(__xludf.DUMMYFUNCTION("""COMPUTED_VALUE"""),1764.95)</f>
        <v>1764.95</v>
      </c>
      <c r="C3394" s="2">
        <f>IFERROR(__xludf.DUMMYFUNCTION("""COMPUTED_VALUE"""),1772.0)</f>
        <v>1772</v>
      </c>
      <c r="D3394" s="2">
        <f>IFERROR(__xludf.DUMMYFUNCTION("""COMPUTED_VALUE"""),1744.0)</f>
        <v>1744</v>
      </c>
      <c r="E3394" s="2">
        <f>IFERROR(__xludf.DUMMYFUNCTION("""COMPUTED_VALUE"""),1761.75)</f>
        <v>1761.75</v>
      </c>
      <c r="F3394" s="2">
        <f>IFERROR(__xludf.DUMMYFUNCTION("""COMPUTED_VALUE"""),1762656.0)</f>
        <v>1762656</v>
      </c>
    </row>
    <row r="3395">
      <c r="A3395" s="3">
        <f>IFERROR(__xludf.DUMMYFUNCTION("""COMPUTED_VALUE"""),43250.64583333333)</f>
        <v>43250.64583</v>
      </c>
      <c r="B3395" s="2">
        <f>IFERROR(__xludf.DUMMYFUNCTION("""COMPUTED_VALUE"""),1754.53)</f>
        <v>1754.53</v>
      </c>
      <c r="C3395" s="2">
        <f>IFERROR(__xludf.DUMMYFUNCTION("""COMPUTED_VALUE"""),1766.5)</f>
        <v>1766.5</v>
      </c>
      <c r="D3395" s="2">
        <f>IFERROR(__xludf.DUMMYFUNCTION("""COMPUTED_VALUE"""),1741.25)</f>
        <v>1741.25</v>
      </c>
      <c r="E3395" s="2">
        <f>IFERROR(__xludf.DUMMYFUNCTION("""COMPUTED_VALUE"""),1757.05)</f>
        <v>1757.05</v>
      </c>
      <c r="F3395" s="2">
        <f>IFERROR(__xludf.DUMMYFUNCTION("""COMPUTED_VALUE"""),1889553.0)</f>
        <v>1889553</v>
      </c>
    </row>
    <row r="3396">
      <c r="A3396" s="3">
        <f>IFERROR(__xludf.DUMMYFUNCTION("""COMPUTED_VALUE"""),43251.64583333333)</f>
        <v>43251.64583</v>
      </c>
      <c r="B3396" s="2">
        <f>IFERROR(__xludf.DUMMYFUNCTION("""COMPUTED_VALUE"""),1734.0)</f>
        <v>1734</v>
      </c>
      <c r="C3396" s="2">
        <f>IFERROR(__xludf.DUMMYFUNCTION("""COMPUTED_VALUE"""),1759.05)</f>
        <v>1759.05</v>
      </c>
      <c r="D3396" s="2">
        <f>IFERROR(__xludf.DUMMYFUNCTION("""COMPUTED_VALUE"""),1726.1)</f>
        <v>1726.1</v>
      </c>
      <c r="E3396" s="2">
        <f>IFERROR(__xludf.DUMMYFUNCTION("""COMPUTED_VALUE"""),1741.05)</f>
        <v>1741.05</v>
      </c>
      <c r="F3396" s="2">
        <f>IFERROR(__xludf.DUMMYFUNCTION("""COMPUTED_VALUE"""),5049371.0)</f>
        <v>5049371</v>
      </c>
    </row>
    <row r="3397">
      <c r="A3397" s="3">
        <f>IFERROR(__xludf.DUMMYFUNCTION("""COMPUTED_VALUE"""),43252.64583333333)</f>
        <v>43252.64583</v>
      </c>
      <c r="B3397" s="2">
        <f>IFERROR(__xludf.DUMMYFUNCTION("""COMPUTED_VALUE"""),1754.0)</f>
        <v>1754</v>
      </c>
      <c r="C3397" s="2">
        <f>IFERROR(__xludf.DUMMYFUNCTION("""COMPUTED_VALUE"""),1758.0)</f>
        <v>1758</v>
      </c>
      <c r="D3397" s="2">
        <f>IFERROR(__xludf.DUMMYFUNCTION("""COMPUTED_VALUE"""),1716.0)</f>
        <v>1716</v>
      </c>
      <c r="E3397" s="2">
        <f>IFERROR(__xludf.DUMMYFUNCTION("""COMPUTED_VALUE"""),1732.0)</f>
        <v>1732</v>
      </c>
      <c r="F3397" s="2">
        <f>IFERROR(__xludf.DUMMYFUNCTION("""COMPUTED_VALUE"""),1603856.0)</f>
        <v>1603856</v>
      </c>
    </row>
    <row r="3398">
      <c r="A3398" s="3">
        <f>IFERROR(__xludf.DUMMYFUNCTION("""COMPUTED_VALUE"""),43255.64583333333)</f>
        <v>43255.64583</v>
      </c>
      <c r="B3398" s="2">
        <f>IFERROR(__xludf.DUMMYFUNCTION("""COMPUTED_VALUE"""),1745.0)</f>
        <v>1745</v>
      </c>
      <c r="C3398" s="2">
        <f>IFERROR(__xludf.DUMMYFUNCTION("""COMPUTED_VALUE"""),1749.0)</f>
        <v>1749</v>
      </c>
      <c r="D3398" s="2">
        <f>IFERROR(__xludf.DUMMYFUNCTION("""COMPUTED_VALUE"""),1712.6)</f>
        <v>1712.6</v>
      </c>
      <c r="E3398" s="2">
        <f>IFERROR(__xludf.DUMMYFUNCTION("""COMPUTED_VALUE"""),1744.25)</f>
        <v>1744.25</v>
      </c>
      <c r="F3398" s="2">
        <f>IFERROR(__xludf.DUMMYFUNCTION("""COMPUTED_VALUE"""),1681483.0)</f>
        <v>1681483</v>
      </c>
    </row>
    <row r="3399">
      <c r="A3399" s="3">
        <f>IFERROR(__xludf.DUMMYFUNCTION("""COMPUTED_VALUE"""),43256.64583333333)</f>
        <v>43256.64583</v>
      </c>
      <c r="B3399" s="2">
        <f>IFERROR(__xludf.DUMMYFUNCTION("""COMPUTED_VALUE"""),1744.0)</f>
        <v>1744</v>
      </c>
      <c r="C3399" s="2">
        <f>IFERROR(__xludf.DUMMYFUNCTION("""COMPUTED_VALUE"""),1751.9)</f>
        <v>1751.9</v>
      </c>
      <c r="D3399" s="2">
        <f>IFERROR(__xludf.DUMMYFUNCTION("""COMPUTED_VALUE"""),1711.15)</f>
        <v>1711.15</v>
      </c>
      <c r="E3399" s="2">
        <f>IFERROR(__xludf.DUMMYFUNCTION("""COMPUTED_VALUE"""),1721.6)</f>
        <v>1721.6</v>
      </c>
      <c r="F3399" s="2">
        <f>IFERROR(__xludf.DUMMYFUNCTION("""COMPUTED_VALUE"""),2449568.0)</f>
        <v>2449568</v>
      </c>
    </row>
    <row r="3400">
      <c r="A3400" s="3">
        <f>IFERROR(__xludf.DUMMYFUNCTION("""COMPUTED_VALUE"""),43257.64583333333)</f>
        <v>43257.64583</v>
      </c>
      <c r="B3400" s="2">
        <f>IFERROR(__xludf.DUMMYFUNCTION("""COMPUTED_VALUE"""),1723.0)</f>
        <v>1723</v>
      </c>
      <c r="C3400" s="2">
        <f>IFERROR(__xludf.DUMMYFUNCTION("""COMPUTED_VALUE"""),1734.9)</f>
        <v>1734.9</v>
      </c>
      <c r="D3400" s="2">
        <f>IFERROR(__xludf.DUMMYFUNCTION("""COMPUTED_VALUE"""),1715.2)</f>
        <v>1715.2</v>
      </c>
      <c r="E3400" s="2">
        <f>IFERROR(__xludf.DUMMYFUNCTION("""COMPUTED_VALUE"""),1725.75)</f>
        <v>1725.75</v>
      </c>
      <c r="F3400" s="2">
        <f>IFERROR(__xludf.DUMMYFUNCTION("""COMPUTED_VALUE"""),2236512.0)</f>
        <v>2236512</v>
      </c>
    </row>
    <row r="3401">
      <c r="A3401" s="3">
        <f>IFERROR(__xludf.DUMMYFUNCTION("""COMPUTED_VALUE"""),43258.64583333333)</f>
        <v>43258.64583</v>
      </c>
      <c r="B3401" s="2">
        <f>IFERROR(__xludf.DUMMYFUNCTION("""COMPUTED_VALUE"""),1725.0)</f>
        <v>1725</v>
      </c>
      <c r="C3401" s="2">
        <f>IFERROR(__xludf.DUMMYFUNCTION("""COMPUTED_VALUE"""),1749.0)</f>
        <v>1749</v>
      </c>
      <c r="D3401" s="2">
        <f>IFERROR(__xludf.DUMMYFUNCTION("""COMPUTED_VALUE"""),1723.8)</f>
        <v>1723.8</v>
      </c>
      <c r="E3401" s="2">
        <f>IFERROR(__xludf.DUMMYFUNCTION("""COMPUTED_VALUE"""),1735.55)</f>
        <v>1735.55</v>
      </c>
      <c r="F3401" s="2">
        <f>IFERROR(__xludf.DUMMYFUNCTION("""COMPUTED_VALUE"""),2414762.0)</f>
        <v>2414762</v>
      </c>
    </row>
    <row r="3402">
      <c r="A3402" s="3">
        <f>IFERROR(__xludf.DUMMYFUNCTION("""COMPUTED_VALUE"""),43259.64583333333)</f>
        <v>43259.64583</v>
      </c>
      <c r="B3402" s="2">
        <f>IFERROR(__xludf.DUMMYFUNCTION("""COMPUTED_VALUE"""),1735.0)</f>
        <v>1735</v>
      </c>
      <c r="C3402" s="2">
        <f>IFERROR(__xludf.DUMMYFUNCTION("""COMPUTED_VALUE"""),1757.3)</f>
        <v>1757.3</v>
      </c>
      <c r="D3402" s="2">
        <f>IFERROR(__xludf.DUMMYFUNCTION("""COMPUTED_VALUE"""),1735.0)</f>
        <v>1735</v>
      </c>
      <c r="E3402" s="2">
        <f>IFERROR(__xludf.DUMMYFUNCTION("""COMPUTED_VALUE"""),1747.1)</f>
        <v>1747.1</v>
      </c>
      <c r="F3402" s="2">
        <f>IFERROR(__xludf.DUMMYFUNCTION("""COMPUTED_VALUE"""),2582138.0)</f>
        <v>2582138</v>
      </c>
    </row>
    <row r="3403">
      <c r="A3403" s="3">
        <f>IFERROR(__xludf.DUMMYFUNCTION("""COMPUTED_VALUE"""),43262.64583333333)</f>
        <v>43262.64583</v>
      </c>
      <c r="B3403" s="2">
        <f>IFERROR(__xludf.DUMMYFUNCTION("""COMPUTED_VALUE"""),1747.1)</f>
        <v>1747.1</v>
      </c>
      <c r="C3403" s="2">
        <f>IFERROR(__xludf.DUMMYFUNCTION("""COMPUTED_VALUE"""),1763.0)</f>
        <v>1763</v>
      </c>
      <c r="D3403" s="2">
        <f>IFERROR(__xludf.DUMMYFUNCTION("""COMPUTED_VALUE"""),1743.0)</f>
        <v>1743</v>
      </c>
      <c r="E3403" s="2">
        <f>IFERROR(__xludf.DUMMYFUNCTION("""COMPUTED_VALUE"""),1749.7)</f>
        <v>1749.7</v>
      </c>
      <c r="F3403" s="2">
        <f>IFERROR(__xludf.DUMMYFUNCTION("""COMPUTED_VALUE"""),2179378.0)</f>
        <v>2179378</v>
      </c>
    </row>
    <row r="3404">
      <c r="A3404" s="3">
        <f>IFERROR(__xludf.DUMMYFUNCTION("""COMPUTED_VALUE"""),43263.64583333333)</f>
        <v>43263.64583</v>
      </c>
      <c r="B3404" s="2">
        <f>IFERROR(__xludf.DUMMYFUNCTION("""COMPUTED_VALUE"""),1757.0)</f>
        <v>1757</v>
      </c>
      <c r="C3404" s="2">
        <f>IFERROR(__xludf.DUMMYFUNCTION("""COMPUTED_VALUE"""),1785.0)</f>
        <v>1785</v>
      </c>
      <c r="D3404" s="2">
        <f>IFERROR(__xludf.DUMMYFUNCTION("""COMPUTED_VALUE"""),1753.0)</f>
        <v>1753</v>
      </c>
      <c r="E3404" s="2">
        <f>IFERROR(__xludf.DUMMYFUNCTION("""COMPUTED_VALUE"""),1781.0)</f>
        <v>1781</v>
      </c>
      <c r="F3404" s="2">
        <f>IFERROR(__xludf.DUMMYFUNCTION("""COMPUTED_VALUE"""),4608875.0)</f>
        <v>4608875</v>
      </c>
    </row>
    <row r="3405">
      <c r="A3405" s="3">
        <f>IFERROR(__xludf.DUMMYFUNCTION("""COMPUTED_VALUE"""),43264.64583333333)</f>
        <v>43264.64583</v>
      </c>
      <c r="B3405" s="2">
        <f>IFERROR(__xludf.DUMMYFUNCTION("""COMPUTED_VALUE"""),1816.0)</f>
        <v>1816</v>
      </c>
      <c r="C3405" s="2">
        <f>IFERROR(__xludf.DUMMYFUNCTION("""COMPUTED_VALUE"""),1831.65)</f>
        <v>1831.65</v>
      </c>
      <c r="D3405" s="2">
        <f>IFERROR(__xludf.DUMMYFUNCTION("""COMPUTED_VALUE"""),1798.0)</f>
        <v>1798</v>
      </c>
      <c r="E3405" s="2">
        <f>IFERROR(__xludf.DUMMYFUNCTION("""COMPUTED_VALUE"""),1824.1)</f>
        <v>1824.1</v>
      </c>
      <c r="F3405" s="2">
        <f>IFERROR(__xludf.DUMMYFUNCTION("""COMPUTED_VALUE"""),5370983.0)</f>
        <v>5370983</v>
      </c>
    </row>
    <row r="3406">
      <c r="A3406" s="3">
        <f>IFERROR(__xludf.DUMMYFUNCTION("""COMPUTED_VALUE"""),43265.64583333333)</f>
        <v>43265.64583</v>
      </c>
      <c r="B3406" s="2">
        <f>IFERROR(__xludf.DUMMYFUNCTION("""COMPUTED_VALUE"""),1830.0)</f>
        <v>1830</v>
      </c>
      <c r="C3406" s="2">
        <f>IFERROR(__xludf.DUMMYFUNCTION("""COMPUTED_VALUE"""),1832.3)</f>
        <v>1832.3</v>
      </c>
      <c r="D3406" s="2">
        <f>IFERROR(__xludf.DUMMYFUNCTION("""COMPUTED_VALUE"""),1784.0)</f>
        <v>1784</v>
      </c>
      <c r="E3406" s="2">
        <f>IFERROR(__xludf.DUMMYFUNCTION("""COMPUTED_VALUE"""),1787.55)</f>
        <v>1787.55</v>
      </c>
      <c r="F3406" s="2">
        <f>IFERROR(__xludf.DUMMYFUNCTION("""COMPUTED_VALUE"""),3819998.0)</f>
        <v>3819998</v>
      </c>
    </row>
    <row r="3407">
      <c r="A3407" s="3">
        <f>IFERROR(__xludf.DUMMYFUNCTION("""COMPUTED_VALUE"""),43266.64583333333)</f>
        <v>43266.64583</v>
      </c>
      <c r="B3407" s="2">
        <f>IFERROR(__xludf.DUMMYFUNCTION("""COMPUTED_VALUE"""),1800.0)</f>
        <v>1800</v>
      </c>
      <c r="C3407" s="2">
        <f>IFERROR(__xludf.DUMMYFUNCTION("""COMPUTED_VALUE"""),1847.1)</f>
        <v>1847.1</v>
      </c>
      <c r="D3407" s="2">
        <f>IFERROR(__xludf.DUMMYFUNCTION("""COMPUTED_VALUE"""),1788.6)</f>
        <v>1788.6</v>
      </c>
      <c r="E3407" s="2">
        <f>IFERROR(__xludf.DUMMYFUNCTION("""COMPUTED_VALUE"""),1840.05)</f>
        <v>1840.05</v>
      </c>
      <c r="F3407" s="2">
        <f>IFERROR(__xludf.DUMMYFUNCTION("""COMPUTED_VALUE"""),9183574.0)</f>
        <v>9183574</v>
      </c>
    </row>
    <row r="3408">
      <c r="A3408" s="3">
        <f>IFERROR(__xludf.DUMMYFUNCTION("""COMPUTED_VALUE"""),43269.64583333333)</f>
        <v>43269.64583</v>
      </c>
      <c r="B3408" s="2">
        <f>IFERROR(__xludf.DUMMYFUNCTION("""COMPUTED_VALUE"""),1867.95)</f>
        <v>1867.95</v>
      </c>
      <c r="C3408" s="2">
        <f>IFERROR(__xludf.DUMMYFUNCTION("""COMPUTED_VALUE"""),1867.95)</f>
        <v>1867.95</v>
      </c>
      <c r="D3408" s="2">
        <f>IFERROR(__xludf.DUMMYFUNCTION("""COMPUTED_VALUE"""),1822.15)</f>
        <v>1822.15</v>
      </c>
      <c r="E3408" s="2">
        <f>IFERROR(__xludf.DUMMYFUNCTION("""COMPUTED_VALUE"""),1829.0)</f>
        <v>1829</v>
      </c>
      <c r="F3408" s="2">
        <f>IFERROR(__xludf.DUMMYFUNCTION("""COMPUTED_VALUE"""),4674987.0)</f>
        <v>4674987</v>
      </c>
    </row>
    <row r="3409">
      <c r="A3409" s="3">
        <f>IFERROR(__xludf.DUMMYFUNCTION("""COMPUTED_VALUE"""),43270.64583333333)</f>
        <v>43270.64583</v>
      </c>
      <c r="B3409" s="2">
        <f>IFERROR(__xludf.DUMMYFUNCTION("""COMPUTED_VALUE"""),1822.15)</f>
        <v>1822.15</v>
      </c>
      <c r="C3409" s="2">
        <f>IFERROR(__xludf.DUMMYFUNCTION("""COMPUTED_VALUE"""),1839.0)</f>
        <v>1839</v>
      </c>
      <c r="D3409" s="2">
        <f>IFERROR(__xludf.DUMMYFUNCTION("""COMPUTED_VALUE"""),1821.0)</f>
        <v>1821</v>
      </c>
      <c r="E3409" s="2">
        <f>IFERROR(__xludf.DUMMYFUNCTION("""COMPUTED_VALUE"""),1824.5)</f>
        <v>1824.5</v>
      </c>
      <c r="F3409" s="2">
        <f>IFERROR(__xludf.DUMMYFUNCTION("""COMPUTED_VALUE"""),3245034.0)</f>
        <v>3245034</v>
      </c>
    </row>
    <row r="3410">
      <c r="A3410" s="3">
        <f>IFERROR(__xludf.DUMMYFUNCTION("""COMPUTED_VALUE"""),43271.64583333333)</f>
        <v>43271.64583</v>
      </c>
      <c r="B3410" s="2">
        <f>IFERROR(__xludf.DUMMYFUNCTION("""COMPUTED_VALUE"""),1832.0)</f>
        <v>1832</v>
      </c>
      <c r="C3410" s="2">
        <f>IFERROR(__xludf.DUMMYFUNCTION("""COMPUTED_VALUE"""),1836.3)</f>
        <v>1836.3</v>
      </c>
      <c r="D3410" s="2">
        <f>IFERROR(__xludf.DUMMYFUNCTION("""COMPUTED_VALUE"""),1818.6)</f>
        <v>1818.6</v>
      </c>
      <c r="E3410" s="2">
        <f>IFERROR(__xludf.DUMMYFUNCTION("""COMPUTED_VALUE"""),1822.45)</f>
        <v>1822.45</v>
      </c>
      <c r="F3410" s="2">
        <f>IFERROR(__xludf.DUMMYFUNCTION("""COMPUTED_VALUE"""),3107695.0)</f>
        <v>3107695</v>
      </c>
    </row>
    <row r="3411">
      <c r="A3411" s="3">
        <f>IFERROR(__xludf.DUMMYFUNCTION("""COMPUTED_VALUE"""),43272.64583333333)</f>
        <v>43272.64583</v>
      </c>
      <c r="B3411" s="2">
        <f>IFERROR(__xludf.DUMMYFUNCTION("""COMPUTED_VALUE"""),1832.0)</f>
        <v>1832</v>
      </c>
      <c r="C3411" s="2">
        <f>IFERROR(__xludf.DUMMYFUNCTION("""COMPUTED_VALUE"""),1832.0)</f>
        <v>1832</v>
      </c>
      <c r="D3411" s="2">
        <f>IFERROR(__xludf.DUMMYFUNCTION("""COMPUTED_VALUE"""),1817.6)</f>
        <v>1817.6</v>
      </c>
      <c r="E3411" s="2">
        <f>IFERROR(__xludf.DUMMYFUNCTION("""COMPUTED_VALUE"""),1819.35)</f>
        <v>1819.35</v>
      </c>
      <c r="F3411" s="2">
        <f>IFERROR(__xludf.DUMMYFUNCTION("""COMPUTED_VALUE"""),2910659.0)</f>
        <v>2910659</v>
      </c>
    </row>
    <row r="3412">
      <c r="A3412" s="3">
        <f>IFERROR(__xludf.DUMMYFUNCTION("""COMPUTED_VALUE"""),43273.64583333333)</f>
        <v>43273.64583</v>
      </c>
      <c r="B3412" s="2">
        <f>IFERROR(__xludf.DUMMYFUNCTION("""COMPUTED_VALUE"""),1827.0)</f>
        <v>1827</v>
      </c>
      <c r="C3412" s="2">
        <f>IFERROR(__xludf.DUMMYFUNCTION("""COMPUTED_VALUE"""),1827.0)</f>
        <v>1827</v>
      </c>
      <c r="D3412" s="2">
        <f>IFERROR(__xludf.DUMMYFUNCTION("""COMPUTED_VALUE"""),1799.55)</f>
        <v>1799.55</v>
      </c>
      <c r="E3412" s="2">
        <f>IFERROR(__xludf.DUMMYFUNCTION("""COMPUTED_VALUE"""),1809.8)</f>
        <v>1809.8</v>
      </c>
      <c r="F3412" s="2">
        <f>IFERROR(__xludf.DUMMYFUNCTION("""COMPUTED_VALUE"""),2949458.0)</f>
        <v>2949458</v>
      </c>
    </row>
    <row r="3413">
      <c r="A3413" s="3">
        <f>IFERROR(__xludf.DUMMYFUNCTION("""COMPUTED_VALUE"""),43276.64583333333)</f>
        <v>43276.64583</v>
      </c>
      <c r="B3413" s="2">
        <f>IFERROR(__xludf.DUMMYFUNCTION("""COMPUTED_VALUE"""),1811.9)</f>
        <v>1811.9</v>
      </c>
      <c r="C3413" s="2">
        <f>IFERROR(__xludf.DUMMYFUNCTION("""COMPUTED_VALUE"""),1822.35)</f>
        <v>1822.35</v>
      </c>
      <c r="D3413" s="2">
        <f>IFERROR(__xludf.DUMMYFUNCTION("""COMPUTED_VALUE"""),1806.0)</f>
        <v>1806</v>
      </c>
      <c r="E3413" s="2">
        <f>IFERROR(__xludf.DUMMYFUNCTION("""COMPUTED_VALUE"""),1819.25)</f>
        <v>1819.25</v>
      </c>
      <c r="F3413" s="2">
        <f>IFERROR(__xludf.DUMMYFUNCTION("""COMPUTED_VALUE"""),2083217.0)</f>
        <v>2083217</v>
      </c>
    </row>
    <row r="3414">
      <c r="A3414" s="3">
        <f>IFERROR(__xludf.DUMMYFUNCTION("""COMPUTED_VALUE"""),43277.64583333333)</f>
        <v>43277.64583</v>
      </c>
      <c r="B3414" s="2">
        <f>IFERROR(__xludf.DUMMYFUNCTION("""COMPUTED_VALUE"""),1823.0)</f>
        <v>1823</v>
      </c>
      <c r="C3414" s="2">
        <f>IFERROR(__xludf.DUMMYFUNCTION("""COMPUTED_VALUE"""),1861.0)</f>
        <v>1861</v>
      </c>
      <c r="D3414" s="2">
        <f>IFERROR(__xludf.DUMMYFUNCTION("""COMPUTED_VALUE"""),1821.0)</f>
        <v>1821</v>
      </c>
      <c r="E3414" s="2">
        <f>IFERROR(__xludf.DUMMYFUNCTION("""COMPUTED_VALUE"""),1852.0)</f>
        <v>1852</v>
      </c>
      <c r="F3414" s="2">
        <f>IFERROR(__xludf.DUMMYFUNCTION("""COMPUTED_VALUE"""),4679712.0)</f>
        <v>4679712</v>
      </c>
    </row>
    <row r="3415">
      <c r="A3415" s="3">
        <f>IFERROR(__xludf.DUMMYFUNCTION("""COMPUTED_VALUE"""),43278.64583333333)</f>
        <v>43278.64583</v>
      </c>
      <c r="B3415" s="2">
        <f>IFERROR(__xludf.DUMMYFUNCTION("""COMPUTED_VALUE"""),1860.0)</f>
        <v>1860</v>
      </c>
      <c r="C3415" s="2">
        <f>IFERROR(__xludf.DUMMYFUNCTION("""COMPUTED_VALUE"""),1885.15)</f>
        <v>1885.15</v>
      </c>
      <c r="D3415" s="2">
        <f>IFERROR(__xludf.DUMMYFUNCTION("""COMPUTED_VALUE"""),1851.25)</f>
        <v>1851.25</v>
      </c>
      <c r="E3415" s="2">
        <f>IFERROR(__xludf.DUMMYFUNCTION("""COMPUTED_VALUE"""),1858.0)</f>
        <v>1858</v>
      </c>
      <c r="F3415" s="2">
        <f>IFERROR(__xludf.DUMMYFUNCTION("""COMPUTED_VALUE"""),4081208.0)</f>
        <v>4081208</v>
      </c>
    </row>
    <row r="3416">
      <c r="A3416" s="3">
        <f>IFERROR(__xludf.DUMMYFUNCTION("""COMPUTED_VALUE"""),43279.64583333333)</f>
        <v>43279.64583</v>
      </c>
      <c r="B3416" s="2">
        <f>IFERROR(__xludf.DUMMYFUNCTION("""COMPUTED_VALUE"""),1865.0)</f>
        <v>1865</v>
      </c>
      <c r="C3416" s="2">
        <f>IFERROR(__xludf.DUMMYFUNCTION("""COMPUTED_VALUE"""),1871.0)</f>
        <v>1871</v>
      </c>
      <c r="D3416" s="2">
        <f>IFERROR(__xludf.DUMMYFUNCTION("""COMPUTED_VALUE"""),1826.3)</f>
        <v>1826.3</v>
      </c>
      <c r="E3416" s="2">
        <f>IFERROR(__xludf.DUMMYFUNCTION("""COMPUTED_VALUE"""),1842.7)</f>
        <v>1842.7</v>
      </c>
      <c r="F3416" s="2">
        <f>IFERROR(__xludf.DUMMYFUNCTION("""COMPUTED_VALUE"""),4888125.0)</f>
        <v>4888125</v>
      </c>
    </row>
    <row r="3417">
      <c r="A3417" s="3">
        <f>IFERROR(__xludf.DUMMYFUNCTION("""COMPUTED_VALUE"""),43280.64583333333)</f>
        <v>43280.64583</v>
      </c>
      <c r="B3417" s="2">
        <f>IFERROR(__xludf.DUMMYFUNCTION("""COMPUTED_VALUE"""),1844.9)</f>
        <v>1844.9</v>
      </c>
      <c r="C3417" s="2">
        <f>IFERROR(__xludf.DUMMYFUNCTION("""COMPUTED_VALUE"""),1867.4)</f>
        <v>1867.4</v>
      </c>
      <c r="D3417" s="2">
        <f>IFERROR(__xludf.DUMMYFUNCTION("""COMPUTED_VALUE"""),1842.3)</f>
        <v>1842.3</v>
      </c>
      <c r="E3417" s="2">
        <f>IFERROR(__xludf.DUMMYFUNCTION("""COMPUTED_VALUE"""),1847.75)</f>
        <v>1847.75</v>
      </c>
      <c r="F3417" s="2">
        <f>IFERROR(__xludf.DUMMYFUNCTION("""COMPUTED_VALUE"""),3506276.0)</f>
        <v>3506276</v>
      </c>
    </row>
    <row r="3418">
      <c r="A3418" s="3">
        <f>IFERROR(__xludf.DUMMYFUNCTION("""COMPUTED_VALUE"""),43283.64583333333)</f>
        <v>43283.64583</v>
      </c>
      <c r="B3418" s="2">
        <f>IFERROR(__xludf.DUMMYFUNCTION("""COMPUTED_VALUE"""),1852.0)</f>
        <v>1852</v>
      </c>
      <c r="C3418" s="2">
        <f>IFERROR(__xludf.DUMMYFUNCTION("""COMPUTED_VALUE"""),1857.8)</f>
        <v>1857.8</v>
      </c>
      <c r="D3418" s="2">
        <f>IFERROR(__xludf.DUMMYFUNCTION("""COMPUTED_VALUE"""),1841.1)</f>
        <v>1841.1</v>
      </c>
      <c r="E3418" s="2">
        <f>IFERROR(__xludf.DUMMYFUNCTION("""COMPUTED_VALUE"""),1851.35)</f>
        <v>1851.35</v>
      </c>
      <c r="F3418" s="2">
        <f>IFERROR(__xludf.DUMMYFUNCTION("""COMPUTED_VALUE"""),2650290.0)</f>
        <v>2650290</v>
      </c>
    </row>
    <row r="3419">
      <c r="A3419" s="3">
        <f>IFERROR(__xludf.DUMMYFUNCTION("""COMPUTED_VALUE"""),43284.64583333333)</f>
        <v>43284.64583</v>
      </c>
      <c r="B3419" s="2">
        <f>IFERROR(__xludf.DUMMYFUNCTION("""COMPUTED_VALUE"""),1859.95)</f>
        <v>1859.95</v>
      </c>
      <c r="C3419" s="2">
        <f>IFERROR(__xludf.DUMMYFUNCTION("""COMPUTED_VALUE"""),1879.9)</f>
        <v>1879.9</v>
      </c>
      <c r="D3419" s="2">
        <f>IFERROR(__xludf.DUMMYFUNCTION("""COMPUTED_VALUE"""),1857.05)</f>
        <v>1857.05</v>
      </c>
      <c r="E3419" s="2">
        <f>IFERROR(__xludf.DUMMYFUNCTION("""COMPUTED_VALUE"""),1874.05)</f>
        <v>1874.05</v>
      </c>
      <c r="F3419" s="2">
        <f>IFERROR(__xludf.DUMMYFUNCTION("""COMPUTED_VALUE"""),3242233.0)</f>
        <v>3242233</v>
      </c>
    </row>
    <row r="3420">
      <c r="A3420" s="3">
        <f>IFERROR(__xludf.DUMMYFUNCTION("""COMPUTED_VALUE"""),43285.64583333333)</f>
        <v>43285.64583</v>
      </c>
      <c r="B3420" s="2">
        <f>IFERROR(__xludf.DUMMYFUNCTION("""COMPUTED_VALUE"""),1879.9)</f>
        <v>1879.9</v>
      </c>
      <c r="C3420" s="2">
        <f>IFERROR(__xludf.DUMMYFUNCTION("""COMPUTED_VALUE"""),1879.9)</f>
        <v>1879.9</v>
      </c>
      <c r="D3420" s="2">
        <f>IFERROR(__xludf.DUMMYFUNCTION("""COMPUTED_VALUE"""),1857.15)</f>
        <v>1857.15</v>
      </c>
      <c r="E3420" s="2">
        <f>IFERROR(__xludf.DUMMYFUNCTION("""COMPUTED_VALUE"""),1866.15)</f>
        <v>1866.15</v>
      </c>
      <c r="F3420" s="2">
        <f>IFERROR(__xludf.DUMMYFUNCTION("""COMPUTED_VALUE"""),2700614.0)</f>
        <v>2700614</v>
      </c>
    </row>
    <row r="3421">
      <c r="A3421" s="3">
        <f>IFERROR(__xludf.DUMMYFUNCTION("""COMPUTED_VALUE"""),43286.64583333333)</f>
        <v>43286.64583</v>
      </c>
      <c r="B3421" s="2">
        <f>IFERROR(__xludf.DUMMYFUNCTION("""COMPUTED_VALUE"""),1873.0)</f>
        <v>1873</v>
      </c>
      <c r="C3421" s="2">
        <f>IFERROR(__xludf.DUMMYFUNCTION("""COMPUTED_VALUE"""),1887.5)</f>
        <v>1887.5</v>
      </c>
      <c r="D3421" s="2">
        <f>IFERROR(__xludf.DUMMYFUNCTION("""COMPUTED_VALUE"""),1862.1)</f>
        <v>1862.1</v>
      </c>
      <c r="E3421" s="2">
        <f>IFERROR(__xludf.DUMMYFUNCTION("""COMPUTED_VALUE"""),1880.3)</f>
        <v>1880.3</v>
      </c>
      <c r="F3421" s="2">
        <f>IFERROR(__xludf.DUMMYFUNCTION("""COMPUTED_VALUE"""),2472571.0)</f>
        <v>2472571</v>
      </c>
    </row>
    <row r="3422">
      <c r="A3422" s="3">
        <f>IFERROR(__xludf.DUMMYFUNCTION("""COMPUTED_VALUE"""),43287.64583333333)</f>
        <v>43287.64583</v>
      </c>
      <c r="B3422" s="2">
        <f>IFERROR(__xludf.DUMMYFUNCTION("""COMPUTED_VALUE"""),1882.85)</f>
        <v>1882.85</v>
      </c>
      <c r="C3422" s="2">
        <f>IFERROR(__xludf.DUMMYFUNCTION("""COMPUTED_VALUE"""),1921.0)</f>
        <v>1921</v>
      </c>
      <c r="D3422" s="2">
        <f>IFERROR(__xludf.DUMMYFUNCTION("""COMPUTED_VALUE"""),1881.65)</f>
        <v>1881.65</v>
      </c>
      <c r="E3422" s="2">
        <f>IFERROR(__xludf.DUMMYFUNCTION("""COMPUTED_VALUE"""),1912.95)</f>
        <v>1912.95</v>
      </c>
      <c r="F3422" s="2">
        <f>IFERROR(__xludf.DUMMYFUNCTION("""COMPUTED_VALUE"""),3713781.0)</f>
        <v>3713781</v>
      </c>
    </row>
    <row r="3423">
      <c r="A3423" s="3">
        <f>IFERROR(__xludf.DUMMYFUNCTION("""COMPUTED_VALUE"""),43290.64583333333)</f>
        <v>43290.64583</v>
      </c>
      <c r="B3423" s="2">
        <f>IFERROR(__xludf.DUMMYFUNCTION("""COMPUTED_VALUE"""),1924.0)</f>
        <v>1924</v>
      </c>
      <c r="C3423" s="2">
        <f>IFERROR(__xludf.DUMMYFUNCTION("""COMPUTED_VALUE"""),1924.4)</f>
        <v>1924.4</v>
      </c>
      <c r="D3423" s="2">
        <f>IFERROR(__xludf.DUMMYFUNCTION("""COMPUTED_VALUE"""),1876.5)</f>
        <v>1876.5</v>
      </c>
      <c r="E3423" s="2">
        <f>IFERROR(__xludf.DUMMYFUNCTION("""COMPUTED_VALUE"""),1883.0)</f>
        <v>1883</v>
      </c>
      <c r="F3423" s="2">
        <f>IFERROR(__xludf.DUMMYFUNCTION("""COMPUTED_VALUE"""),6151747.0)</f>
        <v>6151747</v>
      </c>
    </row>
    <row r="3424">
      <c r="A3424" s="3">
        <f>IFERROR(__xludf.DUMMYFUNCTION("""COMPUTED_VALUE"""),43291.64583333333)</f>
        <v>43291.64583</v>
      </c>
      <c r="B3424" s="2">
        <f>IFERROR(__xludf.DUMMYFUNCTION("""COMPUTED_VALUE"""),1898.0)</f>
        <v>1898</v>
      </c>
      <c r="C3424" s="2">
        <f>IFERROR(__xludf.DUMMYFUNCTION("""COMPUTED_VALUE"""),1898.9)</f>
        <v>1898.9</v>
      </c>
      <c r="D3424" s="2">
        <f>IFERROR(__xludf.DUMMYFUNCTION("""COMPUTED_VALUE"""),1870.75)</f>
        <v>1870.75</v>
      </c>
      <c r="E3424" s="2">
        <f>IFERROR(__xludf.DUMMYFUNCTION("""COMPUTED_VALUE"""),1875.1)</f>
        <v>1875.1</v>
      </c>
      <c r="F3424" s="2">
        <f>IFERROR(__xludf.DUMMYFUNCTION("""COMPUTED_VALUE"""),5303302.0)</f>
        <v>5303302</v>
      </c>
    </row>
    <row r="3425">
      <c r="A3425" s="3">
        <f>IFERROR(__xludf.DUMMYFUNCTION("""COMPUTED_VALUE"""),43292.64583333333)</f>
        <v>43292.64583</v>
      </c>
      <c r="B3425" s="2">
        <f>IFERROR(__xludf.DUMMYFUNCTION("""COMPUTED_VALUE"""),1900.0)</f>
        <v>1900</v>
      </c>
      <c r="C3425" s="2">
        <f>IFERROR(__xludf.DUMMYFUNCTION("""COMPUTED_VALUE"""),1998.0)</f>
        <v>1998</v>
      </c>
      <c r="D3425" s="2">
        <f>IFERROR(__xludf.DUMMYFUNCTION("""COMPUTED_VALUE"""),1894.15)</f>
        <v>1894.15</v>
      </c>
      <c r="E3425" s="2">
        <f>IFERROR(__xludf.DUMMYFUNCTION("""COMPUTED_VALUE"""),1979.9)</f>
        <v>1979.9</v>
      </c>
      <c r="F3425" s="2">
        <f>IFERROR(__xludf.DUMMYFUNCTION("""COMPUTED_VALUE"""),2.2903802E7)</f>
        <v>22903802</v>
      </c>
    </row>
    <row r="3426">
      <c r="A3426" s="3">
        <f>IFERROR(__xludf.DUMMYFUNCTION("""COMPUTED_VALUE"""),43293.64583333333)</f>
        <v>43293.64583</v>
      </c>
      <c r="B3426" s="2">
        <f>IFERROR(__xludf.DUMMYFUNCTION("""COMPUTED_VALUE"""),1984.0)</f>
        <v>1984</v>
      </c>
      <c r="C3426" s="2">
        <f>IFERROR(__xludf.DUMMYFUNCTION("""COMPUTED_VALUE"""),1990.9)</f>
        <v>1990.9</v>
      </c>
      <c r="D3426" s="2">
        <f>IFERROR(__xludf.DUMMYFUNCTION("""COMPUTED_VALUE"""),1960.5)</f>
        <v>1960.5</v>
      </c>
      <c r="E3426" s="2">
        <f>IFERROR(__xludf.DUMMYFUNCTION("""COMPUTED_VALUE"""),1971.35)</f>
        <v>1971.35</v>
      </c>
      <c r="F3426" s="2">
        <f>IFERROR(__xludf.DUMMYFUNCTION("""COMPUTED_VALUE"""),6921701.0)</f>
        <v>6921701</v>
      </c>
    </row>
    <row r="3427">
      <c r="A3427" s="3">
        <f>IFERROR(__xludf.DUMMYFUNCTION("""COMPUTED_VALUE"""),43294.64583333333)</f>
        <v>43294.64583</v>
      </c>
      <c r="B3427" s="2">
        <f>IFERROR(__xludf.DUMMYFUNCTION("""COMPUTED_VALUE"""),1975.0)</f>
        <v>1975</v>
      </c>
      <c r="C3427" s="2">
        <f>IFERROR(__xludf.DUMMYFUNCTION("""COMPUTED_VALUE"""),1997.9)</f>
        <v>1997.9</v>
      </c>
      <c r="D3427" s="2">
        <f>IFERROR(__xludf.DUMMYFUNCTION("""COMPUTED_VALUE"""),1974.0)</f>
        <v>1974</v>
      </c>
      <c r="E3427" s="2">
        <f>IFERROR(__xludf.DUMMYFUNCTION("""COMPUTED_VALUE"""),1981.1)</f>
        <v>1981.1</v>
      </c>
      <c r="F3427" s="2">
        <f>IFERROR(__xludf.DUMMYFUNCTION("""COMPUTED_VALUE"""),4148185.0)</f>
        <v>4148185</v>
      </c>
    </row>
    <row r="3428">
      <c r="A3428" s="3">
        <f>IFERROR(__xludf.DUMMYFUNCTION("""COMPUTED_VALUE"""),43297.64583333333)</f>
        <v>43297.64583</v>
      </c>
      <c r="B3428" s="2">
        <f>IFERROR(__xludf.DUMMYFUNCTION("""COMPUTED_VALUE"""),1990.0)</f>
        <v>1990</v>
      </c>
      <c r="C3428" s="2">
        <f>IFERROR(__xludf.DUMMYFUNCTION("""COMPUTED_VALUE"""),1996.0)</f>
        <v>1996</v>
      </c>
      <c r="D3428" s="2">
        <f>IFERROR(__xludf.DUMMYFUNCTION("""COMPUTED_VALUE"""),1977.45)</f>
        <v>1977.45</v>
      </c>
      <c r="E3428" s="2">
        <f>IFERROR(__xludf.DUMMYFUNCTION("""COMPUTED_VALUE"""),1989.2)</f>
        <v>1989.2</v>
      </c>
      <c r="F3428" s="2">
        <f>IFERROR(__xludf.DUMMYFUNCTION("""COMPUTED_VALUE"""),2582159.0)</f>
        <v>2582159</v>
      </c>
    </row>
    <row r="3429">
      <c r="A3429" s="3">
        <f>IFERROR(__xludf.DUMMYFUNCTION("""COMPUTED_VALUE"""),43298.64583333333)</f>
        <v>43298.64583</v>
      </c>
      <c r="B3429" s="2">
        <f>IFERROR(__xludf.DUMMYFUNCTION("""COMPUTED_VALUE"""),1989.0)</f>
        <v>1989</v>
      </c>
      <c r="C3429" s="2">
        <f>IFERROR(__xludf.DUMMYFUNCTION("""COMPUTED_VALUE"""),2009.0)</f>
        <v>2009</v>
      </c>
      <c r="D3429" s="2">
        <f>IFERROR(__xludf.DUMMYFUNCTION("""COMPUTED_VALUE"""),1981.0)</f>
        <v>1981</v>
      </c>
      <c r="E3429" s="2">
        <f>IFERROR(__xludf.DUMMYFUNCTION("""COMPUTED_VALUE"""),2002.15)</f>
        <v>2002.15</v>
      </c>
      <c r="F3429" s="2">
        <f>IFERROR(__xludf.DUMMYFUNCTION("""COMPUTED_VALUE"""),3315492.0)</f>
        <v>3315492</v>
      </c>
    </row>
    <row r="3430">
      <c r="A3430" s="3">
        <f>IFERROR(__xludf.DUMMYFUNCTION("""COMPUTED_VALUE"""),43299.64583333333)</f>
        <v>43299.64583</v>
      </c>
      <c r="B3430" s="2">
        <f>IFERROR(__xludf.DUMMYFUNCTION("""COMPUTED_VALUE"""),2005.0)</f>
        <v>2005</v>
      </c>
      <c r="C3430" s="2">
        <f>IFERROR(__xludf.DUMMYFUNCTION("""COMPUTED_VALUE"""),2011.7)</f>
        <v>2011.7</v>
      </c>
      <c r="D3430" s="2">
        <f>IFERROR(__xludf.DUMMYFUNCTION("""COMPUTED_VALUE"""),1993.05)</f>
        <v>1993.05</v>
      </c>
      <c r="E3430" s="2">
        <f>IFERROR(__xludf.DUMMYFUNCTION("""COMPUTED_VALUE"""),2000.25)</f>
        <v>2000.25</v>
      </c>
      <c r="F3430" s="2">
        <f>IFERROR(__xludf.DUMMYFUNCTION("""COMPUTED_VALUE"""),2013869.0)</f>
        <v>2013869</v>
      </c>
    </row>
    <row r="3431">
      <c r="A3431" s="3">
        <f>IFERROR(__xludf.DUMMYFUNCTION("""COMPUTED_VALUE"""),43300.64583333333)</f>
        <v>43300.64583</v>
      </c>
      <c r="B3431" s="2">
        <f>IFERROR(__xludf.DUMMYFUNCTION("""COMPUTED_VALUE"""),2002.1)</f>
        <v>2002.1</v>
      </c>
      <c r="C3431" s="2">
        <f>IFERROR(__xludf.DUMMYFUNCTION("""COMPUTED_VALUE"""),2010.45)</f>
        <v>2010.45</v>
      </c>
      <c r="D3431" s="2">
        <f>IFERROR(__xludf.DUMMYFUNCTION("""COMPUTED_VALUE"""),1970.0)</f>
        <v>1970</v>
      </c>
      <c r="E3431" s="2">
        <f>IFERROR(__xludf.DUMMYFUNCTION("""COMPUTED_VALUE"""),1981.4)</f>
        <v>1981.4</v>
      </c>
      <c r="F3431" s="2">
        <f>IFERROR(__xludf.DUMMYFUNCTION("""COMPUTED_VALUE"""),1746318.0)</f>
        <v>1746318</v>
      </c>
    </row>
    <row r="3432">
      <c r="A3432" s="3">
        <f>IFERROR(__xludf.DUMMYFUNCTION("""COMPUTED_VALUE"""),43301.64583333333)</f>
        <v>43301.64583</v>
      </c>
      <c r="B3432" s="2">
        <f>IFERROR(__xludf.DUMMYFUNCTION("""COMPUTED_VALUE"""),1984.9)</f>
        <v>1984.9</v>
      </c>
      <c r="C3432" s="2">
        <f>IFERROR(__xludf.DUMMYFUNCTION("""COMPUTED_VALUE"""),2000.0)</f>
        <v>2000</v>
      </c>
      <c r="D3432" s="2">
        <f>IFERROR(__xludf.DUMMYFUNCTION("""COMPUTED_VALUE"""),1984.0)</f>
        <v>1984</v>
      </c>
      <c r="E3432" s="2">
        <f>IFERROR(__xludf.DUMMYFUNCTION("""COMPUTED_VALUE"""),1996.6)</f>
        <v>1996.6</v>
      </c>
      <c r="F3432" s="2">
        <f>IFERROR(__xludf.DUMMYFUNCTION("""COMPUTED_VALUE"""),1934995.0)</f>
        <v>1934995</v>
      </c>
    </row>
    <row r="3433">
      <c r="A3433" s="3">
        <f>IFERROR(__xludf.DUMMYFUNCTION("""COMPUTED_VALUE"""),43304.64583333333)</f>
        <v>43304.64583</v>
      </c>
      <c r="B3433" s="2">
        <f>IFERROR(__xludf.DUMMYFUNCTION("""COMPUTED_VALUE"""),2001.0)</f>
        <v>2001</v>
      </c>
      <c r="C3433" s="2">
        <f>IFERROR(__xludf.DUMMYFUNCTION("""COMPUTED_VALUE"""),2009.95)</f>
        <v>2009.95</v>
      </c>
      <c r="D3433" s="2">
        <f>IFERROR(__xludf.DUMMYFUNCTION("""COMPUTED_VALUE"""),1986.0)</f>
        <v>1986</v>
      </c>
      <c r="E3433" s="2">
        <f>IFERROR(__xludf.DUMMYFUNCTION("""COMPUTED_VALUE"""),2005.65)</f>
        <v>2005.65</v>
      </c>
      <c r="F3433" s="2">
        <f>IFERROR(__xludf.DUMMYFUNCTION("""COMPUTED_VALUE"""),2086201.0)</f>
        <v>2086201</v>
      </c>
    </row>
    <row r="3434">
      <c r="A3434" s="3">
        <f>IFERROR(__xludf.DUMMYFUNCTION("""COMPUTED_VALUE"""),43305.64583333333)</f>
        <v>43305.64583</v>
      </c>
      <c r="B3434" s="2">
        <f>IFERROR(__xludf.DUMMYFUNCTION("""COMPUTED_VALUE"""),2015.0)</f>
        <v>2015</v>
      </c>
      <c r="C3434" s="2">
        <f>IFERROR(__xludf.DUMMYFUNCTION("""COMPUTED_VALUE"""),2015.0)</f>
        <v>2015</v>
      </c>
      <c r="D3434" s="2">
        <f>IFERROR(__xludf.DUMMYFUNCTION("""COMPUTED_VALUE"""),1984.15)</f>
        <v>1984.15</v>
      </c>
      <c r="E3434" s="2">
        <f>IFERROR(__xludf.DUMMYFUNCTION("""COMPUTED_VALUE"""),1999.0)</f>
        <v>1999</v>
      </c>
      <c r="F3434" s="2">
        <f>IFERROR(__xludf.DUMMYFUNCTION("""COMPUTED_VALUE"""),2038423.0)</f>
        <v>2038423</v>
      </c>
    </row>
    <row r="3435">
      <c r="A3435" s="3">
        <f>IFERROR(__xludf.DUMMYFUNCTION("""COMPUTED_VALUE"""),43306.64583333333)</f>
        <v>43306.64583</v>
      </c>
      <c r="B3435" s="2">
        <f>IFERROR(__xludf.DUMMYFUNCTION("""COMPUTED_VALUE"""),2001.9)</f>
        <v>2001.9</v>
      </c>
      <c r="C3435" s="2">
        <f>IFERROR(__xludf.DUMMYFUNCTION("""COMPUTED_VALUE"""),2002.0)</f>
        <v>2002</v>
      </c>
      <c r="D3435" s="2">
        <f>IFERROR(__xludf.DUMMYFUNCTION("""COMPUTED_VALUE"""),1968.4)</f>
        <v>1968.4</v>
      </c>
      <c r="E3435" s="2">
        <f>IFERROR(__xludf.DUMMYFUNCTION("""COMPUTED_VALUE"""),1981.5)</f>
        <v>1981.5</v>
      </c>
      <c r="F3435" s="2">
        <f>IFERROR(__xludf.DUMMYFUNCTION("""COMPUTED_VALUE"""),1535492.0)</f>
        <v>1535492</v>
      </c>
    </row>
    <row r="3436">
      <c r="A3436" s="3">
        <f>IFERROR(__xludf.DUMMYFUNCTION("""COMPUTED_VALUE"""),43307.64583333333)</f>
        <v>43307.64583</v>
      </c>
      <c r="B3436" s="2">
        <f>IFERROR(__xludf.DUMMYFUNCTION("""COMPUTED_VALUE"""),1974.95)</f>
        <v>1974.95</v>
      </c>
      <c r="C3436" s="2">
        <f>IFERROR(__xludf.DUMMYFUNCTION("""COMPUTED_VALUE"""),1985.0)</f>
        <v>1985</v>
      </c>
      <c r="D3436" s="2">
        <f>IFERROR(__xludf.DUMMYFUNCTION("""COMPUTED_VALUE"""),1955.1)</f>
        <v>1955.1</v>
      </c>
      <c r="E3436" s="2">
        <f>IFERROR(__xludf.DUMMYFUNCTION("""COMPUTED_VALUE"""),1964.7)</f>
        <v>1964.7</v>
      </c>
      <c r="F3436" s="2">
        <f>IFERROR(__xludf.DUMMYFUNCTION("""COMPUTED_VALUE"""),3503036.0)</f>
        <v>3503036</v>
      </c>
    </row>
    <row r="3437">
      <c r="A3437" s="3">
        <f>IFERROR(__xludf.DUMMYFUNCTION("""COMPUTED_VALUE"""),43308.64583333333)</f>
        <v>43308.64583</v>
      </c>
      <c r="B3437" s="2">
        <f>IFERROR(__xludf.DUMMYFUNCTION("""COMPUTED_VALUE"""),1960.85)</f>
        <v>1960.85</v>
      </c>
      <c r="C3437" s="2">
        <f>IFERROR(__xludf.DUMMYFUNCTION("""COMPUTED_VALUE"""),1964.65)</f>
        <v>1964.65</v>
      </c>
      <c r="D3437" s="2">
        <f>IFERROR(__xludf.DUMMYFUNCTION("""COMPUTED_VALUE"""),1940.3)</f>
        <v>1940.3</v>
      </c>
      <c r="E3437" s="2">
        <f>IFERROR(__xludf.DUMMYFUNCTION("""COMPUTED_VALUE"""),1943.75)</f>
        <v>1943.75</v>
      </c>
      <c r="F3437" s="2">
        <f>IFERROR(__xludf.DUMMYFUNCTION("""COMPUTED_VALUE"""),2033977.0)</f>
        <v>2033977</v>
      </c>
    </row>
    <row r="3438">
      <c r="A3438" s="3">
        <f>IFERROR(__xludf.DUMMYFUNCTION("""COMPUTED_VALUE"""),43311.64583333333)</f>
        <v>43311.64583</v>
      </c>
      <c r="B3438" s="2">
        <f>IFERROR(__xludf.DUMMYFUNCTION("""COMPUTED_VALUE"""),1943.0)</f>
        <v>1943</v>
      </c>
      <c r="C3438" s="2">
        <f>IFERROR(__xludf.DUMMYFUNCTION("""COMPUTED_VALUE"""),1954.7)</f>
        <v>1954.7</v>
      </c>
      <c r="D3438" s="2">
        <f>IFERROR(__xludf.DUMMYFUNCTION("""COMPUTED_VALUE"""),1931.55)</f>
        <v>1931.55</v>
      </c>
      <c r="E3438" s="2">
        <f>IFERROR(__xludf.DUMMYFUNCTION("""COMPUTED_VALUE"""),1944.6)</f>
        <v>1944.6</v>
      </c>
      <c r="F3438" s="2">
        <f>IFERROR(__xludf.DUMMYFUNCTION("""COMPUTED_VALUE"""),1579251.0)</f>
        <v>1579251</v>
      </c>
    </row>
    <row r="3439">
      <c r="A3439" s="3">
        <f>IFERROR(__xludf.DUMMYFUNCTION("""COMPUTED_VALUE"""),43312.64583333333)</f>
        <v>43312.64583</v>
      </c>
      <c r="B3439" s="2">
        <f>IFERROR(__xludf.DUMMYFUNCTION("""COMPUTED_VALUE"""),1942.0)</f>
        <v>1942</v>
      </c>
      <c r="C3439" s="2">
        <f>IFERROR(__xludf.DUMMYFUNCTION("""COMPUTED_VALUE"""),1947.0)</f>
        <v>1947</v>
      </c>
      <c r="D3439" s="2">
        <f>IFERROR(__xludf.DUMMYFUNCTION("""COMPUTED_VALUE"""),1928.0)</f>
        <v>1928</v>
      </c>
      <c r="E3439" s="2">
        <f>IFERROR(__xludf.DUMMYFUNCTION("""COMPUTED_VALUE"""),1940.2)</f>
        <v>1940.2</v>
      </c>
      <c r="F3439" s="2">
        <f>IFERROR(__xludf.DUMMYFUNCTION("""COMPUTED_VALUE"""),2204803.0)</f>
        <v>2204803</v>
      </c>
    </row>
    <row r="3440">
      <c r="A3440" s="3">
        <f>IFERROR(__xludf.DUMMYFUNCTION("""COMPUTED_VALUE"""),43313.64583333333)</f>
        <v>43313.64583</v>
      </c>
      <c r="B3440" s="2">
        <f>IFERROR(__xludf.DUMMYFUNCTION("""COMPUTED_VALUE"""),1949.95)</f>
        <v>1949.95</v>
      </c>
      <c r="C3440" s="2">
        <f>IFERROR(__xludf.DUMMYFUNCTION("""COMPUTED_VALUE"""),1981.55)</f>
        <v>1981.55</v>
      </c>
      <c r="D3440" s="2">
        <f>IFERROR(__xludf.DUMMYFUNCTION("""COMPUTED_VALUE"""),1949.8)</f>
        <v>1949.8</v>
      </c>
      <c r="E3440" s="2">
        <f>IFERROR(__xludf.DUMMYFUNCTION("""COMPUTED_VALUE"""),1976.5)</f>
        <v>1976.5</v>
      </c>
      <c r="F3440" s="2">
        <f>IFERROR(__xludf.DUMMYFUNCTION("""COMPUTED_VALUE"""),2425180.0)</f>
        <v>2425180</v>
      </c>
    </row>
    <row r="3441">
      <c r="A3441" s="3">
        <f>IFERROR(__xludf.DUMMYFUNCTION("""COMPUTED_VALUE"""),43314.64583333333)</f>
        <v>43314.64583</v>
      </c>
      <c r="B3441" s="2">
        <f>IFERROR(__xludf.DUMMYFUNCTION("""COMPUTED_VALUE"""),1980.0)</f>
        <v>1980</v>
      </c>
      <c r="C3441" s="2">
        <f>IFERROR(__xludf.DUMMYFUNCTION("""COMPUTED_VALUE"""),1985.0)</f>
        <v>1985</v>
      </c>
      <c r="D3441" s="2">
        <f>IFERROR(__xludf.DUMMYFUNCTION("""COMPUTED_VALUE"""),1945.0)</f>
        <v>1945</v>
      </c>
      <c r="E3441" s="2">
        <f>IFERROR(__xludf.DUMMYFUNCTION("""COMPUTED_VALUE"""),1948.4)</f>
        <v>1948.4</v>
      </c>
      <c r="F3441" s="2">
        <f>IFERROR(__xludf.DUMMYFUNCTION("""COMPUTED_VALUE"""),1509287.0)</f>
        <v>1509287</v>
      </c>
    </row>
    <row r="3442">
      <c r="A3442" s="3">
        <f>IFERROR(__xludf.DUMMYFUNCTION("""COMPUTED_VALUE"""),43315.64583333333)</f>
        <v>43315.64583</v>
      </c>
      <c r="B3442" s="2">
        <f>IFERROR(__xludf.DUMMYFUNCTION("""COMPUTED_VALUE"""),1956.5)</f>
        <v>1956.5</v>
      </c>
      <c r="C3442" s="2">
        <f>IFERROR(__xludf.DUMMYFUNCTION("""COMPUTED_VALUE"""),1982.05)</f>
        <v>1982.05</v>
      </c>
      <c r="D3442" s="2">
        <f>IFERROR(__xludf.DUMMYFUNCTION("""COMPUTED_VALUE"""),1956.5)</f>
        <v>1956.5</v>
      </c>
      <c r="E3442" s="2">
        <f>IFERROR(__xludf.DUMMYFUNCTION("""COMPUTED_VALUE"""),1979.45)</f>
        <v>1979.45</v>
      </c>
      <c r="F3442" s="2">
        <f>IFERROR(__xludf.DUMMYFUNCTION("""COMPUTED_VALUE"""),1505131.0)</f>
        <v>1505131</v>
      </c>
    </row>
    <row r="3443">
      <c r="A3443" s="3">
        <f>IFERROR(__xludf.DUMMYFUNCTION("""COMPUTED_VALUE"""),43318.64583333333)</f>
        <v>43318.64583</v>
      </c>
      <c r="B3443" s="2">
        <f>IFERROR(__xludf.DUMMYFUNCTION("""COMPUTED_VALUE"""),1997.0)</f>
        <v>1997</v>
      </c>
      <c r="C3443" s="2">
        <f>IFERROR(__xludf.DUMMYFUNCTION("""COMPUTED_VALUE"""),1998.95)</f>
        <v>1998.95</v>
      </c>
      <c r="D3443" s="2">
        <f>IFERROR(__xludf.DUMMYFUNCTION("""COMPUTED_VALUE"""),1972.25)</f>
        <v>1972.25</v>
      </c>
      <c r="E3443" s="2">
        <f>IFERROR(__xludf.DUMMYFUNCTION("""COMPUTED_VALUE"""),1975.55)</f>
        <v>1975.55</v>
      </c>
      <c r="F3443" s="2">
        <f>IFERROR(__xludf.DUMMYFUNCTION("""COMPUTED_VALUE"""),1532249.0)</f>
        <v>1532249</v>
      </c>
    </row>
    <row r="3444">
      <c r="A3444" s="3">
        <f>IFERROR(__xludf.DUMMYFUNCTION("""COMPUTED_VALUE"""),43319.64583333333)</f>
        <v>43319.64583</v>
      </c>
      <c r="B3444" s="2">
        <f>IFERROR(__xludf.DUMMYFUNCTION("""COMPUTED_VALUE"""),1978.2)</f>
        <v>1978.2</v>
      </c>
      <c r="C3444" s="2">
        <f>IFERROR(__xludf.DUMMYFUNCTION("""COMPUTED_VALUE"""),1979.15)</f>
        <v>1979.15</v>
      </c>
      <c r="D3444" s="2">
        <f>IFERROR(__xludf.DUMMYFUNCTION("""COMPUTED_VALUE"""),1960.5)</f>
        <v>1960.5</v>
      </c>
      <c r="E3444" s="2">
        <f>IFERROR(__xludf.DUMMYFUNCTION("""COMPUTED_VALUE"""),1967.35)</f>
        <v>1967.35</v>
      </c>
      <c r="F3444" s="2">
        <f>IFERROR(__xludf.DUMMYFUNCTION("""COMPUTED_VALUE"""),1353560.0)</f>
        <v>1353560</v>
      </c>
    </row>
    <row r="3445">
      <c r="A3445" s="3">
        <f>IFERROR(__xludf.DUMMYFUNCTION("""COMPUTED_VALUE"""),43320.64583333333)</f>
        <v>43320.64583</v>
      </c>
      <c r="B3445" s="2">
        <f>IFERROR(__xludf.DUMMYFUNCTION("""COMPUTED_VALUE"""),1972.0)</f>
        <v>1972</v>
      </c>
      <c r="C3445" s="2">
        <f>IFERROR(__xludf.DUMMYFUNCTION("""COMPUTED_VALUE"""),1978.3)</f>
        <v>1978.3</v>
      </c>
      <c r="D3445" s="2">
        <f>IFERROR(__xludf.DUMMYFUNCTION("""COMPUTED_VALUE"""),1962.0)</f>
        <v>1962</v>
      </c>
      <c r="E3445" s="2">
        <f>IFERROR(__xludf.DUMMYFUNCTION("""COMPUTED_VALUE"""),1974.0)</f>
        <v>1974</v>
      </c>
      <c r="F3445" s="2">
        <f>IFERROR(__xludf.DUMMYFUNCTION("""COMPUTED_VALUE"""),1315062.0)</f>
        <v>1315062</v>
      </c>
    </row>
    <row r="3446">
      <c r="A3446" s="3">
        <f>IFERROR(__xludf.DUMMYFUNCTION("""COMPUTED_VALUE"""),43321.64583333333)</f>
        <v>43321.64583</v>
      </c>
      <c r="B3446" s="2">
        <f>IFERROR(__xludf.DUMMYFUNCTION("""COMPUTED_VALUE"""),1980.0)</f>
        <v>1980</v>
      </c>
      <c r="C3446" s="2">
        <f>IFERROR(__xludf.DUMMYFUNCTION("""COMPUTED_VALUE"""),1980.8)</f>
        <v>1980.8</v>
      </c>
      <c r="D3446" s="2">
        <f>IFERROR(__xludf.DUMMYFUNCTION("""COMPUTED_VALUE"""),1966.0)</f>
        <v>1966</v>
      </c>
      <c r="E3446" s="2">
        <f>IFERROR(__xludf.DUMMYFUNCTION("""COMPUTED_VALUE"""),1974.35)</f>
        <v>1974.35</v>
      </c>
      <c r="F3446" s="2">
        <f>IFERROR(__xludf.DUMMYFUNCTION("""COMPUTED_VALUE"""),2060297.0)</f>
        <v>2060297</v>
      </c>
    </row>
    <row r="3447">
      <c r="A3447" s="3">
        <f>IFERROR(__xludf.DUMMYFUNCTION("""COMPUTED_VALUE"""),43322.64583333333)</f>
        <v>43322.64583</v>
      </c>
      <c r="B3447" s="2">
        <f>IFERROR(__xludf.DUMMYFUNCTION("""COMPUTED_VALUE"""),1980.95)</f>
        <v>1980.95</v>
      </c>
      <c r="C3447" s="2">
        <f>IFERROR(__xludf.DUMMYFUNCTION("""COMPUTED_VALUE"""),1996.5)</f>
        <v>1996.5</v>
      </c>
      <c r="D3447" s="2">
        <f>IFERROR(__xludf.DUMMYFUNCTION("""COMPUTED_VALUE"""),1972.05)</f>
        <v>1972.05</v>
      </c>
      <c r="E3447" s="2">
        <f>IFERROR(__xludf.DUMMYFUNCTION("""COMPUTED_VALUE"""),1993.1)</f>
        <v>1993.1</v>
      </c>
      <c r="F3447" s="2">
        <f>IFERROR(__xludf.DUMMYFUNCTION("""COMPUTED_VALUE"""),2784105.0)</f>
        <v>2784105</v>
      </c>
    </row>
    <row r="3448">
      <c r="A3448" s="3">
        <f>IFERROR(__xludf.DUMMYFUNCTION("""COMPUTED_VALUE"""),43325.64583333333)</f>
        <v>43325.64583</v>
      </c>
      <c r="B3448" s="2">
        <f>IFERROR(__xludf.DUMMYFUNCTION("""COMPUTED_VALUE"""),1997.8)</f>
        <v>1997.8</v>
      </c>
      <c r="C3448" s="2">
        <f>IFERROR(__xludf.DUMMYFUNCTION("""COMPUTED_VALUE"""),2004.25)</f>
        <v>2004.25</v>
      </c>
      <c r="D3448" s="2">
        <f>IFERROR(__xludf.DUMMYFUNCTION("""COMPUTED_VALUE"""),1990.0)</f>
        <v>1990</v>
      </c>
      <c r="E3448" s="2">
        <f>IFERROR(__xludf.DUMMYFUNCTION("""COMPUTED_VALUE"""),2000.15)</f>
        <v>2000.15</v>
      </c>
      <c r="F3448" s="2">
        <f>IFERROR(__xludf.DUMMYFUNCTION("""COMPUTED_VALUE"""),3559575.0)</f>
        <v>3559575</v>
      </c>
    </row>
    <row r="3449">
      <c r="A3449" s="3">
        <f>IFERROR(__xludf.DUMMYFUNCTION("""COMPUTED_VALUE"""),43326.64583333333)</f>
        <v>43326.64583</v>
      </c>
      <c r="B3449" s="2">
        <f>IFERROR(__xludf.DUMMYFUNCTION("""COMPUTED_VALUE"""),1992.0)</f>
        <v>1992</v>
      </c>
      <c r="C3449" s="2">
        <f>IFERROR(__xludf.DUMMYFUNCTION("""COMPUTED_VALUE"""),2024.6)</f>
        <v>2024.6</v>
      </c>
      <c r="D3449" s="2">
        <f>IFERROR(__xludf.DUMMYFUNCTION("""COMPUTED_VALUE"""),1982.4)</f>
        <v>1982.4</v>
      </c>
      <c r="E3449" s="2">
        <f>IFERROR(__xludf.DUMMYFUNCTION("""COMPUTED_VALUE"""),2003.55)</f>
        <v>2003.55</v>
      </c>
      <c r="F3449" s="2">
        <f>IFERROR(__xludf.DUMMYFUNCTION("""COMPUTED_VALUE"""),3311765.0)</f>
        <v>3311765</v>
      </c>
    </row>
    <row r="3450">
      <c r="A3450" s="3">
        <f>IFERROR(__xludf.DUMMYFUNCTION("""COMPUTED_VALUE"""),43328.64583333333)</f>
        <v>43328.64583</v>
      </c>
      <c r="B3450" s="2">
        <f>IFERROR(__xludf.DUMMYFUNCTION("""COMPUTED_VALUE"""),2000.3)</f>
        <v>2000.3</v>
      </c>
      <c r="C3450" s="2">
        <f>IFERROR(__xludf.DUMMYFUNCTION("""COMPUTED_VALUE"""),2020.05)</f>
        <v>2020.05</v>
      </c>
      <c r="D3450" s="2">
        <f>IFERROR(__xludf.DUMMYFUNCTION("""COMPUTED_VALUE"""),1995.0)</f>
        <v>1995</v>
      </c>
      <c r="E3450" s="2">
        <f>IFERROR(__xludf.DUMMYFUNCTION("""COMPUTED_VALUE"""),2008.5)</f>
        <v>2008.5</v>
      </c>
      <c r="F3450" s="2">
        <f>IFERROR(__xludf.DUMMYFUNCTION("""COMPUTED_VALUE"""),2152065.0)</f>
        <v>2152065</v>
      </c>
    </row>
    <row r="3451">
      <c r="A3451" s="3">
        <f>IFERROR(__xludf.DUMMYFUNCTION("""COMPUTED_VALUE"""),43329.64583333333)</f>
        <v>43329.64583</v>
      </c>
      <c r="B3451" s="2">
        <f>IFERROR(__xludf.DUMMYFUNCTION("""COMPUTED_VALUE"""),2013.85)</f>
        <v>2013.85</v>
      </c>
      <c r="C3451" s="2">
        <f>IFERROR(__xludf.DUMMYFUNCTION("""COMPUTED_VALUE"""),2021.9)</f>
        <v>2021.9</v>
      </c>
      <c r="D3451" s="2">
        <f>IFERROR(__xludf.DUMMYFUNCTION("""COMPUTED_VALUE"""),2004.0)</f>
        <v>2004</v>
      </c>
      <c r="E3451" s="2">
        <f>IFERROR(__xludf.DUMMYFUNCTION("""COMPUTED_VALUE"""),2012.75)</f>
        <v>2012.75</v>
      </c>
      <c r="F3451" s="2">
        <f>IFERROR(__xludf.DUMMYFUNCTION("""COMPUTED_VALUE"""),1213731.0)</f>
        <v>1213731</v>
      </c>
    </row>
    <row r="3452">
      <c r="A3452" s="3">
        <f>IFERROR(__xludf.DUMMYFUNCTION("""COMPUTED_VALUE"""),43332.64583333333)</f>
        <v>43332.64583</v>
      </c>
      <c r="B3452" s="2">
        <f>IFERROR(__xludf.DUMMYFUNCTION("""COMPUTED_VALUE"""),2024.0)</f>
        <v>2024</v>
      </c>
      <c r="C3452" s="2">
        <f>IFERROR(__xludf.DUMMYFUNCTION("""COMPUTED_VALUE"""),2024.0)</f>
        <v>2024</v>
      </c>
      <c r="D3452" s="2">
        <f>IFERROR(__xludf.DUMMYFUNCTION("""COMPUTED_VALUE"""),2003.7)</f>
        <v>2003.7</v>
      </c>
      <c r="E3452" s="2">
        <f>IFERROR(__xludf.DUMMYFUNCTION("""COMPUTED_VALUE"""),2009.95)</f>
        <v>2009.95</v>
      </c>
      <c r="F3452" s="2">
        <f>IFERROR(__xludf.DUMMYFUNCTION("""COMPUTED_VALUE"""),1587032.0)</f>
        <v>1587032</v>
      </c>
    </row>
    <row r="3453">
      <c r="A3453" s="3">
        <f>IFERROR(__xludf.DUMMYFUNCTION("""COMPUTED_VALUE"""),43333.64583333333)</f>
        <v>43333.64583</v>
      </c>
      <c r="B3453" s="2">
        <f>IFERROR(__xludf.DUMMYFUNCTION("""COMPUTED_VALUE"""),2010.15)</f>
        <v>2010.15</v>
      </c>
      <c r="C3453" s="2">
        <f>IFERROR(__xludf.DUMMYFUNCTION("""COMPUTED_VALUE"""),2024.0)</f>
        <v>2024</v>
      </c>
      <c r="D3453" s="2">
        <f>IFERROR(__xludf.DUMMYFUNCTION("""COMPUTED_VALUE"""),2004.0)</f>
        <v>2004</v>
      </c>
      <c r="E3453" s="2">
        <f>IFERROR(__xludf.DUMMYFUNCTION("""COMPUTED_VALUE"""),2017.65)</f>
        <v>2017.65</v>
      </c>
      <c r="F3453" s="2">
        <f>IFERROR(__xludf.DUMMYFUNCTION("""COMPUTED_VALUE"""),1376866.0)</f>
        <v>1376866</v>
      </c>
    </row>
    <row r="3454">
      <c r="A3454" s="3">
        <f>IFERROR(__xludf.DUMMYFUNCTION("""COMPUTED_VALUE"""),43335.64583333333)</f>
        <v>43335.64583</v>
      </c>
      <c r="B3454" s="2">
        <f>IFERROR(__xludf.DUMMYFUNCTION("""COMPUTED_VALUE"""),2022.8)</f>
        <v>2022.8</v>
      </c>
      <c r="C3454" s="2">
        <f>IFERROR(__xludf.DUMMYFUNCTION("""COMPUTED_VALUE"""),2038.0)</f>
        <v>2038</v>
      </c>
      <c r="D3454" s="2">
        <f>IFERROR(__xludf.DUMMYFUNCTION("""COMPUTED_VALUE"""),2020.3)</f>
        <v>2020.3</v>
      </c>
      <c r="E3454" s="2">
        <f>IFERROR(__xludf.DUMMYFUNCTION("""COMPUTED_VALUE"""),2035.1)</f>
        <v>2035.1</v>
      </c>
      <c r="F3454" s="2">
        <f>IFERROR(__xludf.DUMMYFUNCTION("""COMPUTED_VALUE"""),3046791.0)</f>
        <v>3046791</v>
      </c>
    </row>
    <row r="3455">
      <c r="A3455" s="3">
        <f>IFERROR(__xludf.DUMMYFUNCTION("""COMPUTED_VALUE"""),43336.64583333333)</f>
        <v>43336.64583</v>
      </c>
      <c r="B3455" s="2">
        <f>IFERROR(__xludf.DUMMYFUNCTION("""COMPUTED_VALUE"""),2035.1)</f>
        <v>2035.1</v>
      </c>
      <c r="C3455" s="2">
        <f>IFERROR(__xludf.DUMMYFUNCTION("""COMPUTED_VALUE"""),2046.0)</f>
        <v>2046</v>
      </c>
      <c r="D3455" s="2">
        <f>IFERROR(__xludf.DUMMYFUNCTION("""COMPUTED_VALUE"""),2031.0)</f>
        <v>2031</v>
      </c>
      <c r="E3455" s="2">
        <f>IFERROR(__xludf.DUMMYFUNCTION("""COMPUTED_VALUE"""),2043.0)</f>
        <v>2043</v>
      </c>
      <c r="F3455" s="2">
        <f>IFERROR(__xludf.DUMMYFUNCTION("""COMPUTED_VALUE"""),1570533.0)</f>
        <v>1570533</v>
      </c>
    </row>
    <row r="3456">
      <c r="A3456" s="3">
        <f>IFERROR(__xludf.DUMMYFUNCTION("""COMPUTED_VALUE"""),43339.64583333333)</f>
        <v>43339.64583</v>
      </c>
      <c r="B3456" s="2">
        <f>IFERROR(__xludf.DUMMYFUNCTION("""COMPUTED_VALUE"""),2043.0)</f>
        <v>2043</v>
      </c>
      <c r="C3456" s="2">
        <f>IFERROR(__xludf.DUMMYFUNCTION("""COMPUTED_VALUE"""),2059.0)</f>
        <v>2059</v>
      </c>
      <c r="D3456" s="2">
        <f>IFERROR(__xludf.DUMMYFUNCTION("""COMPUTED_VALUE"""),2035.0)</f>
        <v>2035</v>
      </c>
      <c r="E3456" s="2">
        <f>IFERROR(__xludf.DUMMYFUNCTION("""COMPUTED_VALUE"""),2050.9)</f>
        <v>2050.9</v>
      </c>
      <c r="F3456" s="2">
        <f>IFERROR(__xludf.DUMMYFUNCTION("""COMPUTED_VALUE"""),1532702.0)</f>
        <v>1532702</v>
      </c>
    </row>
    <row r="3457">
      <c r="A3457" s="3">
        <f>IFERROR(__xludf.DUMMYFUNCTION("""COMPUTED_VALUE"""),43340.64583333333)</f>
        <v>43340.64583</v>
      </c>
      <c r="B3457" s="2">
        <f>IFERROR(__xludf.DUMMYFUNCTION("""COMPUTED_VALUE"""),2055.0)</f>
        <v>2055</v>
      </c>
      <c r="C3457" s="2">
        <f>IFERROR(__xludf.DUMMYFUNCTION("""COMPUTED_VALUE"""),2072.0)</f>
        <v>2072</v>
      </c>
      <c r="D3457" s="2">
        <f>IFERROR(__xludf.DUMMYFUNCTION("""COMPUTED_VALUE"""),2052.0)</f>
        <v>2052</v>
      </c>
      <c r="E3457" s="2">
        <f>IFERROR(__xludf.DUMMYFUNCTION("""COMPUTED_VALUE"""),2069.2)</f>
        <v>2069.2</v>
      </c>
      <c r="F3457" s="2">
        <f>IFERROR(__xludf.DUMMYFUNCTION("""COMPUTED_VALUE"""),1987983.0)</f>
        <v>1987983</v>
      </c>
    </row>
    <row r="3458">
      <c r="A3458" s="3">
        <f>IFERROR(__xludf.DUMMYFUNCTION("""COMPUTED_VALUE"""),43341.64583333333)</f>
        <v>43341.64583</v>
      </c>
      <c r="B3458" s="2">
        <f>IFERROR(__xludf.DUMMYFUNCTION("""COMPUTED_VALUE"""),2072.5)</f>
        <v>2072.5</v>
      </c>
      <c r="C3458" s="2">
        <f>IFERROR(__xludf.DUMMYFUNCTION("""COMPUTED_VALUE"""),2076.6)</f>
        <v>2076.6</v>
      </c>
      <c r="D3458" s="2">
        <f>IFERROR(__xludf.DUMMYFUNCTION("""COMPUTED_VALUE"""),2045.6)</f>
        <v>2045.6</v>
      </c>
      <c r="E3458" s="2">
        <f>IFERROR(__xludf.DUMMYFUNCTION("""COMPUTED_VALUE"""),2072.0)</f>
        <v>2072</v>
      </c>
      <c r="F3458" s="2">
        <f>IFERROR(__xludf.DUMMYFUNCTION("""COMPUTED_VALUE"""),1525867.0)</f>
        <v>1525867</v>
      </c>
    </row>
    <row r="3459">
      <c r="A3459" s="3">
        <f>IFERROR(__xludf.DUMMYFUNCTION("""COMPUTED_VALUE"""),43342.64583333333)</f>
        <v>43342.64583</v>
      </c>
      <c r="B3459" s="2">
        <f>IFERROR(__xludf.DUMMYFUNCTION("""COMPUTED_VALUE"""),2068.0)</f>
        <v>2068</v>
      </c>
      <c r="C3459" s="2">
        <f>IFERROR(__xludf.DUMMYFUNCTION("""COMPUTED_VALUE"""),2085.0)</f>
        <v>2085</v>
      </c>
      <c r="D3459" s="2">
        <f>IFERROR(__xludf.DUMMYFUNCTION("""COMPUTED_VALUE"""),2065.5)</f>
        <v>2065.5</v>
      </c>
      <c r="E3459" s="2">
        <f>IFERROR(__xludf.DUMMYFUNCTION("""COMPUTED_VALUE"""),2082.4)</f>
        <v>2082.4</v>
      </c>
      <c r="F3459" s="2">
        <f>IFERROR(__xludf.DUMMYFUNCTION("""COMPUTED_VALUE"""),2408020.0)</f>
        <v>2408020</v>
      </c>
    </row>
    <row r="3460">
      <c r="A3460" s="3">
        <f>IFERROR(__xludf.DUMMYFUNCTION("""COMPUTED_VALUE"""),43343.64583333333)</f>
        <v>43343.64583</v>
      </c>
      <c r="B3460" s="2">
        <f>IFERROR(__xludf.DUMMYFUNCTION("""COMPUTED_VALUE"""),2082.3)</f>
        <v>2082.3</v>
      </c>
      <c r="C3460" s="2">
        <f>IFERROR(__xludf.DUMMYFUNCTION("""COMPUTED_VALUE"""),2092.0)</f>
        <v>2092</v>
      </c>
      <c r="D3460" s="2">
        <f>IFERROR(__xludf.DUMMYFUNCTION("""COMPUTED_VALUE"""),2074.0)</f>
        <v>2074</v>
      </c>
      <c r="E3460" s="2">
        <f>IFERROR(__xludf.DUMMYFUNCTION("""COMPUTED_VALUE"""),2078.4)</f>
        <v>2078.4</v>
      </c>
      <c r="F3460" s="2">
        <f>IFERROR(__xludf.DUMMYFUNCTION("""COMPUTED_VALUE"""),2504554.0)</f>
        <v>2504554</v>
      </c>
    </row>
    <row r="3461">
      <c r="A3461" s="3">
        <f>IFERROR(__xludf.DUMMYFUNCTION("""COMPUTED_VALUE"""),43346.64583333333)</f>
        <v>43346.64583</v>
      </c>
      <c r="B3461" s="2">
        <f>IFERROR(__xludf.DUMMYFUNCTION("""COMPUTED_VALUE"""),2084.8)</f>
        <v>2084.8</v>
      </c>
      <c r="C3461" s="2">
        <f>IFERROR(__xludf.DUMMYFUNCTION("""COMPUTED_VALUE"""),2090.0)</f>
        <v>2090</v>
      </c>
      <c r="D3461" s="2">
        <f>IFERROR(__xludf.DUMMYFUNCTION("""COMPUTED_VALUE"""),2048.4)</f>
        <v>2048.4</v>
      </c>
      <c r="E3461" s="2">
        <f>IFERROR(__xludf.DUMMYFUNCTION("""COMPUTED_VALUE"""),2052.9)</f>
        <v>2052.9</v>
      </c>
      <c r="F3461" s="2">
        <f>IFERROR(__xludf.DUMMYFUNCTION("""COMPUTED_VALUE"""),1439711.0)</f>
        <v>1439711</v>
      </c>
    </row>
    <row r="3462">
      <c r="A3462" s="3">
        <f>IFERROR(__xludf.DUMMYFUNCTION("""COMPUTED_VALUE"""),43347.64583333333)</f>
        <v>43347.64583</v>
      </c>
      <c r="B3462" s="2">
        <f>IFERROR(__xludf.DUMMYFUNCTION("""COMPUTED_VALUE"""),2059.8)</f>
        <v>2059.8</v>
      </c>
      <c r="C3462" s="2">
        <f>IFERROR(__xludf.DUMMYFUNCTION("""COMPUTED_VALUE"""),2104.75)</f>
        <v>2104.75</v>
      </c>
      <c r="D3462" s="2">
        <f>IFERROR(__xludf.DUMMYFUNCTION("""COMPUTED_VALUE"""),2056.95)</f>
        <v>2056.95</v>
      </c>
      <c r="E3462" s="2">
        <f>IFERROR(__xludf.DUMMYFUNCTION("""COMPUTED_VALUE"""),2098.9)</f>
        <v>2098.9</v>
      </c>
      <c r="F3462" s="2">
        <f>IFERROR(__xludf.DUMMYFUNCTION("""COMPUTED_VALUE"""),4420803.0)</f>
        <v>4420803</v>
      </c>
    </row>
    <row r="3463">
      <c r="A3463" s="3">
        <f>IFERROR(__xludf.DUMMYFUNCTION("""COMPUTED_VALUE"""),43348.64583333333)</f>
        <v>43348.64583</v>
      </c>
      <c r="B3463" s="2">
        <f>IFERROR(__xludf.DUMMYFUNCTION("""COMPUTED_VALUE"""),2100.0)</f>
        <v>2100</v>
      </c>
      <c r="C3463" s="2">
        <f>IFERROR(__xludf.DUMMYFUNCTION("""COMPUTED_VALUE"""),2107.25)</f>
        <v>2107.25</v>
      </c>
      <c r="D3463" s="2">
        <f>IFERROR(__xludf.DUMMYFUNCTION("""COMPUTED_VALUE"""),2075.05)</f>
        <v>2075.05</v>
      </c>
      <c r="E3463" s="2">
        <f>IFERROR(__xludf.DUMMYFUNCTION("""COMPUTED_VALUE"""),2079.25)</f>
        <v>2079.25</v>
      </c>
      <c r="F3463" s="2">
        <f>IFERROR(__xludf.DUMMYFUNCTION("""COMPUTED_VALUE"""),1681106.0)</f>
        <v>1681106</v>
      </c>
    </row>
    <row r="3464">
      <c r="A3464" s="3">
        <f>IFERROR(__xludf.DUMMYFUNCTION("""COMPUTED_VALUE"""),43349.64583333333)</f>
        <v>43349.64583</v>
      </c>
      <c r="B3464" s="2">
        <f>IFERROR(__xludf.DUMMYFUNCTION("""COMPUTED_VALUE"""),2075.0)</f>
        <v>2075</v>
      </c>
      <c r="C3464" s="2">
        <f>IFERROR(__xludf.DUMMYFUNCTION("""COMPUTED_VALUE"""),2081.5)</f>
        <v>2081.5</v>
      </c>
      <c r="D3464" s="2">
        <f>IFERROR(__xludf.DUMMYFUNCTION("""COMPUTED_VALUE"""),2060.3)</f>
        <v>2060.3</v>
      </c>
      <c r="E3464" s="2">
        <f>IFERROR(__xludf.DUMMYFUNCTION("""COMPUTED_VALUE"""),2075.3)</f>
        <v>2075.3</v>
      </c>
      <c r="F3464" s="2">
        <f>IFERROR(__xludf.DUMMYFUNCTION("""COMPUTED_VALUE"""),2238097.0)</f>
        <v>2238097</v>
      </c>
    </row>
    <row r="3465">
      <c r="A3465" s="3">
        <f>IFERROR(__xludf.DUMMYFUNCTION("""COMPUTED_VALUE"""),43350.64583333333)</f>
        <v>43350.64583</v>
      </c>
      <c r="B3465" s="2">
        <f>IFERROR(__xludf.DUMMYFUNCTION("""COMPUTED_VALUE"""),2079.3)</f>
        <v>2079.3</v>
      </c>
      <c r="C3465" s="2">
        <f>IFERROR(__xludf.DUMMYFUNCTION("""COMPUTED_VALUE"""),2084.0)</f>
        <v>2084</v>
      </c>
      <c r="D3465" s="2">
        <f>IFERROR(__xludf.DUMMYFUNCTION("""COMPUTED_VALUE"""),2065.4)</f>
        <v>2065.4</v>
      </c>
      <c r="E3465" s="2">
        <f>IFERROR(__xludf.DUMMYFUNCTION("""COMPUTED_VALUE"""),2079.85)</f>
        <v>2079.85</v>
      </c>
      <c r="F3465" s="2">
        <f>IFERROR(__xludf.DUMMYFUNCTION("""COMPUTED_VALUE"""),1312182.0)</f>
        <v>1312182</v>
      </c>
    </row>
    <row r="3466">
      <c r="A3466" s="3">
        <f>IFERROR(__xludf.DUMMYFUNCTION("""COMPUTED_VALUE"""),43353.64583333333)</f>
        <v>43353.64583</v>
      </c>
      <c r="B3466" s="2">
        <f>IFERROR(__xludf.DUMMYFUNCTION("""COMPUTED_VALUE"""),2084.4)</f>
        <v>2084.4</v>
      </c>
      <c r="C3466" s="2">
        <f>IFERROR(__xludf.DUMMYFUNCTION("""COMPUTED_VALUE"""),2093.4)</f>
        <v>2093.4</v>
      </c>
      <c r="D3466" s="2">
        <f>IFERROR(__xludf.DUMMYFUNCTION("""COMPUTED_VALUE"""),2074.25)</f>
        <v>2074.25</v>
      </c>
      <c r="E3466" s="2">
        <f>IFERROR(__xludf.DUMMYFUNCTION("""COMPUTED_VALUE"""),2080.75)</f>
        <v>2080.75</v>
      </c>
      <c r="F3466" s="2">
        <f>IFERROR(__xludf.DUMMYFUNCTION("""COMPUTED_VALUE"""),1530539.0)</f>
        <v>1530539</v>
      </c>
    </row>
    <row r="3467">
      <c r="A3467" s="3">
        <f>IFERROR(__xludf.DUMMYFUNCTION("""COMPUTED_VALUE"""),43354.64583333333)</f>
        <v>43354.64583</v>
      </c>
      <c r="B3467" s="2">
        <f>IFERROR(__xludf.DUMMYFUNCTION("""COMPUTED_VALUE"""),2089.0)</f>
        <v>2089</v>
      </c>
      <c r="C3467" s="2">
        <f>IFERROR(__xludf.DUMMYFUNCTION("""COMPUTED_VALUE"""),2089.0)</f>
        <v>2089</v>
      </c>
      <c r="D3467" s="2">
        <f>IFERROR(__xludf.DUMMYFUNCTION("""COMPUTED_VALUE"""),2042.2)</f>
        <v>2042.2</v>
      </c>
      <c r="E3467" s="2">
        <f>IFERROR(__xludf.DUMMYFUNCTION("""COMPUTED_VALUE"""),2046.25)</f>
        <v>2046.25</v>
      </c>
      <c r="F3467" s="2">
        <f>IFERROR(__xludf.DUMMYFUNCTION("""COMPUTED_VALUE"""),3679745.0)</f>
        <v>3679745</v>
      </c>
    </row>
    <row r="3468">
      <c r="A3468" s="3">
        <f>IFERROR(__xludf.DUMMYFUNCTION("""COMPUTED_VALUE"""),43355.64583333333)</f>
        <v>43355.64583</v>
      </c>
      <c r="B3468" s="2">
        <f>IFERROR(__xludf.DUMMYFUNCTION("""COMPUTED_VALUE"""),2052.35)</f>
        <v>2052.35</v>
      </c>
      <c r="C3468" s="2">
        <f>IFERROR(__xludf.DUMMYFUNCTION("""COMPUTED_VALUE"""),2068.9)</f>
        <v>2068.9</v>
      </c>
      <c r="D3468" s="2">
        <f>IFERROR(__xludf.DUMMYFUNCTION("""COMPUTED_VALUE"""),2040.0)</f>
        <v>2040</v>
      </c>
      <c r="E3468" s="2">
        <f>IFERROR(__xludf.DUMMYFUNCTION("""COMPUTED_VALUE"""),2043.95)</f>
        <v>2043.95</v>
      </c>
      <c r="F3468" s="2">
        <f>IFERROR(__xludf.DUMMYFUNCTION("""COMPUTED_VALUE"""),2307661.0)</f>
        <v>2307661</v>
      </c>
    </row>
    <row r="3469">
      <c r="A3469" s="3">
        <f>IFERROR(__xludf.DUMMYFUNCTION("""COMPUTED_VALUE"""),43357.64583333333)</f>
        <v>43357.64583</v>
      </c>
      <c r="B3469" s="2">
        <f>IFERROR(__xludf.DUMMYFUNCTION("""COMPUTED_VALUE"""),2044.0)</f>
        <v>2044</v>
      </c>
      <c r="C3469" s="2">
        <f>IFERROR(__xludf.DUMMYFUNCTION("""COMPUTED_VALUE"""),2071.55)</f>
        <v>2071.55</v>
      </c>
      <c r="D3469" s="2">
        <f>IFERROR(__xludf.DUMMYFUNCTION("""COMPUTED_VALUE"""),2018.15)</f>
        <v>2018.15</v>
      </c>
      <c r="E3469" s="2">
        <f>IFERROR(__xludf.DUMMYFUNCTION("""COMPUTED_VALUE"""),2065.4)</f>
        <v>2065.4</v>
      </c>
      <c r="F3469" s="2">
        <f>IFERROR(__xludf.DUMMYFUNCTION("""COMPUTED_VALUE"""),3642038.0)</f>
        <v>3642038</v>
      </c>
    </row>
    <row r="3470">
      <c r="A3470" s="3">
        <f>IFERROR(__xludf.DUMMYFUNCTION("""COMPUTED_VALUE"""),43360.64583333333)</f>
        <v>43360.64583</v>
      </c>
      <c r="B3470" s="2">
        <f>IFERROR(__xludf.DUMMYFUNCTION("""COMPUTED_VALUE"""),2070.0)</f>
        <v>2070</v>
      </c>
      <c r="C3470" s="2">
        <f>IFERROR(__xludf.DUMMYFUNCTION("""COMPUTED_VALUE"""),2077.8)</f>
        <v>2077.8</v>
      </c>
      <c r="D3470" s="2">
        <f>IFERROR(__xludf.DUMMYFUNCTION("""COMPUTED_VALUE"""),2054.55)</f>
        <v>2054.55</v>
      </c>
      <c r="E3470" s="2">
        <f>IFERROR(__xludf.DUMMYFUNCTION("""COMPUTED_VALUE"""),2074.15)</f>
        <v>2074.15</v>
      </c>
      <c r="F3470" s="2">
        <f>IFERROR(__xludf.DUMMYFUNCTION("""COMPUTED_VALUE"""),1033857.0)</f>
        <v>1033857</v>
      </c>
    </row>
    <row r="3471">
      <c r="A3471" s="3">
        <f>IFERROR(__xludf.DUMMYFUNCTION("""COMPUTED_VALUE"""),43361.64583333333)</f>
        <v>43361.64583</v>
      </c>
      <c r="B3471" s="2">
        <f>IFERROR(__xludf.DUMMYFUNCTION("""COMPUTED_VALUE"""),2073.0)</f>
        <v>2073</v>
      </c>
      <c r="C3471" s="2">
        <f>IFERROR(__xludf.DUMMYFUNCTION("""COMPUTED_VALUE"""),2078.8)</f>
        <v>2078.8</v>
      </c>
      <c r="D3471" s="2">
        <f>IFERROR(__xludf.DUMMYFUNCTION("""COMPUTED_VALUE"""),2057.6)</f>
        <v>2057.6</v>
      </c>
      <c r="E3471" s="2">
        <f>IFERROR(__xludf.DUMMYFUNCTION("""COMPUTED_VALUE"""),2070.75)</f>
        <v>2070.75</v>
      </c>
      <c r="F3471" s="2">
        <f>IFERROR(__xludf.DUMMYFUNCTION("""COMPUTED_VALUE"""),1456507.0)</f>
        <v>1456507</v>
      </c>
    </row>
    <row r="3472">
      <c r="A3472" s="3">
        <f>IFERROR(__xludf.DUMMYFUNCTION("""COMPUTED_VALUE"""),43362.64583333333)</f>
        <v>43362.64583</v>
      </c>
      <c r="B3472" s="2">
        <f>IFERROR(__xludf.DUMMYFUNCTION("""COMPUTED_VALUE"""),2071.9)</f>
        <v>2071.9</v>
      </c>
      <c r="C3472" s="2">
        <f>IFERROR(__xludf.DUMMYFUNCTION("""COMPUTED_VALUE"""),2089.0)</f>
        <v>2089</v>
      </c>
      <c r="D3472" s="2">
        <f>IFERROR(__xludf.DUMMYFUNCTION("""COMPUTED_VALUE"""),2066.85)</f>
        <v>2066.85</v>
      </c>
      <c r="E3472" s="2">
        <f>IFERROR(__xludf.DUMMYFUNCTION("""COMPUTED_VALUE"""),2077.9)</f>
        <v>2077.9</v>
      </c>
      <c r="F3472" s="2">
        <f>IFERROR(__xludf.DUMMYFUNCTION("""COMPUTED_VALUE"""),1301268.0)</f>
        <v>1301268</v>
      </c>
    </row>
    <row r="3473">
      <c r="A3473" s="3">
        <f>IFERROR(__xludf.DUMMYFUNCTION("""COMPUTED_VALUE"""),43364.64583333333)</f>
        <v>43364.64583</v>
      </c>
      <c r="B3473" s="2">
        <f>IFERROR(__xludf.DUMMYFUNCTION("""COMPUTED_VALUE"""),2077.0)</f>
        <v>2077</v>
      </c>
      <c r="C3473" s="2">
        <f>IFERROR(__xludf.DUMMYFUNCTION("""COMPUTED_VALUE"""),2121.0)</f>
        <v>2121</v>
      </c>
      <c r="D3473" s="2">
        <f>IFERROR(__xludf.DUMMYFUNCTION("""COMPUTED_VALUE"""),2050.15)</f>
        <v>2050.15</v>
      </c>
      <c r="E3473" s="2">
        <f>IFERROR(__xludf.DUMMYFUNCTION("""COMPUTED_VALUE"""),2103.15)</f>
        <v>2103.15</v>
      </c>
      <c r="F3473" s="2">
        <f>IFERROR(__xludf.DUMMYFUNCTION("""COMPUTED_VALUE"""),4508530.0)</f>
        <v>4508530</v>
      </c>
    </row>
    <row r="3474">
      <c r="A3474" s="3">
        <f>IFERROR(__xludf.DUMMYFUNCTION("""COMPUTED_VALUE"""),43367.64583333333)</f>
        <v>43367.64583</v>
      </c>
      <c r="B3474" s="2">
        <f>IFERROR(__xludf.DUMMYFUNCTION("""COMPUTED_VALUE"""),2115.0)</f>
        <v>2115</v>
      </c>
      <c r="C3474" s="2">
        <f>IFERROR(__xludf.DUMMYFUNCTION("""COMPUTED_VALUE"""),2210.5)</f>
        <v>2210.5</v>
      </c>
      <c r="D3474" s="2">
        <f>IFERROR(__xludf.DUMMYFUNCTION("""COMPUTED_VALUE"""),2098.15)</f>
        <v>2098.15</v>
      </c>
      <c r="E3474" s="2">
        <f>IFERROR(__xludf.DUMMYFUNCTION("""COMPUTED_VALUE"""),2198.45)</f>
        <v>2198.45</v>
      </c>
      <c r="F3474" s="2">
        <f>IFERROR(__xludf.DUMMYFUNCTION("""COMPUTED_VALUE"""),3032226.0)</f>
        <v>3032226</v>
      </c>
    </row>
    <row r="3475">
      <c r="A3475" s="3">
        <f>IFERROR(__xludf.DUMMYFUNCTION("""COMPUTED_VALUE"""),43368.64583333333)</f>
        <v>43368.64583</v>
      </c>
      <c r="B3475" s="2">
        <f>IFERROR(__xludf.DUMMYFUNCTION("""COMPUTED_VALUE"""),2204.9)</f>
        <v>2204.9</v>
      </c>
      <c r="C3475" s="2">
        <f>IFERROR(__xludf.DUMMYFUNCTION("""COMPUTED_VALUE"""),2211.9)</f>
        <v>2211.9</v>
      </c>
      <c r="D3475" s="2">
        <f>IFERROR(__xludf.DUMMYFUNCTION("""COMPUTED_VALUE"""),2153.8)</f>
        <v>2153.8</v>
      </c>
      <c r="E3475" s="2">
        <f>IFERROR(__xludf.DUMMYFUNCTION("""COMPUTED_VALUE"""),2183.2)</f>
        <v>2183.2</v>
      </c>
      <c r="F3475" s="2">
        <f>IFERROR(__xludf.DUMMYFUNCTION("""COMPUTED_VALUE"""),2868778.0)</f>
        <v>2868778</v>
      </c>
    </row>
    <row r="3476">
      <c r="A3476" s="3">
        <f>IFERROR(__xludf.DUMMYFUNCTION("""COMPUTED_VALUE"""),43369.64583333333)</f>
        <v>43369.64583</v>
      </c>
      <c r="B3476" s="2">
        <f>IFERROR(__xludf.DUMMYFUNCTION("""COMPUTED_VALUE"""),2187.0)</f>
        <v>2187</v>
      </c>
      <c r="C3476" s="2">
        <f>IFERROR(__xludf.DUMMYFUNCTION("""COMPUTED_VALUE"""),2199.0)</f>
        <v>2199</v>
      </c>
      <c r="D3476" s="2">
        <f>IFERROR(__xludf.DUMMYFUNCTION("""COMPUTED_VALUE"""),2135.1)</f>
        <v>2135.1</v>
      </c>
      <c r="E3476" s="2">
        <f>IFERROR(__xludf.DUMMYFUNCTION("""COMPUTED_VALUE"""),2142.15)</f>
        <v>2142.15</v>
      </c>
      <c r="F3476" s="2">
        <f>IFERROR(__xludf.DUMMYFUNCTION("""COMPUTED_VALUE"""),1970951.0)</f>
        <v>1970951</v>
      </c>
    </row>
    <row r="3477">
      <c r="A3477" s="3">
        <f>IFERROR(__xludf.DUMMYFUNCTION("""COMPUTED_VALUE"""),43370.64583333333)</f>
        <v>43370.64583</v>
      </c>
      <c r="B3477" s="2">
        <f>IFERROR(__xludf.DUMMYFUNCTION("""COMPUTED_VALUE"""),2141.9)</f>
        <v>2141.9</v>
      </c>
      <c r="C3477" s="2">
        <f>IFERROR(__xludf.DUMMYFUNCTION("""COMPUTED_VALUE"""),2209.7)</f>
        <v>2209.7</v>
      </c>
      <c r="D3477" s="2">
        <f>IFERROR(__xludf.DUMMYFUNCTION("""COMPUTED_VALUE"""),2135.8)</f>
        <v>2135.8</v>
      </c>
      <c r="E3477" s="2">
        <f>IFERROR(__xludf.DUMMYFUNCTION("""COMPUTED_VALUE"""),2188.85)</f>
        <v>2188.85</v>
      </c>
      <c r="F3477" s="2">
        <f>IFERROR(__xludf.DUMMYFUNCTION("""COMPUTED_VALUE"""),3311802.0)</f>
        <v>3311802</v>
      </c>
    </row>
    <row r="3478">
      <c r="A3478" s="3">
        <f>IFERROR(__xludf.DUMMYFUNCTION("""COMPUTED_VALUE"""),43371.64583333333)</f>
        <v>43371.64583</v>
      </c>
      <c r="B3478" s="2">
        <f>IFERROR(__xludf.DUMMYFUNCTION("""COMPUTED_VALUE"""),2178.0)</f>
        <v>2178</v>
      </c>
      <c r="C3478" s="2">
        <f>IFERROR(__xludf.DUMMYFUNCTION("""COMPUTED_VALUE"""),2190.0)</f>
        <v>2190</v>
      </c>
      <c r="D3478" s="2">
        <f>IFERROR(__xludf.DUMMYFUNCTION("""COMPUTED_VALUE"""),2158.85)</f>
        <v>2158.85</v>
      </c>
      <c r="E3478" s="2">
        <f>IFERROR(__xludf.DUMMYFUNCTION("""COMPUTED_VALUE"""),2183.7)</f>
        <v>2183.7</v>
      </c>
      <c r="F3478" s="2">
        <f>IFERROR(__xludf.DUMMYFUNCTION("""COMPUTED_VALUE"""),2904371.0)</f>
        <v>2904371</v>
      </c>
    </row>
    <row r="3479">
      <c r="A3479" s="3">
        <f>IFERROR(__xludf.DUMMYFUNCTION("""COMPUTED_VALUE"""),43374.64583333333)</f>
        <v>43374.64583</v>
      </c>
      <c r="B3479" s="2">
        <f>IFERROR(__xludf.DUMMYFUNCTION("""COMPUTED_VALUE"""),2190.9)</f>
        <v>2190.9</v>
      </c>
      <c r="C3479" s="2">
        <f>IFERROR(__xludf.DUMMYFUNCTION("""COMPUTED_VALUE"""),2275.95)</f>
        <v>2275.95</v>
      </c>
      <c r="D3479" s="2">
        <f>IFERROR(__xludf.DUMMYFUNCTION("""COMPUTED_VALUE"""),2190.35)</f>
        <v>2190.35</v>
      </c>
      <c r="E3479" s="2">
        <f>IFERROR(__xludf.DUMMYFUNCTION("""COMPUTED_VALUE"""),2255.55)</f>
        <v>2255.55</v>
      </c>
      <c r="F3479" s="2">
        <f>IFERROR(__xludf.DUMMYFUNCTION("""COMPUTED_VALUE"""),3772208.0)</f>
        <v>3772208</v>
      </c>
    </row>
    <row r="3480">
      <c r="A3480" s="3">
        <f>IFERROR(__xludf.DUMMYFUNCTION("""COMPUTED_VALUE"""),43376.64583333333)</f>
        <v>43376.64583</v>
      </c>
      <c r="B3480" s="2">
        <f>IFERROR(__xludf.DUMMYFUNCTION("""COMPUTED_VALUE"""),2250.3)</f>
        <v>2250.3</v>
      </c>
      <c r="C3480" s="2">
        <f>IFERROR(__xludf.DUMMYFUNCTION("""COMPUTED_VALUE"""),2255.0)</f>
        <v>2255</v>
      </c>
      <c r="D3480" s="2">
        <f>IFERROR(__xludf.DUMMYFUNCTION("""COMPUTED_VALUE"""),2155.6)</f>
        <v>2155.6</v>
      </c>
      <c r="E3480" s="2">
        <f>IFERROR(__xludf.DUMMYFUNCTION("""COMPUTED_VALUE"""),2162.85)</f>
        <v>2162.85</v>
      </c>
      <c r="F3480" s="2">
        <f>IFERROR(__xludf.DUMMYFUNCTION("""COMPUTED_VALUE"""),3902322.0)</f>
        <v>3902322</v>
      </c>
    </row>
    <row r="3481">
      <c r="A3481" s="3">
        <f>IFERROR(__xludf.DUMMYFUNCTION("""COMPUTED_VALUE"""),43377.64583333333)</f>
        <v>43377.64583</v>
      </c>
      <c r="B3481" s="2">
        <f>IFERROR(__xludf.DUMMYFUNCTION("""COMPUTED_VALUE"""),2156.6)</f>
        <v>2156.6</v>
      </c>
      <c r="C3481" s="2">
        <f>IFERROR(__xludf.DUMMYFUNCTION("""COMPUTED_VALUE"""),2156.65)</f>
        <v>2156.65</v>
      </c>
      <c r="D3481" s="2">
        <f>IFERROR(__xludf.DUMMYFUNCTION("""COMPUTED_VALUE"""),2056.35)</f>
        <v>2056.35</v>
      </c>
      <c r="E3481" s="2">
        <f>IFERROR(__xludf.DUMMYFUNCTION("""COMPUTED_VALUE"""),2064.8)</f>
        <v>2064.8</v>
      </c>
      <c r="F3481" s="2">
        <f>IFERROR(__xludf.DUMMYFUNCTION("""COMPUTED_VALUE"""),4762419.0)</f>
        <v>4762419</v>
      </c>
    </row>
    <row r="3482">
      <c r="A3482" s="3">
        <f>IFERROR(__xludf.DUMMYFUNCTION("""COMPUTED_VALUE"""),43378.64583333333)</f>
        <v>43378.64583</v>
      </c>
      <c r="B3482" s="2">
        <f>IFERROR(__xludf.DUMMYFUNCTION("""COMPUTED_VALUE"""),2050.0)</f>
        <v>2050</v>
      </c>
      <c r="C3482" s="2">
        <f>IFERROR(__xludf.DUMMYFUNCTION("""COMPUTED_VALUE"""),2120.0)</f>
        <v>2120</v>
      </c>
      <c r="D3482" s="2">
        <f>IFERROR(__xludf.DUMMYFUNCTION("""COMPUTED_VALUE"""),2020.9)</f>
        <v>2020.9</v>
      </c>
      <c r="E3482" s="2">
        <f>IFERROR(__xludf.DUMMYFUNCTION("""COMPUTED_VALUE"""),2102.65)</f>
        <v>2102.65</v>
      </c>
      <c r="F3482" s="2">
        <f>IFERROR(__xludf.DUMMYFUNCTION("""COMPUTED_VALUE"""),3417624.0)</f>
        <v>3417624</v>
      </c>
    </row>
    <row r="3483">
      <c r="A3483" s="3">
        <f>IFERROR(__xludf.DUMMYFUNCTION("""COMPUTED_VALUE"""),43381.64583333333)</f>
        <v>43381.64583</v>
      </c>
      <c r="B3483" s="2">
        <f>IFERROR(__xludf.DUMMYFUNCTION("""COMPUTED_VALUE"""),2102.65)</f>
        <v>2102.65</v>
      </c>
      <c r="C3483" s="2">
        <f>IFERROR(__xludf.DUMMYFUNCTION("""COMPUTED_VALUE"""),2122.2)</f>
        <v>2122.2</v>
      </c>
      <c r="D3483" s="2">
        <f>IFERROR(__xludf.DUMMYFUNCTION("""COMPUTED_VALUE"""),2048.15)</f>
        <v>2048.15</v>
      </c>
      <c r="E3483" s="2">
        <f>IFERROR(__xludf.DUMMYFUNCTION("""COMPUTED_VALUE"""),2077.55)</f>
        <v>2077.55</v>
      </c>
      <c r="F3483" s="2">
        <f>IFERROR(__xludf.DUMMYFUNCTION("""COMPUTED_VALUE"""),2010154.0)</f>
        <v>2010154</v>
      </c>
    </row>
    <row r="3484">
      <c r="A3484" s="3">
        <f>IFERROR(__xludf.DUMMYFUNCTION("""COMPUTED_VALUE"""),43382.64583333333)</f>
        <v>43382.64583</v>
      </c>
      <c r="B3484" s="2">
        <f>IFERROR(__xludf.DUMMYFUNCTION("""COMPUTED_VALUE"""),2080.35)</f>
        <v>2080.35</v>
      </c>
      <c r="C3484" s="2">
        <f>IFERROR(__xludf.DUMMYFUNCTION("""COMPUTED_VALUE"""),2107.65)</f>
        <v>2107.65</v>
      </c>
      <c r="D3484" s="2">
        <f>IFERROR(__xludf.DUMMYFUNCTION("""COMPUTED_VALUE"""),2053.2)</f>
        <v>2053.2</v>
      </c>
      <c r="E3484" s="2">
        <f>IFERROR(__xludf.DUMMYFUNCTION("""COMPUTED_VALUE"""),2091.8)</f>
        <v>2091.8</v>
      </c>
      <c r="F3484" s="2">
        <f>IFERROR(__xludf.DUMMYFUNCTION("""COMPUTED_VALUE"""),1867130.0)</f>
        <v>1867130</v>
      </c>
    </row>
    <row r="3485">
      <c r="A3485" s="3">
        <f>IFERROR(__xludf.DUMMYFUNCTION("""COMPUTED_VALUE"""),43383.64583333333)</f>
        <v>43383.64583</v>
      </c>
      <c r="B3485" s="2">
        <f>IFERROR(__xludf.DUMMYFUNCTION("""COMPUTED_VALUE"""),2100.0)</f>
        <v>2100</v>
      </c>
      <c r="C3485" s="2">
        <f>IFERROR(__xludf.DUMMYFUNCTION("""COMPUTED_VALUE"""),2105.95)</f>
        <v>2105.95</v>
      </c>
      <c r="D3485" s="2">
        <f>IFERROR(__xludf.DUMMYFUNCTION("""COMPUTED_VALUE"""),2029.0)</f>
        <v>2029</v>
      </c>
      <c r="E3485" s="2">
        <f>IFERROR(__xludf.DUMMYFUNCTION("""COMPUTED_VALUE"""),2043.6)</f>
        <v>2043.6</v>
      </c>
      <c r="F3485" s="2">
        <f>IFERROR(__xludf.DUMMYFUNCTION("""COMPUTED_VALUE"""),2749573.0)</f>
        <v>2749573</v>
      </c>
    </row>
    <row r="3486">
      <c r="A3486" s="3">
        <f>IFERROR(__xludf.DUMMYFUNCTION("""COMPUTED_VALUE"""),43384.64583333333)</f>
        <v>43384.64583</v>
      </c>
      <c r="B3486" s="2">
        <f>IFERROR(__xludf.DUMMYFUNCTION("""COMPUTED_VALUE"""),1985.0)</f>
        <v>1985</v>
      </c>
      <c r="C3486" s="2">
        <f>IFERROR(__xludf.DUMMYFUNCTION("""COMPUTED_VALUE"""),2013.0)</f>
        <v>2013</v>
      </c>
      <c r="D3486" s="2">
        <f>IFERROR(__xludf.DUMMYFUNCTION("""COMPUTED_VALUE"""),1941.0)</f>
        <v>1941</v>
      </c>
      <c r="E3486" s="2">
        <f>IFERROR(__xludf.DUMMYFUNCTION("""COMPUTED_VALUE"""),1979.95)</f>
        <v>1979.95</v>
      </c>
      <c r="F3486" s="2">
        <f>IFERROR(__xludf.DUMMYFUNCTION("""COMPUTED_VALUE"""),4700256.0)</f>
        <v>4700256</v>
      </c>
    </row>
    <row r="3487">
      <c r="A3487" s="3">
        <f>IFERROR(__xludf.DUMMYFUNCTION("""COMPUTED_VALUE"""),43385.64583333333)</f>
        <v>43385.64583</v>
      </c>
      <c r="B3487" s="2">
        <f>IFERROR(__xludf.DUMMYFUNCTION("""COMPUTED_VALUE"""),1978.0)</f>
        <v>1978</v>
      </c>
      <c r="C3487" s="2">
        <f>IFERROR(__xludf.DUMMYFUNCTION("""COMPUTED_VALUE"""),1978.0)</f>
        <v>1978</v>
      </c>
      <c r="D3487" s="2">
        <f>IFERROR(__xludf.DUMMYFUNCTION("""COMPUTED_VALUE"""),1903.0)</f>
        <v>1903</v>
      </c>
      <c r="E3487" s="2">
        <f>IFERROR(__xludf.DUMMYFUNCTION("""COMPUTED_VALUE"""),1918.3)</f>
        <v>1918.3</v>
      </c>
      <c r="F3487" s="2">
        <f>IFERROR(__xludf.DUMMYFUNCTION("""COMPUTED_VALUE"""),9373289.0)</f>
        <v>9373289</v>
      </c>
    </row>
    <row r="3488">
      <c r="A3488" s="3">
        <f>IFERROR(__xludf.DUMMYFUNCTION("""COMPUTED_VALUE"""),43388.64583333333)</f>
        <v>43388.64583</v>
      </c>
      <c r="B3488" s="2">
        <f>IFERROR(__xludf.DUMMYFUNCTION("""COMPUTED_VALUE"""),1940.0)</f>
        <v>1940</v>
      </c>
      <c r="C3488" s="2">
        <f>IFERROR(__xludf.DUMMYFUNCTION("""COMPUTED_VALUE"""),1955.55)</f>
        <v>1955.55</v>
      </c>
      <c r="D3488" s="2">
        <f>IFERROR(__xludf.DUMMYFUNCTION("""COMPUTED_VALUE"""),1920.0)</f>
        <v>1920</v>
      </c>
      <c r="E3488" s="2">
        <f>IFERROR(__xludf.DUMMYFUNCTION("""COMPUTED_VALUE"""),1949.5)</f>
        <v>1949.5</v>
      </c>
      <c r="F3488" s="2">
        <f>IFERROR(__xludf.DUMMYFUNCTION("""COMPUTED_VALUE"""),2638151.0)</f>
        <v>2638151</v>
      </c>
    </row>
    <row r="3489">
      <c r="A3489" s="3">
        <f>IFERROR(__xludf.DUMMYFUNCTION("""COMPUTED_VALUE"""),43389.64583333333)</f>
        <v>43389.64583</v>
      </c>
      <c r="B3489" s="2">
        <f>IFERROR(__xludf.DUMMYFUNCTION("""COMPUTED_VALUE"""),1958.0)</f>
        <v>1958</v>
      </c>
      <c r="C3489" s="2">
        <f>IFERROR(__xludf.DUMMYFUNCTION("""COMPUTED_VALUE"""),1971.9)</f>
        <v>1971.9</v>
      </c>
      <c r="D3489" s="2">
        <f>IFERROR(__xludf.DUMMYFUNCTION("""COMPUTED_VALUE"""),1935.0)</f>
        <v>1935</v>
      </c>
      <c r="E3489" s="2">
        <f>IFERROR(__xludf.DUMMYFUNCTION("""COMPUTED_VALUE"""),1962.3)</f>
        <v>1962.3</v>
      </c>
      <c r="F3489" s="2">
        <f>IFERROR(__xludf.DUMMYFUNCTION("""COMPUTED_VALUE"""),2815425.0)</f>
        <v>2815425</v>
      </c>
    </row>
    <row r="3490">
      <c r="A3490" s="3">
        <f>IFERROR(__xludf.DUMMYFUNCTION("""COMPUTED_VALUE"""),43390.64583333333)</f>
        <v>43390.64583</v>
      </c>
      <c r="B3490" s="2">
        <f>IFERROR(__xludf.DUMMYFUNCTION("""COMPUTED_VALUE"""),1970.0)</f>
        <v>1970</v>
      </c>
      <c r="C3490" s="2">
        <f>IFERROR(__xludf.DUMMYFUNCTION("""COMPUTED_VALUE"""),1989.0)</f>
        <v>1989</v>
      </c>
      <c r="D3490" s="2">
        <f>IFERROR(__xludf.DUMMYFUNCTION("""COMPUTED_VALUE"""),1920.0)</f>
        <v>1920</v>
      </c>
      <c r="E3490" s="2">
        <f>IFERROR(__xludf.DUMMYFUNCTION("""COMPUTED_VALUE"""),1929.4)</f>
        <v>1929.4</v>
      </c>
      <c r="F3490" s="2">
        <f>IFERROR(__xludf.DUMMYFUNCTION("""COMPUTED_VALUE"""),2779207.0)</f>
        <v>2779207</v>
      </c>
    </row>
    <row r="3491">
      <c r="A3491" s="3">
        <f>IFERROR(__xludf.DUMMYFUNCTION("""COMPUTED_VALUE"""),43392.64583333333)</f>
        <v>43392.64583</v>
      </c>
      <c r="B3491" s="2">
        <f>IFERROR(__xludf.DUMMYFUNCTION("""COMPUTED_VALUE"""),1929.0)</f>
        <v>1929</v>
      </c>
      <c r="C3491" s="2">
        <f>IFERROR(__xludf.DUMMYFUNCTION("""COMPUTED_VALUE"""),1929.0)</f>
        <v>1929</v>
      </c>
      <c r="D3491" s="2">
        <f>IFERROR(__xludf.DUMMYFUNCTION("""COMPUTED_VALUE"""),1870.05)</f>
        <v>1870.05</v>
      </c>
      <c r="E3491" s="2">
        <f>IFERROR(__xludf.DUMMYFUNCTION("""COMPUTED_VALUE"""),1913.2)</f>
        <v>1913.2</v>
      </c>
      <c r="F3491" s="2">
        <f>IFERROR(__xludf.DUMMYFUNCTION("""COMPUTED_VALUE"""),3428776.0)</f>
        <v>3428776</v>
      </c>
    </row>
    <row r="3492">
      <c r="A3492" s="3">
        <f>IFERROR(__xludf.DUMMYFUNCTION("""COMPUTED_VALUE"""),43395.64583333333)</f>
        <v>43395.64583</v>
      </c>
      <c r="B3492" s="2">
        <f>IFERROR(__xludf.DUMMYFUNCTION("""COMPUTED_VALUE"""),1914.0)</f>
        <v>1914</v>
      </c>
      <c r="C3492" s="2">
        <f>IFERROR(__xludf.DUMMYFUNCTION("""COMPUTED_VALUE"""),1916.0)</f>
        <v>1916</v>
      </c>
      <c r="D3492" s="2">
        <f>IFERROR(__xludf.DUMMYFUNCTION("""COMPUTED_VALUE"""),1886.95)</f>
        <v>1886.95</v>
      </c>
      <c r="E3492" s="2">
        <f>IFERROR(__xludf.DUMMYFUNCTION("""COMPUTED_VALUE"""),1903.0)</f>
        <v>1903</v>
      </c>
      <c r="F3492" s="2">
        <f>IFERROR(__xludf.DUMMYFUNCTION("""COMPUTED_VALUE"""),1778496.0)</f>
        <v>1778496</v>
      </c>
    </row>
    <row r="3493">
      <c r="A3493" s="3">
        <f>IFERROR(__xludf.DUMMYFUNCTION("""COMPUTED_VALUE"""),43396.64583333333)</f>
        <v>43396.64583</v>
      </c>
      <c r="B3493" s="2">
        <f>IFERROR(__xludf.DUMMYFUNCTION("""COMPUTED_VALUE"""),1888.0)</f>
        <v>1888</v>
      </c>
      <c r="C3493" s="2">
        <f>IFERROR(__xludf.DUMMYFUNCTION("""COMPUTED_VALUE"""),1898.0)</f>
        <v>1898</v>
      </c>
      <c r="D3493" s="2">
        <f>IFERROR(__xludf.DUMMYFUNCTION("""COMPUTED_VALUE"""),1837.0)</f>
        <v>1837</v>
      </c>
      <c r="E3493" s="2">
        <f>IFERROR(__xludf.DUMMYFUNCTION("""COMPUTED_VALUE"""),1843.65)</f>
        <v>1843.65</v>
      </c>
      <c r="F3493" s="2">
        <f>IFERROR(__xludf.DUMMYFUNCTION("""COMPUTED_VALUE"""),2752811.0)</f>
        <v>2752811</v>
      </c>
    </row>
    <row r="3494">
      <c r="A3494" s="3">
        <f>IFERROR(__xludf.DUMMYFUNCTION("""COMPUTED_VALUE"""),43397.64583333333)</f>
        <v>43397.64583</v>
      </c>
      <c r="B3494" s="2">
        <f>IFERROR(__xludf.DUMMYFUNCTION("""COMPUTED_VALUE"""),1852.05)</f>
        <v>1852.05</v>
      </c>
      <c r="C3494" s="2">
        <f>IFERROR(__xludf.DUMMYFUNCTION("""COMPUTED_VALUE"""),1874.0)</f>
        <v>1874</v>
      </c>
      <c r="D3494" s="2">
        <f>IFERROR(__xludf.DUMMYFUNCTION("""COMPUTED_VALUE"""),1811.1)</f>
        <v>1811.1</v>
      </c>
      <c r="E3494" s="2">
        <f>IFERROR(__xludf.DUMMYFUNCTION("""COMPUTED_VALUE"""),1848.5)</f>
        <v>1848.5</v>
      </c>
      <c r="F3494" s="2">
        <f>IFERROR(__xludf.DUMMYFUNCTION("""COMPUTED_VALUE"""),2735913.0)</f>
        <v>2735913</v>
      </c>
    </row>
    <row r="3495">
      <c r="A3495" s="3">
        <f>IFERROR(__xludf.DUMMYFUNCTION("""COMPUTED_VALUE"""),43398.64583333333)</f>
        <v>43398.64583</v>
      </c>
      <c r="B3495" s="2">
        <f>IFERROR(__xludf.DUMMYFUNCTION("""COMPUTED_VALUE"""),1844.0)</f>
        <v>1844</v>
      </c>
      <c r="C3495" s="2">
        <f>IFERROR(__xludf.DUMMYFUNCTION("""COMPUTED_VALUE"""),1876.9)</f>
        <v>1876.9</v>
      </c>
      <c r="D3495" s="2">
        <f>IFERROR(__xludf.DUMMYFUNCTION("""COMPUTED_VALUE"""),1825.05)</f>
        <v>1825.05</v>
      </c>
      <c r="E3495" s="2">
        <f>IFERROR(__xludf.DUMMYFUNCTION("""COMPUTED_VALUE"""),1853.0)</f>
        <v>1853</v>
      </c>
      <c r="F3495" s="2">
        <f>IFERROR(__xludf.DUMMYFUNCTION("""COMPUTED_VALUE"""),2507233.0)</f>
        <v>2507233</v>
      </c>
    </row>
    <row r="3496">
      <c r="A3496" s="3">
        <f>IFERROR(__xludf.DUMMYFUNCTION("""COMPUTED_VALUE"""),43399.64583333333)</f>
        <v>43399.64583</v>
      </c>
      <c r="B3496" s="2">
        <f>IFERROR(__xludf.DUMMYFUNCTION("""COMPUTED_VALUE"""),1853.9)</f>
        <v>1853.9</v>
      </c>
      <c r="C3496" s="2">
        <f>IFERROR(__xludf.DUMMYFUNCTION("""COMPUTED_VALUE"""),1853.9)</f>
        <v>1853.9</v>
      </c>
      <c r="D3496" s="2">
        <f>IFERROR(__xludf.DUMMYFUNCTION("""COMPUTED_VALUE"""),1791.1)</f>
        <v>1791.1</v>
      </c>
      <c r="E3496" s="2">
        <f>IFERROR(__xludf.DUMMYFUNCTION("""COMPUTED_VALUE"""),1799.1)</f>
        <v>1799.1</v>
      </c>
      <c r="F3496" s="2">
        <f>IFERROR(__xludf.DUMMYFUNCTION("""COMPUTED_VALUE"""),2285970.0)</f>
        <v>2285970</v>
      </c>
    </row>
    <row r="3497">
      <c r="A3497" s="3">
        <f>IFERROR(__xludf.DUMMYFUNCTION("""COMPUTED_VALUE"""),43402.64583333333)</f>
        <v>43402.64583</v>
      </c>
      <c r="B3497" s="2">
        <f>IFERROR(__xludf.DUMMYFUNCTION("""COMPUTED_VALUE"""),1808.7)</f>
        <v>1808.7</v>
      </c>
      <c r="C3497" s="2">
        <f>IFERROR(__xludf.DUMMYFUNCTION("""COMPUTED_VALUE"""),1877.95)</f>
        <v>1877.95</v>
      </c>
      <c r="D3497" s="2">
        <f>IFERROR(__xludf.DUMMYFUNCTION("""COMPUTED_VALUE"""),1784.35)</f>
        <v>1784.35</v>
      </c>
      <c r="E3497" s="2">
        <f>IFERROR(__xludf.DUMMYFUNCTION("""COMPUTED_VALUE"""),1871.0)</f>
        <v>1871</v>
      </c>
      <c r="F3497" s="2">
        <f>IFERROR(__xludf.DUMMYFUNCTION("""COMPUTED_VALUE"""),2609483.0)</f>
        <v>2609483</v>
      </c>
    </row>
    <row r="3498">
      <c r="A3498" s="3">
        <f>IFERROR(__xludf.DUMMYFUNCTION("""COMPUTED_VALUE"""),43403.64583333333)</f>
        <v>43403.64583</v>
      </c>
      <c r="B3498" s="2">
        <f>IFERROR(__xludf.DUMMYFUNCTION("""COMPUTED_VALUE"""),1867.0)</f>
        <v>1867</v>
      </c>
      <c r="C3498" s="2">
        <f>IFERROR(__xludf.DUMMYFUNCTION("""COMPUTED_VALUE"""),1909.4)</f>
        <v>1909.4</v>
      </c>
      <c r="D3498" s="2">
        <f>IFERROR(__xludf.DUMMYFUNCTION("""COMPUTED_VALUE"""),1845.0)</f>
        <v>1845</v>
      </c>
      <c r="E3498" s="2">
        <f>IFERROR(__xludf.DUMMYFUNCTION("""COMPUTED_VALUE"""),1894.8)</f>
        <v>1894.8</v>
      </c>
      <c r="F3498" s="2">
        <f>IFERROR(__xludf.DUMMYFUNCTION("""COMPUTED_VALUE"""),2404883.0)</f>
        <v>2404883</v>
      </c>
    </row>
    <row r="3499">
      <c r="A3499" s="3">
        <f>IFERROR(__xludf.DUMMYFUNCTION("""COMPUTED_VALUE"""),43404.64583333333)</f>
        <v>43404.64583</v>
      </c>
      <c r="B3499" s="2">
        <f>IFERROR(__xludf.DUMMYFUNCTION("""COMPUTED_VALUE"""),1900.0)</f>
        <v>1900</v>
      </c>
      <c r="C3499" s="2">
        <f>IFERROR(__xludf.DUMMYFUNCTION("""COMPUTED_VALUE"""),1943.9)</f>
        <v>1943.9</v>
      </c>
      <c r="D3499" s="2">
        <f>IFERROR(__xludf.DUMMYFUNCTION("""COMPUTED_VALUE"""),1875.45)</f>
        <v>1875.45</v>
      </c>
      <c r="E3499" s="2">
        <f>IFERROR(__xludf.DUMMYFUNCTION("""COMPUTED_VALUE"""),1938.15)</f>
        <v>1938.15</v>
      </c>
      <c r="F3499" s="2">
        <f>IFERROR(__xludf.DUMMYFUNCTION("""COMPUTED_VALUE"""),2769190.0)</f>
        <v>2769190</v>
      </c>
    </row>
    <row r="3500">
      <c r="A3500" s="3">
        <f>IFERROR(__xludf.DUMMYFUNCTION("""COMPUTED_VALUE"""),43405.64583333333)</f>
        <v>43405.64583</v>
      </c>
      <c r="B3500" s="2">
        <f>IFERROR(__xludf.DUMMYFUNCTION("""COMPUTED_VALUE"""),1943.65)</f>
        <v>1943.65</v>
      </c>
      <c r="C3500" s="2">
        <f>IFERROR(__xludf.DUMMYFUNCTION("""COMPUTED_VALUE"""),1944.35)</f>
        <v>1944.35</v>
      </c>
      <c r="D3500" s="2">
        <f>IFERROR(__xludf.DUMMYFUNCTION("""COMPUTED_VALUE"""),1901.3)</f>
        <v>1901.3</v>
      </c>
      <c r="E3500" s="2">
        <f>IFERROR(__xludf.DUMMYFUNCTION("""COMPUTED_VALUE"""),1935.75)</f>
        <v>1935.75</v>
      </c>
      <c r="F3500" s="2">
        <f>IFERROR(__xludf.DUMMYFUNCTION("""COMPUTED_VALUE"""),2769759.0)</f>
        <v>2769759</v>
      </c>
    </row>
    <row r="3501">
      <c r="A3501" s="3">
        <f>IFERROR(__xludf.DUMMYFUNCTION("""COMPUTED_VALUE"""),43406.64583333333)</f>
        <v>43406.64583</v>
      </c>
      <c r="B3501" s="2">
        <f>IFERROR(__xludf.DUMMYFUNCTION("""COMPUTED_VALUE"""),1934.2)</f>
        <v>1934.2</v>
      </c>
      <c r="C3501" s="2">
        <f>IFERROR(__xludf.DUMMYFUNCTION("""COMPUTED_VALUE"""),1954.6)</f>
        <v>1954.6</v>
      </c>
      <c r="D3501" s="2">
        <f>IFERROR(__xludf.DUMMYFUNCTION("""COMPUTED_VALUE"""),1905.0)</f>
        <v>1905</v>
      </c>
      <c r="E3501" s="2">
        <f>IFERROR(__xludf.DUMMYFUNCTION("""COMPUTED_VALUE"""),1913.45)</f>
        <v>1913.45</v>
      </c>
      <c r="F3501" s="2">
        <f>IFERROR(__xludf.DUMMYFUNCTION("""COMPUTED_VALUE"""),1818635.0)</f>
        <v>1818635</v>
      </c>
    </row>
    <row r="3502">
      <c r="A3502" s="3">
        <f>IFERROR(__xludf.DUMMYFUNCTION("""COMPUTED_VALUE"""),43409.79166666667)</f>
        <v>43409.79167</v>
      </c>
      <c r="B3502" s="2">
        <f>IFERROR(__xludf.DUMMYFUNCTION("""COMPUTED_VALUE"""),1910.0)</f>
        <v>1910</v>
      </c>
      <c r="C3502" s="2">
        <f>IFERROR(__xludf.DUMMYFUNCTION("""COMPUTED_VALUE"""),1927.35)</f>
        <v>1927.35</v>
      </c>
      <c r="D3502" s="2">
        <f>IFERROR(__xludf.DUMMYFUNCTION("""COMPUTED_VALUE"""),1884.75)</f>
        <v>1884.75</v>
      </c>
      <c r="E3502" s="2">
        <f>IFERROR(__xludf.DUMMYFUNCTION("""COMPUTED_VALUE"""),1894.0)</f>
        <v>1894</v>
      </c>
      <c r="F3502" s="2">
        <f>IFERROR(__xludf.DUMMYFUNCTION("""COMPUTED_VALUE"""),1713366.0)</f>
        <v>1713366</v>
      </c>
    </row>
    <row r="3503">
      <c r="A3503" s="3">
        <f>IFERROR(__xludf.DUMMYFUNCTION("""COMPUTED_VALUE"""),43410.64583333333)</f>
        <v>43410.64583</v>
      </c>
      <c r="B3503" s="2">
        <f>IFERROR(__xludf.DUMMYFUNCTION("""COMPUTED_VALUE"""),1894.0)</f>
        <v>1894</v>
      </c>
      <c r="C3503" s="2">
        <f>IFERROR(__xludf.DUMMYFUNCTION("""COMPUTED_VALUE"""),1937.5)</f>
        <v>1937.5</v>
      </c>
      <c r="D3503" s="2">
        <f>IFERROR(__xludf.DUMMYFUNCTION("""COMPUTED_VALUE"""),1891.0)</f>
        <v>1891</v>
      </c>
      <c r="E3503" s="2">
        <f>IFERROR(__xludf.DUMMYFUNCTION("""COMPUTED_VALUE"""),1932.7)</f>
        <v>1932.7</v>
      </c>
      <c r="F3503" s="2">
        <f>IFERROR(__xludf.DUMMYFUNCTION("""COMPUTED_VALUE"""),1398710.0)</f>
        <v>1398710</v>
      </c>
    </row>
    <row r="3504">
      <c r="A3504" s="3">
        <f>IFERROR(__xludf.DUMMYFUNCTION("""COMPUTED_VALUE"""),43413.64583333333)</f>
        <v>43413.64583</v>
      </c>
      <c r="B3504" s="2">
        <f>IFERROR(__xludf.DUMMYFUNCTION("""COMPUTED_VALUE"""),1961.0)</f>
        <v>1961</v>
      </c>
      <c r="C3504" s="2">
        <f>IFERROR(__xludf.DUMMYFUNCTION("""COMPUTED_VALUE"""),1961.95)</f>
        <v>1961.95</v>
      </c>
      <c r="D3504" s="2">
        <f>IFERROR(__xludf.DUMMYFUNCTION("""COMPUTED_VALUE"""),1905.0)</f>
        <v>1905</v>
      </c>
      <c r="E3504" s="2">
        <f>IFERROR(__xludf.DUMMYFUNCTION("""COMPUTED_VALUE"""),1909.2)</f>
        <v>1909.2</v>
      </c>
      <c r="F3504" s="2">
        <f>IFERROR(__xludf.DUMMYFUNCTION("""COMPUTED_VALUE"""),2570479.0)</f>
        <v>2570479</v>
      </c>
    </row>
    <row r="3505">
      <c r="A3505" s="3">
        <f>IFERROR(__xludf.DUMMYFUNCTION("""COMPUTED_VALUE"""),43416.64583333333)</f>
        <v>43416.64583</v>
      </c>
      <c r="B3505" s="2">
        <f>IFERROR(__xludf.DUMMYFUNCTION("""COMPUTED_VALUE"""),1908.5)</f>
        <v>1908.5</v>
      </c>
      <c r="C3505" s="2">
        <f>IFERROR(__xludf.DUMMYFUNCTION("""COMPUTED_VALUE"""),1946.1)</f>
        <v>1946.1</v>
      </c>
      <c r="D3505" s="2">
        <f>IFERROR(__xludf.DUMMYFUNCTION("""COMPUTED_VALUE"""),1908.5)</f>
        <v>1908.5</v>
      </c>
      <c r="E3505" s="2">
        <f>IFERROR(__xludf.DUMMYFUNCTION("""COMPUTED_VALUE"""),1914.85)</f>
        <v>1914.85</v>
      </c>
      <c r="F3505" s="2">
        <f>IFERROR(__xludf.DUMMYFUNCTION("""COMPUTED_VALUE"""),2552008.0)</f>
        <v>2552008</v>
      </c>
    </row>
    <row r="3506">
      <c r="A3506" s="3">
        <f>IFERROR(__xludf.DUMMYFUNCTION("""COMPUTED_VALUE"""),43417.64583333333)</f>
        <v>43417.64583</v>
      </c>
      <c r="B3506" s="2">
        <f>IFERROR(__xludf.DUMMYFUNCTION("""COMPUTED_VALUE"""),1915.0)</f>
        <v>1915</v>
      </c>
      <c r="C3506" s="2">
        <f>IFERROR(__xludf.DUMMYFUNCTION("""COMPUTED_VALUE"""),1939.0)</f>
        <v>1939</v>
      </c>
      <c r="D3506" s="2">
        <f>IFERROR(__xludf.DUMMYFUNCTION("""COMPUTED_VALUE"""),1903.0)</f>
        <v>1903</v>
      </c>
      <c r="E3506" s="2">
        <f>IFERROR(__xludf.DUMMYFUNCTION("""COMPUTED_VALUE"""),1934.95)</f>
        <v>1934.95</v>
      </c>
      <c r="F3506" s="2">
        <f>IFERROR(__xludf.DUMMYFUNCTION("""COMPUTED_VALUE"""),1418432.0)</f>
        <v>1418432</v>
      </c>
    </row>
    <row r="3507">
      <c r="A3507" s="3">
        <f>IFERROR(__xludf.DUMMYFUNCTION("""COMPUTED_VALUE"""),43418.64583333333)</f>
        <v>43418.64583</v>
      </c>
      <c r="B3507" s="2">
        <f>IFERROR(__xludf.DUMMYFUNCTION("""COMPUTED_VALUE"""),1925.0)</f>
        <v>1925</v>
      </c>
      <c r="C3507" s="2">
        <f>IFERROR(__xludf.DUMMYFUNCTION("""COMPUTED_VALUE"""),1929.9)</f>
        <v>1929.9</v>
      </c>
      <c r="D3507" s="2">
        <f>IFERROR(__xludf.DUMMYFUNCTION("""COMPUTED_VALUE"""),1870.0)</f>
        <v>1870</v>
      </c>
      <c r="E3507" s="2">
        <f>IFERROR(__xludf.DUMMYFUNCTION("""COMPUTED_VALUE"""),1880.65)</f>
        <v>1880.65</v>
      </c>
      <c r="F3507" s="2">
        <f>IFERROR(__xludf.DUMMYFUNCTION("""COMPUTED_VALUE"""),2422318.0)</f>
        <v>2422318</v>
      </c>
    </row>
    <row r="3508">
      <c r="A3508" s="3">
        <f>IFERROR(__xludf.DUMMYFUNCTION("""COMPUTED_VALUE"""),43419.64583333333)</f>
        <v>43419.64583</v>
      </c>
      <c r="B3508" s="2">
        <f>IFERROR(__xludf.DUMMYFUNCTION("""COMPUTED_VALUE"""),1864.0)</f>
        <v>1864</v>
      </c>
      <c r="C3508" s="2">
        <f>IFERROR(__xludf.DUMMYFUNCTION("""COMPUTED_VALUE"""),1899.0)</f>
        <v>1899</v>
      </c>
      <c r="D3508" s="2">
        <f>IFERROR(__xludf.DUMMYFUNCTION("""COMPUTED_VALUE"""),1857.6)</f>
        <v>1857.6</v>
      </c>
      <c r="E3508" s="2">
        <f>IFERROR(__xludf.DUMMYFUNCTION("""COMPUTED_VALUE"""),1872.85)</f>
        <v>1872.85</v>
      </c>
      <c r="F3508" s="2">
        <f>IFERROR(__xludf.DUMMYFUNCTION("""COMPUTED_VALUE"""),1829123.0)</f>
        <v>1829123</v>
      </c>
    </row>
    <row r="3509">
      <c r="A3509" s="3">
        <f>IFERROR(__xludf.DUMMYFUNCTION("""COMPUTED_VALUE"""),43420.64583333333)</f>
        <v>43420.64583</v>
      </c>
      <c r="B3509" s="2">
        <f>IFERROR(__xludf.DUMMYFUNCTION("""COMPUTED_VALUE"""),1889.0)</f>
        <v>1889</v>
      </c>
      <c r="C3509" s="2">
        <f>IFERROR(__xludf.DUMMYFUNCTION("""COMPUTED_VALUE"""),1899.8)</f>
        <v>1899.8</v>
      </c>
      <c r="D3509" s="2">
        <f>IFERROR(__xludf.DUMMYFUNCTION("""COMPUTED_VALUE"""),1870.25)</f>
        <v>1870.25</v>
      </c>
      <c r="E3509" s="2">
        <f>IFERROR(__xludf.DUMMYFUNCTION("""COMPUTED_VALUE"""),1886.6)</f>
        <v>1886.6</v>
      </c>
      <c r="F3509" s="2">
        <f>IFERROR(__xludf.DUMMYFUNCTION("""COMPUTED_VALUE"""),1829729.0)</f>
        <v>1829729</v>
      </c>
    </row>
    <row r="3510">
      <c r="A3510" s="3">
        <f>IFERROR(__xludf.DUMMYFUNCTION("""COMPUTED_VALUE"""),43423.64583333333)</f>
        <v>43423.64583</v>
      </c>
      <c r="B3510" s="2">
        <f>IFERROR(__xludf.DUMMYFUNCTION("""COMPUTED_VALUE"""),1899.0)</f>
        <v>1899</v>
      </c>
      <c r="C3510" s="2">
        <f>IFERROR(__xludf.DUMMYFUNCTION("""COMPUTED_VALUE"""),1907.35)</f>
        <v>1907.35</v>
      </c>
      <c r="D3510" s="2">
        <f>IFERROR(__xludf.DUMMYFUNCTION("""COMPUTED_VALUE"""),1864.3)</f>
        <v>1864.3</v>
      </c>
      <c r="E3510" s="2">
        <f>IFERROR(__xludf.DUMMYFUNCTION("""COMPUTED_VALUE"""),1902.45)</f>
        <v>1902.45</v>
      </c>
      <c r="F3510" s="2">
        <f>IFERROR(__xludf.DUMMYFUNCTION("""COMPUTED_VALUE"""),1740628.0)</f>
        <v>1740628</v>
      </c>
    </row>
    <row r="3511">
      <c r="A3511" s="3">
        <f>IFERROR(__xludf.DUMMYFUNCTION("""COMPUTED_VALUE"""),43424.64583333333)</f>
        <v>43424.64583</v>
      </c>
      <c r="B3511" s="2">
        <f>IFERROR(__xludf.DUMMYFUNCTION("""COMPUTED_VALUE"""),1902.0)</f>
        <v>1902</v>
      </c>
      <c r="C3511" s="2">
        <f>IFERROR(__xludf.DUMMYFUNCTION("""COMPUTED_VALUE"""),1902.0)</f>
        <v>1902</v>
      </c>
      <c r="D3511" s="2">
        <f>IFERROR(__xludf.DUMMYFUNCTION("""COMPUTED_VALUE"""),1874.2)</f>
        <v>1874.2</v>
      </c>
      <c r="E3511" s="2">
        <f>IFERROR(__xludf.DUMMYFUNCTION("""COMPUTED_VALUE"""),1878.25)</f>
        <v>1878.25</v>
      </c>
      <c r="F3511" s="2">
        <f>IFERROR(__xludf.DUMMYFUNCTION("""COMPUTED_VALUE"""),1190182.0)</f>
        <v>1190182</v>
      </c>
    </row>
    <row r="3512">
      <c r="A3512" s="3">
        <f>IFERROR(__xludf.DUMMYFUNCTION("""COMPUTED_VALUE"""),43425.64583333333)</f>
        <v>43425.64583</v>
      </c>
      <c r="B3512" s="2">
        <f>IFERROR(__xludf.DUMMYFUNCTION("""COMPUTED_VALUE"""),1871.0)</f>
        <v>1871</v>
      </c>
      <c r="C3512" s="2">
        <f>IFERROR(__xludf.DUMMYFUNCTION("""COMPUTED_VALUE"""),1871.05)</f>
        <v>1871.05</v>
      </c>
      <c r="D3512" s="2">
        <f>IFERROR(__xludf.DUMMYFUNCTION("""COMPUTED_VALUE"""),1798.55)</f>
        <v>1798.55</v>
      </c>
      <c r="E3512" s="2">
        <f>IFERROR(__xludf.DUMMYFUNCTION("""COMPUTED_VALUE"""),1812.0)</f>
        <v>1812</v>
      </c>
      <c r="F3512" s="2">
        <f>IFERROR(__xludf.DUMMYFUNCTION("""COMPUTED_VALUE"""),3840461.0)</f>
        <v>3840461</v>
      </c>
    </row>
    <row r="3513">
      <c r="A3513" s="3">
        <f>IFERROR(__xludf.DUMMYFUNCTION("""COMPUTED_VALUE"""),43426.64583333333)</f>
        <v>43426.64583</v>
      </c>
      <c r="B3513" s="2">
        <f>IFERROR(__xludf.DUMMYFUNCTION("""COMPUTED_VALUE"""),1820.0)</f>
        <v>1820</v>
      </c>
      <c r="C3513" s="2">
        <f>IFERROR(__xludf.DUMMYFUNCTION("""COMPUTED_VALUE"""),1847.6)</f>
        <v>1847.6</v>
      </c>
      <c r="D3513" s="2">
        <f>IFERROR(__xludf.DUMMYFUNCTION("""COMPUTED_VALUE"""),1809.95)</f>
        <v>1809.95</v>
      </c>
      <c r="E3513" s="2">
        <f>IFERROR(__xludf.DUMMYFUNCTION("""COMPUTED_VALUE"""),1812.55)</f>
        <v>1812.55</v>
      </c>
      <c r="F3513" s="2">
        <f>IFERROR(__xludf.DUMMYFUNCTION("""COMPUTED_VALUE"""),3194219.0)</f>
        <v>3194219</v>
      </c>
    </row>
    <row r="3514">
      <c r="A3514" s="3">
        <f>IFERROR(__xludf.DUMMYFUNCTION("""COMPUTED_VALUE"""),43430.64583333333)</f>
        <v>43430.64583</v>
      </c>
      <c r="B3514" s="2">
        <f>IFERROR(__xludf.DUMMYFUNCTION("""COMPUTED_VALUE"""),1819.0)</f>
        <v>1819</v>
      </c>
      <c r="C3514" s="2">
        <f>IFERROR(__xludf.DUMMYFUNCTION("""COMPUTED_VALUE"""),1860.0)</f>
        <v>1860</v>
      </c>
      <c r="D3514" s="2">
        <f>IFERROR(__xludf.DUMMYFUNCTION("""COMPUTED_VALUE"""),1784.5)</f>
        <v>1784.5</v>
      </c>
      <c r="E3514" s="2">
        <f>IFERROR(__xludf.DUMMYFUNCTION("""COMPUTED_VALUE"""),1846.1)</f>
        <v>1846.1</v>
      </c>
      <c r="F3514" s="2">
        <f>IFERROR(__xludf.DUMMYFUNCTION("""COMPUTED_VALUE"""),4333177.0)</f>
        <v>4333177</v>
      </c>
    </row>
    <row r="3515">
      <c r="A3515" s="3">
        <f>IFERROR(__xludf.DUMMYFUNCTION("""COMPUTED_VALUE"""),43431.64583333333)</f>
        <v>43431.64583</v>
      </c>
      <c r="B3515" s="2">
        <f>IFERROR(__xludf.DUMMYFUNCTION("""COMPUTED_VALUE"""),1854.0)</f>
        <v>1854</v>
      </c>
      <c r="C3515" s="2">
        <f>IFERROR(__xludf.DUMMYFUNCTION("""COMPUTED_VALUE"""),1897.9)</f>
        <v>1897.9</v>
      </c>
      <c r="D3515" s="2">
        <f>IFERROR(__xludf.DUMMYFUNCTION("""COMPUTED_VALUE"""),1835.35)</f>
        <v>1835.35</v>
      </c>
      <c r="E3515" s="2">
        <f>IFERROR(__xludf.DUMMYFUNCTION("""COMPUTED_VALUE"""),1890.25)</f>
        <v>1890.25</v>
      </c>
      <c r="F3515" s="2">
        <f>IFERROR(__xludf.DUMMYFUNCTION("""COMPUTED_VALUE"""),3344839.0)</f>
        <v>3344839</v>
      </c>
    </row>
    <row r="3516">
      <c r="A3516" s="3">
        <f>IFERROR(__xludf.DUMMYFUNCTION("""COMPUTED_VALUE"""),43432.64583333333)</f>
        <v>43432.64583</v>
      </c>
      <c r="B3516" s="2">
        <f>IFERROR(__xludf.DUMMYFUNCTION("""COMPUTED_VALUE"""),1889.0)</f>
        <v>1889</v>
      </c>
      <c r="C3516" s="2">
        <f>IFERROR(__xludf.DUMMYFUNCTION("""COMPUTED_VALUE"""),1989.0)</f>
        <v>1989</v>
      </c>
      <c r="D3516" s="2">
        <f>IFERROR(__xludf.DUMMYFUNCTION("""COMPUTED_VALUE"""),1882.5)</f>
        <v>1882.5</v>
      </c>
      <c r="E3516" s="2">
        <f>IFERROR(__xludf.DUMMYFUNCTION("""COMPUTED_VALUE"""),1983.9)</f>
        <v>1983.9</v>
      </c>
      <c r="F3516" s="2">
        <f>IFERROR(__xludf.DUMMYFUNCTION("""COMPUTED_VALUE"""),5313249.0)</f>
        <v>5313249</v>
      </c>
    </row>
    <row r="3517">
      <c r="A3517" s="3">
        <f>IFERROR(__xludf.DUMMYFUNCTION("""COMPUTED_VALUE"""),43433.64583333333)</f>
        <v>43433.64583</v>
      </c>
      <c r="B3517" s="2">
        <f>IFERROR(__xludf.DUMMYFUNCTION("""COMPUTED_VALUE"""),1997.0)</f>
        <v>1997</v>
      </c>
      <c r="C3517" s="2">
        <f>IFERROR(__xludf.DUMMYFUNCTION("""COMPUTED_VALUE"""),1997.0)</f>
        <v>1997</v>
      </c>
      <c r="D3517" s="2">
        <f>IFERROR(__xludf.DUMMYFUNCTION("""COMPUTED_VALUE"""),1942.55)</f>
        <v>1942.55</v>
      </c>
      <c r="E3517" s="2">
        <f>IFERROR(__xludf.DUMMYFUNCTION("""COMPUTED_VALUE"""),1960.55)</f>
        <v>1960.55</v>
      </c>
      <c r="F3517" s="2">
        <f>IFERROR(__xludf.DUMMYFUNCTION("""COMPUTED_VALUE"""),4035441.0)</f>
        <v>4035441</v>
      </c>
    </row>
    <row r="3518">
      <c r="A3518" s="3">
        <f>IFERROR(__xludf.DUMMYFUNCTION("""COMPUTED_VALUE"""),43434.64583333333)</f>
        <v>43434.64583</v>
      </c>
      <c r="B3518" s="2">
        <f>IFERROR(__xludf.DUMMYFUNCTION("""COMPUTED_VALUE"""),1966.0)</f>
        <v>1966</v>
      </c>
      <c r="C3518" s="2">
        <f>IFERROR(__xludf.DUMMYFUNCTION("""COMPUTED_VALUE"""),1991.0)</f>
        <v>1991</v>
      </c>
      <c r="D3518" s="2">
        <f>IFERROR(__xludf.DUMMYFUNCTION("""COMPUTED_VALUE"""),1959.85)</f>
        <v>1959.85</v>
      </c>
      <c r="E3518" s="2">
        <f>IFERROR(__xludf.DUMMYFUNCTION("""COMPUTED_VALUE"""),1968.25)</f>
        <v>1968.25</v>
      </c>
      <c r="F3518" s="2">
        <f>IFERROR(__xludf.DUMMYFUNCTION("""COMPUTED_VALUE"""),5268901.0)</f>
        <v>5268901</v>
      </c>
    </row>
    <row r="3519">
      <c r="A3519" s="3">
        <f>IFERROR(__xludf.DUMMYFUNCTION("""COMPUTED_VALUE"""),43437.64583333333)</f>
        <v>43437.64583</v>
      </c>
      <c r="B3519" s="2">
        <f>IFERROR(__xludf.DUMMYFUNCTION("""COMPUTED_VALUE"""),1984.0)</f>
        <v>1984</v>
      </c>
      <c r="C3519" s="2">
        <f>IFERROR(__xludf.DUMMYFUNCTION("""COMPUTED_VALUE"""),1990.0)</f>
        <v>1990</v>
      </c>
      <c r="D3519" s="2">
        <f>IFERROR(__xludf.DUMMYFUNCTION("""COMPUTED_VALUE"""),1968.3)</f>
        <v>1968.3</v>
      </c>
      <c r="E3519" s="2">
        <f>IFERROR(__xludf.DUMMYFUNCTION("""COMPUTED_VALUE"""),1982.4)</f>
        <v>1982.4</v>
      </c>
      <c r="F3519" s="2">
        <f>IFERROR(__xludf.DUMMYFUNCTION("""COMPUTED_VALUE"""),1610576.0)</f>
        <v>1610576</v>
      </c>
    </row>
    <row r="3520">
      <c r="A3520" s="3">
        <f>IFERROR(__xludf.DUMMYFUNCTION("""COMPUTED_VALUE"""),43438.64583333333)</f>
        <v>43438.64583</v>
      </c>
      <c r="B3520" s="2">
        <f>IFERROR(__xludf.DUMMYFUNCTION("""COMPUTED_VALUE"""),1983.0)</f>
        <v>1983</v>
      </c>
      <c r="C3520" s="2">
        <f>IFERROR(__xludf.DUMMYFUNCTION("""COMPUTED_VALUE"""),2019.4)</f>
        <v>2019.4</v>
      </c>
      <c r="D3520" s="2">
        <f>IFERROR(__xludf.DUMMYFUNCTION("""COMPUTED_VALUE"""),1971.0)</f>
        <v>1971</v>
      </c>
      <c r="E3520" s="2">
        <f>IFERROR(__xludf.DUMMYFUNCTION("""COMPUTED_VALUE"""),2010.85)</f>
        <v>2010.85</v>
      </c>
      <c r="F3520" s="2">
        <f>IFERROR(__xludf.DUMMYFUNCTION("""COMPUTED_VALUE"""),3270615.0)</f>
        <v>3270615</v>
      </c>
    </row>
    <row r="3521">
      <c r="A3521" s="3">
        <f>IFERROR(__xludf.DUMMYFUNCTION("""COMPUTED_VALUE"""),43439.64583333333)</f>
        <v>43439.64583</v>
      </c>
      <c r="B3521" s="2">
        <f>IFERROR(__xludf.DUMMYFUNCTION("""COMPUTED_VALUE"""),2006.0)</f>
        <v>2006</v>
      </c>
      <c r="C3521" s="2">
        <f>IFERROR(__xludf.DUMMYFUNCTION("""COMPUTED_VALUE"""),2018.0)</f>
        <v>2018</v>
      </c>
      <c r="D3521" s="2">
        <f>IFERROR(__xludf.DUMMYFUNCTION("""COMPUTED_VALUE"""),1985.0)</f>
        <v>1985</v>
      </c>
      <c r="E3521" s="2">
        <f>IFERROR(__xludf.DUMMYFUNCTION("""COMPUTED_VALUE"""),2006.75)</f>
        <v>2006.75</v>
      </c>
      <c r="F3521" s="2">
        <f>IFERROR(__xludf.DUMMYFUNCTION("""COMPUTED_VALUE"""),2501539.0)</f>
        <v>2501539</v>
      </c>
    </row>
    <row r="3522">
      <c r="A3522" s="3">
        <f>IFERROR(__xludf.DUMMYFUNCTION("""COMPUTED_VALUE"""),43440.64583333333)</f>
        <v>43440.64583</v>
      </c>
      <c r="B3522" s="2">
        <f>IFERROR(__xludf.DUMMYFUNCTION("""COMPUTED_VALUE"""),1998.0)</f>
        <v>1998</v>
      </c>
      <c r="C3522" s="2">
        <f>IFERROR(__xludf.DUMMYFUNCTION("""COMPUTED_VALUE"""),2017.0)</f>
        <v>2017</v>
      </c>
      <c r="D3522" s="2">
        <f>IFERROR(__xludf.DUMMYFUNCTION("""COMPUTED_VALUE"""),1979.6)</f>
        <v>1979.6</v>
      </c>
      <c r="E3522" s="2">
        <f>IFERROR(__xludf.DUMMYFUNCTION("""COMPUTED_VALUE"""),1992.7)</f>
        <v>1992.7</v>
      </c>
      <c r="F3522" s="2">
        <f>IFERROR(__xludf.DUMMYFUNCTION("""COMPUTED_VALUE"""),2321216.0)</f>
        <v>2321216</v>
      </c>
    </row>
    <row r="3523">
      <c r="A3523" s="3">
        <f>IFERROR(__xludf.DUMMYFUNCTION("""COMPUTED_VALUE"""),43441.64583333333)</f>
        <v>43441.64583</v>
      </c>
      <c r="B3523" s="2">
        <f>IFERROR(__xludf.DUMMYFUNCTION("""COMPUTED_VALUE"""),1985.05)</f>
        <v>1985.05</v>
      </c>
      <c r="C3523" s="2">
        <f>IFERROR(__xludf.DUMMYFUNCTION("""COMPUTED_VALUE"""),2003.9)</f>
        <v>2003.9</v>
      </c>
      <c r="D3523" s="2">
        <f>IFERROR(__xludf.DUMMYFUNCTION("""COMPUTED_VALUE"""),1973.0)</f>
        <v>1973</v>
      </c>
      <c r="E3523" s="2">
        <f>IFERROR(__xludf.DUMMYFUNCTION("""COMPUTED_VALUE"""),1995.2)</f>
        <v>1995.2</v>
      </c>
      <c r="F3523" s="2">
        <f>IFERROR(__xludf.DUMMYFUNCTION("""COMPUTED_VALUE"""),1680420.0)</f>
        <v>1680420</v>
      </c>
    </row>
    <row r="3524">
      <c r="A3524" s="3">
        <f>IFERROR(__xludf.DUMMYFUNCTION("""COMPUTED_VALUE"""),43444.64583333333)</f>
        <v>43444.64583</v>
      </c>
      <c r="B3524" s="2">
        <f>IFERROR(__xludf.DUMMYFUNCTION("""COMPUTED_VALUE"""),1975.0)</f>
        <v>1975</v>
      </c>
      <c r="C3524" s="2">
        <f>IFERROR(__xludf.DUMMYFUNCTION("""COMPUTED_VALUE"""),2011.0)</f>
        <v>2011</v>
      </c>
      <c r="D3524" s="2">
        <f>IFERROR(__xludf.DUMMYFUNCTION("""COMPUTED_VALUE"""),1960.0)</f>
        <v>1960</v>
      </c>
      <c r="E3524" s="2">
        <f>IFERROR(__xludf.DUMMYFUNCTION("""COMPUTED_VALUE"""),1975.8)</f>
        <v>1975.8</v>
      </c>
      <c r="F3524" s="2">
        <f>IFERROR(__xludf.DUMMYFUNCTION("""COMPUTED_VALUE"""),2010786.0)</f>
        <v>2010786</v>
      </c>
    </row>
    <row r="3525">
      <c r="A3525" s="3">
        <f>IFERROR(__xludf.DUMMYFUNCTION("""COMPUTED_VALUE"""),43445.64583333333)</f>
        <v>43445.64583</v>
      </c>
      <c r="B3525" s="2">
        <f>IFERROR(__xludf.DUMMYFUNCTION("""COMPUTED_VALUE"""),1970.0)</f>
        <v>1970</v>
      </c>
      <c r="C3525" s="2">
        <f>IFERROR(__xludf.DUMMYFUNCTION("""COMPUTED_VALUE"""),2010.0)</f>
        <v>2010</v>
      </c>
      <c r="D3525" s="2">
        <f>IFERROR(__xludf.DUMMYFUNCTION("""COMPUTED_VALUE"""),1961.0)</f>
        <v>1961</v>
      </c>
      <c r="E3525" s="2">
        <f>IFERROR(__xludf.DUMMYFUNCTION("""COMPUTED_VALUE"""),2000.0)</f>
        <v>2000</v>
      </c>
      <c r="F3525" s="2">
        <f>IFERROR(__xludf.DUMMYFUNCTION("""COMPUTED_VALUE"""),2942014.0)</f>
        <v>2942014</v>
      </c>
    </row>
    <row r="3526">
      <c r="A3526" s="3">
        <f>IFERROR(__xludf.DUMMYFUNCTION("""COMPUTED_VALUE"""),43446.64583333333)</f>
        <v>43446.64583</v>
      </c>
      <c r="B3526" s="2">
        <f>IFERROR(__xludf.DUMMYFUNCTION("""COMPUTED_VALUE"""),2001.1)</f>
        <v>2001.1</v>
      </c>
      <c r="C3526" s="2">
        <f>IFERROR(__xludf.DUMMYFUNCTION("""COMPUTED_VALUE"""),2022.0)</f>
        <v>2022</v>
      </c>
      <c r="D3526" s="2">
        <f>IFERROR(__xludf.DUMMYFUNCTION("""COMPUTED_VALUE"""),1984.95)</f>
        <v>1984.95</v>
      </c>
      <c r="E3526" s="2">
        <f>IFERROR(__xludf.DUMMYFUNCTION("""COMPUTED_VALUE"""),2016.8)</f>
        <v>2016.8</v>
      </c>
      <c r="F3526" s="2">
        <f>IFERROR(__xludf.DUMMYFUNCTION("""COMPUTED_VALUE"""),2219993.0)</f>
        <v>2219993</v>
      </c>
    </row>
    <row r="3527">
      <c r="A3527" s="3">
        <f>IFERROR(__xludf.DUMMYFUNCTION("""COMPUTED_VALUE"""),43447.64583333333)</f>
        <v>43447.64583</v>
      </c>
      <c r="B3527" s="2">
        <f>IFERROR(__xludf.DUMMYFUNCTION("""COMPUTED_VALUE"""),2024.0)</f>
        <v>2024</v>
      </c>
      <c r="C3527" s="2">
        <f>IFERROR(__xludf.DUMMYFUNCTION("""COMPUTED_VALUE"""),2029.7)</f>
        <v>2029.7</v>
      </c>
      <c r="D3527" s="2">
        <f>IFERROR(__xludf.DUMMYFUNCTION("""COMPUTED_VALUE"""),1974.5)</f>
        <v>1974.5</v>
      </c>
      <c r="E3527" s="2">
        <f>IFERROR(__xludf.DUMMYFUNCTION("""COMPUTED_VALUE"""),1982.6)</f>
        <v>1982.6</v>
      </c>
      <c r="F3527" s="2">
        <f>IFERROR(__xludf.DUMMYFUNCTION("""COMPUTED_VALUE"""),3748429.0)</f>
        <v>3748429</v>
      </c>
    </row>
    <row r="3528">
      <c r="A3528" s="3">
        <f>IFERROR(__xludf.DUMMYFUNCTION("""COMPUTED_VALUE"""),43448.64583333333)</f>
        <v>43448.64583</v>
      </c>
      <c r="B3528" s="2">
        <f>IFERROR(__xludf.DUMMYFUNCTION("""COMPUTED_VALUE"""),1983.0)</f>
        <v>1983</v>
      </c>
      <c r="C3528" s="2">
        <f>IFERROR(__xludf.DUMMYFUNCTION("""COMPUTED_VALUE"""),1998.95)</f>
        <v>1998.95</v>
      </c>
      <c r="D3528" s="2">
        <f>IFERROR(__xludf.DUMMYFUNCTION("""COMPUTED_VALUE"""),1975.25)</f>
        <v>1975.25</v>
      </c>
      <c r="E3528" s="2">
        <f>IFERROR(__xludf.DUMMYFUNCTION("""COMPUTED_VALUE"""),1989.75)</f>
        <v>1989.75</v>
      </c>
      <c r="F3528" s="2">
        <f>IFERROR(__xludf.DUMMYFUNCTION("""COMPUTED_VALUE"""),2473761.0)</f>
        <v>2473761</v>
      </c>
    </row>
    <row r="3529">
      <c r="A3529" s="3">
        <f>IFERROR(__xludf.DUMMYFUNCTION("""COMPUTED_VALUE"""),43451.64583333333)</f>
        <v>43451.64583</v>
      </c>
      <c r="B3529" s="2">
        <f>IFERROR(__xludf.DUMMYFUNCTION("""COMPUTED_VALUE"""),1999.0)</f>
        <v>1999</v>
      </c>
      <c r="C3529" s="2">
        <f>IFERROR(__xludf.DUMMYFUNCTION("""COMPUTED_VALUE"""),2004.9)</f>
        <v>2004.9</v>
      </c>
      <c r="D3529" s="2">
        <f>IFERROR(__xludf.DUMMYFUNCTION("""COMPUTED_VALUE"""),1985.0)</f>
        <v>1985</v>
      </c>
      <c r="E3529" s="2">
        <f>IFERROR(__xludf.DUMMYFUNCTION("""COMPUTED_VALUE"""),1994.3)</f>
        <v>1994.3</v>
      </c>
      <c r="F3529" s="2">
        <f>IFERROR(__xludf.DUMMYFUNCTION("""COMPUTED_VALUE"""),1227921.0)</f>
        <v>1227921</v>
      </c>
    </row>
    <row r="3530">
      <c r="A3530" s="3">
        <f>IFERROR(__xludf.DUMMYFUNCTION("""COMPUTED_VALUE"""),43452.64583333333)</f>
        <v>43452.64583</v>
      </c>
      <c r="B3530" s="2">
        <f>IFERROR(__xludf.DUMMYFUNCTION("""COMPUTED_VALUE"""),1991.9)</f>
        <v>1991.9</v>
      </c>
      <c r="C3530" s="2">
        <f>IFERROR(__xludf.DUMMYFUNCTION("""COMPUTED_VALUE"""),2002.0)</f>
        <v>2002</v>
      </c>
      <c r="D3530" s="2">
        <f>IFERROR(__xludf.DUMMYFUNCTION("""COMPUTED_VALUE"""),1976.4)</f>
        <v>1976.4</v>
      </c>
      <c r="E3530" s="2">
        <f>IFERROR(__xludf.DUMMYFUNCTION("""COMPUTED_VALUE"""),1987.85)</f>
        <v>1987.85</v>
      </c>
      <c r="F3530" s="2">
        <f>IFERROR(__xludf.DUMMYFUNCTION("""COMPUTED_VALUE"""),1768742.0)</f>
        <v>1768742</v>
      </c>
    </row>
    <row r="3531">
      <c r="A3531" s="3">
        <f>IFERROR(__xludf.DUMMYFUNCTION("""COMPUTED_VALUE"""),43453.64583333333)</f>
        <v>43453.64583</v>
      </c>
      <c r="B3531" s="2">
        <f>IFERROR(__xludf.DUMMYFUNCTION("""COMPUTED_VALUE"""),1984.8)</f>
        <v>1984.8</v>
      </c>
      <c r="C3531" s="2">
        <f>IFERROR(__xludf.DUMMYFUNCTION("""COMPUTED_VALUE"""),1984.8)</f>
        <v>1984.8</v>
      </c>
      <c r="D3531" s="2">
        <f>IFERROR(__xludf.DUMMYFUNCTION("""COMPUTED_VALUE"""),1960.05)</f>
        <v>1960.05</v>
      </c>
      <c r="E3531" s="2">
        <f>IFERROR(__xludf.DUMMYFUNCTION("""COMPUTED_VALUE"""),1968.45)</f>
        <v>1968.45</v>
      </c>
      <c r="F3531" s="2">
        <f>IFERROR(__xludf.DUMMYFUNCTION("""COMPUTED_VALUE"""),2498833.0)</f>
        <v>2498833</v>
      </c>
    </row>
    <row r="3532">
      <c r="A3532" s="3">
        <f>IFERROR(__xludf.DUMMYFUNCTION("""COMPUTED_VALUE"""),43454.64583333333)</f>
        <v>43454.64583</v>
      </c>
      <c r="B3532" s="2">
        <f>IFERROR(__xludf.DUMMYFUNCTION("""COMPUTED_VALUE"""),1953.8)</f>
        <v>1953.8</v>
      </c>
      <c r="C3532" s="2">
        <f>IFERROR(__xludf.DUMMYFUNCTION("""COMPUTED_VALUE"""),1974.9)</f>
        <v>1974.9</v>
      </c>
      <c r="D3532" s="2">
        <f>IFERROR(__xludf.DUMMYFUNCTION("""COMPUTED_VALUE"""),1946.0)</f>
        <v>1946</v>
      </c>
      <c r="E3532" s="2">
        <f>IFERROR(__xludf.DUMMYFUNCTION("""COMPUTED_VALUE"""),1954.05)</f>
        <v>1954.05</v>
      </c>
      <c r="F3532" s="2">
        <f>IFERROR(__xludf.DUMMYFUNCTION("""COMPUTED_VALUE"""),1940277.0)</f>
        <v>1940277</v>
      </c>
    </row>
    <row r="3533">
      <c r="A3533" s="3">
        <f>IFERROR(__xludf.DUMMYFUNCTION("""COMPUTED_VALUE"""),43455.64583333333)</f>
        <v>43455.64583</v>
      </c>
      <c r="B3533" s="2">
        <f>IFERROR(__xludf.DUMMYFUNCTION("""COMPUTED_VALUE"""),1948.0)</f>
        <v>1948</v>
      </c>
      <c r="C3533" s="2">
        <f>IFERROR(__xludf.DUMMYFUNCTION("""COMPUTED_VALUE"""),1950.0)</f>
        <v>1950</v>
      </c>
      <c r="D3533" s="2">
        <f>IFERROR(__xludf.DUMMYFUNCTION("""COMPUTED_VALUE"""),1886.55)</f>
        <v>1886.55</v>
      </c>
      <c r="E3533" s="2">
        <f>IFERROR(__xludf.DUMMYFUNCTION("""COMPUTED_VALUE"""),1895.8)</f>
        <v>1895.8</v>
      </c>
      <c r="F3533" s="2">
        <f>IFERROR(__xludf.DUMMYFUNCTION("""COMPUTED_VALUE"""),3729956.0)</f>
        <v>3729956</v>
      </c>
    </row>
    <row r="3534">
      <c r="A3534" s="3">
        <f>IFERROR(__xludf.DUMMYFUNCTION("""COMPUTED_VALUE"""),43458.64583333333)</f>
        <v>43458.64583</v>
      </c>
      <c r="B3534" s="2">
        <f>IFERROR(__xludf.DUMMYFUNCTION("""COMPUTED_VALUE"""),1905.8)</f>
        <v>1905.8</v>
      </c>
      <c r="C3534" s="2">
        <f>IFERROR(__xludf.DUMMYFUNCTION("""COMPUTED_VALUE"""),1938.9)</f>
        <v>1938.9</v>
      </c>
      <c r="D3534" s="2">
        <f>IFERROR(__xludf.DUMMYFUNCTION("""COMPUTED_VALUE"""),1905.0)</f>
        <v>1905</v>
      </c>
      <c r="E3534" s="2">
        <f>IFERROR(__xludf.DUMMYFUNCTION("""COMPUTED_VALUE"""),1918.5)</f>
        <v>1918.5</v>
      </c>
      <c r="F3534" s="2">
        <f>IFERROR(__xludf.DUMMYFUNCTION("""COMPUTED_VALUE"""),1864116.0)</f>
        <v>1864116</v>
      </c>
    </row>
    <row r="3535">
      <c r="A3535" s="3">
        <f>IFERROR(__xludf.DUMMYFUNCTION("""COMPUTED_VALUE"""),43460.64583333333)</f>
        <v>43460.64583</v>
      </c>
      <c r="B3535" s="2">
        <f>IFERROR(__xludf.DUMMYFUNCTION("""COMPUTED_VALUE"""),1921.8)</f>
        <v>1921.8</v>
      </c>
      <c r="C3535" s="2">
        <f>IFERROR(__xludf.DUMMYFUNCTION("""COMPUTED_VALUE"""),1921.8)</f>
        <v>1921.8</v>
      </c>
      <c r="D3535" s="2">
        <f>IFERROR(__xludf.DUMMYFUNCTION("""COMPUTED_VALUE"""),1870.25)</f>
        <v>1870.25</v>
      </c>
      <c r="E3535" s="2">
        <f>IFERROR(__xludf.DUMMYFUNCTION("""COMPUTED_VALUE"""),1889.2)</f>
        <v>1889.2</v>
      </c>
      <c r="F3535" s="2">
        <f>IFERROR(__xludf.DUMMYFUNCTION("""COMPUTED_VALUE"""),2446614.0)</f>
        <v>2446614</v>
      </c>
    </row>
    <row r="3536">
      <c r="A3536" s="3">
        <f>IFERROR(__xludf.DUMMYFUNCTION("""COMPUTED_VALUE"""),43461.64583333333)</f>
        <v>43461.64583</v>
      </c>
      <c r="B3536" s="2">
        <f>IFERROR(__xludf.DUMMYFUNCTION("""COMPUTED_VALUE"""),1909.0)</f>
        <v>1909</v>
      </c>
      <c r="C3536" s="2">
        <f>IFERROR(__xludf.DUMMYFUNCTION("""COMPUTED_VALUE"""),1941.7)</f>
        <v>1941.7</v>
      </c>
      <c r="D3536" s="2">
        <f>IFERROR(__xludf.DUMMYFUNCTION("""COMPUTED_VALUE"""),1872.1)</f>
        <v>1872.1</v>
      </c>
      <c r="E3536" s="2">
        <f>IFERROR(__xludf.DUMMYFUNCTION("""COMPUTED_VALUE"""),1908.95)</f>
        <v>1908.95</v>
      </c>
      <c r="F3536" s="2">
        <f>IFERROR(__xludf.DUMMYFUNCTION("""COMPUTED_VALUE"""),4968201.0)</f>
        <v>4968201</v>
      </c>
    </row>
    <row r="3537">
      <c r="A3537" s="3">
        <f>IFERROR(__xludf.DUMMYFUNCTION("""COMPUTED_VALUE"""),43462.64583333333)</f>
        <v>43462.64583</v>
      </c>
      <c r="B3537" s="2">
        <f>IFERROR(__xludf.DUMMYFUNCTION("""COMPUTED_VALUE"""),1915.0)</f>
        <v>1915</v>
      </c>
      <c r="C3537" s="2">
        <f>IFERROR(__xludf.DUMMYFUNCTION("""COMPUTED_VALUE"""),1920.0)</f>
        <v>1920</v>
      </c>
      <c r="D3537" s="2">
        <f>IFERROR(__xludf.DUMMYFUNCTION("""COMPUTED_VALUE"""),1893.0)</f>
        <v>1893</v>
      </c>
      <c r="E3537" s="2">
        <f>IFERROR(__xludf.DUMMYFUNCTION("""COMPUTED_VALUE"""),1896.05)</f>
        <v>1896.05</v>
      </c>
      <c r="F3537" s="2">
        <f>IFERROR(__xludf.DUMMYFUNCTION("""COMPUTED_VALUE"""),2239130.0)</f>
        <v>2239130</v>
      </c>
    </row>
    <row r="3538">
      <c r="A3538" s="3">
        <f>IFERROR(__xludf.DUMMYFUNCTION("""COMPUTED_VALUE"""),43465.64583333333)</f>
        <v>43465.64583</v>
      </c>
      <c r="B3538" s="2">
        <f>IFERROR(__xludf.DUMMYFUNCTION("""COMPUTED_VALUE"""),1908.0)</f>
        <v>1908</v>
      </c>
      <c r="C3538" s="2">
        <f>IFERROR(__xludf.DUMMYFUNCTION("""COMPUTED_VALUE"""),1909.0)</f>
        <v>1909</v>
      </c>
      <c r="D3538" s="2">
        <f>IFERROR(__xludf.DUMMYFUNCTION("""COMPUTED_VALUE"""),1886.15)</f>
        <v>1886.15</v>
      </c>
      <c r="E3538" s="2">
        <f>IFERROR(__xludf.DUMMYFUNCTION("""COMPUTED_VALUE"""),1893.05)</f>
        <v>1893.05</v>
      </c>
      <c r="F3538" s="2">
        <f>IFERROR(__xludf.DUMMYFUNCTION("""COMPUTED_VALUE"""),1879740.0)</f>
        <v>1879740</v>
      </c>
    </row>
    <row r="3539">
      <c r="A3539" s="3">
        <f>IFERROR(__xludf.DUMMYFUNCTION("""COMPUTED_VALUE"""),43466.64583333333)</f>
        <v>43466.64583</v>
      </c>
      <c r="B3539" s="2">
        <f>IFERROR(__xludf.DUMMYFUNCTION("""COMPUTED_VALUE"""),1896.0)</f>
        <v>1896</v>
      </c>
      <c r="C3539" s="2">
        <f>IFERROR(__xludf.DUMMYFUNCTION("""COMPUTED_VALUE"""),1910.0)</f>
        <v>1910</v>
      </c>
      <c r="D3539" s="2">
        <f>IFERROR(__xludf.DUMMYFUNCTION("""COMPUTED_VALUE"""),1885.0)</f>
        <v>1885</v>
      </c>
      <c r="E3539" s="2">
        <f>IFERROR(__xludf.DUMMYFUNCTION("""COMPUTED_VALUE"""),1902.8)</f>
        <v>1902.8</v>
      </c>
      <c r="F3539" s="2">
        <f>IFERROR(__xludf.DUMMYFUNCTION("""COMPUTED_VALUE"""),1094883.0)</f>
        <v>1094883</v>
      </c>
    </row>
    <row r="3540">
      <c r="A3540" s="3">
        <f>IFERROR(__xludf.DUMMYFUNCTION("""COMPUTED_VALUE"""),43467.64583333333)</f>
        <v>43467.64583</v>
      </c>
      <c r="B3540" s="2">
        <f>IFERROR(__xludf.DUMMYFUNCTION("""COMPUTED_VALUE"""),1905.0)</f>
        <v>1905</v>
      </c>
      <c r="C3540" s="2">
        <f>IFERROR(__xludf.DUMMYFUNCTION("""COMPUTED_VALUE"""),1934.45)</f>
        <v>1934.45</v>
      </c>
      <c r="D3540" s="2">
        <f>IFERROR(__xludf.DUMMYFUNCTION("""COMPUTED_VALUE"""),1900.0)</f>
        <v>1900</v>
      </c>
      <c r="E3540" s="2">
        <f>IFERROR(__xludf.DUMMYFUNCTION("""COMPUTED_VALUE"""),1923.3)</f>
        <v>1923.3</v>
      </c>
      <c r="F3540" s="2">
        <f>IFERROR(__xludf.DUMMYFUNCTION("""COMPUTED_VALUE"""),2100463.0)</f>
        <v>2100463</v>
      </c>
    </row>
    <row r="3541">
      <c r="A3541" s="3">
        <f>IFERROR(__xludf.DUMMYFUNCTION("""COMPUTED_VALUE"""),43468.64583333333)</f>
        <v>43468.64583</v>
      </c>
      <c r="B3541" s="2">
        <f>IFERROR(__xludf.DUMMYFUNCTION("""COMPUTED_VALUE"""),1919.0)</f>
        <v>1919</v>
      </c>
      <c r="C3541" s="2">
        <f>IFERROR(__xludf.DUMMYFUNCTION("""COMPUTED_VALUE"""),1944.95)</f>
        <v>1944.95</v>
      </c>
      <c r="D3541" s="2">
        <f>IFERROR(__xludf.DUMMYFUNCTION("""COMPUTED_VALUE"""),1893.1)</f>
        <v>1893.1</v>
      </c>
      <c r="E3541" s="2">
        <f>IFERROR(__xludf.DUMMYFUNCTION("""COMPUTED_VALUE"""),1899.95)</f>
        <v>1899.95</v>
      </c>
      <c r="F3541" s="2">
        <f>IFERROR(__xludf.DUMMYFUNCTION("""COMPUTED_VALUE"""),2611668.0)</f>
        <v>2611668</v>
      </c>
    </row>
    <row r="3542">
      <c r="A3542" s="3">
        <f>IFERROR(__xludf.DUMMYFUNCTION("""COMPUTED_VALUE"""),43469.64583333333)</f>
        <v>43469.64583</v>
      </c>
      <c r="B3542" s="2">
        <f>IFERROR(__xludf.DUMMYFUNCTION("""COMPUTED_VALUE"""),1900.0)</f>
        <v>1900</v>
      </c>
      <c r="C3542" s="2">
        <f>IFERROR(__xludf.DUMMYFUNCTION("""COMPUTED_VALUE"""),1901.2)</f>
        <v>1901.2</v>
      </c>
      <c r="D3542" s="2">
        <f>IFERROR(__xludf.DUMMYFUNCTION("""COMPUTED_VALUE"""),1841.0)</f>
        <v>1841</v>
      </c>
      <c r="E3542" s="2">
        <f>IFERROR(__xludf.DUMMYFUNCTION("""COMPUTED_VALUE"""),1876.85)</f>
        <v>1876.85</v>
      </c>
      <c r="F3542" s="2">
        <f>IFERROR(__xludf.DUMMYFUNCTION("""COMPUTED_VALUE"""),4280862.0)</f>
        <v>4280862</v>
      </c>
    </row>
    <row r="3543">
      <c r="A3543" s="3">
        <f>IFERROR(__xludf.DUMMYFUNCTION("""COMPUTED_VALUE"""),43472.64583333333)</f>
        <v>43472.64583</v>
      </c>
      <c r="B3543" s="2">
        <f>IFERROR(__xludf.DUMMYFUNCTION("""COMPUTED_VALUE"""),1891.8)</f>
        <v>1891.8</v>
      </c>
      <c r="C3543" s="2">
        <f>IFERROR(__xludf.DUMMYFUNCTION("""COMPUTED_VALUE"""),1908.8)</f>
        <v>1908.8</v>
      </c>
      <c r="D3543" s="2">
        <f>IFERROR(__xludf.DUMMYFUNCTION("""COMPUTED_VALUE"""),1881.0)</f>
        <v>1881</v>
      </c>
      <c r="E3543" s="2">
        <f>IFERROR(__xludf.DUMMYFUNCTION("""COMPUTED_VALUE"""),1897.9)</f>
        <v>1897.9</v>
      </c>
      <c r="F3543" s="2">
        <f>IFERROR(__xludf.DUMMYFUNCTION("""COMPUTED_VALUE"""),1856423.0)</f>
        <v>1856423</v>
      </c>
    </row>
    <row r="3544">
      <c r="A3544" s="3">
        <f>IFERROR(__xludf.DUMMYFUNCTION("""COMPUTED_VALUE"""),43473.64583333333)</f>
        <v>43473.64583</v>
      </c>
      <c r="B3544" s="2">
        <f>IFERROR(__xludf.DUMMYFUNCTION("""COMPUTED_VALUE"""),1905.4)</f>
        <v>1905.4</v>
      </c>
      <c r="C3544" s="2">
        <f>IFERROR(__xludf.DUMMYFUNCTION("""COMPUTED_VALUE"""),1906.4)</f>
        <v>1906.4</v>
      </c>
      <c r="D3544" s="2">
        <f>IFERROR(__xludf.DUMMYFUNCTION("""COMPUTED_VALUE"""),1883.3)</f>
        <v>1883.3</v>
      </c>
      <c r="E3544" s="2">
        <f>IFERROR(__xludf.DUMMYFUNCTION("""COMPUTED_VALUE"""),1893.55)</f>
        <v>1893.55</v>
      </c>
      <c r="F3544" s="2">
        <f>IFERROR(__xludf.DUMMYFUNCTION("""COMPUTED_VALUE"""),1691756.0)</f>
        <v>1691756</v>
      </c>
    </row>
    <row r="3545">
      <c r="A3545" s="3">
        <f>IFERROR(__xludf.DUMMYFUNCTION("""COMPUTED_VALUE"""),43474.64583333333)</f>
        <v>43474.64583</v>
      </c>
      <c r="B3545" s="2">
        <f>IFERROR(__xludf.DUMMYFUNCTION("""COMPUTED_VALUE"""),1907.4)</f>
        <v>1907.4</v>
      </c>
      <c r="C3545" s="2">
        <f>IFERROR(__xludf.DUMMYFUNCTION("""COMPUTED_VALUE"""),1919.0)</f>
        <v>1919</v>
      </c>
      <c r="D3545" s="2">
        <f>IFERROR(__xludf.DUMMYFUNCTION("""COMPUTED_VALUE"""),1866.7)</f>
        <v>1866.7</v>
      </c>
      <c r="E3545" s="2">
        <f>IFERROR(__xludf.DUMMYFUNCTION("""COMPUTED_VALUE"""),1886.95)</f>
        <v>1886.95</v>
      </c>
      <c r="F3545" s="2">
        <f>IFERROR(__xludf.DUMMYFUNCTION("""COMPUTED_VALUE"""),2414376.0)</f>
        <v>2414376</v>
      </c>
    </row>
    <row r="3546">
      <c r="A3546" s="3">
        <f>IFERROR(__xludf.DUMMYFUNCTION("""COMPUTED_VALUE"""),43475.64583333333)</f>
        <v>43475.64583</v>
      </c>
      <c r="B3546" s="2">
        <f>IFERROR(__xludf.DUMMYFUNCTION("""COMPUTED_VALUE"""),1890.0)</f>
        <v>1890</v>
      </c>
      <c r="C3546" s="2">
        <f>IFERROR(__xludf.DUMMYFUNCTION("""COMPUTED_VALUE"""),1905.0)</f>
        <v>1905</v>
      </c>
      <c r="D3546" s="2">
        <f>IFERROR(__xludf.DUMMYFUNCTION("""COMPUTED_VALUE"""),1872.1)</f>
        <v>1872.1</v>
      </c>
      <c r="E3546" s="2">
        <f>IFERROR(__xludf.DUMMYFUNCTION("""COMPUTED_VALUE"""),1888.55)</f>
        <v>1888.55</v>
      </c>
      <c r="F3546" s="2">
        <f>IFERROR(__xludf.DUMMYFUNCTION("""COMPUTED_VALUE"""),3053461.0)</f>
        <v>3053461</v>
      </c>
    </row>
    <row r="3547">
      <c r="A3547" s="3">
        <f>IFERROR(__xludf.DUMMYFUNCTION("""COMPUTED_VALUE"""),43476.64583333333)</f>
        <v>43476.64583</v>
      </c>
      <c r="B3547" s="2">
        <f>IFERROR(__xludf.DUMMYFUNCTION("""COMPUTED_VALUE"""),1870.0)</f>
        <v>1870</v>
      </c>
      <c r="C3547" s="2">
        <f>IFERROR(__xludf.DUMMYFUNCTION("""COMPUTED_VALUE"""),1875.0)</f>
        <v>1875</v>
      </c>
      <c r="D3547" s="2">
        <f>IFERROR(__xludf.DUMMYFUNCTION("""COMPUTED_VALUE"""),1835.0)</f>
        <v>1835</v>
      </c>
      <c r="E3547" s="2">
        <f>IFERROR(__xludf.DUMMYFUNCTION("""COMPUTED_VALUE"""),1842.55)</f>
        <v>1842.55</v>
      </c>
      <c r="F3547" s="2">
        <f>IFERROR(__xludf.DUMMYFUNCTION("""COMPUTED_VALUE"""),9209862.0)</f>
        <v>9209862</v>
      </c>
    </row>
    <row r="3548">
      <c r="A3548" s="3">
        <f>IFERROR(__xludf.DUMMYFUNCTION("""COMPUTED_VALUE"""),43479.64583333333)</f>
        <v>43479.64583</v>
      </c>
      <c r="B3548" s="2">
        <f>IFERROR(__xludf.DUMMYFUNCTION("""COMPUTED_VALUE"""),1850.0)</f>
        <v>1850</v>
      </c>
      <c r="C3548" s="2">
        <f>IFERROR(__xludf.DUMMYFUNCTION("""COMPUTED_VALUE"""),1851.0)</f>
        <v>1851</v>
      </c>
      <c r="D3548" s="2">
        <f>IFERROR(__xludf.DUMMYFUNCTION("""COMPUTED_VALUE"""),1810.0)</f>
        <v>1810</v>
      </c>
      <c r="E3548" s="2">
        <f>IFERROR(__xludf.DUMMYFUNCTION("""COMPUTED_VALUE"""),1813.25)</f>
        <v>1813.25</v>
      </c>
      <c r="F3548" s="2">
        <f>IFERROR(__xludf.DUMMYFUNCTION("""COMPUTED_VALUE"""),3615370.0)</f>
        <v>3615370</v>
      </c>
    </row>
    <row r="3549">
      <c r="A3549" s="3">
        <f>IFERROR(__xludf.DUMMYFUNCTION("""COMPUTED_VALUE"""),43480.64583333333)</f>
        <v>43480.64583</v>
      </c>
      <c r="B3549" s="2">
        <f>IFERROR(__xludf.DUMMYFUNCTION("""COMPUTED_VALUE"""),1810.0)</f>
        <v>1810</v>
      </c>
      <c r="C3549" s="2">
        <f>IFERROR(__xludf.DUMMYFUNCTION("""COMPUTED_VALUE"""),1869.35)</f>
        <v>1869.35</v>
      </c>
      <c r="D3549" s="2">
        <f>IFERROR(__xludf.DUMMYFUNCTION("""COMPUTED_VALUE"""),1808.0)</f>
        <v>1808</v>
      </c>
      <c r="E3549" s="2">
        <f>IFERROR(__xludf.DUMMYFUNCTION("""COMPUTED_VALUE"""),1867.8)</f>
        <v>1867.8</v>
      </c>
      <c r="F3549" s="2">
        <f>IFERROR(__xludf.DUMMYFUNCTION("""COMPUTED_VALUE"""),7711653.0)</f>
        <v>7711653</v>
      </c>
    </row>
    <row r="3550">
      <c r="A3550" s="3">
        <f>IFERROR(__xludf.DUMMYFUNCTION("""COMPUTED_VALUE"""),43481.64583333333)</f>
        <v>43481.64583</v>
      </c>
      <c r="B3550" s="2">
        <f>IFERROR(__xludf.DUMMYFUNCTION("""COMPUTED_VALUE"""),1870.0)</f>
        <v>1870</v>
      </c>
      <c r="C3550" s="2">
        <f>IFERROR(__xludf.DUMMYFUNCTION("""COMPUTED_VALUE"""),1875.0)</f>
        <v>1875</v>
      </c>
      <c r="D3550" s="2">
        <f>IFERROR(__xludf.DUMMYFUNCTION("""COMPUTED_VALUE"""),1847.0)</f>
        <v>1847</v>
      </c>
      <c r="E3550" s="2">
        <f>IFERROR(__xludf.DUMMYFUNCTION("""COMPUTED_VALUE"""),1870.15)</f>
        <v>1870.15</v>
      </c>
      <c r="F3550" s="2">
        <f>IFERROR(__xludf.DUMMYFUNCTION("""COMPUTED_VALUE"""),2359280.0)</f>
        <v>2359280</v>
      </c>
    </row>
    <row r="3551">
      <c r="A3551" s="3">
        <f>IFERROR(__xludf.DUMMYFUNCTION("""COMPUTED_VALUE"""),43482.64583333333)</f>
        <v>43482.64583</v>
      </c>
      <c r="B3551" s="2">
        <f>IFERROR(__xludf.DUMMYFUNCTION("""COMPUTED_VALUE"""),1878.0)</f>
        <v>1878</v>
      </c>
      <c r="C3551" s="2">
        <f>IFERROR(__xludf.DUMMYFUNCTION("""COMPUTED_VALUE"""),1898.0)</f>
        <v>1898</v>
      </c>
      <c r="D3551" s="2">
        <f>IFERROR(__xludf.DUMMYFUNCTION("""COMPUTED_VALUE"""),1871.3)</f>
        <v>1871.3</v>
      </c>
      <c r="E3551" s="2">
        <f>IFERROR(__xludf.DUMMYFUNCTION("""COMPUTED_VALUE"""),1894.3)</f>
        <v>1894.3</v>
      </c>
      <c r="F3551" s="2">
        <f>IFERROR(__xludf.DUMMYFUNCTION("""COMPUTED_VALUE"""),2625816.0)</f>
        <v>2625816</v>
      </c>
    </row>
    <row r="3552">
      <c r="A3552" s="3">
        <f>IFERROR(__xludf.DUMMYFUNCTION("""COMPUTED_VALUE"""),43483.64583333333)</f>
        <v>43483.64583</v>
      </c>
      <c r="B3552" s="2">
        <f>IFERROR(__xludf.DUMMYFUNCTION("""COMPUTED_VALUE"""),1881.0)</f>
        <v>1881</v>
      </c>
      <c r="C3552" s="2">
        <f>IFERROR(__xludf.DUMMYFUNCTION("""COMPUTED_VALUE"""),1904.2)</f>
        <v>1904.2</v>
      </c>
      <c r="D3552" s="2">
        <f>IFERROR(__xludf.DUMMYFUNCTION("""COMPUTED_VALUE"""),1876.0)</f>
        <v>1876</v>
      </c>
      <c r="E3552" s="2">
        <f>IFERROR(__xludf.DUMMYFUNCTION("""COMPUTED_VALUE"""),1900.65)</f>
        <v>1900.65</v>
      </c>
      <c r="F3552" s="2">
        <f>IFERROR(__xludf.DUMMYFUNCTION("""COMPUTED_VALUE"""),1683728.0)</f>
        <v>1683728</v>
      </c>
    </row>
    <row r="3553">
      <c r="A3553" s="3">
        <f>IFERROR(__xludf.DUMMYFUNCTION("""COMPUTED_VALUE"""),43486.64583333333)</f>
        <v>43486.64583</v>
      </c>
      <c r="B3553" s="2">
        <f>IFERROR(__xludf.DUMMYFUNCTION("""COMPUTED_VALUE"""),1902.0)</f>
        <v>1902</v>
      </c>
      <c r="C3553" s="2">
        <f>IFERROR(__xludf.DUMMYFUNCTION("""COMPUTED_VALUE"""),1932.0)</f>
        <v>1932</v>
      </c>
      <c r="D3553" s="2">
        <f>IFERROR(__xludf.DUMMYFUNCTION("""COMPUTED_VALUE"""),1895.45)</f>
        <v>1895.45</v>
      </c>
      <c r="E3553" s="2">
        <f>IFERROR(__xludf.DUMMYFUNCTION("""COMPUTED_VALUE"""),1908.7)</f>
        <v>1908.7</v>
      </c>
      <c r="F3553" s="2">
        <f>IFERROR(__xludf.DUMMYFUNCTION("""COMPUTED_VALUE"""),2409803.0)</f>
        <v>2409803</v>
      </c>
    </row>
    <row r="3554">
      <c r="A3554" s="3">
        <f>IFERROR(__xludf.DUMMYFUNCTION("""COMPUTED_VALUE"""),43487.64583333333)</f>
        <v>43487.64583</v>
      </c>
      <c r="B3554" s="2">
        <f>IFERROR(__xludf.DUMMYFUNCTION("""COMPUTED_VALUE"""),1907.1)</f>
        <v>1907.1</v>
      </c>
      <c r="C3554" s="2">
        <f>IFERROR(__xludf.DUMMYFUNCTION("""COMPUTED_VALUE"""),1918.25)</f>
        <v>1918.25</v>
      </c>
      <c r="D3554" s="2">
        <f>IFERROR(__xludf.DUMMYFUNCTION("""COMPUTED_VALUE"""),1890.0)</f>
        <v>1890</v>
      </c>
      <c r="E3554" s="2">
        <f>IFERROR(__xludf.DUMMYFUNCTION("""COMPUTED_VALUE"""),1901.9)</f>
        <v>1901.9</v>
      </c>
      <c r="F3554" s="2">
        <f>IFERROR(__xludf.DUMMYFUNCTION("""COMPUTED_VALUE"""),2457093.0)</f>
        <v>2457093</v>
      </c>
    </row>
    <row r="3555">
      <c r="A3555" s="3">
        <f>IFERROR(__xludf.DUMMYFUNCTION("""COMPUTED_VALUE"""),43488.64583333333)</f>
        <v>43488.64583</v>
      </c>
      <c r="B3555" s="2">
        <f>IFERROR(__xludf.DUMMYFUNCTION("""COMPUTED_VALUE"""),1901.0)</f>
        <v>1901</v>
      </c>
      <c r="C3555" s="2">
        <f>IFERROR(__xludf.DUMMYFUNCTION("""COMPUTED_VALUE"""),1906.1)</f>
        <v>1906.1</v>
      </c>
      <c r="D3555" s="2">
        <f>IFERROR(__xludf.DUMMYFUNCTION("""COMPUTED_VALUE"""),1870.0)</f>
        <v>1870</v>
      </c>
      <c r="E3555" s="2">
        <f>IFERROR(__xludf.DUMMYFUNCTION("""COMPUTED_VALUE"""),1875.6)</f>
        <v>1875.6</v>
      </c>
      <c r="F3555" s="2">
        <f>IFERROR(__xludf.DUMMYFUNCTION("""COMPUTED_VALUE"""),2578169.0)</f>
        <v>2578169</v>
      </c>
    </row>
    <row r="3556">
      <c r="A3556" s="3">
        <f>IFERROR(__xludf.DUMMYFUNCTION("""COMPUTED_VALUE"""),43489.64583333333)</f>
        <v>43489.64583</v>
      </c>
      <c r="B3556" s="2">
        <f>IFERROR(__xludf.DUMMYFUNCTION("""COMPUTED_VALUE"""),1884.8)</f>
        <v>1884.8</v>
      </c>
      <c r="C3556" s="2">
        <f>IFERROR(__xludf.DUMMYFUNCTION("""COMPUTED_VALUE"""),1905.25)</f>
        <v>1905.25</v>
      </c>
      <c r="D3556" s="2">
        <f>IFERROR(__xludf.DUMMYFUNCTION("""COMPUTED_VALUE"""),1875.0)</f>
        <v>1875</v>
      </c>
      <c r="E3556" s="2">
        <f>IFERROR(__xludf.DUMMYFUNCTION("""COMPUTED_VALUE"""),1901.55)</f>
        <v>1901.55</v>
      </c>
      <c r="F3556" s="2">
        <f>IFERROR(__xludf.DUMMYFUNCTION("""COMPUTED_VALUE"""),1962927.0)</f>
        <v>1962927</v>
      </c>
    </row>
    <row r="3557">
      <c r="A3557" s="3">
        <f>IFERROR(__xludf.DUMMYFUNCTION("""COMPUTED_VALUE"""),43490.64583333333)</f>
        <v>43490.64583</v>
      </c>
      <c r="B3557" s="2">
        <f>IFERROR(__xludf.DUMMYFUNCTION("""COMPUTED_VALUE"""),1902.0)</f>
        <v>1902</v>
      </c>
      <c r="C3557" s="2">
        <f>IFERROR(__xludf.DUMMYFUNCTION("""COMPUTED_VALUE"""),1935.0)</f>
        <v>1935</v>
      </c>
      <c r="D3557" s="2">
        <f>IFERROR(__xludf.DUMMYFUNCTION("""COMPUTED_VALUE"""),1901.0)</f>
        <v>1901</v>
      </c>
      <c r="E3557" s="2">
        <f>IFERROR(__xludf.DUMMYFUNCTION("""COMPUTED_VALUE"""),1920.8)</f>
        <v>1920.8</v>
      </c>
      <c r="F3557" s="2">
        <f>IFERROR(__xludf.DUMMYFUNCTION("""COMPUTED_VALUE"""),2327080.0)</f>
        <v>2327080</v>
      </c>
    </row>
    <row r="3558">
      <c r="A3558" s="3">
        <f>IFERROR(__xludf.DUMMYFUNCTION("""COMPUTED_VALUE"""),43493.64583333333)</f>
        <v>43493.64583</v>
      </c>
      <c r="B3558" s="2">
        <f>IFERROR(__xludf.DUMMYFUNCTION("""COMPUTED_VALUE"""),1933.0)</f>
        <v>1933</v>
      </c>
      <c r="C3558" s="2">
        <f>IFERROR(__xludf.DUMMYFUNCTION("""COMPUTED_VALUE"""),1962.0)</f>
        <v>1962</v>
      </c>
      <c r="D3558" s="2">
        <f>IFERROR(__xludf.DUMMYFUNCTION("""COMPUTED_VALUE"""),1925.5)</f>
        <v>1925.5</v>
      </c>
      <c r="E3558" s="2">
        <f>IFERROR(__xludf.DUMMYFUNCTION("""COMPUTED_VALUE"""),1955.0)</f>
        <v>1955</v>
      </c>
      <c r="F3558" s="2">
        <f>IFERROR(__xludf.DUMMYFUNCTION("""COMPUTED_VALUE"""),2769033.0)</f>
        <v>2769033</v>
      </c>
    </row>
    <row r="3559">
      <c r="A3559" s="3">
        <f>IFERROR(__xludf.DUMMYFUNCTION("""COMPUTED_VALUE"""),43494.64583333333)</f>
        <v>43494.64583</v>
      </c>
      <c r="B3559" s="2">
        <f>IFERROR(__xludf.DUMMYFUNCTION("""COMPUTED_VALUE"""),1962.0)</f>
        <v>1962</v>
      </c>
      <c r="C3559" s="2">
        <f>IFERROR(__xludf.DUMMYFUNCTION("""COMPUTED_VALUE"""),1989.05)</f>
        <v>1989.05</v>
      </c>
      <c r="D3559" s="2">
        <f>IFERROR(__xludf.DUMMYFUNCTION("""COMPUTED_VALUE"""),1936.65)</f>
        <v>1936.65</v>
      </c>
      <c r="E3559" s="2">
        <f>IFERROR(__xludf.DUMMYFUNCTION("""COMPUTED_VALUE"""),1982.75)</f>
        <v>1982.75</v>
      </c>
      <c r="F3559" s="2">
        <f>IFERROR(__xludf.DUMMYFUNCTION("""COMPUTED_VALUE"""),2557626.0)</f>
        <v>2557626</v>
      </c>
    </row>
    <row r="3560">
      <c r="A3560" s="3">
        <f>IFERROR(__xludf.DUMMYFUNCTION("""COMPUTED_VALUE"""),43495.64583333333)</f>
        <v>43495.64583</v>
      </c>
      <c r="B3560" s="2">
        <f>IFERROR(__xludf.DUMMYFUNCTION("""COMPUTED_VALUE"""),1979.6)</f>
        <v>1979.6</v>
      </c>
      <c r="C3560" s="2">
        <f>IFERROR(__xludf.DUMMYFUNCTION("""COMPUTED_VALUE"""),1989.5)</f>
        <v>1989.5</v>
      </c>
      <c r="D3560" s="2">
        <f>IFERROR(__xludf.DUMMYFUNCTION("""COMPUTED_VALUE"""),1954.65)</f>
        <v>1954.65</v>
      </c>
      <c r="E3560" s="2">
        <f>IFERROR(__xludf.DUMMYFUNCTION("""COMPUTED_VALUE"""),1981.4)</f>
        <v>1981.4</v>
      </c>
      <c r="F3560" s="2">
        <f>IFERROR(__xludf.DUMMYFUNCTION("""COMPUTED_VALUE"""),2429575.0)</f>
        <v>2429575</v>
      </c>
    </row>
    <row r="3561">
      <c r="A3561" s="3">
        <f>IFERROR(__xludf.DUMMYFUNCTION("""COMPUTED_VALUE"""),43496.64583333333)</f>
        <v>43496.64583</v>
      </c>
      <c r="B3561" s="2">
        <f>IFERROR(__xludf.DUMMYFUNCTION("""COMPUTED_VALUE"""),1987.0)</f>
        <v>1987</v>
      </c>
      <c r="C3561" s="2">
        <f>IFERROR(__xludf.DUMMYFUNCTION("""COMPUTED_VALUE"""),2019.75)</f>
        <v>2019.75</v>
      </c>
      <c r="D3561" s="2">
        <f>IFERROR(__xludf.DUMMYFUNCTION("""COMPUTED_VALUE"""),1985.0)</f>
        <v>1985</v>
      </c>
      <c r="E3561" s="2">
        <f>IFERROR(__xludf.DUMMYFUNCTION("""COMPUTED_VALUE"""),2014.1)</f>
        <v>2014.1</v>
      </c>
      <c r="F3561" s="2">
        <f>IFERROR(__xludf.DUMMYFUNCTION("""COMPUTED_VALUE"""),4094319.0)</f>
        <v>4094319</v>
      </c>
    </row>
    <row r="3562">
      <c r="A3562" s="3">
        <f>IFERROR(__xludf.DUMMYFUNCTION("""COMPUTED_VALUE"""),43497.64583333333)</f>
        <v>43497.64583</v>
      </c>
      <c r="B3562" s="2">
        <f>IFERROR(__xludf.DUMMYFUNCTION("""COMPUTED_VALUE"""),2009.5)</f>
        <v>2009.5</v>
      </c>
      <c r="C3562" s="2">
        <f>IFERROR(__xludf.DUMMYFUNCTION("""COMPUTED_VALUE"""),2034.75)</f>
        <v>2034.75</v>
      </c>
      <c r="D3562" s="2">
        <f>IFERROR(__xludf.DUMMYFUNCTION("""COMPUTED_VALUE"""),1998.1)</f>
        <v>1998.1</v>
      </c>
      <c r="E3562" s="2">
        <f>IFERROR(__xludf.DUMMYFUNCTION("""COMPUTED_VALUE"""),2029.95)</f>
        <v>2029.95</v>
      </c>
      <c r="F3562" s="2">
        <f>IFERROR(__xludf.DUMMYFUNCTION("""COMPUTED_VALUE"""),3064163.0)</f>
        <v>3064163</v>
      </c>
    </row>
    <row r="3563">
      <c r="A3563" s="3">
        <f>IFERROR(__xludf.DUMMYFUNCTION("""COMPUTED_VALUE"""),43500.64583333333)</f>
        <v>43500.64583</v>
      </c>
      <c r="B3563" s="2">
        <f>IFERROR(__xludf.DUMMYFUNCTION("""COMPUTED_VALUE"""),2029.95)</f>
        <v>2029.95</v>
      </c>
      <c r="C3563" s="2">
        <f>IFERROR(__xludf.DUMMYFUNCTION("""COMPUTED_VALUE"""),2055.45)</f>
        <v>2055.45</v>
      </c>
      <c r="D3563" s="2">
        <f>IFERROR(__xludf.DUMMYFUNCTION("""COMPUTED_VALUE"""),2023.0)</f>
        <v>2023</v>
      </c>
      <c r="E3563" s="2">
        <f>IFERROR(__xludf.DUMMYFUNCTION("""COMPUTED_VALUE"""),2050.25)</f>
        <v>2050.25</v>
      </c>
      <c r="F3563" s="2">
        <f>IFERROR(__xludf.DUMMYFUNCTION("""COMPUTED_VALUE"""),1590764.0)</f>
        <v>1590764</v>
      </c>
    </row>
    <row r="3564">
      <c r="A3564" s="3">
        <f>IFERROR(__xludf.DUMMYFUNCTION("""COMPUTED_VALUE"""),43501.64583333333)</f>
        <v>43501.64583</v>
      </c>
      <c r="B3564" s="2">
        <f>IFERROR(__xludf.DUMMYFUNCTION("""COMPUTED_VALUE"""),2050.0)</f>
        <v>2050</v>
      </c>
      <c r="C3564" s="2">
        <f>IFERROR(__xludf.DUMMYFUNCTION("""COMPUTED_VALUE"""),2055.0)</f>
        <v>2055</v>
      </c>
      <c r="D3564" s="2">
        <f>IFERROR(__xludf.DUMMYFUNCTION("""COMPUTED_VALUE"""),2028.0)</f>
        <v>2028</v>
      </c>
      <c r="E3564" s="2">
        <f>IFERROR(__xludf.DUMMYFUNCTION("""COMPUTED_VALUE"""),2044.55)</f>
        <v>2044.55</v>
      </c>
      <c r="F3564" s="2">
        <f>IFERROR(__xludf.DUMMYFUNCTION("""COMPUTED_VALUE"""),1111404.0)</f>
        <v>1111404</v>
      </c>
    </row>
    <row r="3565">
      <c r="A3565" s="3">
        <f>IFERROR(__xludf.DUMMYFUNCTION("""COMPUTED_VALUE"""),43502.64583333333)</f>
        <v>43502.64583</v>
      </c>
      <c r="B3565" s="2">
        <f>IFERROR(__xludf.DUMMYFUNCTION("""COMPUTED_VALUE"""),2049.9)</f>
        <v>2049.9</v>
      </c>
      <c r="C3565" s="2">
        <f>IFERROR(__xludf.DUMMYFUNCTION("""COMPUTED_VALUE"""),2086.85)</f>
        <v>2086.85</v>
      </c>
      <c r="D3565" s="2">
        <f>IFERROR(__xludf.DUMMYFUNCTION("""COMPUTED_VALUE"""),2041.05)</f>
        <v>2041.05</v>
      </c>
      <c r="E3565" s="2">
        <f>IFERROR(__xludf.DUMMYFUNCTION("""COMPUTED_VALUE"""),2074.8)</f>
        <v>2074.8</v>
      </c>
      <c r="F3565" s="2">
        <f>IFERROR(__xludf.DUMMYFUNCTION("""COMPUTED_VALUE"""),1789812.0)</f>
        <v>1789812</v>
      </c>
    </row>
    <row r="3566">
      <c r="A3566" s="3">
        <f>IFERROR(__xludf.DUMMYFUNCTION("""COMPUTED_VALUE"""),43503.64583333333)</f>
        <v>43503.64583</v>
      </c>
      <c r="B3566" s="2">
        <f>IFERROR(__xludf.DUMMYFUNCTION("""COMPUTED_VALUE"""),2074.75)</f>
        <v>2074.75</v>
      </c>
      <c r="C3566" s="2">
        <f>IFERROR(__xludf.DUMMYFUNCTION("""COMPUTED_VALUE"""),2097.95)</f>
        <v>2097.95</v>
      </c>
      <c r="D3566" s="2">
        <f>IFERROR(__xludf.DUMMYFUNCTION("""COMPUTED_VALUE"""),2067.0)</f>
        <v>2067</v>
      </c>
      <c r="E3566" s="2">
        <f>IFERROR(__xludf.DUMMYFUNCTION("""COMPUTED_VALUE"""),2082.9)</f>
        <v>2082.9</v>
      </c>
      <c r="F3566" s="2">
        <f>IFERROR(__xludf.DUMMYFUNCTION("""COMPUTED_VALUE"""),1339945.0)</f>
        <v>1339945</v>
      </c>
    </row>
    <row r="3567">
      <c r="A3567" s="3">
        <f>IFERROR(__xludf.DUMMYFUNCTION("""COMPUTED_VALUE"""),43504.64583333333)</f>
        <v>43504.64583</v>
      </c>
      <c r="B3567" s="2">
        <f>IFERROR(__xludf.DUMMYFUNCTION("""COMPUTED_VALUE"""),2075.0)</f>
        <v>2075</v>
      </c>
      <c r="C3567" s="2">
        <f>IFERROR(__xludf.DUMMYFUNCTION("""COMPUTED_VALUE"""),2089.5)</f>
        <v>2089.5</v>
      </c>
      <c r="D3567" s="2">
        <f>IFERROR(__xludf.DUMMYFUNCTION("""COMPUTED_VALUE"""),2051.0)</f>
        <v>2051</v>
      </c>
      <c r="E3567" s="2">
        <f>IFERROR(__xludf.DUMMYFUNCTION("""COMPUTED_VALUE"""),2061.4)</f>
        <v>2061.4</v>
      </c>
      <c r="F3567" s="2">
        <f>IFERROR(__xludf.DUMMYFUNCTION("""COMPUTED_VALUE"""),1684474.0)</f>
        <v>1684474</v>
      </c>
    </row>
    <row r="3568">
      <c r="A3568" s="3">
        <f>IFERROR(__xludf.DUMMYFUNCTION("""COMPUTED_VALUE"""),43507.64583333333)</f>
        <v>43507.64583</v>
      </c>
      <c r="B3568" s="2">
        <f>IFERROR(__xludf.DUMMYFUNCTION("""COMPUTED_VALUE"""),2060.0)</f>
        <v>2060</v>
      </c>
      <c r="C3568" s="2">
        <f>IFERROR(__xludf.DUMMYFUNCTION("""COMPUTED_VALUE"""),2096.0)</f>
        <v>2096</v>
      </c>
      <c r="D3568" s="2">
        <f>IFERROR(__xludf.DUMMYFUNCTION("""COMPUTED_VALUE"""),2048.9)</f>
        <v>2048.9</v>
      </c>
      <c r="E3568" s="2">
        <f>IFERROR(__xludf.DUMMYFUNCTION("""COMPUTED_VALUE"""),2065.9)</f>
        <v>2065.9</v>
      </c>
      <c r="F3568" s="2">
        <f>IFERROR(__xludf.DUMMYFUNCTION("""COMPUTED_VALUE"""),1778730.0)</f>
        <v>1778730</v>
      </c>
    </row>
    <row r="3569">
      <c r="A3569" s="3">
        <f>IFERROR(__xludf.DUMMYFUNCTION("""COMPUTED_VALUE"""),43508.64583333333)</f>
        <v>43508.64583</v>
      </c>
      <c r="B3569" s="2">
        <f>IFERROR(__xludf.DUMMYFUNCTION("""COMPUTED_VALUE"""),2070.0)</f>
        <v>2070</v>
      </c>
      <c r="C3569" s="2">
        <f>IFERROR(__xludf.DUMMYFUNCTION("""COMPUTED_VALUE"""),2070.0)</f>
        <v>2070</v>
      </c>
      <c r="D3569" s="2">
        <f>IFERROR(__xludf.DUMMYFUNCTION("""COMPUTED_VALUE"""),2018.0)</f>
        <v>2018</v>
      </c>
      <c r="E3569" s="2">
        <f>IFERROR(__xludf.DUMMYFUNCTION("""COMPUTED_VALUE"""),2051.6)</f>
        <v>2051.6</v>
      </c>
      <c r="F3569" s="2">
        <f>IFERROR(__xludf.DUMMYFUNCTION("""COMPUTED_VALUE"""),2422903.0)</f>
        <v>2422903</v>
      </c>
    </row>
    <row r="3570">
      <c r="A3570" s="3">
        <f>IFERROR(__xludf.DUMMYFUNCTION("""COMPUTED_VALUE"""),43509.64583333333)</f>
        <v>43509.64583</v>
      </c>
      <c r="B3570" s="2">
        <f>IFERROR(__xludf.DUMMYFUNCTION("""COMPUTED_VALUE"""),2062.0)</f>
        <v>2062</v>
      </c>
      <c r="C3570" s="2">
        <f>IFERROR(__xludf.DUMMYFUNCTION("""COMPUTED_VALUE"""),2083.0)</f>
        <v>2083</v>
      </c>
      <c r="D3570" s="2">
        <f>IFERROR(__xludf.DUMMYFUNCTION("""COMPUTED_VALUE"""),2050.5)</f>
        <v>2050.5</v>
      </c>
      <c r="E3570" s="2">
        <f>IFERROR(__xludf.DUMMYFUNCTION("""COMPUTED_VALUE"""),2065.4)</f>
        <v>2065.4</v>
      </c>
      <c r="F3570" s="2">
        <f>IFERROR(__xludf.DUMMYFUNCTION("""COMPUTED_VALUE"""),2808581.0)</f>
        <v>2808581</v>
      </c>
    </row>
    <row r="3571">
      <c r="A3571" s="3">
        <f>IFERROR(__xludf.DUMMYFUNCTION("""COMPUTED_VALUE"""),43510.64583333333)</f>
        <v>43510.64583</v>
      </c>
      <c r="B3571" s="2">
        <f>IFERROR(__xludf.DUMMYFUNCTION("""COMPUTED_VALUE"""),2060.05)</f>
        <v>2060.05</v>
      </c>
      <c r="C3571" s="2">
        <f>IFERROR(__xludf.DUMMYFUNCTION("""COMPUTED_VALUE"""),2075.0)</f>
        <v>2075</v>
      </c>
      <c r="D3571" s="2">
        <f>IFERROR(__xludf.DUMMYFUNCTION("""COMPUTED_VALUE"""),2033.05)</f>
        <v>2033.05</v>
      </c>
      <c r="E3571" s="2">
        <f>IFERROR(__xludf.DUMMYFUNCTION("""COMPUTED_VALUE"""),2044.6)</f>
        <v>2044.6</v>
      </c>
      <c r="F3571" s="2">
        <f>IFERROR(__xludf.DUMMYFUNCTION("""COMPUTED_VALUE"""),1724085.0)</f>
        <v>1724085</v>
      </c>
    </row>
    <row r="3572">
      <c r="A3572" s="3">
        <f>IFERROR(__xludf.DUMMYFUNCTION("""COMPUTED_VALUE"""),43511.64583333333)</f>
        <v>43511.64583</v>
      </c>
      <c r="B3572" s="2">
        <f>IFERROR(__xludf.DUMMYFUNCTION("""COMPUTED_VALUE"""),2049.0)</f>
        <v>2049</v>
      </c>
      <c r="C3572" s="2">
        <f>IFERROR(__xludf.DUMMYFUNCTION("""COMPUTED_VALUE"""),2052.0)</f>
        <v>2052</v>
      </c>
      <c r="D3572" s="2">
        <f>IFERROR(__xludf.DUMMYFUNCTION("""COMPUTED_VALUE"""),2010.95)</f>
        <v>2010.95</v>
      </c>
      <c r="E3572" s="2">
        <f>IFERROR(__xludf.DUMMYFUNCTION("""COMPUTED_VALUE"""),2029.7)</f>
        <v>2029.7</v>
      </c>
      <c r="F3572" s="2">
        <f>IFERROR(__xludf.DUMMYFUNCTION("""COMPUTED_VALUE"""),1930065.0)</f>
        <v>1930065</v>
      </c>
    </row>
    <row r="3573">
      <c r="A3573" s="3">
        <f>IFERROR(__xludf.DUMMYFUNCTION("""COMPUTED_VALUE"""),43514.64583333333)</f>
        <v>43514.64583</v>
      </c>
      <c r="B3573" s="2">
        <f>IFERROR(__xludf.DUMMYFUNCTION("""COMPUTED_VALUE"""),2037.6)</f>
        <v>2037.6</v>
      </c>
      <c r="C3573" s="2">
        <f>IFERROR(__xludf.DUMMYFUNCTION("""COMPUTED_VALUE"""),2041.95)</f>
        <v>2041.95</v>
      </c>
      <c r="D3573" s="2">
        <f>IFERROR(__xludf.DUMMYFUNCTION("""COMPUTED_VALUE"""),1962.65)</f>
        <v>1962.65</v>
      </c>
      <c r="E3573" s="2">
        <f>IFERROR(__xludf.DUMMYFUNCTION("""COMPUTED_VALUE"""),1970.3)</f>
        <v>1970.3</v>
      </c>
      <c r="F3573" s="2">
        <f>IFERROR(__xludf.DUMMYFUNCTION("""COMPUTED_VALUE"""),2942184.0)</f>
        <v>2942184</v>
      </c>
    </row>
    <row r="3574">
      <c r="A3574" s="3">
        <f>IFERROR(__xludf.DUMMYFUNCTION("""COMPUTED_VALUE"""),43515.64583333333)</f>
        <v>43515.64583</v>
      </c>
      <c r="B3574" s="2">
        <f>IFERROR(__xludf.DUMMYFUNCTION("""COMPUTED_VALUE"""),1970.0)</f>
        <v>1970</v>
      </c>
      <c r="C3574" s="2">
        <f>IFERROR(__xludf.DUMMYFUNCTION("""COMPUTED_VALUE"""),1971.0)</f>
        <v>1971</v>
      </c>
      <c r="D3574" s="2">
        <f>IFERROR(__xludf.DUMMYFUNCTION("""COMPUTED_VALUE"""),1892.0)</f>
        <v>1892</v>
      </c>
      <c r="E3574" s="2">
        <f>IFERROR(__xludf.DUMMYFUNCTION("""COMPUTED_VALUE"""),1904.8)</f>
        <v>1904.8</v>
      </c>
      <c r="F3574" s="2">
        <f>IFERROR(__xludf.DUMMYFUNCTION("""COMPUTED_VALUE"""),4408554.0)</f>
        <v>4408554</v>
      </c>
    </row>
    <row r="3575">
      <c r="A3575" s="3">
        <f>IFERROR(__xludf.DUMMYFUNCTION("""COMPUTED_VALUE"""),43516.64583333333)</f>
        <v>43516.64583</v>
      </c>
      <c r="B3575" s="2">
        <f>IFERROR(__xludf.DUMMYFUNCTION("""COMPUTED_VALUE"""),1915.0)</f>
        <v>1915</v>
      </c>
      <c r="C3575" s="2">
        <f>IFERROR(__xludf.DUMMYFUNCTION("""COMPUTED_VALUE"""),1933.8)</f>
        <v>1933.8</v>
      </c>
      <c r="D3575" s="2">
        <f>IFERROR(__xludf.DUMMYFUNCTION("""COMPUTED_VALUE"""),1881.3)</f>
        <v>1881.3</v>
      </c>
      <c r="E3575" s="2">
        <f>IFERROR(__xludf.DUMMYFUNCTION("""COMPUTED_VALUE"""),1914.75)</f>
        <v>1914.75</v>
      </c>
      <c r="F3575" s="2">
        <f>IFERROR(__xludf.DUMMYFUNCTION("""COMPUTED_VALUE"""),4645778.0)</f>
        <v>4645778</v>
      </c>
    </row>
    <row r="3576">
      <c r="A3576" s="3">
        <f>IFERROR(__xludf.DUMMYFUNCTION("""COMPUTED_VALUE"""),43517.64583333333)</f>
        <v>43517.64583</v>
      </c>
      <c r="B3576" s="2">
        <f>IFERROR(__xludf.DUMMYFUNCTION("""COMPUTED_VALUE"""),1914.75)</f>
        <v>1914.75</v>
      </c>
      <c r="C3576" s="2">
        <f>IFERROR(__xludf.DUMMYFUNCTION("""COMPUTED_VALUE"""),1940.0)</f>
        <v>1940</v>
      </c>
      <c r="D3576" s="2">
        <f>IFERROR(__xludf.DUMMYFUNCTION("""COMPUTED_VALUE"""),1897.05)</f>
        <v>1897.05</v>
      </c>
      <c r="E3576" s="2">
        <f>IFERROR(__xludf.DUMMYFUNCTION("""COMPUTED_VALUE"""),1914.2)</f>
        <v>1914.2</v>
      </c>
      <c r="F3576" s="2">
        <f>IFERROR(__xludf.DUMMYFUNCTION("""COMPUTED_VALUE"""),4683919.0)</f>
        <v>4683919</v>
      </c>
    </row>
    <row r="3577">
      <c r="A3577" s="3">
        <f>IFERROR(__xludf.DUMMYFUNCTION("""COMPUTED_VALUE"""),43518.64583333333)</f>
        <v>43518.64583</v>
      </c>
      <c r="B3577" s="2">
        <f>IFERROR(__xludf.DUMMYFUNCTION("""COMPUTED_VALUE"""),1917.2)</f>
        <v>1917.2</v>
      </c>
      <c r="C3577" s="2">
        <f>IFERROR(__xludf.DUMMYFUNCTION("""COMPUTED_VALUE"""),1930.0)</f>
        <v>1930</v>
      </c>
      <c r="D3577" s="2">
        <f>IFERROR(__xludf.DUMMYFUNCTION("""COMPUTED_VALUE"""),1905.1)</f>
        <v>1905.1</v>
      </c>
      <c r="E3577" s="2">
        <f>IFERROR(__xludf.DUMMYFUNCTION("""COMPUTED_VALUE"""),1925.65)</f>
        <v>1925.65</v>
      </c>
      <c r="F3577" s="2">
        <f>IFERROR(__xludf.DUMMYFUNCTION("""COMPUTED_VALUE"""),2271955.0)</f>
        <v>2271955</v>
      </c>
    </row>
    <row r="3578">
      <c r="A3578" s="3">
        <f>IFERROR(__xludf.DUMMYFUNCTION("""COMPUTED_VALUE"""),43521.64583333333)</f>
        <v>43521.64583</v>
      </c>
      <c r="B3578" s="2">
        <f>IFERROR(__xludf.DUMMYFUNCTION("""COMPUTED_VALUE"""),1932.5)</f>
        <v>1932.5</v>
      </c>
      <c r="C3578" s="2">
        <f>IFERROR(__xludf.DUMMYFUNCTION("""COMPUTED_VALUE"""),1990.0)</f>
        <v>1990</v>
      </c>
      <c r="D3578" s="2">
        <f>IFERROR(__xludf.DUMMYFUNCTION("""COMPUTED_VALUE"""),1930.5)</f>
        <v>1930.5</v>
      </c>
      <c r="E3578" s="2">
        <f>IFERROR(__xludf.DUMMYFUNCTION("""COMPUTED_VALUE"""),1985.15)</f>
        <v>1985.15</v>
      </c>
      <c r="F3578" s="2">
        <f>IFERROR(__xludf.DUMMYFUNCTION("""COMPUTED_VALUE"""),2934880.0)</f>
        <v>2934880</v>
      </c>
    </row>
    <row r="3579">
      <c r="A3579" s="3">
        <f>IFERROR(__xludf.DUMMYFUNCTION("""COMPUTED_VALUE"""),43522.64583333333)</f>
        <v>43522.64583</v>
      </c>
      <c r="B3579" s="2">
        <f>IFERROR(__xludf.DUMMYFUNCTION("""COMPUTED_VALUE"""),1984.0)</f>
        <v>1984</v>
      </c>
      <c r="C3579" s="2">
        <f>IFERROR(__xludf.DUMMYFUNCTION("""COMPUTED_VALUE"""),2045.15)</f>
        <v>2045.15</v>
      </c>
      <c r="D3579" s="2">
        <f>IFERROR(__xludf.DUMMYFUNCTION("""COMPUTED_VALUE"""),1972.25)</f>
        <v>1972.25</v>
      </c>
      <c r="E3579" s="2">
        <f>IFERROR(__xludf.DUMMYFUNCTION("""COMPUTED_VALUE"""),2038.7)</f>
        <v>2038.7</v>
      </c>
      <c r="F3579" s="2">
        <f>IFERROR(__xludf.DUMMYFUNCTION("""COMPUTED_VALUE"""),6453309.0)</f>
        <v>6453309</v>
      </c>
    </row>
    <row r="3580">
      <c r="A3580" s="3">
        <f>IFERROR(__xludf.DUMMYFUNCTION("""COMPUTED_VALUE"""),43523.64583333333)</f>
        <v>43523.64583</v>
      </c>
      <c r="B3580" s="2">
        <f>IFERROR(__xludf.DUMMYFUNCTION("""COMPUTED_VALUE"""),2040.0)</f>
        <v>2040</v>
      </c>
      <c r="C3580" s="2">
        <f>IFERROR(__xludf.DUMMYFUNCTION("""COMPUTED_VALUE"""),2074.95)</f>
        <v>2074.95</v>
      </c>
      <c r="D3580" s="2">
        <f>IFERROR(__xludf.DUMMYFUNCTION("""COMPUTED_VALUE"""),2022.0)</f>
        <v>2022</v>
      </c>
      <c r="E3580" s="2">
        <f>IFERROR(__xludf.DUMMYFUNCTION("""COMPUTED_VALUE"""),2058.1)</f>
        <v>2058.1</v>
      </c>
      <c r="F3580" s="2">
        <f>IFERROR(__xludf.DUMMYFUNCTION("""COMPUTED_VALUE"""),4732082.0)</f>
        <v>4732082</v>
      </c>
    </row>
    <row r="3581">
      <c r="A3581" s="3">
        <f>IFERROR(__xludf.DUMMYFUNCTION("""COMPUTED_VALUE"""),43524.64583333333)</f>
        <v>43524.64583</v>
      </c>
      <c r="B3581" s="2">
        <f>IFERROR(__xludf.DUMMYFUNCTION("""COMPUTED_VALUE"""),2060.0)</f>
        <v>2060</v>
      </c>
      <c r="C3581" s="2">
        <f>IFERROR(__xludf.DUMMYFUNCTION("""COMPUTED_VALUE"""),2071.35)</f>
        <v>2071.35</v>
      </c>
      <c r="D3581" s="2">
        <f>IFERROR(__xludf.DUMMYFUNCTION("""COMPUTED_VALUE"""),1977.6)</f>
        <v>1977.6</v>
      </c>
      <c r="E3581" s="2">
        <f>IFERROR(__xludf.DUMMYFUNCTION("""COMPUTED_VALUE"""),1983.45)</f>
        <v>1983.45</v>
      </c>
      <c r="F3581" s="2">
        <f>IFERROR(__xludf.DUMMYFUNCTION("""COMPUTED_VALUE"""),8454295.0)</f>
        <v>8454295</v>
      </c>
    </row>
    <row r="3582">
      <c r="A3582" s="3">
        <f>IFERROR(__xludf.DUMMYFUNCTION("""COMPUTED_VALUE"""),43525.64583333333)</f>
        <v>43525.64583</v>
      </c>
      <c r="B3582" s="2">
        <f>IFERROR(__xludf.DUMMYFUNCTION("""COMPUTED_VALUE"""),1995.05)</f>
        <v>1995.05</v>
      </c>
      <c r="C3582" s="2">
        <f>IFERROR(__xludf.DUMMYFUNCTION("""COMPUTED_VALUE"""),2005.0)</f>
        <v>2005</v>
      </c>
      <c r="D3582" s="2">
        <f>IFERROR(__xludf.DUMMYFUNCTION("""COMPUTED_VALUE"""),1980.35)</f>
        <v>1980.35</v>
      </c>
      <c r="E3582" s="2">
        <f>IFERROR(__xludf.DUMMYFUNCTION("""COMPUTED_VALUE"""),1995.4)</f>
        <v>1995.4</v>
      </c>
      <c r="F3582" s="2">
        <f>IFERROR(__xludf.DUMMYFUNCTION("""COMPUTED_VALUE"""),4148548.0)</f>
        <v>4148548</v>
      </c>
    </row>
    <row r="3583">
      <c r="A3583" s="3">
        <f>IFERROR(__xludf.DUMMYFUNCTION("""COMPUTED_VALUE"""),43529.64583333333)</f>
        <v>43529.64583</v>
      </c>
      <c r="B3583" s="2">
        <f>IFERROR(__xludf.DUMMYFUNCTION("""COMPUTED_VALUE"""),2005.0)</f>
        <v>2005</v>
      </c>
      <c r="C3583" s="2">
        <f>IFERROR(__xludf.DUMMYFUNCTION("""COMPUTED_VALUE"""),2007.0)</f>
        <v>2007</v>
      </c>
      <c r="D3583" s="2">
        <f>IFERROR(__xludf.DUMMYFUNCTION("""COMPUTED_VALUE"""),1976.6)</f>
        <v>1976.6</v>
      </c>
      <c r="E3583" s="2">
        <f>IFERROR(__xludf.DUMMYFUNCTION("""COMPUTED_VALUE"""),1988.1)</f>
        <v>1988.1</v>
      </c>
      <c r="F3583" s="2">
        <f>IFERROR(__xludf.DUMMYFUNCTION("""COMPUTED_VALUE"""),2449622.0)</f>
        <v>2449622</v>
      </c>
    </row>
    <row r="3584">
      <c r="A3584" s="3">
        <f>IFERROR(__xludf.DUMMYFUNCTION("""COMPUTED_VALUE"""),43530.64583333333)</f>
        <v>43530.64583</v>
      </c>
      <c r="B3584" s="2">
        <f>IFERROR(__xludf.DUMMYFUNCTION("""COMPUTED_VALUE"""),1989.3)</f>
        <v>1989.3</v>
      </c>
      <c r="C3584" s="2">
        <f>IFERROR(__xludf.DUMMYFUNCTION("""COMPUTED_VALUE"""),2015.0)</f>
        <v>2015</v>
      </c>
      <c r="D3584" s="2">
        <f>IFERROR(__xludf.DUMMYFUNCTION("""COMPUTED_VALUE"""),1985.05)</f>
        <v>1985.05</v>
      </c>
      <c r="E3584" s="2">
        <f>IFERROR(__xludf.DUMMYFUNCTION("""COMPUTED_VALUE"""),1999.6)</f>
        <v>1999.6</v>
      </c>
      <c r="F3584" s="2">
        <f>IFERROR(__xludf.DUMMYFUNCTION("""COMPUTED_VALUE"""),2635047.0)</f>
        <v>2635047</v>
      </c>
    </row>
    <row r="3585">
      <c r="A3585" s="3">
        <f>IFERROR(__xludf.DUMMYFUNCTION("""COMPUTED_VALUE"""),43531.64583333333)</f>
        <v>43531.64583</v>
      </c>
      <c r="B3585" s="2">
        <f>IFERROR(__xludf.DUMMYFUNCTION("""COMPUTED_VALUE"""),2005.0)</f>
        <v>2005</v>
      </c>
      <c r="C3585" s="2">
        <f>IFERROR(__xludf.DUMMYFUNCTION("""COMPUTED_VALUE"""),2024.05)</f>
        <v>2024.05</v>
      </c>
      <c r="D3585" s="2">
        <f>IFERROR(__xludf.DUMMYFUNCTION("""COMPUTED_VALUE"""),2000.2)</f>
        <v>2000.2</v>
      </c>
      <c r="E3585" s="2">
        <f>IFERROR(__xludf.DUMMYFUNCTION("""COMPUTED_VALUE"""),2013.3)</f>
        <v>2013.3</v>
      </c>
      <c r="F3585" s="2">
        <f>IFERROR(__xludf.DUMMYFUNCTION("""COMPUTED_VALUE"""),2539884.0)</f>
        <v>2539884</v>
      </c>
    </row>
    <row r="3586">
      <c r="A3586" s="3">
        <f>IFERROR(__xludf.DUMMYFUNCTION("""COMPUTED_VALUE"""),43532.64583333333)</f>
        <v>43532.64583</v>
      </c>
      <c r="B3586" s="2">
        <f>IFERROR(__xludf.DUMMYFUNCTION("""COMPUTED_VALUE"""),2025.0)</f>
        <v>2025</v>
      </c>
      <c r="C3586" s="2">
        <f>IFERROR(__xludf.DUMMYFUNCTION("""COMPUTED_VALUE"""),2033.0)</f>
        <v>2033</v>
      </c>
      <c r="D3586" s="2">
        <f>IFERROR(__xludf.DUMMYFUNCTION("""COMPUTED_VALUE"""),2010.05)</f>
        <v>2010.05</v>
      </c>
      <c r="E3586" s="2">
        <f>IFERROR(__xludf.DUMMYFUNCTION("""COMPUTED_VALUE"""),2022.7)</f>
        <v>2022.7</v>
      </c>
      <c r="F3586" s="2">
        <f>IFERROR(__xludf.DUMMYFUNCTION("""COMPUTED_VALUE"""),2031071.0)</f>
        <v>2031071</v>
      </c>
    </row>
    <row r="3587">
      <c r="A3587" s="3">
        <f>IFERROR(__xludf.DUMMYFUNCTION("""COMPUTED_VALUE"""),43535.64583333333)</f>
        <v>43535.64583</v>
      </c>
      <c r="B3587" s="2">
        <f>IFERROR(__xludf.DUMMYFUNCTION("""COMPUTED_VALUE"""),2028.9)</f>
        <v>2028.9</v>
      </c>
      <c r="C3587" s="2">
        <f>IFERROR(__xludf.DUMMYFUNCTION("""COMPUTED_VALUE"""),2033.0)</f>
        <v>2033</v>
      </c>
      <c r="D3587" s="2">
        <f>IFERROR(__xludf.DUMMYFUNCTION("""COMPUTED_VALUE"""),2003.65)</f>
        <v>2003.65</v>
      </c>
      <c r="E3587" s="2">
        <f>IFERROR(__xludf.DUMMYFUNCTION("""COMPUTED_VALUE"""),2014.8)</f>
        <v>2014.8</v>
      </c>
      <c r="F3587" s="2">
        <f>IFERROR(__xludf.DUMMYFUNCTION("""COMPUTED_VALUE"""),3111689.0)</f>
        <v>3111689</v>
      </c>
    </row>
    <row r="3588">
      <c r="A3588" s="3">
        <f>IFERROR(__xludf.DUMMYFUNCTION("""COMPUTED_VALUE"""),43536.64583333333)</f>
        <v>43536.64583</v>
      </c>
      <c r="B3588" s="2">
        <f>IFERROR(__xludf.DUMMYFUNCTION("""COMPUTED_VALUE"""),2014.05)</f>
        <v>2014.05</v>
      </c>
      <c r="C3588" s="2">
        <f>IFERROR(__xludf.DUMMYFUNCTION("""COMPUTED_VALUE"""),2024.8)</f>
        <v>2024.8</v>
      </c>
      <c r="D3588" s="2">
        <f>IFERROR(__xludf.DUMMYFUNCTION("""COMPUTED_VALUE"""),2003.0)</f>
        <v>2003</v>
      </c>
      <c r="E3588" s="2">
        <f>IFERROR(__xludf.DUMMYFUNCTION("""COMPUTED_VALUE"""),2012.45)</f>
        <v>2012.45</v>
      </c>
      <c r="F3588" s="2">
        <f>IFERROR(__xludf.DUMMYFUNCTION("""COMPUTED_VALUE"""),2658550.0)</f>
        <v>2658550</v>
      </c>
    </row>
    <row r="3589">
      <c r="A3589" s="3">
        <f>IFERROR(__xludf.DUMMYFUNCTION("""COMPUTED_VALUE"""),43537.64583333333)</f>
        <v>43537.64583</v>
      </c>
      <c r="B3589" s="2">
        <f>IFERROR(__xludf.DUMMYFUNCTION("""COMPUTED_VALUE"""),2013.0)</f>
        <v>2013</v>
      </c>
      <c r="C3589" s="2">
        <f>IFERROR(__xludf.DUMMYFUNCTION("""COMPUTED_VALUE"""),2015.9)</f>
        <v>2015.9</v>
      </c>
      <c r="D3589" s="2">
        <f>IFERROR(__xludf.DUMMYFUNCTION("""COMPUTED_VALUE"""),1978.6)</f>
        <v>1978.6</v>
      </c>
      <c r="E3589" s="2">
        <f>IFERROR(__xludf.DUMMYFUNCTION("""COMPUTED_VALUE"""),2000.5)</f>
        <v>2000.5</v>
      </c>
      <c r="F3589" s="2">
        <f>IFERROR(__xludf.DUMMYFUNCTION("""COMPUTED_VALUE"""),1833163.0)</f>
        <v>1833163</v>
      </c>
    </row>
    <row r="3590">
      <c r="A3590" s="3">
        <f>IFERROR(__xludf.DUMMYFUNCTION("""COMPUTED_VALUE"""),43538.64583333333)</f>
        <v>43538.64583</v>
      </c>
      <c r="B3590" s="2">
        <f>IFERROR(__xludf.DUMMYFUNCTION("""COMPUTED_VALUE"""),2004.95)</f>
        <v>2004.95</v>
      </c>
      <c r="C3590" s="2">
        <f>IFERROR(__xludf.DUMMYFUNCTION("""COMPUTED_VALUE"""),2007.8)</f>
        <v>2007.8</v>
      </c>
      <c r="D3590" s="2">
        <f>IFERROR(__xludf.DUMMYFUNCTION("""COMPUTED_VALUE"""),1981.0)</f>
        <v>1981</v>
      </c>
      <c r="E3590" s="2">
        <f>IFERROR(__xludf.DUMMYFUNCTION("""COMPUTED_VALUE"""),1987.4)</f>
        <v>1987.4</v>
      </c>
      <c r="F3590" s="2">
        <f>IFERROR(__xludf.DUMMYFUNCTION("""COMPUTED_VALUE"""),1905495.0)</f>
        <v>1905495</v>
      </c>
    </row>
    <row r="3591">
      <c r="A3591" s="3">
        <f>IFERROR(__xludf.DUMMYFUNCTION("""COMPUTED_VALUE"""),43539.64583333333)</f>
        <v>43539.64583</v>
      </c>
      <c r="B3591" s="2">
        <f>IFERROR(__xludf.DUMMYFUNCTION("""COMPUTED_VALUE"""),1998.9)</f>
        <v>1998.9</v>
      </c>
      <c r="C3591" s="2">
        <f>IFERROR(__xludf.DUMMYFUNCTION("""COMPUTED_VALUE"""),2068.95)</f>
        <v>2068.95</v>
      </c>
      <c r="D3591" s="2">
        <f>IFERROR(__xludf.DUMMYFUNCTION("""COMPUTED_VALUE"""),1991.0)</f>
        <v>1991</v>
      </c>
      <c r="E3591" s="2">
        <f>IFERROR(__xludf.DUMMYFUNCTION("""COMPUTED_VALUE"""),2039.95)</f>
        <v>2039.95</v>
      </c>
      <c r="F3591" s="2">
        <f>IFERROR(__xludf.DUMMYFUNCTION("""COMPUTED_VALUE"""),5184318.0)</f>
        <v>5184318</v>
      </c>
    </row>
    <row r="3592">
      <c r="A3592" s="3">
        <f>IFERROR(__xludf.DUMMYFUNCTION("""COMPUTED_VALUE"""),43542.64583333333)</f>
        <v>43542.64583</v>
      </c>
      <c r="B3592" s="2">
        <f>IFERROR(__xludf.DUMMYFUNCTION("""COMPUTED_VALUE"""),2043.0)</f>
        <v>2043</v>
      </c>
      <c r="C3592" s="2">
        <f>IFERROR(__xludf.DUMMYFUNCTION("""COMPUTED_VALUE"""),2064.6)</f>
        <v>2064.6</v>
      </c>
      <c r="D3592" s="2">
        <f>IFERROR(__xludf.DUMMYFUNCTION("""COMPUTED_VALUE"""),2011.0)</f>
        <v>2011</v>
      </c>
      <c r="E3592" s="2">
        <f>IFERROR(__xludf.DUMMYFUNCTION("""COMPUTED_VALUE"""),2022.8)</f>
        <v>2022.8</v>
      </c>
      <c r="F3592" s="2">
        <f>IFERROR(__xludf.DUMMYFUNCTION("""COMPUTED_VALUE"""),2349915.0)</f>
        <v>2349915</v>
      </c>
    </row>
    <row r="3593">
      <c r="A3593" s="3">
        <f>IFERROR(__xludf.DUMMYFUNCTION("""COMPUTED_VALUE"""),43543.64583333333)</f>
        <v>43543.64583</v>
      </c>
      <c r="B3593" s="2">
        <f>IFERROR(__xludf.DUMMYFUNCTION("""COMPUTED_VALUE"""),2030.0)</f>
        <v>2030</v>
      </c>
      <c r="C3593" s="2">
        <f>IFERROR(__xludf.DUMMYFUNCTION("""COMPUTED_VALUE"""),2030.0)</f>
        <v>2030</v>
      </c>
      <c r="D3593" s="2">
        <f>IFERROR(__xludf.DUMMYFUNCTION("""COMPUTED_VALUE"""),1995.1)</f>
        <v>1995.1</v>
      </c>
      <c r="E3593" s="2">
        <f>IFERROR(__xludf.DUMMYFUNCTION("""COMPUTED_VALUE"""),2022.8)</f>
        <v>2022.8</v>
      </c>
      <c r="F3593" s="2">
        <f>IFERROR(__xludf.DUMMYFUNCTION("""COMPUTED_VALUE"""),2373993.0)</f>
        <v>2373993</v>
      </c>
    </row>
    <row r="3594">
      <c r="A3594" s="3">
        <f>IFERROR(__xludf.DUMMYFUNCTION("""COMPUTED_VALUE"""),43544.64583333333)</f>
        <v>43544.64583</v>
      </c>
      <c r="B3594" s="2">
        <f>IFERROR(__xludf.DUMMYFUNCTION("""COMPUTED_VALUE"""),2028.0)</f>
        <v>2028</v>
      </c>
      <c r="C3594" s="2">
        <f>IFERROR(__xludf.DUMMYFUNCTION("""COMPUTED_VALUE"""),2044.8)</f>
        <v>2044.8</v>
      </c>
      <c r="D3594" s="2">
        <f>IFERROR(__xludf.DUMMYFUNCTION("""COMPUTED_VALUE"""),2000.0)</f>
        <v>2000</v>
      </c>
      <c r="E3594" s="2">
        <f>IFERROR(__xludf.DUMMYFUNCTION("""COMPUTED_VALUE"""),2015.05)</f>
        <v>2015.05</v>
      </c>
      <c r="F3594" s="2">
        <f>IFERROR(__xludf.DUMMYFUNCTION("""COMPUTED_VALUE"""),3091165.0)</f>
        <v>3091165</v>
      </c>
    </row>
    <row r="3595">
      <c r="A3595" s="3">
        <f>IFERROR(__xludf.DUMMYFUNCTION("""COMPUTED_VALUE"""),43546.64583333333)</f>
        <v>43546.64583</v>
      </c>
      <c r="B3595" s="2">
        <f>IFERROR(__xludf.DUMMYFUNCTION("""COMPUTED_VALUE"""),2015.0)</f>
        <v>2015</v>
      </c>
      <c r="C3595" s="2">
        <f>IFERROR(__xludf.DUMMYFUNCTION("""COMPUTED_VALUE"""),2016.0)</f>
        <v>2016</v>
      </c>
      <c r="D3595" s="2">
        <f>IFERROR(__xludf.DUMMYFUNCTION("""COMPUTED_VALUE"""),1983.3)</f>
        <v>1983.3</v>
      </c>
      <c r="E3595" s="2">
        <f>IFERROR(__xludf.DUMMYFUNCTION("""COMPUTED_VALUE"""),2005.65)</f>
        <v>2005.65</v>
      </c>
      <c r="F3595" s="2">
        <f>IFERROR(__xludf.DUMMYFUNCTION("""COMPUTED_VALUE"""),3148149.0)</f>
        <v>3148149</v>
      </c>
    </row>
    <row r="3596">
      <c r="A3596" s="3">
        <f>IFERROR(__xludf.DUMMYFUNCTION("""COMPUTED_VALUE"""),43549.64583333333)</f>
        <v>43549.64583</v>
      </c>
      <c r="B3596" s="2">
        <f>IFERROR(__xludf.DUMMYFUNCTION("""COMPUTED_VALUE"""),2007.8)</f>
        <v>2007.8</v>
      </c>
      <c r="C3596" s="2">
        <f>IFERROR(__xludf.DUMMYFUNCTION("""COMPUTED_VALUE"""),2007.8)</f>
        <v>2007.8</v>
      </c>
      <c r="D3596" s="2">
        <f>IFERROR(__xludf.DUMMYFUNCTION("""COMPUTED_VALUE"""),1977.2)</f>
        <v>1977.2</v>
      </c>
      <c r="E3596" s="2">
        <f>IFERROR(__xludf.DUMMYFUNCTION("""COMPUTED_VALUE"""),1984.25)</f>
        <v>1984.25</v>
      </c>
      <c r="F3596" s="2">
        <f>IFERROR(__xludf.DUMMYFUNCTION("""COMPUTED_VALUE"""),2429205.0)</f>
        <v>2429205</v>
      </c>
    </row>
    <row r="3597">
      <c r="A3597" s="3">
        <f>IFERROR(__xludf.DUMMYFUNCTION("""COMPUTED_VALUE"""),43550.64583333333)</f>
        <v>43550.64583</v>
      </c>
      <c r="B3597" s="2">
        <f>IFERROR(__xludf.DUMMYFUNCTION("""COMPUTED_VALUE"""),1984.0)</f>
        <v>1984</v>
      </c>
      <c r="C3597" s="2">
        <f>IFERROR(__xludf.DUMMYFUNCTION("""COMPUTED_VALUE"""),1994.95)</f>
        <v>1994.95</v>
      </c>
      <c r="D3597" s="2">
        <f>IFERROR(__xludf.DUMMYFUNCTION("""COMPUTED_VALUE"""),1958.05)</f>
        <v>1958.05</v>
      </c>
      <c r="E3597" s="2">
        <f>IFERROR(__xludf.DUMMYFUNCTION("""COMPUTED_VALUE"""),1982.65)</f>
        <v>1982.65</v>
      </c>
      <c r="F3597" s="2">
        <f>IFERROR(__xludf.DUMMYFUNCTION("""COMPUTED_VALUE"""),2316539.0)</f>
        <v>2316539</v>
      </c>
    </row>
    <row r="3598">
      <c r="A3598" s="3">
        <f>IFERROR(__xludf.DUMMYFUNCTION("""COMPUTED_VALUE"""),43551.64583333333)</f>
        <v>43551.64583</v>
      </c>
      <c r="B3598" s="2">
        <f>IFERROR(__xludf.DUMMYFUNCTION("""COMPUTED_VALUE"""),1994.0)</f>
        <v>1994</v>
      </c>
      <c r="C3598" s="2">
        <f>IFERROR(__xludf.DUMMYFUNCTION("""COMPUTED_VALUE"""),1998.0)</f>
        <v>1998</v>
      </c>
      <c r="D3598" s="2">
        <f>IFERROR(__xludf.DUMMYFUNCTION("""COMPUTED_VALUE"""),1961.0)</f>
        <v>1961</v>
      </c>
      <c r="E3598" s="2">
        <f>IFERROR(__xludf.DUMMYFUNCTION("""COMPUTED_VALUE"""),1967.9)</f>
        <v>1967.9</v>
      </c>
      <c r="F3598" s="2">
        <f>IFERROR(__xludf.DUMMYFUNCTION("""COMPUTED_VALUE"""),2266166.0)</f>
        <v>2266166</v>
      </c>
    </row>
    <row r="3599">
      <c r="A3599" s="3">
        <f>IFERROR(__xludf.DUMMYFUNCTION("""COMPUTED_VALUE"""),43552.64583333333)</f>
        <v>43552.64583</v>
      </c>
      <c r="B3599" s="2">
        <f>IFERROR(__xludf.DUMMYFUNCTION("""COMPUTED_VALUE"""),1980.0)</f>
        <v>1980</v>
      </c>
      <c r="C3599" s="2">
        <f>IFERROR(__xludf.DUMMYFUNCTION("""COMPUTED_VALUE"""),2014.6)</f>
        <v>2014.6</v>
      </c>
      <c r="D3599" s="2">
        <f>IFERROR(__xludf.DUMMYFUNCTION("""COMPUTED_VALUE"""),1972.8)</f>
        <v>1972.8</v>
      </c>
      <c r="E3599" s="2">
        <f>IFERROR(__xludf.DUMMYFUNCTION("""COMPUTED_VALUE"""),2000.3)</f>
        <v>2000.3</v>
      </c>
      <c r="F3599" s="2">
        <f>IFERROR(__xludf.DUMMYFUNCTION("""COMPUTED_VALUE"""),4054489.0)</f>
        <v>4054489</v>
      </c>
    </row>
    <row r="3600">
      <c r="A3600" s="3">
        <f>IFERROR(__xludf.DUMMYFUNCTION("""COMPUTED_VALUE"""),43553.64583333333)</f>
        <v>43553.64583</v>
      </c>
      <c r="B3600" s="2">
        <f>IFERROR(__xludf.DUMMYFUNCTION("""COMPUTED_VALUE"""),2019.0)</f>
        <v>2019</v>
      </c>
      <c r="C3600" s="2">
        <f>IFERROR(__xludf.DUMMYFUNCTION("""COMPUTED_VALUE"""),2024.9)</f>
        <v>2024.9</v>
      </c>
      <c r="D3600" s="2">
        <f>IFERROR(__xludf.DUMMYFUNCTION("""COMPUTED_VALUE"""),1983.55)</f>
        <v>1983.55</v>
      </c>
      <c r="E3600" s="2">
        <f>IFERROR(__xludf.DUMMYFUNCTION("""COMPUTED_VALUE"""),2001.65)</f>
        <v>2001.65</v>
      </c>
      <c r="F3600" s="2">
        <f>IFERROR(__xludf.DUMMYFUNCTION("""COMPUTED_VALUE"""),2948955.0)</f>
        <v>2948955</v>
      </c>
    </row>
    <row r="3601">
      <c r="A3601" s="3">
        <f>IFERROR(__xludf.DUMMYFUNCTION("""COMPUTED_VALUE"""),43556.64583333333)</f>
        <v>43556.64583</v>
      </c>
      <c r="B3601" s="2">
        <f>IFERROR(__xludf.DUMMYFUNCTION("""COMPUTED_VALUE"""),2010.0)</f>
        <v>2010</v>
      </c>
      <c r="C3601" s="2">
        <f>IFERROR(__xludf.DUMMYFUNCTION("""COMPUTED_VALUE"""),2039.95)</f>
        <v>2039.95</v>
      </c>
      <c r="D3601" s="2">
        <f>IFERROR(__xludf.DUMMYFUNCTION("""COMPUTED_VALUE"""),2008.25)</f>
        <v>2008.25</v>
      </c>
      <c r="E3601" s="2">
        <f>IFERROR(__xludf.DUMMYFUNCTION("""COMPUTED_VALUE"""),2031.65)</f>
        <v>2031.65</v>
      </c>
      <c r="F3601" s="2">
        <f>IFERROR(__xludf.DUMMYFUNCTION("""COMPUTED_VALUE"""),2095740.0)</f>
        <v>2095740</v>
      </c>
    </row>
    <row r="3602">
      <c r="A3602" s="3">
        <f>IFERROR(__xludf.DUMMYFUNCTION("""COMPUTED_VALUE"""),43557.64583333333)</f>
        <v>43557.64583</v>
      </c>
      <c r="B3602" s="2">
        <f>IFERROR(__xludf.DUMMYFUNCTION("""COMPUTED_VALUE"""),2037.1)</f>
        <v>2037.1</v>
      </c>
      <c r="C3602" s="2">
        <f>IFERROR(__xludf.DUMMYFUNCTION("""COMPUTED_VALUE"""),2086.0)</f>
        <v>2086</v>
      </c>
      <c r="D3602" s="2">
        <f>IFERROR(__xludf.DUMMYFUNCTION("""COMPUTED_VALUE"""),2037.0)</f>
        <v>2037</v>
      </c>
      <c r="E3602" s="2">
        <f>IFERROR(__xludf.DUMMYFUNCTION("""COMPUTED_VALUE"""),2079.3)</f>
        <v>2079.3</v>
      </c>
      <c r="F3602" s="2">
        <f>IFERROR(__xludf.DUMMYFUNCTION("""COMPUTED_VALUE"""),3719663.0)</f>
        <v>3719663</v>
      </c>
    </row>
    <row r="3603">
      <c r="A3603" s="3">
        <f>IFERROR(__xludf.DUMMYFUNCTION("""COMPUTED_VALUE"""),43558.64583333333)</f>
        <v>43558.64583</v>
      </c>
      <c r="B3603" s="2">
        <f>IFERROR(__xludf.DUMMYFUNCTION("""COMPUTED_VALUE"""),2085.0)</f>
        <v>2085</v>
      </c>
      <c r="C3603" s="2">
        <f>IFERROR(__xludf.DUMMYFUNCTION("""COMPUTED_VALUE"""),2089.6)</f>
        <v>2089.6</v>
      </c>
      <c r="D3603" s="2">
        <f>IFERROR(__xludf.DUMMYFUNCTION("""COMPUTED_VALUE"""),2058.1)</f>
        <v>2058.1</v>
      </c>
      <c r="E3603" s="2">
        <f>IFERROR(__xludf.DUMMYFUNCTION("""COMPUTED_VALUE"""),2079.3)</f>
        <v>2079.3</v>
      </c>
      <c r="F3603" s="2">
        <f>IFERROR(__xludf.DUMMYFUNCTION("""COMPUTED_VALUE"""),2939886.0)</f>
        <v>2939886</v>
      </c>
    </row>
    <row r="3604">
      <c r="A3604" s="3">
        <f>IFERROR(__xludf.DUMMYFUNCTION("""COMPUTED_VALUE"""),43559.64583333333)</f>
        <v>43559.64583</v>
      </c>
      <c r="B3604" s="2">
        <f>IFERROR(__xludf.DUMMYFUNCTION("""COMPUTED_VALUE"""),2078.15)</f>
        <v>2078.15</v>
      </c>
      <c r="C3604" s="2">
        <f>IFERROR(__xludf.DUMMYFUNCTION("""COMPUTED_VALUE"""),2079.7)</f>
        <v>2079.7</v>
      </c>
      <c r="D3604" s="2">
        <f>IFERROR(__xludf.DUMMYFUNCTION("""COMPUTED_VALUE"""),2007.4)</f>
        <v>2007.4</v>
      </c>
      <c r="E3604" s="2">
        <f>IFERROR(__xludf.DUMMYFUNCTION("""COMPUTED_VALUE"""),2014.5)</f>
        <v>2014.5</v>
      </c>
      <c r="F3604" s="2">
        <f>IFERROR(__xludf.DUMMYFUNCTION("""COMPUTED_VALUE"""),4397518.0)</f>
        <v>4397518</v>
      </c>
    </row>
    <row r="3605">
      <c r="A3605" s="3">
        <f>IFERROR(__xludf.DUMMYFUNCTION("""COMPUTED_VALUE"""),43560.64583333333)</f>
        <v>43560.64583</v>
      </c>
      <c r="B3605" s="2">
        <f>IFERROR(__xludf.DUMMYFUNCTION("""COMPUTED_VALUE"""),2028.65)</f>
        <v>2028.65</v>
      </c>
      <c r="C3605" s="2">
        <f>IFERROR(__xludf.DUMMYFUNCTION("""COMPUTED_VALUE"""),2054.4)</f>
        <v>2054.4</v>
      </c>
      <c r="D3605" s="2">
        <f>IFERROR(__xludf.DUMMYFUNCTION("""COMPUTED_VALUE"""),2018.8)</f>
        <v>2018.8</v>
      </c>
      <c r="E3605" s="2">
        <f>IFERROR(__xludf.DUMMYFUNCTION("""COMPUTED_VALUE"""),2048.3)</f>
        <v>2048.3</v>
      </c>
      <c r="F3605" s="2">
        <f>IFERROR(__xludf.DUMMYFUNCTION("""COMPUTED_VALUE"""),3152103.0)</f>
        <v>3152103</v>
      </c>
    </row>
    <row r="3606">
      <c r="A3606" s="3">
        <f>IFERROR(__xludf.DUMMYFUNCTION("""COMPUTED_VALUE"""),43563.64583333333)</f>
        <v>43563.64583</v>
      </c>
      <c r="B3606" s="2">
        <f>IFERROR(__xludf.DUMMYFUNCTION("""COMPUTED_VALUE"""),2059.0)</f>
        <v>2059</v>
      </c>
      <c r="C3606" s="2">
        <f>IFERROR(__xludf.DUMMYFUNCTION("""COMPUTED_VALUE"""),2075.0)</f>
        <v>2075</v>
      </c>
      <c r="D3606" s="2">
        <f>IFERROR(__xludf.DUMMYFUNCTION("""COMPUTED_VALUE"""),2032.7)</f>
        <v>2032.7</v>
      </c>
      <c r="E3606" s="2">
        <f>IFERROR(__xludf.DUMMYFUNCTION("""COMPUTED_VALUE"""),2070.75)</f>
        <v>2070.75</v>
      </c>
      <c r="F3606" s="2">
        <f>IFERROR(__xludf.DUMMYFUNCTION("""COMPUTED_VALUE"""),2194294.0)</f>
        <v>2194294</v>
      </c>
    </row>
    <row r="3607">
      <c r="A3607" s="3">
        <f>IFERROR(__xludf.DUMMYFUNCTION("""COMPUTED_VALUE"""),43564.64583333333)</f>
        <v>43564.64583</v>
      </c>
      <c r="B3607" s="2">
        <f>IFERROR(__xludf.DUMMYFUNCTION("""COMPUTED_VALUE"""),2070.0)</f>
        <v>2070</v>
      </c>
      <c r="C3607" s="2">
        <f>IFERROR(__xludf.DUMMYFUNCTION("""COMPUTED_VALUE"""),2098.0)</f>
        <v>2098</v>
      </c>
      <c r="D3607" s="2">
        <f>IFERROR(__xludf.DUMMYFUNCTION("""COMPUTED_VALUE"""),2057.65)</f>
        <v>2057.65</v>
      </c>
      <c r="E3607" s="2">
        <f>IFERROR(__xludf.DUMMYFUNCTION("""COMPUTED_VALUE"""),2091.5)</f>
        <v>2091.5</v>
      </c>
      <c r="F3607" s="2">
        <f>IFERROR(__xludf.DUMMYFUNCTION("""COMPUTED_VALUE"""),2690970.0)</f>
        <v>2690970</v>
      </c>
    </row>
    <row r="3608">
      <c r="A3608" s="3">
        <f>IFERROR(__xludf.DUMMYFUNCTION("""COMPUTED_VALUE"""),43565.64583333333)</f>
        <v>43565.64583</v>
      </c>
      <c r="B3608" s="2">
        <f>IFERROR(__xludf.DUMMYFUNCTION("""COMPUTED_VALUE"""),2083.0)</f>
        <v>2083</v>
      </c>
      <c r="C3608" s="2">
        <f>IFERROR(__xludf.DUMMYFUNCTION("""COMPUTED_VALUE"""),2085.5)</f>
        <v>2085.5</v>
      </c>
      <c r="D3608" s="2">
        <f>IFERROR(__xludf.DUMMYFUNCTION("""COMPUTED_VALUE"""),2036.0)</f>
        <v>2036</v>
      </c>
      <c r="E3608" s="2">
        <f>IFERROR(__xludf.DUMMYFUNCTION("""COMPUTED_VALUE"""),2040.25)</f>
        <v>2040.25</v>
      </c>
      <c r="F3608" s="2">
        <f>IFERROR(__xludf.DUMMYFUNCTION("""COMPUTED_VALUE"""),3313062.0)</f>
        <v>3313062</v>
      </c>
    </row>
    <row r="3609">
      <c r="A3609" s="3">
        <f>IFERROR(__xludf.DUMMYFUNCTION("""COMPUTED_VALUE"""),43566.64583333333)</f>
        <v>43566.64583</v>
      </c>
      <c r="B3609" s="2">
        <f>IFERROR(__xludf.DUMMYFUNCTION("""COMPUTED_VALUE"""),2045.0)</f>
        <v>2045</v>
      </c>
      <c r="C3609" s="2">
        <f>IFERROR(__xludf.DUMMYFUNCTION("""COMPUTED_VALUE"""),2055.0)</f>
        <v>2055</v>
      </c>
      <c r="D3609" s="2">
        <f>IFERROR(__xludf.DUMMYFUNCTION("""COMPUTED_VALUE"""),2013.65)</f>
        <v>2013.65</v>
      </c>
      <c r="E3609" s="2">
        <f>IFERROR(__xludf.DUMMYFUNCTION("""COMPUTED_VALUE"""),2019.5)</f>
        <v>2019.5</v>
      </c>
      <c r="F3609" s="2">
        <f>IFERROR(__xludf.DUMMYFUNCTION("""COMPUTED_VALUE"""),3422442.0)</f>
        <v>3422442</v>
      </c>
    </row>
    <row r="3610">
      <c r="A3610" s="3">
        <f>IFERROR(__xludf.DUMMYFUNCTION("""COMPUTED_VALUE"""),43567.64583333333)</f>
        <v>43567.64583</v>
      </c>
      <c r="B3610" s="2">
        <f>IFERROR(__xludf.DUMMYFUNCTION("""COMPUTED_VALUE"""),2038.0)</f>
        <v>2038</v>
      </c>
      <c r="C3610" s="2">
        <f>IFERROR(__xludf.DUMMYFUNCTION("""COMPUTED_VALUE"""),2039.0)</f>
        <v>2039</v>
      </c>
      <c r="D3610" s="2">
        <f>IFERROR(__xludf.DUMMYFUNCTION("""COMPUTED_VALUE"""),2007.0)</f>
        <v>2007</v>
      </c>
      <c r="E3610" s="2">
        <f>IFERROR(__xludf.DUMMYFUNCTION("""COMPUTED_VALUE"""),2014.5)</f>
        <v>2014.5</v>
      </c>
      <c r="F3610" s="2">
        <f>IFERROR(__xludf.DUMMYFUNCTION("""COMPUTED_VALUE"""),3198471.0)</f>
        <v>3198471</v>
      </c>
    </row>
    <row r="3611">
      <c r="A3611" s="3">
        <f>IFERROR(__xludf.DUMMYFUNCTION("""COMPUTED_VALUE"""),43570.64583333333)</f>
        <v>43570.64583</v>
      </c>
      <c r="B3611" s="2">
        <f>IFERROR(__xludf.DUMMYFUNCTION("""COMPUTED_VALUE"""),2070.0)</f>
        <v>2070</v>
      </c>
      <c r="C3611" s="2">
        <f>IFERROR(__xludf.DUMMYFUNCTION("""COMPUTED_VALUE"""),2119.8)</f>
        <v>2119.8</v>
      </c>
      <c r="D3611" s="2">
        <f>IFERROR(__xludf.DUMMYFUNCTION("""COMPUTED_VALUE"""),2041.0)</f>
        <v>2041</v>
      </c>
      <c r="E3611" s="2">
        <f>IFERROR(__xludf.DUMMYFUNCTION("""COMPUTED_VALUE"""),2113.3)</f>
        <v>2113.3</v>
      </c>
      <c r="F3611" s="2">
        <f>IFERROR(__xludf.DUMMYFUNCTION("""COMPUTED_VALUE"""),9189201.0)</f>
        <v>9189201</v>
      </c>
    </row>
    <row r="3612">
      <c r="A3612" s="3">
        <f>IFERROR(__xludf.DUMMYFUNCTION("""COMPUTED_VALUE"""),43571.64583333333)</f>
        <v>43571.64583</v>
      </c>
      <c r="B3612" s="2">
        <f>IFERROR(__xludf.DUMMYFUNCTION("""COMPUTED_VALUE"""),2120.0)</f>
        <v>2120</v>
      </c>
      <c r="C3612" s="2">
        <f>IFERROR(__xludf.DUMMYFUNCTION("""COMPUTED_VALUE"""),2155.95)</f>
        <v>2155.95</v>
      </c>
      <c r="D3612" s="2">
        <f>IFERROR(__xludf.DUMMYFUNCTION("""COMPUTED_VALUE"""),2115.55)</f>
        <v>2115.55</v>
      </c>
      <c r="E3612" s="2">
        <f>IFERROR(__xludf.DUMMYFUNCTION("""COMPUTED_VALUE"""),2131.8)</f>
        <v>2131.8</v>
      </c>
      <c r="F3612" s="2">
        <f>IFERROR(__xludf.DUMMYFUNCTION("""COMPUTED_VALUE"""),5771952.0)</f>
        <v>5771952</v>
      </c>
    </row>
    <row r="3613">
      <c r="A3613" s="3">
        <f>IFERROR(__xludf.DUMMYFUNCTION("""COMPUTED_VALUE"""),43573.64583333333)</f>
        <v>43573.64583</v>
      </c>
      <c r="B3613" s="2">
        <f>IFERROR(__xludf.DUMMYFUNCTION("""COMPUTED_VALUE"""),2149.9)</f>
        <v>2149.9</v>
      </c>
      <c r="C3613" s="2">
        <f>IFERROR(__xludf.DUMMYFUNCTION("""COMPUTED_VALUE"""),2155.0)</f>
        <v>2155</v>
      </c>
      <c r="D3613" s="2">
        <f>IFERROR(__xludf.DUMMYFUNCTION("""COMPUTED_VALUE"""),2114.2)</f>
        <v>2114.2</v>
      </c>
      <c r="E3613" s="2">
        <f>IFERROR(__xludf.DUMMYFUNCTION("""COMPUTED_VALUE"""),2150.05)</f>
        <v>2150.05</v>
      </c>
      <c r="F3613" s="2">
        <f>IFERROR(__xludf.DUMMYFUNCTION("""COMPUTED_VALUE"""),3413728.0)</f>
        <v>3413728</v>
      </c>
    </row>
    <row r="3614">
      <c r="A3614" s="3">
        <f>IFERROR(__xludf.DUMMYFUNCTION("""COMPUTED_VALUE"""),43577.64583333333)</f>
        <v>43577.64583</v>
      </c>
      <c r="B3614" s="2">
        <f>IFERROR(__xludf.DUMMYFUNCTION("""COMPUTED_VALUE"""),2148.0)</f>
        <v>2148</v>
      </c>
      <c r="C3614" s="2">
        <f>IFERROR(__xludf.DUMMYFUNCTION("""COMPUTED_VALUE"""),2176.0)</f>
        <v>2176</v>
      </c>
      <c r="D3614" s="2">
        <f>IFERROR(__xludf.DUMMYFUNCTION("""COMPUTED_VALUE"""),2145.6)</f>
        <v>2145.6</v>
      </c>
      <c r="E3614" s="2">
        <f>IFERROR(__xludf.DUMMYFUNCTION("""COMPUTED_VALUE"""),2161.45)</f>
        <v>2161.45</v>
      </c>
      <c r="F3614" s="2">
        <f>IFERROR(__xludf.DUMMYFUNCTION("""COMPUTED_VALUE"""),2007135.0)</f>
        <v>2007135</v>
      </c>
    </row>
    <row r="3615">
      <c r="A3615" s="3">
        <f>IFERROR(__xludf.DUMMYFUNCTION("""COMPUTED_VALUE"""),43578.64583333333)</f>
        <v>43578.64583</v>
      </c>
      <c r="B3615" s="2">
        <f>IFERROR(__xludf.DUMMYFUNCTION("""COMPUTED_VALUE"""),2163.0)</f>
        <v>2163</v>
      </c>
      <c r="C3615" s="2">
        <f>IFERROR(__xludf.DUMMYFUNCTION("""COMPUTED_VALUE"""),2165.5)</f>
        <v>2165.5</v>
      </c>
      <c r="D3615" s="2">
        <f>IFERROR(__xludf.DUMMYFUNCTION("""COMPUTED_VALUE"""),2134.05)</f>
        <v>2134.05</v>
      </c>
      <c r="E3615" s="2">
        <f>IFERROR(__xludf.DUMMYFUNCTION("""COMPUTED_VALUE"""),2155.05)</f>
        <v>2155.05</v>
      </c>
      <c r="F3615" s="2">
        <f>IFERROR(__xludf.DUMMYFUNCTION("""COMPUTED_VALUE"""),2163524.0)</f>
        <v>2163524</v>
      </c>
    </row>
    <row r="3616">
      <c r="A3616" s="3">
        <f>IFERROR(__xludf.DUMMYFUNCTION("""COMPUTED_VALUE"""),43579.64583333333)</f>
        <v>43579.64583</v>
      </c>
      <c r="B3616" s="2">
        <f>IFERROR(__xludf.DUMMYFUNCTION("""COMPUTED_VALUE"""),2158.0)</f>
        <v>2158</v>
      </c>
      <c r="C3616" s="2">
        <f>IFERROR(__xludf.DUMMYFUNCTION("""COMPUTED_VALUE"""),2195.0)</f>
        <v>2195</v>
      </c>
      <c r="D3616" s="2">
        <f>IFERROR(__xludf.DUMMYFUNCTION("""COMPUTED_VALUE"""),2156.1)</f>
        <v>2156.1</v>
      </c>
      <c r="E3616" s="2">
        <f>IFERROR(__xludf.DUMMYFUNCTION("""COMPUTED_VALUE"""),2183.45)</f>
        <v>2183.45</v>
      </c>
      <c r="F3616" s="2">
        <f>IFERROR(__xludf.DUMMYFUNCTION("""COMPUTED_VALUE"""),3003071.0)</f>
        <v>3003071</v>
      </c>
    </row>
    <row r="3617">
      <c r="A3617" s="3">
        <f>IFERROR(__xludf.DUMMYFUNCTION("""COMPUTED_VALUE"""),43580.64583333333)</f>
        <v>43580.64583</v>
      </c>
      <c r="B3617" s="2">
        <f>IFERROR(__xludf.DUMMYFUNCTION("""COMPUTED_VALUE"""),2175.0)</f>
        <v>2175</v>
      </c>
      <c r="C3617" s="2">
        <f>IFERROR(__xludf.DUMMYFUNCTION("""COMPUTED_VALUE"""),2205.0)</f>
        <v>2205</v>
      </c>
      <c r="D3617" s="2">
        <f>IFERROR(__xludf.DUMMYFUNCTION("""COMPUTED_VALUE"""),2168.05)</f>
        <v>2168.05</v>
      </c>
      <c r="E3617" s="2">
        <f>IFERROR(__xludf.DUMMYFUNCTION("""COMPUTED_VALUE"""),2195.0)</f>
        <v>2195</v>
      </c>
      <c r="F3617" s="2">
        <f>IFERROR(__xludf.DUMMYFUNCTION("""COMPUTED_VALUE"""),4211526.0)</f>
        <v>4211526</v>
      </c>
    </row>
    <row r="3618">
      <c r="A3618" s="3">
        <f>IFERROR(__xludf.DUMMYFUNCTION("""COMPUTED_VALUE"""),43581.64583333333)</f>
        <v>43581.64583</v>
      </c>
      <c r="B3618" s="2">
        <f>IFERROR(__xludf.DUMMYFUNCTION("""COMPUTED_VALUE"""),2203.0)</f>
        <v>2203</v>
      </c>
      <c r="C3618" s="2">
        <f>IFERROR(__xludf.DUMMYFUNCTION("""COMPUTED_VALUE"""),2243.95)</f>
        <v>2243.95</v>
      </c>
      <c r="D3618" s="2">
        <f>IFERROR(__xludf.DUMMYFUNCTION("""COMPUTED_VALUE"""),2193.15)</f>
        <v>2193.15</v>
      </c>
      <c r="E3618" s="2">
        <f>IFERROR(__xludf.DUMMYFUNCTION("""COMPUTED_VALUE"""),2238.55)</f>
        <v>2238.55</v>
      </c>
      <c r="F3618" s="2">
        <f>IFERROR(__xludf.DUMMYFUNCTION("""COMPUTED_VALUE"""),2716958.0)</f>
        <v>2716958</v>
      </c>
    </row>
    <row r="3619">
      <c r="A3619" s="3">
        <f>IFERROR(__xludf.DUMMYFUNCTION("""COMPUTED_VALUE"""),43585.64583333333)</f>
        <v>43585.64583</v>
      </c>
      <c r="B3619" s="2">
        <f>IFERROR(__xludf.DUMMYFUNCTION("""COMPUTED_VALUE"""),2238.55)</f>
        <v>2238.55</v>
      </c>
      <c r="C3619" s="2">
        <f>IFERROR(__xludf.DUMMYFUNCTION("""COMPUTED_VALUE"""),2266.95)</f>
        <v>2266.95</v>
      </c>
      <c r="D3619" s="2">
        <f>IFERROR(__xludf.DUMMYFUNCTION("""COMPUTED_VALUE"""),2230.1)</f>
        <v>2230.1</v>
      </c>
      <c r="E3619" s="2">
        <f>IFERROR(__xludf.DUMMYFUNCTION("""COMPUTED_VALUE"""),2260.35)</f>
        <v>2260.35</v>
      </c>
      <c r="F3619" s="2">
        <f>IFERROR(__xludf.DUMMYFUNCTION("""COMPUTED_VALUE"""),3488395.0)</f>
        <v>3488395</v>
      </c>
    </row>
    <row r="3620">
      <c r="A3620" s="3">
        <f>IFERROR(__xludf.DUMMYFUNCTION("""COMPUTED_VALUE"""),43587.64583333333)</f>
        <v>43587.64583</v>
      </c>
      <c r="B3620" s="2">
        <f>IFERROR(__xludf.DUMMYFUNCTION("""COMPUTED_VALUE"""),2255.0)</f>
        <v>2255</v>
      </c>
      <c r="C3620" s="2">
        <f>IFERROR(__xludf.DUMMYFUNCTION("""COMPUTED_VALUE"""),2259.4)</f>
        <v>2259.4</v>
      </c>
      <c r="D3620" s="2">
        <f>IFERROR(__xludf.DUMMYFUNCTION("""COMPUTED_VALUE"""),2211.1)</f>
        <v>2211.1</v>
      </c>
      <c r="E3620" s="2">
        <f>IFERROR(__xludf.DUMMYFUNCTION("""COMPUTED_VALUE"""),2215.4)</f>
        <v>2215.4</v>
      </c>
      <c r="F3620" s="2">
        <f>IFERROR(__xludf.DUMMYFUNCTION("""COMPUTED_VALUE"""),2457699.0)</f>
        <v>2457699</v>
      </c>
    </row>
    <row r="3621">
      <c r="A3621" s="3">
        <f>IFERROR(__xludf.DUMMYFUNCTION("""COMPUTED_VALUE"""),43588.64583333333)</f>
        <v>43588.64583</v>
      </c>
      <c r="B3621" s="2">
        <f>IFERROR(__xludf.DUMMYFUNCTION("""COMPUTED_VALUE"""),2185.0)</f>
        <v>2185</v>
      </c>
      <c r="C3621" s="2">
        <f>IFERROR(__xludf.DUMMYFUNCTION("""COMPUTED_VALUE"""),2186.05)</f>
        <v>2186.05</v>
      </c>
      <c r="D3621" s="2">
        <f>IFERROR(__xludf.DUMMYFUNCTION("""COMPUTED_VALUE"""),2125.0)</f>
        <v>2125</v>
      </c>
      <c r="E3621" s="2">
        <f>IFERROR(__xludf.DUMMYFUNCTION("""COMPUTED_VALUE"""),2132.0)</f>
        <v>2132</v>
      </c>
      <c r="F3621" s="2">
        <f>IFERROR(__xludf.DUMMYFUNCTION("""COMPUTED_VALUE"""),3780886.0)</f>
        <v>3780886</v>
      </c>
    </row>
    <row r="3622">
      <c r="A3622" s="3">
        <f>IFERROR(__xludf.DUMMYFUNCTION("""COMPUTED_VALUE"""),43591.64583333333)</f>
        <v>43591.64583</v>
      </c>
      <c r="B3622" s="2">
        <f>IFERROR(__xludf.DUMMYFUNCTION("""COMPUTED_VALUE"""),2110.0)</f>
        <v>2110</v>
      </c>
      <c r="C3622" s="2">
        <f>IFERROR(__xludf.DUMMYFUNCTION("""COMPUTED_VALUE"""),2165.0)</f>
        <v>2165</v>
      </c>
      <c r="D3622" s="2">
        <f>IFERROR(__xludf.DUMMYFUNCTION("""COMPUTED_VALUE"""),2108.5)</f>
        <v>2108.5</v>
      </c>
      <c r="E3622" s="2">
        <f>IFERROR(__xludf.DUMMYFUNCTION("""COMPUTED_VALUE"""),2157.85)</f>
        <v>2157.85</v>
      </c>
      <c r="F3622" s="2">
        <f>IFERROR(__xludf.DUMMYFUNCTION("""COMPUTED_VALUE"""),2891422.0)</f>
        <v>2891422</v>
      </c>
    </row>
    <row r="3623">
      <c r="A3623" s="3">
        <f>IFERROR(__xludf.DUMMYFUNCTION("""COMPUTED_VALUE"""),43592.79166666667)</f>
        <v>43592.79167</v>
      </c>
      <c r="B3623" s="2">
        <f>IFERROR(__xludf.DUMMYFUNCTION("""COMPUTED_VALUE"""),2160.05)</f>
        <v>2160.05</v>
      </c>
      <c r="C3623" s="2">
        <f>IFERROR(__xludf.DUMMYFUNCTION("""COMPUTED_VALUE"""),2184.35)</f>
        <v>2184.35</v>
      </c>
      <c r="D3623" s="2">
        <f>IFERROR(__xludf.DUMMYFUNCTION("""COMPUTED_VALUE"""),2138.8)</f>
        <v>2138.8</v>
      </c>
      <c r="E3623" s="2">
        <f>IFERROR(__xludf.DUMMYFUNCTION("""COMPUTED_VALUE"""),2151.95)</f>
        <v>2151.95</v>
      </c>
      <c r="F3623" s="2">
        <f>IFERROR(__xludf.DUMMYFUNCTION("""COMPUTED_VALUE"""),2201698.0)</f>
        <v>2201698</v>
      </c>
    </row>
    <row r="3624">
      <c r="A3624" s="3">
        <f>IFERROR(__xludf.DUMMYFUNCTION("""COMPUTED_VALUE"""),43593.64583333333)</f>
        <v>43593.64583</v>
      </c>
      <c r="B3624" s="2">
        <f>IFERROR(__xludf.DUMMYFUNCTION("""COMPUTED_VALUE"""),2151.0)</f>
        <v>2151</v>
      </c>
      <c r="C3624" s="2">
        <f>IFERROR(__xludf.DUMMYFUNCTION("""COMPUTED_VALUE"""),2168.0)</f>
        <v>2168</v>
      </c>
      <c r="D3624" s="2">
        <f>IFERROR(__xludf.DUMMYFUNCTION("""COMPUTED_VALUE"""),2130.4)</f>
        <v>2130.4</v>
      </c>
      <c r="E3624" s="2">
        <f>IFERROR(__xludf.DUMMYFUNCTION("""COMPUTED_VALUE"""),2152.85)</f>
        <v>2152.85</v>
      </c>
      <c r="F3624" s="2">
        <f>IFERROR(__xludf.DUMMYFUNCTION("""COMPUTED_VALUE"""),1824895.0)</f>
        <v>1824895</v>
      </c>
    </row>
    <row r="3625">
      <c r="A3625" s="3">
        <f>IFERROR(__xludf.DUMMYFUNCTION("""COMPUTED_VALUE"""),43594.64583333333)</f>
        <v>43594.64583</v>
      </c>
      <c r="B3625" s="2">
        <f>IFERROR(__xludf.DUMMYFUNCTION("""COMPUTED_VALUE"""),2145.0)</f>
        <v>2145</v>
      </c>
      <c r="C3625" s="2">
        <f>IFERROR(__xludf.DUMMYFUNCTION("""COMPUTED_VALUE"""),2184.1)</f>
        <v>2184.1</v>
      </c>
      <c r="D3625" s="2">
        <f>IFERROR(__xludf.DUMMYFUNCTION("""COMPUTED_VALUE"""),2136.1)</f>
        <v>2136.1</v>
      </c>
      <c r="E3625" s="2">
        <f>IFERROR(__xludf.DUMMYFUNCTION("""COMPUTED_VALUE"""),2172.55)</f>
        <v>2172.55</v>
      </c>
      <c r="F3625" s="2">
        <f>IFERROR(__xludf.DUMMYFUNCTION("""COMPUTED_VALUE"""),2264162.0)</f>
        <v>2264162</v>
      </c>
    </row>
    <row r="3626">
      <c r="A3626" s="3">
        <f>IFERROR(__xludf.DUMMYFUNCTION("""COMPUTED_VALUE"""),43595.64583333333)</f>
        <v>43595.64583</v>
      </c>
      <c r="B3626" s="2">
        <f>IFERROR(__xludf.DUMMYFUNCTION("""COMPUTED_VALUE"""),2175.0)</f>
        <v>2175</v>
      </c>
      <c r="C3626" s="2">
        <f>IFERROR(__xludf.DUMMYFUNCTION("""COMPUTED_VALUE"""),2192.0)</f>
        <v>2192</v>
      </c>
      <c r="D3626" s="2">
        <f>IFERROR(__xludf.DUMMYFUNCTION("""COMPUTED_VALUE"""),2125.85)</f>
        <v>2125.85</v>
      </c>
      <c r="E3626" s="2">
        <f>IFERROR(__xludf.DUMMYFUNCTION("""COMPUTED_VALUE"""),2135.8)</f>
        <v>2135.8</v>
      </c>
      <c r="F3626" s="2">
        <f>IFERROR(__xludf.DUMMYFUNCTION("""COMPUTED_VALUE"""),2039633.0)</f>
        <v>2039633</v>
      </c>
    </row>
    <row r="3627">
      <c r="A3627" s="3">
        <f>IFERROR(__xludf.DUMMYFUNCTION("""COMPUTED_VALUE"""),43598.64583333333)</f>
        <v>43598.64583</v>
      </c>
      <c r="B3627" s="2">
        <f>IFERROR(__xludf.DUMMYFUNCTION("""COMPUTED_VALUE"""),2133.0)</f>
        <v>2133</v>
      </c>
      <c r="C3627" s="2">
        <f>IFERROR(__xludf.DUMMYFUNCTION("""COMPUTED_VALUE"""),2167.0)</f>
        <v>2167</v>
      </c>
      <c r="D3627" s="2">
        <f>IFERROR(__xludf.DUMMYFUNCTION("""COMPUTED_VALUE"""),2121.65)</f>
        <v>2121.65</v>
      </c>
      <c r="E3627" s="2">
        <f>IFERROR(__xludf.DUMMYFUNCTION("""COMPUTED_VALUE"""),2128.75)</f>
        <v>2128.75</v>
      </c>
      <c r="F3627" s="2">
        <f>IFERROR(__xludf.DUMMYFUNCTION("""COMPUTED_VALUE"""),1701744.0)</f>
        <v>1701744</v>
      </c>
    </row>
    <row r="3628">
      <c r="A3628" s="3">
        <f>IFERROR(__xludf.DUMMYFUNCTION("""COMPUTED_VALUE"""),43599.64583333333)</f>
        <v>43599.64583</v>
      </c>
      <c r="B3628" s="2">
        <f>IFERROR(__xludf.DUMMYFUNCTION("""COMPUTED_VALUE"""),2135.0)</f>
        <v>2135</v>
      </c>
      <c r="C3628" s="2">
        <f>IFERROR(__xludf.DUMMYFUNCTION("""COMPUTED_VALUE"""),2159.8)</f>
        <v>2159.8</v>
      </c>
      <c r="D3628" s="2">
        <f>IFERROR(__xludf.DUMMYFUNCTION("""COMPUTED_VALUE"""),2072.35)</f>
        <v>2072.35</v>
      </c>
      <c r="E3628" s="2">
        <f>IFERROR(__xludf.DUMMYFUNCTION("""COMPUTED_VALUE"""),2092.35)</f>
        <v>2092.35</v>
      </c>
      <c r="F3628" s="2">
        <f>IFERROR(__xludf.DUMMYFUNCTION("""COMPUTED_VALUE"""),2456110.0)</f>
        <v>2456110</v>
      </c>
    </row>
    <row r="3629">
      <c r="A3629" s="3">
        <f>IFERROR(__xludf.DUMMYFUNCTION("""COMPUTED_VALUE"""),43600.64583333333)</f>
        <v>43600.64583</v>
      </c>
      <c r="B3629" s="2">
        <f>IFERROR(__xludf.DUMMYFUNCTION("""COMPUTED_VALUE"""),2097.0)</f>
        <v>2097</v>
      </c>
      <c r="C3629" s="2">
        <f>IFERROR(__xludf.DUMMYFUNCTION("""COMPUTED_VALUE"""),2124.0)</f>
        <v>2124</v>
      </c>
      <c r="D3629" s="2">
        <f>IFERROR(__xludf.DUMMYFUNCTION("""COMPUTED_VALUE"""),2084.5)</f>
        <v>2084.5</v>
      </c>
      <c r="E3629" s="2">
        <f>IFERROR(__xludf.DUMMYFUNCTION("""COMPUTED_VALUE"""),2095.4)</f>
        <v>2095.4</v>
      </c>
      <c r="F3629" s="2">
        <f>IFERROR(__xludf.DUMMYFUNCTION("""COMPUTED_VALUE"""),2346876.0)</f>
        <v>2346876</v>
      </c>
    </row>
    <row r="3630">
      <c r="A3630" s="3">
        <f>IFERROR(__xludf.DUMMYFUNCTION("""COMPUTED_VALUE"""),43601.64583333333)</f>
        <v>43601.64583</v>
      </c>
      <c r="B3630" s="2">
        <f>IFERROR(__xludf.DUMMYFUNCTION("""COMPUTED_VALUE"""),2096.0)</f>
        <v>2096</v>
      </c>
      <c r="C3630" s="2">
        <f>IFERROR(__xludf.DUMMYFUNCTION("""COMPUTED_VALUE"""),2124.0)</f>
        <v>2124</v>
      </c>
      <c r="D3630" s="2">
        <f>IFERROR(__xludf.DUMMYFUNCTION("""COMPUTED_VALUE"""),2077.05)</f>
        <v>2077.05</v>
      </c>
      <c r="E3630" s="2">
        <f>IFERROR(__xludf.DUMMYFUNCTION("""COMPUTED_VALUE"""),2108.75)</f>
        <v>2108.75</v>
      </c>
      <c r="F3630" s="2">
        <f>IFERROR(__xludf.DUMMYFUNCTION("""COMPUTED_VALUE"""),1946529.0)</f>
        <v>1946529</v>
      </c>
    </row>
    <row r="3631">
      <c r="A3631" s="3">
        <f>IFERROR(__xludf.DUMMYFUNCTION("""COMPUTED_VALUE"""),43602.64583333333)</f>
        <v>43602.64583</v>
      </c>
      <c r="B3631" s="2">
        <f>IFERROR(__xludf.DUMMYFUNCTION("""COMPUTED_VALUE"""),2112.6)</f>
        <v>2112.6</v>
      </c>
      <c r="C3631" s="2">
        <f>IFERROR(__xludf.DUMMYFUNCTION("""COMPUTED_VALUE"""),2135.0)</f>
        <v>2135</v>
      </c>
      <c r="D3631" s="2">
        <f>IFERROR(__xludf.DUMMYFUNCTION("""COMPUTED_VALUE"""),2090.0)</f>
        <v>2090</v>
      </c>
      <c r="E3631" s="2">
        <f>IFERROR(__xludf.DUMMYFUNCTION("""COMPUTED_VALUE"""),2095.45)</f>
        <v>2095.45</v>
      </c>
      <c r="F3631" s="2">
        <f>IFERROR(__xludf.DUMMYFUNCTION("""COMPUTED_VALUE"""),1947908.0)</f>
        <v>1947908</v>
      </c>
    </row>
    <row r="3632">
      <c r="A3632" s="3">
        <f>IFERROR(__xludf.DUMMYFUNCTION("""COMPUTED_VALUE"""),43605.64583333333)</f>
        <v>43605.64583</v>
      </c>
      <c r="B3632" s="2">
        <f>IFERROR(__xludf.DUMMYFUNCTION("""COMPUTED_VALUE"""),2125.0)</f>
        <v>2125</v>
      </c>
      <c r="C3632" s="2">
        <f>IFERROR(__xludf.DUMMYFUNCTION("""COMPUTED_VALUE"""),2151.4)</f>
        <v>2151.4</v>
      </c>
      <c r="D3632" s="2">
        <f>IFERROR(__xludf.DUMMYFUNCTION("""COMPUTED_VALUE"""),2050.0)</f>
        <v>2050</v>
      </c>
      <c r="E3632" s="2">
        <f>IFERROR(__xludf.DUMMYFUNCTION("""COMPUTED_VALUE"""),2143.95)</f>
        <v>2143.95</v>
      </c>
      <c r="F3632" s="2">
        <f>IFERROR(__xludf.DUMMYFUNCTION("""COMPUTED_VALUE"""),2625116.0)</f>
        <v>2625116</v>
      </c>
    </row>
    <row r="3633">
      <c r="A3633" s="3">
        <f>IFERROR(__xludf.DUMMYFUNCTION("""COMPUTED_VALUE"""),43606.64583333333)</f>
        <v>43606.64583</v>
      </c>
      <c r="B3633" s="2">
        <f>IFERROR(__xludf.DUMMYFUNCTION("""COMPUTED_VALUE"""),2148.05)</f>
        <v>2148.05</v>
      </c>
      <c r="C3633" s="2">
        <f>IFERROR(__xludf.DUMMYFUNCTION("""COMPUTED_VALUE"""),2148.7)</f>
        <v>2148.7</v>
      </c>
      <c r="D3633" s="2">
        <f>IFERROR(__xludf.DUMMYFUNCTION("""COMPUTED_VALUE"""),2102.55)</f>
        <v>2102.55</v>
      </c>
      <c r="E3633" s="2">
        <f>IFERROR(__xludf.DUMMYFUNCTION("""COMPUTED_VALUE"""),2109.75)</f>
        <v>2109.75</v>
      </c>
      <c r="F3633" s="2">
        <f>IFERROR(__xludf.DUMMYFUNCTION("""COMPUTED_VALUE"""),1863157.0)</f>
        <v>1863157</v>
      </c>
    </row>
    <row r="3634">
      <c r="A3634" s="3">
        <f>IFERROR(__xludf.DUMMYFUNCTION("""COMPUTED_VALUE"""),43607.64583333333)</f>
        <v>43607.64583</v>
      </c>
      <c r="B3634" s="2">
        <f>IFERROR(__xludf.DUMMYFUNCTION("""COMPUTED_VALUE"""),2110.0)</f>
        <v>2110</v>
      </c>
      <c r="C3634" s="2">
        <f>IFERROR(__xludf.DUMMYFUNCTION("""COMPUTED_VALUE"""),2121.95)</f>
        <v>2121.95</v>
      </c>
      <c r="D3634" s="2">
        <f>IFERROR(__xludf.DUMMYFUNCTION("""COMPUTED_VALUE"""),2075.0)</f>
        <v>2075</v>
      </c>
      <c r="E3634" s="2">
        <f>IFERROR(__xludf.DUMMYFUNCTION("""COMPUTED_VALUE"""),2081.75)</f>
        <v>2081.75</v>
      </c>
      <c r="F3634" s="2">
        <f>IFERROR(__xludf.DUMMYFUNCTION("""COMPUTED_VALUE"""),2595795.0)</f>
        <v>2595795</v>
      </c>
    </row>
    <row r="3635">
      <c r="A3635" s="3">
        <f>IFERROR(__xludf.DUMMYFUNCTION("""COMPUTED_VALUE"""),43608.64583333333)</f>
        <v>43608.64583</v>
      </c>
      <c r="B3635" s="2">
        <f>IFERROR(__xludf.DUMMYFUNCTION("""COMPUTED_VALUE"""),2098.0)</f>
        <v>2098</v>
      </c>
      <c r="C3635" s="2">
        <f>IFERROR(__xludf.DUMMYFUNCTION("""COMPUTED_VALUE"""),2115.35)</f>
        <v>2115.35</v>
      </c>
      <c r="D3635" s="2">
        <f>IFERROR(__xludf.DUMMYFUNCTION("""COMPUTED_VALUE"""),2050.0)</f>
        <v>2050</v>
      </c>
      <c r="E3635" s="2">
        <f>IFERROR(__xludf.DUMMYFUNCTION("""COMPUTED_VALUE"""),2054.05)</f>
        <v>2054.05</v>
      </c>
      <c r="F3635" s="2">
        <f>IFERROR(__xludf.DUMMYFUNCTION("""COMPUTED_VALUE"""),2541294.0)</f>
        <v>2541294</v>
      </c>
    </row>
    <row r="3636">
      <c r="A3636" s="3">
        <f>IFERROR(__xludf.DUMMYFUNCTION("""COMPUTED_VALUE"""),43609.64583333333)</f>
        <v>43609.64583</v>
      </c>
      <c r="B3636" s="2">
        <f>IFERROR(__xludf.DUMMYFUNCTION("""COMPUTED_VALUE"""),2070.0)</f>
        <v>2070</v>
      </c>
      <c r="C3636" s="2">
        <f>IFERROR(__xludf.DUMMYFUNCTION("""COMPUTED_VALUE"""),2070.0)</f>
        <v>2070</v>
      </c>
      <c r="D3636" s="2">
        <f>IFERROR(__xludf.DUMMYFUNCTION("""COMPUTED_VALUE"""),2032.25)</f>
        <v>2032.25</v>
      </c>
      <c r="E3636" s="2">
        <f>IFERROR(__xludf.DUMMYFUNCTION("""COMPUTED_VALUE"""),2048.0)</f>
        <v>2048</v>
      </c>
      <c r="F3636" s="2">
        <f>IFERROR(__xludf.DUMMYFUNCTION("""COMPUTED_VALUE"""),2274208.0)</f>
        <v>2274208</v>
      </c>
    </row>
    <row r="3637">
      <c r="A3637" s="3">
        <f>IFERROR(__xludf.DUMMYFUNCTION("""COMPUTED_VALUE"""),43612.64583333333)</f>
        <v>43612.64583</v>
      </c>
      <c r="B3637" s="2">
        <f>IFERROR(__xludf.DUMMYFUNCTION("""COMPUTED_VALUE"""),2054.8)</f>
        <v>2054.8</v>
      </c>
      <c r="C3637" s="2">
        <f>IFERROR(__xludf.DUMMYFUNCTION("""COMPUTED_VALUE"""),2068.95)</f>
        <v>2068.95</v>
      </c>
      <c r="D3637" s="2">
        <f>IFERROR(__xludf.DUMMYFUNCTION("""COMPUTED_VALUE"""),2040.1)</f>
        <v>2040.1</v>
      </c>
      <c r="E3637" s="2">
        <f>IFERROR(__xludf.DUMMYFUNCTION("""COMPUTED_VALUE"""),2055.15)</f>
        <v>2055.15</v>
      </c>
      <c r="F3637" s="2">
        <f>IFERROR(__xludf.DUMMYFUNCTION("""COMPUTED_VALUE"""),2329820.0)</f>
        <v>2329820</v>
      </c>
    </row>
    <row r="3638">
      <c r="A3638" s="3">
        <f>IFERROR(__xludf.DUMMYFUNCTION("""COMPUTED_VALUE"""),43613.64583333333)</f>
        <v>43613.64583</v>
      </c>
      <c r="B3638" s="2">
        <f>IFERROR(__xludf.DUMMYFUNCTION("""COMPUTED_VALUE"""),2060.0)</f>
        <v>2060</v>
      </c>
      <c r="C3638" s="2">
        <f>IFERROR(__xludf.DUMMYFUNCTION("""COMPUTED_VALUE"""),2097.5)</f>
        <v>2097.5</v>
      </c>
      <c r="D3638" s="2">
        <f>IFERROR(__xludf.DUMMYFUNCTION("""COMPUTED_VALUE"""),2045.0)</f>
        <v>2045</v>
      </c>
      <c r="E3638" s="2">
        <f>IFERROR(__xludf.DUMMYFUNCTION("""COMPUTED_VALUE"""),2073.75)</f>
        <v>2073.75</v>
      </c>
      <c r="F3638" s="2">
        <f>IFERROR(__xludf.DUMMYFUNCTION("""COMPUTED_VALUE"""),5872979.0)</f>
        <v>5872979</v>
      </c>
    </row>
    <row r="3639">
      <c r="A3639" s="3">
        <f>IFERROR(__xludf.DUMMYFUNCTION("""COMPUTED_VALUE"""),43614.64583333333)</f>
        <v>43614.64583</v>
      </c>
      <c r="B3639" s="2">
        <f>IFERROR(__xludf.DUMMYFUNCTION("""COMPUTED_VALUE"""),2080.0)</f>
        <v>2080</v>
      </c>
      <c r="C3639" s="2">
        <f>IFERROR(__xludf.DUMMYFUNCTION("""COMPUTED_VALUE"""),2123.7)</f>
        <v>2123.7</v>
      </c>
      <c r="D3639" s="2">
        <f>IFERROR(__xludf.DUMMYFUNCTION("""COMPUTED_VALUE"""),2077.1)</f>
        <v>2077.1</v>
      </c>
      <c r="E3639" s="2">
        <f>IFERROR(__xludf.DUMMYFUNCTION("""COMPUTED_VALUE"""),2107.55)</f>
        <v>2107.55</v>
      </c>
      <c r="F3639" s="2">
        <f>IFERROR(__xludf.DUMMYFUNCTION("""COMPUTED_VALUE"""),3281320.0)</f>
        <v>3281320</v>
      </c>
    </row>
    <row r="3640">
      <c r="A3640" s="3">
        <f>IFERROR(__xludf.DUMMYFUNCTION("""COMPUTED_VALUE"""),43615.64583333333)</f>
        <v>43615.64583</v>
      </c>
      <c r="B3640" s="2">
        <f>IFERROR(__xludf.DUMMYFUNCTION("""COMPUTED_VALUE"""),2123.0)</f>
        <v>2123</v>
      </c>
      <c r="C3640" s="2">
        <f>IFERROR(__xludf.DUMMYFUNCTION("""COMPUTED_VALUE"""),2156.55)</f>
        <v>2156.55</v>
      </c>
      <c r="D3640" s="2">
        <f>IFERROR(__xludf.DUMMYFUNCTION("""COMPUTED_VALUE"""),2114.4)</f>
        <v>2114.4</v>
      </c>
      <c r="E3640" s="2">
        <f>IFERROR(__xludf.DUMMYFUNCTION("""COMPUTED_VALUE"""),2146.3)</f>
        <v>2146.3</v>
      </c>
      <c r="F3640" s="2">
        <f>IFERROR(__xludf.DUMMYFUNCTION("""COMPUTED_VALUE"""),4971725.0)</f>
        <v>4971725</v>
      </c>
    </row>
    <row r="3641">
      <c r="A3641" s="3">
        <f>IFERROR(__xludf.DUMMYFUNCTION("""COMPUTED_VALUE"""),43616.64583333333)</f>
        <v>43616.64583</v>
      </c>
      <c r="B3641" s="2">
        <f>IFERROR(__xludf.DUMMYFUNCTION("""COMPUTED_VALUE"""),2160.0)</f>
        <v>2160</v>
      </c>
      <c r="C3641" s="2">
        <f>IFERROR(__xludf.DUMMYFUNCTION("""COMPUTED_VALUE"""),2204.95)</f>
        <v>2204.95</v>
      </c>
      <c r="D3641" s="2">
        <f>IFERROR(__xludf.DUMMYFUNCTION("""COMPUTED_VALUE"""),2152.25)</f>
        <v>2152.25</v>
      </c>
      <c r="E3641" s="2">
        <f>IFERROR(__xludf.DUMMYFUNCTION("""COMPUTED_VALUE"""),2196.55)</f>
        <v>2196.55</v>
      </c>
      <c r="F3641" s="2">
        <f>IFERROR(__xludf.DUMMYFUNCTION("""COMPUTED_VALUE"""),4265370.0)</f>
        <v>4265370</v>
      </c>
    </row>
    <row r="3642">
      <c r="A3642" s="3">
        <f>IFERROR(__xludf.DUMMYFUNCTION("""COMPUTED_VALUE"""),43619.64583333333)</f>
        <v>43619.64583</v>
      </c>
      <c r="B3642" s="2">
        <f>IFERROR(__xludf.DUMMYFUNCTION("""COMPUTED_VALUE"""),2201.0)</f>
        <v>2201</v>
      </c>
      <c r="C3642" s="2">
        <f>IFERROR(__xludf.DUMMYFUNCTION("""COMPUTED_VALUE"""),2247.65)</f>
        <v>2247.65</v>
      </c>
      <c r="D3642" s="2">
        <f>IFERROR(__xludf.DUMMYFUNCTION("""COMPUTED_VALUE"""),2185.65)</f>
        <v>2185.65</v>
      </c>
      <c r="E3642" s="2">
        <f>IFERROR(__xludf.DUMMYFUNCTION("""COMPUTED_VALUE"""),2242.3)</f>
        <v>2242.3</v>
      </c>
      <c r="F3642" s="2">
        <f>IFERROR(__xludf.DUMMYFUNCTION("""COMPUTED_VALUE"""),3682419.0)</f>
        <v>3682419</v>
      </c>
    </row>
    <row r="3643">
      <c r="A3643" s="3">
        <f>IFERROR(__xludf.DUMMYFUNCTION("""COMPUTED_VALUE"""),43620.64583333333)</f>
        <v>43620.64583</v>
      </c>
      <c r="B3643" s="2">
        <f>IFERROR(__xludf.DUMMYFUNCTION("""COMPUTED_VALUE"""),2224.0)</f>
        <v>2224</v>
      </c>
      <c r="C3643" s="2">
        <f>IFERROR(__xludf.DUMMYFUNCTION("""COMPUTED_VALUE"""),2224.0)</f>
        <v>2224</v>
      </c>
      <c r="D3643" s="2">
        <f>IFERROR(__xludf.DUMMYFUNCTION("""COMPUTED_VALUE"""),2175.0)</f>
        <v>2175</v>
      </c>
      <c r="E3643" s="2">
        <f>IFERROR(__xludf.DUMMYFUNCTION("""COMPUTED_VALUE"""),2183.1)</f>
        <v>2183.1</v>
      </c>
      <c r="F3643" s="2">
        <f>IFERROR(__xludf.DUMMYFUNCTION("""COMPUTED_VALUE"""),2408658.0)</f>
        <v>2408658</v>
      </c>
    </row>
    <row r="3644">
      <c r="A3644" s="3">
        <f>IFERROR(__xludf.DUMMYFUNCTION("""COMPUTED_VALUE"""),43622.64583333333)</f>
        <v>43622.64583</v>
      </c>
      <c r="B3644" s="2">
        <f>IFERROR(__xludf.DUMMYFUNCTION("""COMPUTED_VALUE"""),2199.0)</f>
        <v>2199</v>
      </c>
      <c r="C3644" s="2">
        <f>IFERROR(__xludf.DUMMYFUNCTION("""COMPUTED_VALUE"""),2199.0)</f>
        <v>2199</v>
      </c>
      <c r="D3644" s="2">
        <f>IFERROR(__xludf.DUMMYFUNCTION("""COMPUTED_VALUE"""),2152.0)</f>
        <v>2152</v>
      </c>
      <c r="E3644" s="2">
        <f>IFERROR(__xludf.DUMMYFUNCTION("""COMPUTED_VALUE"""),2166.1)</f>
        <v>2166.1</v>
      </c>
      <c r="F3644" s="2">
        <f>IFERROR(__xludf.DUMMYFUNCTION("""COMPUTED_VALUE"""),3735467.0)</f>
        <v>3735467</v>
      </c>
    </row>
    <row r="3645">
      <c r="A3645" s="3">
        <f>IFERROR(__xludf.DUMMYFUNCTION("""COMPUTED_VALUE"""),43623.64583333333)</f>
        <v>43623.64583</v>
      </c>
      <c r="B3645" s="2">
        <f>IFERROR(__xludf.DUMMYFUNCTION("""COMPUTED_VALUE"""),2174.0)</f>
        <v>2174</v>
      </c>
      <c r="C3645" s="2">
        <f>IFERROR(__xludf.DUMMYFUNCTION("""COMPUTED_VALUE"""),2189.8)</f>
        <v>2189.8</v>
      </c>
      <c r="D3645" s="2">
        <f>IFERROR(__xludf.DUMMYFUNCTION("""COMPUTED_VALUE"""),2142.1)</f>
        <v>2142.1</v>
      </c>
      <c r="E3645" s="2">
        <f>IFERROR(__xludf.DUMMYFUNCTION("""COMPUTED_VALUE"""),2181.75)</f>
        <v>2181.75</v>
      </c>
      <c r="F3645" s="2">
        <f>IFERROR(__xludf.DUMMYFUNCTION("""COMPUTED_VALUE"""),2659446.0)</f>
        <v>2659446</v>
      </c>
    </row>
    <row r="3646">
      <c r="A3646" s="3">
        <f>IFERROR(__xludf.DUMMYFUNCTION("""COMPUTED_VALUE"""),43626.64583333333)</f>
        <v>43626.64583</v>
      </c>
      <c r="B3646" s="2">
        <f>IFERROR(__xludf.DUMMYFUNCTION("""COMPUTED_VALUE"""),2196.7)</f>
        <v>2196.7</v>
      </c>
      <c r="C3646" s="2">
        <f>IFERROR(__xludf.DUMMYFUNCTION("""COMPUTED_VALUE"""),2235.85)</f>
        <v>2235.85</v>
      </c>
      <c r="D3646" s="2">
        <f>IFERROR(__xludf.DUMMYFUNCTION("""COMPUTED_VALUE"""),2185.5)</f>
        <v>2185.5</v>
      </c>
      <c r="E3646" s="2">
        <f>IFERROR(__xludf.DUMMYFUNCTION("""COMPUTED_VALUE"""),2231.5)</f>
        <v>2231.5</v>
      </c>
      <c r="F3646" s="2">
        <f>IFERROR(__xludf.DUMMYFUNCTION("""COMPUTED_VALUE"""),2080593.0)</f>
        <v>2080593</v>
      </c>
    </row>
    <row r="3647">
      <c r="A3647" s="3">
        <f>IFERROR(__xludf.DUMMYFUNCTION("""COMPUTED_VALUE"""),43627.64583333333)</f>
        <v>43627.64583</v>
      </c>
      <c r="B3647" s="2">
        <f>IFERROR(__xludf.DUMMYFUNCTION("""COMPUTED_VALUE"""),2237.0)</f>
        <v>2237</v>
      </c>
      <c r="C3647" s="2">
        <f>IFERROR(__xludf.DUMMYFUNCTION("""COMPUTED_VALUE"""),2263.95)</f>
        <v>2263.95</v>
      </c>
      <c r="D3647" s="2">
        <f>IFERROR(__xludf.DUMMYFUNCTION("""COMPUTED_VALUE"""),2231.0)</f>
        <v>2231</v>
      </c>
      <c r="E3647" s="2">
        <f>IFERROR(__xludf.DUMMYFUNCTION("""COMPUTED_VALUE"""),2252.8)</f>
        <v>2252.8</v>
      </c>
      <c r="F3647" s="2">
        <f>IFERROR(__xludf.DUMMYFUNCTION("""COMPUTED_VALUE"""),3048937.0)</f>
        <v>3048937</v>
      </c>
    </row>
    <row r="3648">
      <c r="A3648" s="3">
        <f>IFERROR(__xludf.DUMMYFUNCTION("""COMPUTED_VALUE"""),43628.64583333333)</f>
        <v>43628.64583</v>
      </c>
      <c r="B3648" s="2">
        <f>IFERROR(__xludf.DUMMYFUNCTION("""COMPUTED_VALUE"""),2245.0)</f>
        <v>2245</v>
      </c>
      <c r="C3648" s="2">
        <f>IFERROR(__xludf.DUMMYFUNCTION("""COMPUTED_VALUE"""),2266.9)</f>
        <v>2266.9</v>
      </c>
      <c r="D3648" s="2">
        <f>IFERROR(__xludf.DUMMYFUNCTION("""COMPUTED_VALUE"""),2219.0)</f>
        <v>2219</v>
      </c>
      <c r="E3648" s="2">
        <f>IFERROR(__xludf.DUMMYFUNCTION("""COMPUTED_VALUE"""),2260.9)</f>
        <v>2260.9</v>
      </c>
      <c r="F3648" s="2">
        <f>IFERROR(__xludf.DUMMYFUNCTION("""COMPUTED_VALUE"""),2404448.0)</f>
        <v>2404448</v>
      </c>
    </row>
    <row r="3649">
      <c r="A3649" s="3">
        <f>IFERROR(__xludf.DUMMYFUNCTION("""COMPUTED_VALUE"""),43629.64583333333)</f>
        <v>43629.64583</v>
      </c>
      <c r="B3649" s="2">
        <f>IFERROR(__xludf.DUMMYFUNCTION("""COMPUTED_VALUE"""),2264.0)</f>
        <v>2264</v>
      </c>
      <c r="C3649" s="2">
        <f>IFERROR(__xludf.DUMMYFUNCTION("""COMPUTED_VALUE"""),2285.0)</f>
        <v>2285</v>
      </c>
      <c r="D3649" s="2">
        <f>IFERROR(__xludf.DUMMYFUNCTION("""COMPUTED_VALUE"""),2243.05)</f>
        <v>2243.05</v>
      </c>
      <c r="E3649" s="2">
        <f>IFERROR(__xludf.DUMMYFUNCTION("""COMPUTED_VALUE"""),2254.1)</f>
        <v>2254.1</v>
      </c>
      <c r="F3649" s="2">
        <f>IFERROR(__xludf.DUMMYFUNCTION("""COMPUTED_VALUE"""),3320916.0)</f>
        <v>3320916</v>
      </c>
    </row>
    <row r="3650">
      <c r="A3650" s="3">
        <f>IFERROR(__xludf.DUMMYFUNCTION("""COMPUTED_VALUE"""),43630.64583333333)</f>
        <v>43630.64583</v>
      </c>
      <c r="B3650" s="2">
        <f>IFERROR(__xludf.DUMMYFUNCTION("""COMPUTED_VALUE"""),2257.25)</f>
        <v>2257.25</v>
      </c>
      <c r="C3650" s="2">
        <f>IFERROR(__xludf.DUMMYFUNCTION("""COMPUTED_VALUE"""),2263.1)</f>
        <v>2263.1</v>
      </c>
      <c r="D3650" s="2">
        <f>IFERROR(__xludf.DUMMYFUNCTION("""COMPUTED_VALUE"""),2234.0)</f>
        <v>2234</v>
      </c>
      <c r="E3650" s="2">
        <f>IFERROR(__xludf.DUMMYFUNCTION("""COMPUTED_VALUE"""),2254.5)</f>
        <v>2254.5</v>
      </c>
      <c r="F3650" s="2">
        <f>IFERROR(__xludf.DUMMYFUNCTION("""COMPUTED_VALUE"""),2131408.0)</f>
        <v>2131408</v>
      </c>
    </row>
    <row r="3651">
      <c r="A3651" s="3">
        <f>IFERROR(__xludf.DUMMYFUNCTION("""COMPUTED_VALUE"""),43633.64583333333)</f>
        <v>43633.64583</v>
      </c>
      <c r="B3651" s="2">
        <f>IFERROR(__xludf.DUMMYFUNCTION("""COMPUTED_VALUE"""),2256.0)</f>
        <v>2256</v>
      </c>
      <c r="C3651" s="2">
        <f>IFERROR(__xludf.DUMMYFUNCTION("""COMPUTED_VALUE"""),2262.0)</f>
        <v>2262</v>
      </c>
      <c r="D3651" s="2">
        <f>IFERROR(__xludf.DUMMYFUNCTION("""COMPUTED_VALUE"""),2241.45)</f>
        <v>2241.45</v>
      </c>
      <c r="E3651" s="2">
        <f>IFERROR(__xludf.DUMMYFUNCTION("""COMPUTED_VALUE"""),2249.2)</f>
        <v>2249.2</v>
      </c>
      <c r="F3651" s="2">
        <f>IFERROR(__xludf.DUMMYFUNCTION("""COMPUTED_VALUE"""),1489497.0)</f>
        <v>1489497</v>
      </c>
    </row>
    <row r="3652">
      <c r="A3652" s="3">
        <f>IFERROR(__xludf.DUMMYFUNCTION("""COMPUTED_VALUE"""),43634.64583333333)</f>
        <v>43634.64583</v>
      </c>
      <c r="B3652" s="2">
        <f>IFERROR(__xludf.DUMMYFUNCTION("""COMPUTED_VALUE"""),2244.0)</f>
        <v>2244</v>
      </c>
      <c r="C3652" s="2">
        <f>IFERROR(__xludf.DUMMYFUNCTION("""COMPUTED_VALUE"""),2260.0)</f>
        <v>2260</v>
      </c>
      <c r="D3652" s="2">
        <f>IFERROR(__xludf.DUMMYFUNCTION("""COMPUTED_VALUE"""),2231.2)</f>
        <v>2231.2</v>
      </c>
      <c r="E3652" s="2">
        <f>IFERROR(__xludf.DUMMYFUNCTION("""COMPUTED_VALUE"""),2250.85)</f>
        <v>2250.85</v>
      </c>
      <c r="F3652" s="2">
        <f>IFERROR(__xludf.DUMMYFUNCTION("""COMPUTED_VALUE"""),1877447.0)</f>
        <v>1877447</v>
      </c>
    </row>
    <row r="3653">
      <c r="A3653" s="3">
        <f>IFERROR(__xludf.DUMMYFUNCTION("""COMPUTED_VALUE"""),43635.64583333333)</f>
        <v>43635.64583</v>
      </c>
      <c r="B3653" s="2">
        <f>IFERROR(__xludf.DUMMYFUNCTION("""COMPUTED_VALUE"""),2255.0)</f>
        <v>2255</v>
      </c>
      <c r="C3653" s="2">
        <f>IFERROR(__xludf.DUMMYFUNCTION("""COMPUTED_VALUE"""),2276.0)</f>
        <v>2276</v>
      </c>
      <c r="D3653" s="2">
        <f>IFERROR(__xludf.DUMMYFUNCTION("""COMPUTED_VALUE"""),2243.15)</f>
        <v>2243.15</v>
      </c>
      <c r="E3653" s="2">
        <f>IFERROR(__xludf.DUMMYFUNCTION("""COMPUTED_VALUE"""),2259.9)</f>
        <v>2259.9</v>
      </c>
      <c r="F3653" s="2">
        <f>IFERROR(__xludf.DUMMYFUNCTION("""COMPUTED_VALUE"""),1652817.0)</f>
        <v>1652817</v>
      </c>
    </row>
    <row r="3654">
      <c r="A3654" s="3">
        <f>IFERROR(__xludf.DUMMYFUNCTION("""COMPUTED_VALUE"""),43636.64583333333)</f>
        <v>43636.64583</v>
      </c>
      <c r="B3654" s="2">
        <f>IFERROR(__xludf.DUMMYFUNCTION("""COMPUTED_VALUE"""),2230.0)</f>
        <v>2230</v>
      </c>
      <c r="C3654" s="2">
        <f>IFERROR(__xludf.DUMMYFUNCTION("""COMPUTED_VALUE"""),2284.0)</f>
        <v>2284</v>
      </c>
      <c r="D3654" s="2">
        <f>IFERROR(__xludf.DUMMYFUNCTION("""COMPUTED_VALUE"""),2212.0)</f>
        <v>2212</v>
      </c>
      <c r="E3654" s="2">
        <f>IFERROR(__xludf.DUMMYFUNCTION("""COMPUTED_VALUE"""),2277.95)</f>
        <v>2277.95</v>
      </c>
      <c r="F3654" s="2">
        <f>IFERROR(__xludf.DUMMYFUNCTION("""COMPUTED_VALUE"""),2199377.0)</f>
        <v>2199377</v>
      </c>
    </row>
    <row r="3655">
      <c r="A3655" s="3">
        <f>IFERROR(__xludf.DUMMYFUNCTION("""COMPUTED_VALUE"""),43637.64583333333)</f>
        <v>43637.64583</v>
      </c>
      <c r="B3655" s="2">
        <f>IFERROR(__xludf.DUMMYFUNCTION("""COMPUTED_VALUE"""),2285.0)</f>
        <v>2285</v>
      </c>
      <c r="C3655" s="2">
        <f>IFERROR(__xludf.DUMMYFUNCTION("""COMPUTED_VALUE"""),2292.5)</f>
        <v>2292.5</v>
      </c>
      <c r="D3655" s="2">
        <f>IFERROR(__xludf.DUMMYFUNCTION("""COMPUTED_VALUE"""),2242.0)</f>
        <v>2242</v>
      </c>
      <c r="E3655" s="2">
        <f>IFERROR(__xludf.DUMMYFUNCTION("""COMPUTED_VALUE"""),2249.85)</f>
        <v>2249.85</v>
      </c>
      <c r="F3655" s="2">
        <f>IFERROR(__xludf.DUMMYFUNCTION("""COMPUTED_VALUE"""),3871804.0)</f>
        <v>3871804</v>
      </c>
    </row>
    <row r="3656">
      <c r="A3656" s="3">
        <f>IFERROR(__xludf.DUMMYFUNCTION("""COMPUTED_VALUE"""),43640.64583333333)</f>
        <v>43640.64583</v>
      </c>
      <c r="B3656" s="2">
        <f>IFERROR(__xludf.DUMMYFUNCTION("""COMPUTED_VALUE"""),2254.15)</f>
        <v>2254.15</v>
      </c>
      <c r="C3656" s="2">
        <f>IFERROR(__xludf.DUMMYFUNCTION("""COMPUTED_VALUE"""),2280.0)</f>
        <v>2280</v>
      </c>
      <c r="D3656" s="2">
        <f>IFERROR(__xludf.DUMMYFUNCTION("""COMPUTED_VALUE"""),2250.8)</f>
        <v>2250.8</v>
      </c>
      <c r="E3656" s="2">
        <f>IFERROR(__xludf.DUMMYFUNCTION("""COMPUTED_VALUE"""),2275.5)</f>
        <v>2275.5</v>
      </c>
      <c r="F3656" s="2">
        <f>IFERROR(__xludf.DUMMYFUNCTION("""COMPUTED_VALUE"""),1382424.0)</f>
        <v>1382424</v>
      </c>
    </row>
    <row r="3657">
      <c r="A3657" s="3">
        <f>IFERROR(__xludf.DUMMYFUNCTION("""COMPUTED_VALUE"""),43641.64583333333)</f>
        <v>43641.64583</v>
      </c>
      <c r="B3657" s="2">
        <f>IFERROR(__xludf.DUMMYFUNCTION("""COMPUTED_VALUE"""),2270.0)</f>
        <v>2270</v>
      </c>
      <c r="C3657" s="2">
        <f>IFERROR(__xludf.DUMMYFUNCTION("""COMPUTED_VALUE"""),2274.45)</f>
        <v>2274.45</v>
      </c>
      <c r="D3657" s="2">
        <f>IFERROR(__xludf.DUMMYFUNCTION("""COMPUTED_VALUE"""),2250.5)</f>
        <v>2250.5</v>
      </c>
      <c r="E3657" s="2">
        <f>IFERROR(__xludf.DUMMYFUNCTION("""COMPUTED_VALUE"""),2267.8)</f>
        <v>2267.8</v>
      </c>
      <c r="F3657" s="2">
        <f>IFERROR(__xludf.DUMMYFUNCTION("""COMPUTED_VALUE"""),1386077.0)</f>
        <v>1386077</v>
      </c>
    </row>
    <row r="3658">
      <c r="A3658" s="3">
        <f>IFERROR(__xludf.DUMMYFUNCTION("""COMPUTED_VALUE"""),43642.64583333333)</f>
        <v>43642.64583</v>
      </c>
      <c r="B3658" s="2">
        <f>IFERROR(__xludf.DUMMYFUNCTION("""COMPUTED_VALUE"""),2265.0)</f>
        <v>2265</v>
      </c>
      <c r="C3658" s="2">
        <f>IFERROR(__xludf.DUMMYFUNCTION("""COMPUTED_VALUE"""),2266.8)</f>
        <v>2266.8</v>
      </c>
      <c r="D3658" s="2">
        <f>IFERROR(__xludf.DUMMYFUNCTION("""COMPUTED_VALUE"""),2250.0)</f>
        <v>2250</v>
      </c>
      <c r="E3658" s="2">
        <f>IFERROR(__xludf.DUMMYFUNCTION("""COMPUTED_VALUE"""),2254.2)</f>
        <v>2254.2</v>
      </c>
      <c r="F3658" s="2">
        <f>IFERROR(__xludf.DUMMYFUNCTION("""COMPUTED_VALUE"""),1762224.0)</f>
        <v>1762224</v>
      </c>
    </row>
    <row r="3659">
      <c r="A3659" s="3">
        <f>IFERROR(__xludf.DUMMYFUNCTION("""COMPUTED_VALUE"""),43643.64583333333)</f>
        <v>43643.64583</v>
      </c>
      <c r="B3659" s="2">
        <f>IFERROR(__xludf.DUMMYFUNCTION("""COMPUTED_VALUE"""),2255.0)</f>
        <v>2255</v>
      </c>
      <c r="C3659" s="2">
        <f>IFERROR(__xludf.DUMMYFUNCTION("""COMPUTED_VALUE"""),2264.0)</f>
        <v>2264</v>
      </c>
      <c r="D3659" s="2">
        <f>IFERROR(__xludf.DUMMYFUNCTION("""COMPUTED_VALUE"""),2241.3)</f>
        <v>2241.3</v>
      </c>
      <c r="E3659" s="2">
        <f>IFERROR(__xludf.DUMMYFUNCTION("""COMPUTED_VALUE"""),2252.55)</f>
        <v>2252.55</v>
      </c>
      <c r="F3659" s="2">
        <f>IFERROR(__xludf.DUMMYFUNCTION("""COMPUTED_VALUE"""),2813464.0)</f>
        <v>2813464</v>
      </c>
    </row>
    <row r="3660">
      <c r="A3660" s="3">
        <f>IFERROR(__xludf.DUMMYFUNCTION("""COMPUTED_VALUE"""),43644.64583333333)</f>
        <v>43644.64583</v>
      </c>
      <c r="B3660" s="2">
        <f>IFERROR(__xludf.DUMMYFUNCTION("""COMPUTED_VALUE"""),2260.0)</f>
        <v>2260</v>
      </c>
      <c r="C3660" s="2">
        <f>IFERROR(__xludf.DUMMYFUNCTION("""COMPUTED_VALUE"""),2261.95)</f>
        <v>2261.95</v>
      </c>
      <c r="D3660" s="2">
        <f>IFERROR(__xludf.DUMMYFUNCTION("""COMPUTED_VALUE"""),2222.5)</f>
        <v>2222.5</v>
      </c>
      <c r="E3660" s="2">
        <f>IFERROR(__xludf.DUMMYFUNCTION("""COMPUTED_VALUE"""),2227.2)</f>
        <v>2227.2</v>
      </c>
      <c r="F3660" s="2">
        <f>IFERROR(__xludf.DUMMYFUNCTION("""COMPUTED_VALUE"""),2372928.0)</f>
        <v>2372928</v>
      </c>
    </row>
    <row r="3661">
      <c r="A3661" s="3">
        <f>IFERROR(__xludf.DUMMYFUNCTION("""COMPUTED_VALUE"""),43647.64583333333)</f>
        <v>43647.64583</v>
      </c>
      <c r="B3661" s="2">
        <f>IFERROR(__xludf.DUMMYFUNCTION("""COMPUTED_VALUE"""),2235.0)</f>
        <v>2235</v>
      </c>
      <c r="C3661" s="2">
        <f>IFERROR(__xludf.DUMMYFUNCTION("""COMPUTED_VALUE"""),2255.0)</f>
        <v>2255</v>
      </c>
      <c r="D3661" s="2">
        <f>IFERROR(__xludf.DUMMYFUNCTION("""COMPUTED_VALUE"""),2206.6)</f>
        <v>2206.6</v>
      </c>
      <c r="E3661" s="2">
        <f>IFERROR(__xludf.DUMMYFUNCTION("""COMPUTED_VALUE"""),2239.55)</f>
        <v>2239.55</v>
      </c>
      <c r="F3661" s="2">
        <f>IFERROR(__xludf.DUMMYFUNCTION("""COMPUTED_VALUE"""),2769940.0)</f>
        <v>2769940</v>
      </c>
    </row>
    <row r="3662">
      <c r="A3662" s="3">
        <f>IFERROR(__xludf.DUMMYFUNCTION("""COMPUTED_VALUE"""),43648.64583333333)</f>
        <v>43648.64583</v>
      </c>
      <c r="B3662" s="2">
        <f>IFERROR(__xludf.DUMMYFUNCTION("""COMPUTED_VALUE"""),2244.9)</f>
        <v>2244.9</v>
      </c>
      <c r="C3662" s="2">
        <f>IFERROR(__xludf.DUMMYFUNCTION("""COMPUTED_VALUE"""),2257.0)</f>
        <v>2257</v>
      </c>
      <c r="D3662" s="2">
        <f>IFERROR(__xludf.DUMMYFUNCTION("""COMPUTED_VALUE"""),2216.45)</f>
        <v>2216.45</v>
      </c>
      <c r="E3662" s="2">
        <f>IFERROR(__xludf.DUMMYFUNCTION("""COMPUTED_VALUE"""),2252.1)</f>
        <v>2252.1</v>
      </c>
      <c r="F3662" s="2">
        <f>IFERROR(__xludf.DUMMYFUNCTION("""COMPUTED_VALUE"""),1771746.0)</f>
        <v>1771746</v>
      </c>
    </row>
    <row r="3663">
      <c r="A3663" s="3">
        <f>IFERROR(__xludf.DUMMYFUNCTION("""COMPUTED_VALUE"""),43649.64583333333)</f>
        <v>43649.64583</v>
      </c>
      <c r="B3663" s="2">
        <f>IFERROR(__xludf.DUMMYFUNCTION("""COMPUTED_VALUE"""),2252.2)</f>
        <v>2252.2</v>
      </c>
      <c r="C3663" s="2">
        <f>IFERROR(__xludf.DUMMYFUNCTION("""COMPUTED_VALUE"""),2258.8)</f>
        <v>2258.8</v>
      </c>
      <c r="D3663" s="2">
        <f>IFERROR(__xludf.DUMMYFUNCTION("""COMPUTED_VALUE"""),2232.0)</f>
        <v>2232</v>
      </c>
      <c r="E3663" s="2">
        <f>IFERROR(__xludf.DUMMYFUNCTION("""COMPUTED_VALUE"""),2237.65)</f>
        <v>2237.65</v>
      </c>
      <c r="F3663" s="2">
        <f>IFERROR(__xludf.DUMMYFUNCTION("""COMPUTED_VALUE"""),1656881.0)</f>
        <v>1656881</v>
      </c>
    </row>
    <row r="3664">
      <c r="A3664" s="3">
        <f>IFERROR(__xludf.DUMMYFUNCTION("""COMPUTED_VALUE"""),43650.64583333333)</f>
        <v>43650.64583</v>
      </c>
      <c r="B3664" s="2">
        <f>IFERROR(__xludf.DUMMYFUNCTION("""COMPUTED_VALUE"""),2234.0)</f>
        <v>2234</v>
      </c>
      <c r="C3664" s="2">
        <f>IFERROR(__xludf.DUMMYFUNCTION("""COMPUTED_VALUE"""),2252.0)</f>
        <v>2252</v>
      </c>
      <c r="D3664" s="2">
        <f>IFERROR(__xludf.DUMMYFUNCTION("""COMPUTED_VALUE"""),2230.1)</f>
        <v>2230.1</v>
      </c>
      <c r="E3664" s="2">
        <f>IFERROR(__xludf.DUMMYFUNCTION("""COMPUTED_VALUE"""),2242.65)</f>
        <v>2242.65</v>
      </c>
      <c r="F3664" s="2">
        <f>IFERROR(__xludf.DUMMYFUNCTION("""COMPUTED_VALUE"""),984140.0)</f>
        <v>984140</v>
      </c>
    </row>
    <row r="3665">
      <c r="A3665" s="3">
        <f>IFERROR(__xludf.DUMMYFUNCTION("""COMPUTED_VALUE"""),43651.64583333333)</f>
        <v>43651.64583</v>
      </c>
      <c r="B3665" s="2">
        <f>IFERROR(__xludf.DUMMYFUNCTION("""COMPUTED_VALUE"""),2247.0)</f>
        <v>2247</v>
      </c>
      <c r="C3665" s="2">
        <f>IFERROR(__xludf.DUMMYFUNCTION("""COMPUTED_VALUE"""),2250.0)</f>
        <v>2250</v>
      </c>
      <c r="D3665" s="2">
        <f>IFERROR(__xludf.DUMMYFUNCTION("""COMPUTED_VALUE"""),2140.0)</f>
        <v>2140</v>
      </c>
      <c r="E3665" s="2">
        <f>IFERROR(__xludf.DUMMYFUNCTION("""COMPUTED_VALUE"""),2163.1)</f>
        <v>2163.1</v>
      </c>
      <c r="F3665" s="2">
        <f>IFERROR(__xludf.DUMMYFUNCTION("""COMPUTED_VALUE"""),4088470.0)</f>
        <v>4088470</v>
      </c>
    </row>
    <row r="3666">
      <c r="A3666" s="3">
        <f>IFERROR(__xludf.DUMMYFUNCTION("""COMPUTED_VALUE"""),43654.64583333333)</f>
        <v>43654.64583</v>
      </c>
      <c r="B3666" s="2">
        <f>IFERROR(__xludf.DUMMYFUNCTION("""COMPUTED_VALUE"""),2149.0)</f>
        <v>2149</v>
      </c>
      <c r="C3666" s="2">
        <f>IFERROR(__xludf.DUMMYFUNCTION("""COMPUTED_VALUE"""),2188.8)</f>
        <v>2188.8</v>
      </c>
      <c r="D3666" s="2">
        <f>IFERROR(__xludf.DUMMYFUNCTION("""COMPUTED_VALUE"""),2132.1)</f>
        <v>2132.1</v>
      </c>
      <c r="E3666" s="2">
        <f>IFERROR(__xludf.DUMMYFUNCTION("""COMPUTED_VALUE"""),2175.4)</f>
        <v>2175.4</v>
      </c>
      <c r="F3666" s="2">
        <f>IFERROR(__xludf.DUMMYFUNCTION("""COMPUTED_VALUE"""),2788062.0)</f>
        <v>2788062</v>
      </c>
    </row>
    <row r="3667">
      <c r="A3667" s="3">
        <f>IFERROR(__xludf.DUMMYFUNCTION("""COMPUTED_VALUE"""),43655.64583333333)</f>
        <v>43655.64583</v>
      </c>
      <c r="B3667" s="2">
        <f>IFERROR(__xludf.DUMMYFUNCTION("""COMPUTED_VALUE"""),2174.0)</f>
        <v>2174</v>
      </c>
      <c r="C3667" s="2">
        <f>IFERROR(__xludf.DUMMYFUNCTION("""COMPUTED_VALUE"""),2174.4)</f>
        <v>2174.4</v>
      </c>
      <c r="D3667" s="2">
        <f>IFERROR(__xludf.DUMMYFUNCTION("""COMPUTED_VALUE"""),2104.55)</f>
        <v>2104.55</v>
      </c>
      <c r="E3667" s="2">
        <f>IFERROR(__xludf.DUMMYFUNCTION("""COMPUTED_VALUE"""),2133.35)</f>
        <v>2133.35</v>
      </c>
      <c r="F3667" s="2">
        <f>IFERROR(__xludf.DUMMYFUNCTION("""COMPUTED_VALUE"""),3977224.0)</f>
        <v>3977224</v>
      </c>
    </row>
    <row r="3668">
      <c r="A3668" s="3">
        <f>IFERROR(__xludf.DUMMYFUNCTION("""COMPUTED_VALUE"""),43656.64583333333)</f>
        <v>43656.64583</v>
      </c>
      <c r="B3668" s="2">
        <f>IFERROR(__xludf.DUMMYFUNCTION("""COMPUTED_VALUE"""),2080.0)</f>
        <v>2080</v>
      </c>
      <c r="C3668" s="2">
        <f>IFERROR(__xludf.DUMMYFUNCTION("""COMPUTED_VALUE"""),2127.85)</f>
        <v>2127.85</v>
      </c>
      <c r="D3668" s="2">
        <f>IFERROR(__xludf.DUMMYFUNCTION("""COMPUTED_VALUE"""),2071.3)</f>
        <v>2071.3</v>
      </c>
      <c r="E3668" s="2">
        <f>IFERROR(__xludf.DUMMYFUNCTION("""COMPUTED_VALUE"""),2108.2)</f>
        <v>2108.2</v>
      </c>
      <c r="F3668" s="2">
        <f>IFERROR(__xludf.DUMMYFUNCTION("""COMPUTED_VALUE"""),6343581.0)</f>
        <v>6343581</v>
      </c>
    </row>
    <row r="3669">
      <c r="A3669" s="3">
        <f>IFERROR(__xludf.DUMMYFUNCTION("""COMPUTED_VALUE"""),43657.64583333333)</f>
        <v>43657.64583</v>
      </c>
      <c r="B3669" s="2">
        <f>IFERROR(__xludf.DUMMYFUNCTION("""COMPUTED_VALUE"""),2128.0)</f>
        <v>2128</v>
      </c>
      <c r="C3669" s="2">
        <f>IFERROR(__xludf.DUMMYFUNCTION("""COMPUTED_VALUE"""),2129.0)</f>
        <v>2129</v>
      </c>
      <c r="D3669" s="2">
        <f>IFERROR(__xludf.DUMMYFUNCTION("""COMPUTED_VALUE"""),2086.05)</f>
        <v>2086.05</v>
      </c>
      <c r="E3669" s="2">
        <f>IFERROR(__xludf.DUMMYFUNCTION("""COMPUTED_VALUE"""),2102.55)</f>
        <v>2102.55</v>
      </c>
      <c r="F3669" s="2">
        <f>IFERROR(__xludf.DUMMYFUNCTION("""COMPUTED_VALUE"""),2400346.0)</f>
        <v>2400346</v>
      </c>
    </row>
    <row r="3670">
      <c r="A3670" s="3">
        <f>IFERROR(__xludf.DUMMYFUNCTION("""COMPUTED_VALUE"""),43658.64583333333)</f>
        <v>43658.64583</v>
      </c>
      <c r="B3670" s="2">
        <f>IFERROR(__xludf.DUMMYFUNCTION("""COMPUTED_VALUE"""),2102.1)</f>
        <v>2102.1</v>
      </c>
      <c r="C3670" s="2">
        <f>IFERROR(__xludf.DUMMYFUNCTION("""COMPUTED_VALUE"""),2119.75)</f>
        <v>2119.75</v>
      </c>
      <c r="D3670" s="2">
        <f>IFERROR(__xludf.DUMMYFUNCTION("""COMPUTED_VALUE"""),2093.1)</f>
        <v>2093.1</v>
      </c>
      <c r="E3670" s="2">
        <f>IFERROR(__xludf.DUMMYFUNCTION("""COMPUTED_VALUE"""),2107.6)</f>
        <v>2107.6</v>
      </c>
      <c r="F3670" s="2">
        <f>IFERROR(__xludf.DUMMYFUNCTION("""COMPUTED_VALUE"""),1560725.0)</f>
        <v>1560725</v>
      </c>
    </row>
    <row r="3671">
      <c r="A3671" s="3">
        <f>IFERROR(__xludf.DUMMYFUNCTION("""COMPUTED_VALUE"""),43661.64583333333)</f>
        <v>43661.64583</v>
      </c>
      <c r="B3671" s="2">
        <f>IFERROR(__xludf.DUMMYFUNCTION("""COMPUTED_VALUE"""),2125.0)</f>
        <v>2125</v>
      </c>
      <c r="C3671" s="2">
        <f>IFERROR(__xludf.DUMMYFUNCTION("""COMPUTED_VALUE"""),2153.6)</f>
        <v>2153.6</v>
      </c>
      <c r="D3671" s="2">
        <f>IFERROR(__xludf.DUMMYFUNCTION("""COMPUTED_VALUE"""),2098.0)</f>
        <v>2098</v>
      </c>
      <c r="E3671" s="2">
        <f>IFERROR(__xludf.DUMMYFUNCTION("""COMPUTED_VALUE"""),2145.7)</f>
        <v>2145.7</v>
      </c>
      <c r="F3671" s="2">
        <f>IFERROR(__xludf.DUMMYFUNCTION("""COMPUTED_VALUE"""),2900415.0)</f>
        <v>2900415</v>
      </c>
    </row>
    <row r="3672">
      <c r="A3672" s="3">
        <f>IFERROR(__xludf.DUMMYFUNCTION("""COMPUTED_VALUE"""),43662.64583333333)</f>
        <v>43662.64583</v>
      </c>
      <c r="B3672" s="2">
        <f>IFERROR(__xludf.DUMMYFUNCTION("""COMPUTED_VALUE"""),2126.0)</f>
        <v>2126</v>
      </c>
      <c r="C3672" s="2">
        <f>IFERROR(__xludf.DUMMYFUNCTION("""COMPUTED_VALUE"""),2132.5)</f>
        <v>2132.5</v>
      </c>
      <c r="D3672" s="2">
        <f>IFERROR(__xludf.DUMMYFUNCTION("""COMPUTED_VALUE"""),2100.0)</f>
        <v>2100</v>
      </c>
      <c r="E3672" s="2">
        <f>IFERROR(__xludf.DUMMYFUNCTION("""COMPUTED_VALUE"""),2106.0)</f>
        <v>2106</v>
      </c>
      <c r="F3672" s="2">
        <f>IFERROR(__xludf.DUMMYFUNCTION("""COMPUTED_VALUE"""),2735399.0)</f>
        <v>2735399</v>
      </c>
    </row>
    <row r="3673">
      <c r="A3673" s="3">
        <f>IFERROR(__xludf.DUMMYFUNCTION("""COMPUTED_VALUE"""),43663.64583333333)</f>
        <v>43663.64583</v>
      </c>
      <c r="B3673" s="2">
        <f>IFERROR(__xludf.DUMMYFUNCTION("""COMPUTED_VALUE"""),2108.0)</f>
        <v>2108</v>
      </c>
      <c r="C3673" s="2">
        <f>IFERROR(__xludf.DUMMYFUNCTION("""COMPUTED_VALUE"""),2125.0)</f>
        <v>2125</v>
      </c>
      <c r="D3673" s="2">
        <f>IFERROR(__xludf.DUMMYFUNCTION("""COMPUTED_VALUE"""),2092.1)</f>
        <v>2092.1</v>
      </c>
      <c r="E3673" s="2">
        <f>IFERROR(__xludf.DUMMYFUNCTION("""COMPUTED_VALUE"""),2117.25)</f>
        <v>2117.25</v>
      </c>
      <c r="F3673" s="2">
        <f>IFERROR(__xludf.DUMMYFUNCTION("""COMPUTED_VALUE"""),1802969.0)</f>
        <v>1802969</v>
      </c>
    </row>
    <row r="3674">
      <c r="A3674" s="3">
        <f>IFERROR(__xludf.DUMMYFUNCTION("""COMPUTED_VALUE"""),43664.64583333333)</f>
        <v>43664.64583</v>
      </c>
      <c r="B3674" s="2">
        <f>IFERROR(__xludf.DUMMYFUNCTION("""COMPUTED_VALUE"""),2116.2)</f>
        <v>2116.2</v>
      </c>
      <c r="C3674" s="2">
        <f>IFERROR(__xludf.DUMMYFUNCTION("""COMPUTED_VALUE"""),2116.2)</f>
        <v>2116.2</v>
      </c>
      <c r="D3674" s="2">
        <f>IFERROR(__xludf.DUMMYFUNCTION("""COMPUTED_VALUE"""),2060.0)</f>
        <v>2060</v>
      </c>
      <c r="E3674" s="2">
        <f>IFERROR(__xludf.DUMMYFUNCTION("""COMPUTED_VALUE"""),2065.95)</f>
        <v>2065.95</v>
      </c>
      <c r="F3674" s="2">
        <f>IFERROR(__xludf.DUMMYFUNCTION("""COMPUTED_VALUE"""),3072096.0)</f>
        <v>3072096</v>
      </c>
    </row>
    <row r="3675">
      <c r="A3675" s="3">
        <f>IFERROR(__xludf.DUMMYFUNCTION("""COMPUTED_VALUE"""),43665.64583333333)</f>
        <v>43665.64583</v>
      </c>
      <c r="B3675" s="2">
        <f>IFERROR(__xludf.DUMMYFUNCTION("""COMPUTED_VALUE"""),2077.0)</f>
        <v>2077</v>
      </c>
      <c r="C3675" s="2">
        <f>IFERROR(__xludf.DUMMYFUNCTION("""COMPUTED_VALUE"""),2097.0)</f>
        <v>2097</v>
      </c>
      <c r="D3675" s="2">
        <f>IFERROR(__xludf.DUMMYFUNCTION("""COMPUTED_VALUE"""),2062.5)</f>
        <v>2062.5</v>
      </c>
      <c r="E3675" s="2">
        <f>IFERROR(__xludf.DUMMYFUNCTION("""COMPUTED_VALUE"""),2076.95)</f>
        <v>2076.95</v>
      </c>
      <c r="F3675" s="2">
        <f>IFERROR(__xludf.DUMMYFUNCTION("""COMPUTED_VALUE"""),1953177.0)</f>
        <v>1953177</v>
      </c>
    </row>
    <row r="3676">
      <c r="A3676" s="3">
        <f>IFERROR(__xludf.DUMMYFUNCTION("""COMPUTED_VALUE"""),43668.64583333333)</f>
        <v>43668.64583</v>
      </c>
      <c r="B3676" s="2">
        <f>IFERROR(__xludf.DUMMYFUNCTION("""COMPUTED_VALUE"""),2077.0)</f>
        <v>2077</v>
      </c>
      <c r="C3676" s="2">
        <f>IFERROR(__xludf.DUMMYFUNCTION("""COMPUTED_VALUE"""),2117.45)</f>
        <v>2117.45</v>
      </c>
      <c r="D3676" s="2">
        <f>IFERROR(__xludf.DUMMYFUNCTION("""COMPUTED_VALUE"""),2068.8)</f>
        <v>2068.8</v>
      </c>
      <c r="E3676" s="2">
        <f>IFERROR(__xludf.DUMMYFUNCTION("""COMPUTED_VALUE"""),2109.9)</f>
        <v>2109.9</v>
      </c>
      <c r="F3676" s="2">
        <f>IFERROR(__xludf.DUMMYFUNCTION("""COMPUTED_VALUE"""),1920167.0)</f>
        <v>1920167</v>
      </c>
    </row>
    <row r="3677">
      <c r="A3677" s="3">
        <f>IFERROR(__xludf.DUMMYFUNCTION("""COMPUTED_VALUE"""),43669.64583333333)</f>
        <v>43669.64583</v>
      </c>
      <c r="B3677" s="2">
        <f>IFERROR(__xludf.DUMMYFUNCTION("""COMPUTED_VALUE"""),2127.9)</f>
        <v>2127.9</v>
      </c>
      <c r="C3677" s="2">
        <f>IFERROR(__xludf.DUMMYFUNCTION("""COMPUTED_VALUE"""),2130.0)</f>
        <v>2130</v>
      </c>
      <c r="D3677" s="2">
        <f>IFERROR(__xludf.DUMMYFUNCTION("""COMPUTED_VALUE"""),2102.4)</f>
        <v>2102.4</v>
      </c>
      <c r="E3677" s="2">
        <f>IFERROR(__xludf.DUMMYFUNCTION("""COMPUTED_VALUE"""),2112.45)</f>
        <v>2112.45</v>
      </c>
      <c r="F3677" s="2">
        <f>IFERROR(__xludf.DUMMYFUNCTION("""COMPUTED_VALUE"""),3538588.0)</f>
        <v>3538588</v>
      </c>
    </row>
    <row r="3678">
      <c r="A3678" s="3">
        <f>IFERROR(__xludf.DUMMYFUNCTION("""COMPUTED_VALUE"""),43670.64583333333)</f>
        <v>43670.64583</v>
      </c>
      <c r="B3678" s="2">
        <f>IFERROR(__xludf.DUMMYFUNCTION("""COMPUTED_VALUE"""),2110.0)</f>
        <v>2110</v>
      </c>
      <c r="C3678" s="2">
        <f>IFERROR(__xludf.DUMMYFUNCTION("""COMPUTED_VALUE"""),2120.8)</f>
        <v>2120.8</v>
      </c>
      <c r="D3678" s="2">
        <f>IFERROR(__xludf.DUMMYFUNCTION("""COMPUTED_VALUE"""),2076.5)</f>
        <v>2076.5</v>
      </c>
      <c r="E3678" s="2">
        <f>IFERROR(__xludf.DUMMYFUNCTION("""COMPUTED_VALUE"""),2096.8)</f>
        <v>2096.8</v>
      </c>
      <c r="F3678" s="2">
        <f>IFERROR(__xludf.DUMMYFUNCTION("""COMPUTED_VALUE"""),2413196.0)</f>
        <v>2413196</v>
      </c>
    </row>
    <row r="3679">
      <c r="A3679" s="3">
        <f>IFERROR(__xludf.DUMMYFUNCTION("""COMPUTED_VALUE"""),43671.64583333333)</f>
        <v>43671.64583</v>
      </c>
      <c r="B3679" s="2">
        <f>IFERROR(__xludf.DUMMYFUNCTION("""COMPUTED_VALUE"""),2108.9)</f>
        <v>2108.9</v>
      </c>
      <c r="C3679" s="2">
        <f>IFERROR(__xludf.DUMMYFUNCTION("""COMPUTED_VALUE"""),2135.0)</f>
        <v>2135</v>
      </c>
      <c r="D3679" s="2">
        <f>IFERROR(__xludf.DUMMYFUNCTION("""COMPUTED_VALUE"""),2092.55)</f>
        <v>2092.55</v>
      </c>
      <c r="E3679" s="2">
        <f>IFERROR(__xludf.DUMMYFUNCTION("""COMPUTED_VALUE"""),2127.9)</f>
        <v>2127.9</v>
      </c>
      <c r="F3679" s="2">
        <f>IFERROR(__xludf.DUMMYFUNCTION("""COMPUTED_VALUE"""),2544464.0)</f>
        <v>2544464</v>
      </c>
    </row>
    <row r="3680">
      <c r="A3680" s="3">
        <f>IFERROR(__xludf.DUMMYFUNCTION("""COMPUTED_VALUE"""),43672.64583333333)</f>
        <v>43672.64583</v>
      </c>
      <c r="B3680" s="2">
        <f>IFERROR(__xludf.DUMMYFUNCTION("""COMPUTED_VALUE"""),2129.8)</f>
        <v>2129.8</v>
      </c>
      <c r="C3680" s="2">
        <f>IFERROR(__xludf.DUMMYFUNCTION("""COMPUTED_VALUE"""),2129.8)</f>
        <v>2129.8</v>
      </c>
      <c r="D3680" s="2">
        <f>IFERROR(__xludf.DUMMYFUNCTION("""COMPUTED_VALUE"""),2095.0)</f>
        <v>2095</v>
      </c>
      <c r="E3680" s="2">
        <f>IFERROR(__xludf.DUMMYFUNCTION("""COMPUTED_VALUE"""),2109.05)</f>
        <v>2109.05</v>
      </c>
      <c r="F3680" s="2">
        <f>IFERROR(__xludf.DUMMYFUNCTION("""COMPUTED_VALUE"""),1720592.0)</f>
        <v>1720592</v>
      </c>
    </row>
    <row r="3681">
      <c r="A3681" s="3">
        <f>IFERROR(__xludf.DUMMYFUNCTION("""COMPUTED_VALUE"""),43675.64583333333)</f>
        <v>43675.64583</v>
      </c>
      <c r="B3681" s="2">
        <f>IFERROR(__xludf.DUMMYFUNCTION("""COMPUTED_VALUE"""),2110.8)</f>
        <v>2110.8</v>
      </c>
      <c r="C3681" s="2">
        <f>IFERROR(__xludf.DUMMYFUNCTION("""COMPUTED_VALUE"""),2142.0)</f>
        <v>2142</v>
      </c>
      <c r="D3681" s="2">
        <f>IFERROR(__xludf.DUMMYFUNCTION("""COMPUTED_VALUE"""),2103.3)</f>
        <v>2103.3</v>
      </c>
      <c r="E3681" s="2">
        <f>IFERROR(__xludf.DUMMYFUNCTION("""COMPUTED_VALUE"""),2130.0)</f>
        <v>2130</v>
      </c>
      <c r="F3681" s="2">
        <f>IFERROR(__xludf.DUMMYFUNCTION("""COMPUTED_VALUE"""),1647090.0)</f>
        <v>1647090</v>
      </c>
    </row>
    <row r="3682">
      <c r="A3682" s="3">
        <f>IFERROR(__xludf.DUMMYFUNCTION("""COMPUTED_VALUE"""),43676.64583333333)</f>
        <v>43676.64583</v>
      </c>
      <c r="B3682" s="2">
        <f>IFERROR(__xludf.DUMMYFUNCTION("""COMPUTED_VALUE"""),2130.0)</f>
        <v>2130</v>
      </c>
      <c r="C3682" s="2">
        <f>IFERROR(__xludf.DUMMYFUNCTION("""COMPUTED_VALUE"""),2185.0)</f>
        <v>2185</v>
      </c>
      <c r="D3682" s="2">
        <f>IFERROR(__xludf.DUMMYFUNCTION("""COMPUTED_VALUE"""),2120.45)</f>
        <v>2120.45</v>
      </c>
      <c r="E3682" s="2">
        <f>IFERROR(__xludf.DUMMYFUNCTION("""COMPUTED_VALUE"""),2179.15)</f>
        <v>2179.15</v>
      </c>
      <c r="F3682" s="2">
        <f>IFERROR(__xludf.DUMMYFUNCTION("""COMPUTED_VALUE"""),2851672.0)</f>
        <v>2851672</v>
      </c>
    </row>
    <row r="3683">
      <c r="A3683" s="3">
        <f>IFERROR(__xludf.DUMMYFUNCTION("""COMPUTED_VALUE"""),43677.64583333333)</f>
        <v>43677.64583</v>
      </c>
      <c r="B3683" s="2">
        <f>IFERROR(__xludf.DUMMYFUNCTION("""COMPUTED_VALUE"""),2171.75)</f>
        <v>2171.75</v>
      </c>
      <c r="C3683" s="2">
        <f>IFERROR(__xludf.DUMMYFUNCTION("""COMPUTED_VALUE"""),2211.7)</f>
        <v>2211.7</v>
      </c>
      <c r="D3683" s="2">
        <f>IFERROR(__xludf.DUMMYFUNCTION("""COMPUTED_VALUE"""),2147.15)</f>
        <v>2147.15</v>
      </c>
      <c r="E3683" s="2">
        <f>IFERROR(__xludf.DUMMYFUNCTION("""COMPUTED_VALUE"""),2205.7)</f>
        <v>2205.7</v>
      </c>
      <c r="F3683" s="2">
        <f>IFERROR(__xludf.DUMMYFUNCTION("""COMPUTED_VALUE"""),3000677.0)</f>
        <v>3000677</v>
      </c>
    </row>
    <row r="3684">
      <c r="A3684" s="3">
        <f>IFERROR(__xludf.DUMMYFUNCTION("""COMPUTED_VALUE"""),43678.64583333333)</f>
        <v>43678.64583</v>
      </c>
      <c r="B3684" s="2">
        <f>IFERROR(__xludf.DUMMYFUNCTION("""COMPUTED_VALUE"""),2200.0)</f>
        <v>2200</v>
      </c>
      <c r="C3684" s="2">
        <f>IFERROR(__xludf.DUMMYFUNCTION("""COMPUTED_VALUE"""),2217.5)</f>
        <v>2217.5</v>
      </c>
      <c r="D3684" s="2">
        <f>IFERROR(__xludf.DUMMYFUNCTION("""COMPUTED_VALUE"""),2166.25)</f>
        <v>2166.25</v>
      </c>
      <c r="E3684" s="2">
        <f>IFERROR(__xludf.DUMMYFUNCTION("""COMPUTED_VALUE"""),2180.05)</f>
        <v>2180.05</v>
      </c>
      <c r="F3684" s="2">
        <f>IFERROR(__xludf.DUMMYFUNCTION("""COMPUTED_VALUE"""),2375236.0)</f>
        <v>2375236</v>
      </c>
    </row>
    <row r="3685">
      <c r="A3685" s="3">
        <f>IFERROR(__xludf.DUMMYFUNCTION("""COMPUTED_VALUE"""),43679.64583333333)</f>
        <v>43679.64583</v>
      </c>
      <c r="B3685" s="2">
        <f>IFERROR(__xludf.DUMMYFUNCTION("""COMPUTED_VALUE"""),2173.0)</f>
        <v>2173</v>
      </c>
      <c r="C3685" s="2">
        <f>IFERROR(__xludf.DUMMYFUNCTION("""COMPUTED_VALUE"""),2210.0)</f>
        <v>2210</v>
      </c>
      <c r="D3685" s="2">
        <f>IFERROR(__xludf.DUMMYFUNCTION("""COMPUTED_VALUE"""),2165.5)</f>
        <v>2165.5</v>
      </c>
      <c r="E3685" s="2">
        <f>IFERROR(__xludf.DUMMYFUNCTION("""COMPUTED_VALUE"""),2205.3)</f>
        <v>2205.3</v>
      </c>
      <c r="F3685" s="2">
        <f>IFERROR(__xludf.DUMMYFUNCTION("""COMPUTED_VALUE"""),2500816.0)</f>
        <v>2500816</v>
      </c>
    </row>
    <row r="3686">
      <c r="A3686" s="3">
        <f>IFERROR(__xludf.DUMMYFUNCTION("""COMPUTED_VALUE"""),43682.64583333333)</f>
        <v>43682.64583</v>
      </c>
      <c r="B3686" s="2">
        <f>IFERROR(__xludf.DUMMYFUNCTION("""COMPUTED_VALUE"""),2199.9)</f>
        <v>2199.9</v>
      </c>
      <c r="C3686" s="2">
        <f>IFERROR(__xludf.DUMMYFUNCTION("""COMPUTED_VALUE"""),2252.25)</f>
        <v>2252.25</v>
      </c>
      <c r="D3686" s="2">
        <f>IFERROR(__xludf.DUMMYFUNCTION("""COMPUTED_VALUE"""),2195.6)</f>
        <v>2195.6</v>
      </c>
      <c r="E3686" s="2">
        <f>IFERROR(__xludf.DUMMYFUNCTION("""COMPUTED_VALUE"""),2248.6)</f>
        <v>2248.6</v>
      </c>
      <c r="F3686" s="2">
        <f>IFERROR(__xludf.DUMMYFUNCTION("""COMPUTED_VALUE"""),3039682.0)</f>
        <v>3039682</v>
      </c>
    </row>
    <row r="3687">
      <c r="A3687" s="3">
        <f>IFERROR(__xludf.DUMMYFUNCTION("""COMPUTED_VALUE"""),43683.64583333333)</f>
        <v>43683.64583</v>
      </c>
      <c r="B3687" s="2">
        <f>IFERROR(__xludf.DUMMYFUNCTION("""COMPUTED_VALUE"""),2232.8)</f>
        <v>2232.8</v>
      </c>
      <c r="C3687" s="2">
        <f>IFERROR(__xludf.DUMMYFUNCTION("""COMPUTED_VALUE"""),2251.95)</f>
        <v>2251.95</v>
      </c>
      <c r="D3687" s="2">
        <f>IFERROR(__xludf.DUMMYFUNCTION("""COMPUTED_VALUE"""),2211.45)</f>
        <v>2211.45</v>
      </c>
      <c r="E3687" s="2">
        <f>IFERROR(__xludf.DUMMYFUNCTION("""COMPUTED_VALUE"""),2214.9)</f>
        <v>2214.9</v>
      </c>
      <c r="F3687" s="2">
        <f>IFERROR(__xludf.DUMMYFUNCTION("""COMPUTED_VALUE"""),2885467.0)</f>
        <v>2885467</v>
      </c>
    </row>
    <row r="3688">
      <c r="A3688" s="3">
        <f>IFERROR(__xludf.DUMMYFUNCTION("""COMPUTED_VALUE"""),43684.64583333333)</f>
        <v>43684.64583</v>
      </c>
      <c r="B3688" s="2">
        <f>IFERROR(__xludf.DUMMYFUNCTION("""COMPUTED_VALUE"""),2230.0)</f>
        <v>2230</v>
      </c>
      <c r="C3688" s="2">
        <f>IFERROR(__xludf.DUMMYFUNCTION("""COMPUTED_VALUE"""),2238.5)</f>
        <v>2238.5</v>
      </c>
      <c r="D3688" s="2">
        <f>IFERROR(__xludf.DUMMYFUNCTION("""COMPUTED_VALUE"""),2207.25)</f>
        <v>2207.25</v>
      </c>
      <c r="E3688" s="2">
        <f>IFERROR(__xludf.DUMMYFUNCTION("""COMPUTED_VALUE"""),2213.45)</f>
        <v>2213.45</v>
      </c>
      <c r="F3688" s="2">
        <f>IFERROR(__xludf.DUMMYFUNCTION("""COMPUTED_VALUE"""),2165362.0)</f>
        <v>2165362</v>
      </c>
    </row>
    <row r="3689">
      <c r="A3689" s="3">
        <f>IFERROR(__xludf.DUMMYFUNCTION("""COMPUTED_VALUE"""),43685.64583333333)</f>
        <v>43685.64583</v>
      </c>
      <c r="B3689" s="2">
        <f>IFERROR(__xludf.DUMMYFUNCTION("""COMPUTED_VALUE"""),2228.9)</f>
        <v>2228.9</v>
      </c>
      <c r="C3689" s="2">
        <f>IFERROR(__xludf.DUMMYFUNCTION("""COMPUTED_VALUE"""),2281.0)</f>
        <v>2281</v>
      </c>
      <c r="D3689" s="2">
        <f>IFERROR(__xludf.DUMMYFUNCTION("""COMPUTED_VALUE"""),2218.9)</f>
        <v>2218.9</v>
      </c>
      <c r="E3689" s="2">
        <f>IFERROR(__xludf.DUMMYFUNCTION("""COMPUTED_VALUE"""),2258.1)</f>
        <v>2258.1</v>
      </c>
      <c r="F3689" s="2">
        <f>IFERROR(__xludf.DUMMYFUNCTION("""COMPUTED_VALUE"""),2073298.0)</f>
        <v>2073298</v>
      </c>
    </row>
    <row r="3690">
      <c r="A3690" s="3">
        <f>IFERROR(__xludf.DUMMYFUNCTION("""COMPUTED_VALUE"""),43686.64583333333)</f>
        <v>43686.64583</v>
      </c>
      <c r="B3690" s="2">
        <f>IFERROR(__xludf.DUMMYFUNCTION("""COMPUTED_VALUE"""),2260.0)</f>
        <v>2260</v>
      </c>
      <c r="C3690" s="2">
        <f>IFERROR(__xludf.DUMMYFUNCTION("""COMPUTED_VALUE"""),2267.9)</f>
        <v>2267.9</v>
      </c>
      <c r="D3690" s="2">
        <f>IFERROR(__xludf.DUMMYFUNCTION("""COMPUTED_VALUE"""),2241.35)</f>
        <v>2241.35</v>
      </c>
      <c r="E3690" s="2">
        <f>IFERROR(__xludf.DUMMYFUNCTION("""COMPUTED_VALUE"""),2246.25)</f>
        <v>2246.25</v>
      </c>
      <c r="F3690" s="2">
        <f>IFERROR(__xludf.DUMMYFUNCTION("""COMPUTED_VALUE"""),1744550.0)</f>
        <v>1744550</v>
      </c>
    </row>
    <row r="3691">
      <c r="A3691" s="3">
        <f>IFERROR(__xludf.DUMMYFUNCTION("""COMPUTED_VALUE"""),43690.64583333333)</f>
        <v>43690.64583</v>
      </c>
      <c r="B3691" s="2">
        <f>IFERROR(__xludf.DUMMYFUNCTION("""COMPUTED_VALUE"""),2245.0)</f>
        <v>2245</v>
      </c>
      <c r="C3691" s="2">
        <f>IFERROR(__xludf.DUMMYFUNCTION("""COMPUTED_VALUE"""),2246.25)</f>
        <v>2246.25</v>
      </c>
      <c r="D3691" s="2">
        <f>IFERROR(__xludf.DUMMYFUNCTION("""COMPUTED_VALUE"""),2194.3)</f>
        <v>2194.3</v>
      </c>
      <c r="E3691" s="2">
        <f>IFERROR(__xludf.DUMMYFUNCTION("""COMPUTED_VALUE"""),2199.45)</f>
        <v>2199.45</v>
      </c>
      <c r="F3691" s="2">
        <f>IFERROR(__xludf.DUMMYFUNCTION("""COMPUTED_VALUE"""),1647281.0)</f>
        <v>1647281</v>
      </c>
    </row>
    <row r="3692">
      <c r="A3692" s="3">
        <f>IFERROR(__xludf.DUMMYFUNCTION("""COMPUTED_VALUE"""),43691.64583333333)</f>
        <v>43691.64583</v>
      </c>
      <c r="B3692" s="2">
        <f>IFERROR(__xludf.DUMMYFUNCTION("""COMPUTED_VALUE"""),2181.1)</f>
        <v>2181.1</v>
      </c>
      <c r="C3692" s="2">
        <f>IFERROR(__xludf.DUMMYFUNCTION("""COMPUTED_VALUE"""),2217.85)</f>
        <v>2217.85</v>
      </c>
      <c r="D3692" s="2">
        <f>IFERROR(__xludf.DUMMYFUNCTION("""COMPUTED_VALUE"""),2167.4)</f>
        <v>2167.4</v>
      </c>
      <c r="E3692" s="2">
        <f>IFERROR(__xludf.DUMMYFUNCTION("""COMPUTED_VALUE"""),2204.4)</f>
        <v>2204.4</v>
      </c>
      <c r="F3692" s="2">
        <f>IFERROR(__xludf.DUMMYFUNCTION("""COMPUTED_VALUE"""),1945002.0)</f>
        <v>1945002</v>
      </c>
    </row>
    <row r="3693">
      <c r="A3693" s="3">
        <f>IFERROR(__xludf.DUMMYFUNCTION("""COMPUTED_VALUE"""),43693.64583333333)</f>
        <v>43693.64583</v>
      </c>
      <c r="B3693" s="2">
        <f>IFERROR(__xludf.DUMMYFUNCTION("""COMPUTED_VALUE"""),2241.4)</f>
        <v>2241.4</v>
      </c>
      <c r="C3693" s="2">
        <f>IFERROR(__xludf.DUMMYFUNCTION("""COMPUTED_VALUE"""),2241.4)</f>
        <v>2241.4</v>
      </c>
      <c r="D3693" s="2">
        <f>IFERROR(__xludf.DUMMYFUNCTION("""COMPUTED_VALUE"""),2143.25)</f>
        <v>2143.25</v>
      </c>
      <c r="E3693" s="2">
        <f>IFERROR(__xludf.DUMMYFUNCTION("""COMPUTED_VALUE"""),2165.1)</f>
        <v>2165.1</v>
      </c>
      <c r="F3693" s="2">
        <f>IFERROR(__xludf.DUMMYFUNCTION("""COMPUTED_VALUE"""),3755507.0)</f>
        <v>3755507</v>
      </c>
    </row>
    <row r="3694">
      <c r="A3694" s="3">
        <f>IFERROR(__xludf.DUMMYFUNCTION("""COMPUTED_VALUE"""),43696.64583333333)</f>
        <v>43696.64583</v>
      </c>
      <c r="B3694" s="2">
        <f>IFERROR(__xludf.DUMMYFUNCTION("""COMPUTED_VALUE"""),2180.0)</f>
        <v>2180</v>
      </c>
      <c r="C3694" s="2">
        <f>IFERROR(__xludf.DUMMYFUNCTION("""COMPUTED_VALUE"""),2186.0)</f>
        <v>2186</v>
      </c>
      <c r="D3694" s="2">
        <f>IFERROR(__xludf.DUMMYFUNCTION("""COMPUTED_VALUE"""),2157.7)</f>
        <v>2157.7</v>
      </c>
      <c r="E3694" s="2">
        <f>IFERROR(__xludf.DUMMYFUNCTION("""COMPUTED_VALUE"""),2163.0)</f>
        <v>2163</v>
      </c>
      <c r="F3694" s="2">
        <f>IFERROR(__xludf.DUMMYFUNCTION("""COMPUTED_VALUE"""),974884.0)</f>
        <v>974884</v>
      </c>
    </row>
    <row r="3695">
      <c r="A3695" s="3">
        <f>IFERROR(__xludf.DUMMYFUNCTION("""COMPUTED_VALUE"""),43697.64583333333)</f>
        <v>43697.64583</v>
      </c>
      <c r="B3695" s="2">
        <f>IFERROR(__xludf.DUMMYFUNCTION("""COMPUTED_VALUE"""),2172.0)</f>
        <v>2172</v>
      </c>
      <c r="C3695" s="2">
        <f>IFERROR(__xludf.DUMMYFUNCTION("""COMPUTED_VALUE"""),2205.0)</f>
        <v>2205</v>
      </c>
      <c r="D3695" s="2">
        <f>IFERROR(__xludf.DUMMYFUNCTION("""COMPUTED_VALUE"""),2166.5)</f>
        <v>2166.5</v>
      </c>
      <c r="E3695" s="2">
        <f>IFERROR(__xludf.DUMMYFUNCTION("""COMPUTED_VALUE"""),2186.75)</f>
        <v>2186.75</v>
      </c>
      <c r="F3695" s="2">
        <f>IFERROR(__xludf.DUMMYFUNCTION("""COMPUTED_VALUE"""),1843611.0)</f>
        <v>1843611</v>
      </c>
    </row>
    <row r="3696">
      <c r="A3696" s="3">
        <f>IFERROR(__xludf.DUMMYFUNCTION("""COMPUTED_VALUE"""),43698.64583333333)</f>
        <v>43698.64583</v>
      </c>
      <c r="B3696" s="2">
        <f>IFERROR(__xludf.DUMMYFUNCTION("""COMPUTED_VALUE"""),2184.95)</f>
        <v>2184.95</v>
      </c>
      <c r="C3696" s="2">
        <f>IFERROR(__xludf.DUMMYFUNCTION("""COMPUTED_VALUE"""),2202.0)</f>
        <v>2202</v>
      </c>
      <c r="D3696" s="2">
        <f>IFERROR(__xludf.DUMMYFUNCTION("""COMPUTED_VALUE"""),2182.25)</f>
        <v>2182.25</v>
      </c>
      <c r="E3696" s="2">
        <f>IFERROR(__xludf.DUMMYFUNCTION("""COMPUTED_VALUE"""),2186.2)</f>
        <v>2186.2</v>
      </c>
      <c r="F3696" s="2">
        <f>IFERROR(__xludf.DUMMYFUNCTION("""COMPUTED_VALUE"""),1214408.0)</f>
        <v>1214408</v>
      </c>
    </row>
    <row r="3697">
      <c r="A3697" s="3">
        <f>IFERROR(__xludf.DUMMYFUNCTION("""COMPUTED_VALUE"""),43699.64583333333)</f>
        <v>43699.64583</v>
      </c>
      <c r="B3697" s="2">
        <f>IFERROR(__xludf.DUMMYFUNCTION("""COMPUTED_VALUE"""),2187.0)</f>
        <v>2187</v>
      </c>
      <c r="C3697" s="2">
        <f>IFERROR(__xludf.DUMMYFUNCTION("""COMPUTED_VALUE"""),2235.65)</f>
        <v>2235.65</v>
      </c>
      <c r="D3697" s="2">
        <f>IFERROR(__xludf.DUMMYFUNCTION("""COMPUTED_VALUE"""),2170.0)</f>
        <v>2170</v>
      </c>
      <c r="E3697" s="2">
        <f>IFERROR(__xludf.DUMMYFUNCTION("""COMPUTED_VALUE"""),2216.0)</f>
        <v>2216</v>
      </c>
      <c r="F3697" s="2">
        <f>IFERROR(__xludf.DUMMYFUNCTION("""COMPUTED_VALUE"""),2131601.0)</f>
        <v>2131601</v>
      </c>
    </row>
    <row r="3698">
      <c r="A3698" s="3">
        <f>IFERROR(__xludf.DUMMYFUNCTION("""COMPUTED_VALUE"""),43700.64583333333)</f>
        <v>43700.64583</v>
      </c>
      <c r="B3698" s="2">
        <f>IFERROR(__xludf.DUMMYFUNCTION("""COMPUTED_VALUE"""),2214.95)</f>
        <v>2214.95</v>
      </c>
      <c r="C3698" s="2">
        <f>IFERROR(__xludf.DUMMYFUNCTION("""COMPUTED_VALUE"""),2259.9)</f>
        <v>2259.9</v>
      </c>
      <c r="D3698" s="2">
        <f>IFERROR(__xludf.DUMMYFUNCTION("""COMPUTED_VALUE"""),2213.9)</f>
        <v>2213.9</v>
      </c>
      <c r="E3698" s="2">
        <f>IFERROR(__xludf.DUMMYFUNCTION("""COMPUTED_VALUE"""),2247.7)</f>
        <v>2247.7</v>
      </c>
      <c r="F3698" s="2">
        <f>IFERROR(__xludf.DUMMYFUNCTION("""COMPUTED_VALUE"""),2826425.0)</f>
        <v>2826425</v>
      </c>
    </row>
    <row r="3699">
      <c r="A3699" s="3">
        <f>IFERROR(__xludf.DUMMYFUNCTION("""COMPUTED_VALUE"""),43703.64583333333)</f>
        <v>43703.64583</v>
      </c>
      <c r="B3699" s="2">
        <f>IFERROR(__xludf.DUMMYFUNCTION("""COMPUTED_VALUE"""),2247.0)</f>
        <v>2247</v>
      </c>
      <c r="C3699" s="2">
        <f>IFERROR(__xludf.DUMMYFUNCTION("""COMPUTED_VALUE"""),2282.0)</f>
        <v>2282</v>
      </c>
      <c r="D3699" s="2">
        <f>IFERROR(__xludf.DUMMYFUNCTION("""COMPUTED_VALUE"""),2225.0)</f>
        <v>2225</v>
      </c>
      <c r="E3699" s="2">
        <f>IFERROR(__xludf.DUMMYFUNCTION("""COMPUTED_VALUE"""),2276.3)</f>
        <v>2276.3</v>
      </c>
      <c r="F3699" s="2">
        <f>IFERROR(__xludf.DUMMYFUNCTION("""COMPUTED_VALUE"""),2345475.0)</f>
        <v>2345475</v>
      </c>
    </row>
    <row r="3700">
      <c r="A3700" s="3">
        <f>IFERROR(__xludf.DUMMYFUNCTION("""COMPUTED_VALUE"""),43704.64583333333)</f>
        <v>43704.64583</v>
      </c>
      <c r="B3700" s="2">
        <f>IFERROR(__xludf.DUMMYFUNCTION("""COMPUTED_VALUE"""),2270.0)</f>
        <v>2270</v>
      </c>
      <c r="C3700" s="2">
        <f>IFERROR(__xludf.DUMMYFUNCTION("""COMPUTED_VALUE"""),2274.85)</f>
        <v>2274.85</v>
      </c>
      <c r="D3700" s="2">
        <f>IFERROR(__xludf.DUMMYFUNCTION("""COMPUTED_VALUE"""),2229.0)</f>
        <v>2229</v>
      </c>
      <c r="E3700" s="2">
        <f>IFERROR(__xludf.DUMMYFUNCTION("""COMPUTED_VALUE"""),2236.5)</f>
        <v>2236.5</v>
      </c>
      <c r="F3700" s="2">
        <f>IFERROR(__xludf.DUMMYFUNCTION("""COMPUTED_VALUE"""),3432106.0)</f>
        <v>3432106</v>
      </c>
    </row>
    <row r="3701">
      <c r="A3701" s="3">
        <f>IFERROR(__xludf.DUMMYFUNCTION("""COMPUTED_VALUE"""),43705.64583333333)</f>
        <v>43705.64583</v>
      </c>
      <c r="B3701" s="2">
        <f>IFERROR(__xludf.DUMMYFUNCTION("""COMPUTED_VALUE"""),2240.0)</f>
        <v>2240</v>
      </c>
      <c r="C3701" s="2">
        <f>IFERROR(__xludf.DUMMYFUNCTION("""COMPUTED_VALUE"""),2252.15)</f>
        <v>2252.15</v>
      </c>
      <c r="D3701" s="2">
        <f>IFERROR(__xludf.DUMMYFUNCTION("""COMPUTED_VALUE"""),2216.0)</f>
        <v>2216</v>
      </c>
      <c r="E3701" s="2">
        <f>IFERROR(__xludf.DUMMYFUNCTION("""COMPUTED_VALUE"""),2239.25)</f>
        <v>2239.25</v>
      </c>
      <c r="F3701" s="2">
        <f>IFERROR(__xludf.DUMMYFUNCTION("""COMPUTED_VALUE"""),1294621.0)</f>
        <v>1294621</v>
      </c>
    </row>
    <row r="3702">
      <c r="A3702" s="3">
        <f>IFERROR(__xludf.DUMMYFUNCTION("""COMPUTED_VALUE"""),43706.64583333333)</f>
        <v>43706.64583</v>
      </c>
      <c r="B3702" s="2">
        <f>IFERROR(__xludf.DUMMYFUNCTION("""COMPUTED_VALUE"""),2222.2)</f>
        <v>2222.2</v>
      </c>
      <c r="C3702" s="2">
        <f>IFERROR(__xludf.DUMMYFUNCTION("""COMPUTED_VALUE"""),2248.2)</f>
        <v>2248.2</v>
      </c>
      <c r="D3702" s="2">
        <f>IFERROR(__xludf.DUMMYFUNCTION("""COMPUTED_VALUE"""),2222.2)</f>
        <v>2222.2</v>
      </c>
      <c r="E3702" s="2">
        <f>IFERROR(__xludf.DUMMYFUNCTION("""COMPUTED_VALUE"""),2233.45)</f>
        <v>2233.45</v>
      </c>
      <c r="F3702" s="2">
        <f>IFERROR(__xludf.DUMMYFUNCTION("""COMPUTED_VALUE"""),1670652.0)</f>
        <v>1670652</v>
      </c>
    </row>
    <row r="3703">
      <c r="A3703" s="3">
        <f>IFERROR(__xludf.DUMMYFUNCTION("""COMPUTED_VALUE"""),43707.64583333333)</f>
        <v>43707.64583</v>
      </c>
      <c r="B3703" s="2">
        <f>IFERROR(__xludf.DUMMYFUNCTION("""COMPUTED_VALUE"""),2241.0)</f>
        <v>2241</v>
      </c>
      <c r="C3703" s="2">
        <f>IFERROR(__xludf.DUMMYFUNCTION("""COMPUTED_VALUE"""),2266.0)</f>
        <v>2266</v>
      </c>
      <c r="D3703" s="2">
        <f>IFERROR(__xludf.DUMMYFUNCTION("""COMPUTED_VALUE"""),2218.0)</f>
        <v>2218</v>
      </c>
      <c r="E3703" s="2">
        <f>IFERROR(__xludf.DUMMYFUNCTION("""COMPUTED_VALUE"""),2259.6)</f>
        <v>2259.6</v>
      </c>
      <c r="F3703" s="2">
        <f>IFERROR(__xludf.DUMMYFUNCTION("""COMPUTED_VALUE"""),2583625.0)</f>
        <v>2583625</v>
      </c>
    </row>
    <row r="3704">
      <c r="A3704" s="3">
        <f>IFERROR(__xludf.DUMMYFUNCTION("""COMPUTED_VALUE"""),43711.64583333333)</f>
        <v>43711.64583</v>
      </c>
      <c r="B3704" s="2">
        <f>IFERROR(__xludf.DUMMYFUNCTION("""COMPUTED_VALUE"""),2270.0)</f>
        <v>2270</v>
      </c>
      <c r="C3704" s="2">
        <f>IFERROR(__xludf.DUMMYFUNCTION("""COMPUTED_VALUE"""),2296.2)</f>
        <v>2296.2</v>
      </c>
      <c r="D3704" s="2">
        <f>IFERROR(__xludf.DUMMYFUNCTION("""COMPUTED_VALUE"""),2236.95)</f>
        <v>2236.95</v>
      </c>
      <c r="E3704" s="2">
        <f>IFERROR(__xludf.DUMMYFUNCTION("""COMPUTED_VALUE"""),2251.6)</f>
        <v>2251.6</v>
      </c>
      <c r="F3704" s="2">
        <f>IFERROR(__xludf.DUMMYFUNCTION("""COMPUTED_VALUE"""),2545060.0)</f>
        <v>2545060</v>
      </c>
    </row>
    <row r="3705">
      <c r="A3705" s="3">
        <f>IFERROR(__xludf.DUMMYFUNCTION("""COMPUTED_VALUE"""),43712.64583333333)</f>
        <v>43712.64583</v>
      </c>
      <c r="B3705" s="2">
        <f>IFERROR(__xludf.DUMMYFUNCTION("""COMPUTED_VALUE"""),2265.0)</f>
        <v>2265</v>
      </c>
      <c r="C3705" s="2">
        <f>IFERROR(__xludf.DUMMYFUNCTION("""COMPUTED_VALUE"""),2270.0)</f>
        <v>2270</v>
      </c>
      <c r="D3705" s="2">
        <f>IFERROR(__xludf.DUMMYFUNCTION("""COMPUTED_VALUE"""),2233.0)</f>
        <v>2233</v>
      </c>
      <c r="E3705" s="2">
        <f>IFERROR(__xludf.DUMMYFUNCTION("""COMPUTED_VALUE"""),2245.4)</f>
        <v>2245.4</v>
      </c>
      <c r="F3705" s="2">
        <f>IFERROR(__xludf.DUMMYFUNCTION("""COMPUTED_VALUE"""),2228092.0)</f>
        <v>2228092</v>
      </c>
    </row>
    <row r="3706">
      <c r="A3706" s="3">
        <f>IFERROR(__xludf.DUMMYFUNCTION("""COMPUTED_VALUE"""),43713.64583333333)</f>
        <v>43713.64583</v>
      </c>
      <c r="B3706" s="2">
        <f>IFERROR(__xludf.DUMMYFUNCTION("""COMPUTED_VALUE"""),2242.2)</f>
        <v>2242.2</v>
      </c>
      <c r="C3706" s="2">
        <f>IFERROR(__xludf.DUMMYFUNCTION("""COMPUTED_VALUE"""),2253.65)</f>
        <v>2253.65</v>
      </c>
      <c r="D3706" s="2">
        <f>IFERROR(__xludf.DUMMYFUNCTION("""COMPUTED_VALUE"""),2207.3)</f>
        <v>2207.3</v>
      </c>
      <c r="E3706" s="2">
        <f>IFERROR(__xludf.DUMMYFUNCTION("""COMPUTED_VALUE"""),2215.3)</f>
        <v>2215.3</v>
      </c>
      <c r="F3706" s="2">
        <f>IFERROR(__xludf.DUMMYFUNCTION("""COMPUTED_VALUE"""),2055943.0)</f>
        <v>2055943</v>
      </c>
    </row>
    <row r="3707">
      <c r="A3707" s="3">
        <f>IFERROR(__xludf.DUMMYFUNCTION("""COMPUTED_VALUE"""),43714.64583333333)</f>
        <v>43714.64583</v>
      </c>
      <c r="B3707" s="2">
        <f>IFERROR(__xludf.DUMMYFUNCTION("""COMPUTED_VALUE"""),2216.0)</f>
        <v>2216</v>
      </c>
      <c r="C3707" s="2">
        <f>IFERROR(__xludf.DUMMYFUNCTION("""COMPUTED_VALUE"""),2233.5)</f>
        <v>2233.5</v>
      </c>
      <c r="D3707" s="2">
        <f>IFERROR(__xludf.DUMMYFUNCTION("""COMPUTED_VALUE"""),2192.6)</f>
        <v>2192.6</v>
      </c>
      <c r="E3707" s="2">
        <f>IFERROR(__xludf.DUMMYFUNCTION("""COMPUTED_VALUE"""),2197.5)</f>
        <v>2197.5</v>
      </c>
      <c r="F3707" s="2">
        <f>IFERROR(__xludf.DUMMYFUNCTION("""COMPUTED_VALUE"""),1890550.0)</f>
        <v>1890550</v>
      </c>
    </row>
    <row r="3708">
      <c r="A3708" s="3">
        <f>IFERROR(__xludf.DUMMYFUNCTION("""COMPUTED_VALUE"""),43717.64583333333)</f>
        <v>43717.64583</v>
      </c>
      <c r="B3708" s="2">
        <f>IFERROR(__xludf.DUMMYFUNCTION("""COMPUTED_VALUE"""),2200.0)</f>
        <v>2200</v>
      </c>
      <c r="C3708" s="2">
        <f>IFERROR(__xludf.DUMMYFUNCTION("""COMPUTED_VALUE"""),2202.85)</f>
        <v>2202.85</v>
      </c>
      <c r="D3708" s="2">
        <f>IFERROR(__xludf.DUMMYFUNCTION("""COMPUTED_VALUE"""),2179.8)</f>
        <v>2179.8</v>
      </c>
      <c r="E3708" s="2">
        <f>IFERROR(__xludf.DUMMYFUNCTION("""COMPUTED_VALUE"""),2182.85)</f>
        <v>2182.85</v>
      </c>
      <c r="F3708" s="2">
        <f>IFERROR(__xludf.DUMMYFUNCTION("""COMPUTED_VALUE"""),1703945.0)</f>
        <v>1703945</v>
      </c>
    </row>
    <row r="3709">
      <c r="A3709" s="3">
        <f>IFERROR(__xludf.DUMMYFUNCTION("""COMPUTED_VALUE"""),43719.64583333333)</f>
        <v>43719.64583</v>
      </c>
      <c r="B3709" s="2">
        <f>IFERROR(__xludf.DUMMYFUNCTION("""COMPUTED_VALUE"""),2186.0)</f>
        <v>2186</v>
      </c>
      <c r="C3709" s="2">
        <f>IFERROR(__xludf.DUMMYFUNCTION("""COMPUTED_VALUE"""),2195.0)</f>
        <v>2195</v>
      </c>
      <c r="D3709" s="2">
        <f>IFERROR(__xludf.DUMMYFUNCTION("""COMPUTED_VALUE"""),2146.55)</f>
        <v>2146.55</v>
      </c>
      <c r="E3709" s="2">
        <f>IFERROR(__xludf.DUMMYFUNCTION("""COMPUTED_VALUE"""),2154.0)</f>
        <v>2154</v>
      </c>
      <c r="F3709" s="2">
        <f>IFERROR(__xludf.DUMMYFUNCTION("""COMPUTED_VALUE"""),2627440.0)</f>
        <v>2627440</v>
      </c>
    </row>
    <row r="3710">
      <c r="A3710" s="3">
        <f>IFERROR(__xludf.DUMMYFUNCTION("""COMPUTED_VALUE"""),43720.64583333333)</f>
        <v>43720.64583</v>
      </c>
      <c r="B3710" s="2">
        <f>IFERROR(__xludf.DUMMYFUNCTION("""COMPUTED_VALUE"""),2155.0)</f>
        <v>2155</v>
      </c>
      <c r="C3710" s="2">
        <f>IFERROR(__xludf.DUMMYFUNCTION("""COMPUTED_VALUE"""),2165.0)</f>
        <v>2165</v>
      </c>
      <c r="D3710" s="2">
        <f>IFERROR(__xludf.DUMMYFUNCTION("""COMPUTED_VALUE"""),2120.35)</f>
        <v>2120.35</v>
      </c>
      <c r="E3710" s="2">
        <f>IFERROR(__xludf.DUMMYFUNCTION("""COMPUTED_VALUE"""),2133.6)</f>
        <v>2133.6</v>
      </c>
      <c r="F3710" s="2">
        <f>IFERROR(__xludf.DUMMYFUNCTION("""COMPUTED_VALUE"""),2118859.0)</f>
        <v>2118859</v>
      </c>
    </row>
    <row r="3711">
      <c r="A3711" s="3">
        <f>IFERROR(__xludf.DUMMYFUNCTION("""COMPUTED_VALUE"""),43721.64583333333)</f>
        <v>43721.64583</v>
      </c>
      <c r="B3711" s="2">
        <f>IFERROR(__xludf.DUMMYFUNCTION("""COMPUTED_VALUE"""),2135.0)</f>
        <v>2135</v>
      </c>
      <c r="C3711" s="2">
        <f>IFERROR(__xludf.DUMMYFUNCTION("""COMPUTED_VALUE"""),2157.95)</f>
        <v>2157.95</v>
      </c>
      <c r="D3711" s="2">
        <f>IFERROR(__xludf.DUMMYFUNCTION("""COMPUTED_VALUE"""),2115.55)</f>
        <v>2115.55</v>
      </c>
      <c r="E3711" s="2">
        <f>IFERROR(__xludf.DUMMYFUNCTION("""COMPUTED_VALUE"""),2141.95)</f>
        <v>2141.95</v>
      </c>
      <c r="F3711" s="2">
        <f>IFERROR(__xludf.DUMMYFUNCTION("""COMPUTED_VALUE"""),2291174.0)</f>
        <v>2291174</v>
      </c>
    </row>
    <row r="3712">
      <c r="A3712" s="3">
        <f>IFERROR(__xludf.DUMMYFUNCTION("""COMPUTED_VALUE"""),43724.64583333333)</f>
        <v>43724.64583</v>
      </c>
      <c r="B3712" s="2">
        <f>IFERROR(__xludf.DUMMYFUNCTION("""COMPUTED_VALUE"""),2159.95)</f>
        <v>2159.95</v>
      </c>
      <c r="C3712" s="2">
        <f>IFERROR(__xludf.DUMMYFUNCTION("""COMPUTED_VALUE"""),2173.4)</f>
        <v>2173.4</v>
      </c>
      <c r="D3712" s="2">
        <f>IFERROR(__xludf.DUMMYFUNCTION("""COMPUTED_VALUE"""),2126.4)</f>
        <v>2126.4</v>
      </c>
      <c r="E3712" s="2">
        <f>IFERROR(__xludf.DUMMYFUNCTION("""COMPUTED_VALUE"""),2150.0)</f>
        <v>2150</v>
      </c>
      <c r="F3712" s="2">
        <f>IFERROR(__xludf.DUMMYFUNCTION("""COMPUTED_VALUE"""),2597948.0)</f>
        <v>2597948</v>
      </c>
    </row>
    <row r="3713">
      <c r="A3713" s="3">
        <f>IFERROR(__xludf.DUMMYFUNCTION("""COMPUTED_VALUE"""),43725.64583333333)</f>
        <v>43725.64583</v>
      </c>
      <c r="B3713" s="2">
        <f>IFERROR(__xludf.DUMMYFUNCTION("""COMPUTED_VALUE"""),2154.95)</f>
        <v>2154.95</v>
      </c>
      <c r="C3713" s="2">
        <f>IFERROR(__xludf.DUMMYFUNCTION("""COMPUTED_VALUE"""),2156.55)</f>
        <v>2156.55</v>
      </c>
      <c r="D3713" s="2">
        <f>IFERROR(__xludf.DUMMYFUNCTION("""COMPUTED_VALUE"""),2105.6)</f>
        <v>2105.6</v>
      </c>
      <c r="E3713" s="2">
        <f>IFERROR(__xludf.DUMMYFUNCTION("""COMPUTED_VALUE"""),2122.65)</f>
        <v>2122.65</v>
      </c>
      <c r="F3713" s="2">
        <f>IFERROR(__xludf.DUMMYFUNCTION("""COMPUTED_VALUE"""),2796530.0)</f>
        <v>2796530</v>
      </c>
    </row>
    <row r="3714">
      <c r="A3714" s="3">
        <f>IFERROR(__xludf.DUMMYFUNCTION("""COMPUTED_VALUE"""),43726.64583333333)</f>
        <v>43726.64583</v>
      </c>
      <c r="B3714" s="2">
        <f>IFERROR(__xludf.DUMMYFUNCTION("""COMPUTED_VALUE"""),2126.4)</f>
        <v>2126.4</v>
      </c>
      <c r="C3714" s="2">
        <f>IFERROR(__xludf.DUMMYFUNCTION("""COMPUTED_VALUE"""),2142.95)</f>
        <v>2142.95</v>
      </c>
      <c r="D3714" s="2">
        <f>IFERROR(__xludf.DUMMYFUNCTION("""COMPUTED_VALUE"""),2113.15)</f>
        <v>2113.15</v>
      </c>
      <c r="E3714" s="2">
        <f>IFERROR(__xludf.DUMMYFUNCTION("""COMPUTED_VALUE"""),2138.55)</f>
        <v>2138.55</v>
      </c>
      <c r="F3714" s="2">
        <f>IFERROR(__xludf.DUMMYFUNCTION("""COMPUTED_VALUE"""),1454663.0)</f>
        <v>1454663</v>
      </c>
    </row>
    <row r="3715">
      <c r="A3715" s="3">
        <f>IFERROR(__xludf.DUMMYFUNCTION("""COMPUTED_VALUE"""),43727.64583333333)</f>
        <v>43727.64583</v>
      </c>
      <c r="B3715" s="2">
        <f>IFERROR(__xludf.DUMMYFUNCTION("""COMPUTED_VALUE"""),2135.0)</f>
        <v>2135</v>
      </c>
      <c r="C3715" s="2">
        <f>IFERROR(__xludf.DUMMYFUNCTION("""COMPUTED_VALUE"""),2135.8)</f>
        <v>2135.8</v>
      </c>
      <c r="D3715" s="2">
        <f>IFERROR(__xludf.DUMMYFUNCTION("""COMPUTED_VALUE"""),2091.0)</f>
        <v>2091</v>
      </c>
      <c r="E3715" s="2">
        <f>IFERROR(__xludf.DUMMYFUNCTION("""COMPUTED_VALUE"""),2101.95)</f>
        <v>2101.95</v>
      </c>
      <c r="F3715" s="2">
        <f>IFERROR(__xludf.DUMMYFUNCTION("""COMPUTED_VALUE"""),1652691.0)</f>
        <v>1652691</v>
      </c>
    </row>
    <row r="3716">
      <c r="A3716" s="3">
        <f>IFERROR(__xludf.DUMMYFUNCTION("""COMPUTED_VALUE"""),43728.64583333333)</f>
        <v>43728.64583</v>
      </c>
      <c r="B3716" s="2">
        <f>IFERROR(__xludf.DUMMYFUNCTION("""COMPUTED_VALUE"""),2104.9)</f>
        <v>2104.9</v>
      </c>
      <c r="C3716" s="2">
        <f>IFERROR(__xludf.DUMMYFUNCTION("""COMPUTED_VALUE"""),2129.4)</f>
        <v>2129.4</v>
      </c>
      <c r="D3716" s="2">
        <f>IFERROR(__xludf.DUMMYFUNCTION("""COMPUTED_VALUE"""),2057.0)</f>
        <v>2057</v>
      </c>
      <c r="E3716" s="2">
        <f>IFERROR(__xludf.DUMMYFUNCTION("""COMPUTED_VALUE"""),2065.45)</f>
        <v>2065.45</v>
      </c>
      <c r="F3716" s="2">
        <f>IFERROR(__xludf.DUMMYFUNCTION("""COMPUTED_VALUE"""),6941979.0)</f>
        <v>6941979</v>
      </c>
    </row>
    <row r="3717">
      <c r="A3717" s="3">
        <f>IFERROR(__xludf.DUMMYFUNCTION("""COMPUTED_VALUE"""),43731.64583333333)</f>
        <v>43731.64583</v>
      </c>
      <c r="B3717" s="2">
        <f>IFERROR(__xludf.DUMMYFUNCTION("""COMPUTED_VALUE"""),2099.0)</f>
        <v>2099</v>
      </c>
      <c r="C3717" s="2">
        <f>IFERROR(__xludf.DUMMYFUNCTION("""COMPUTED_VALUE"""),2099.0)</f>
        <v>2099</v>
      </c>
      <c r="D3717" s="2">
        <f>IFERROR(__xludf.DUMMYFUNCTION("""COMPUTED_VALUE"""),1975.0)</f>
        <v>1975</v>
      </c>
      <c r="E3717" s="2">
        <f>IFERROR(__xludf.DUMMYFUNCTION("""COMPUTED_VALUE"""),2015.8)</f>
        <v>2015.8</v>
      </c>
      <c r="F3717" s="2">
        <f>IFERROR(__xludf.DUMMYFUNCTION("""COMPUTED_VALUE"""),6323401.0)</f>
        <v>6323401</v>
      </c>
    </row>
    <row r="3718">
      <c r="A3718" s="3">
        <f>IFERROR(__xludf.DUMMYFUNCTION("""COMPUTED_VALUE"""),43732.64583333333)</f>
        <v>43732.64583</v>
      </c>
      <c r="B3718" s="2">
        <f>IFERROR(__xludf.DUMMYFUNCTION("""COMPUTED_VALUE"""),2015.0)</f>
        <v>2015</v>
      </c>
      <c r="C3718" s="2">
        <f>IFERROR(__xludf.DUMMYFUNCTION("""COMPUTED_VALUE"""),2061.0)</f>
        <v>2061</v>
      </c>
      <c r="D3718" s="2">
        <f>IFERROR(__xludf.DUMMYFUNCTION("""COMPUTED_VALUE"""),2013.0)</f>
        <v>2013</v>
      </c>
      <c r="E3718" s="2">
        <f>IFERROR(__xludf.DUMMYFUNCTION("""COMPUTED_VALUE"""),2044.7)</f>
        <v>2044.7</v>
      </c>
      <c r="F3718" s="2">
        <f>IFERROR(__xludf.DUMMYFUNCTION("""COMPUTED_VALUE"""),4620978.0)</f>
        <v>4620978</v>
      </c>
    </row>
    <row r="3719">
      <c r="A3719" s="3">
        <f>IFERROR(__xludf.DUMMYFUNCTION("""COMPUTED_VALUE"""),43733.64583333333)</f>
        <v>43733.64583</v>
      </c>
      <c r="B3719" s="2">
        <f>IFERROR(__xludf.DUMMYFUNCTION("""COMPUTED_VALUE"""),2065.0)</f>
        <v>2065</v>
      </c>
      <c r="C3719" s="2">
        <f>IFERROR(__xludf.DUMMYFUNCTION("""COMPUTED_VALUE"""),2092.0)</f>
        <v>2092</v>
      </c>
      <c r="D3719" s="2">
        <f>IFERROR(__xludf.DUMMYFUNCTION("""COMPUTED_VALUE"""),2060.05)</f>
        <v>2060.05</v>
      </c>
      <c r="E3719" s="2">
        <f>IFERROR(__xludf.DUMMYFUNCTION("""COMPUTED_VALUE"""),2088.45)</f>
        <v>2088.45</v>
      </c>
      <c r="F3719" s="2">
        <f>IFERROR(__xludf.DUMMYFUNCTION("""COMPUTED_VALUE"""),4002232.0)</f>
        <v>4002232</v>
      </c>
    </row>
    <row r="3720">
      <c r="A3720" s="3">
        <f>IFERROR(__xludf.DUMMYFUNCTION("""COMPUTED_VALUE"""),43734.64583333333)</f>
        <v>43734.64583</v>
      </c>
      <c r="B3720" s="2">
        <f>IFERROR(__xludf.DUMMYFUNCTION("""COMPUTED_VALUE"""),2097.9)</f>
        <v>2097.9</v>
      </c>
      <c r="C3720" s="2">
        <f>IFERROR(__xludf.DUMMYFUNCTION("""COMPUTED_VALUE"""),2107.0)</f>
        <v>2107</v>
      </c>
      <c r="D3720" s="2">
        <f>IFERROR(__xludf.DUMMYFUNCTION("""COMPUTED_VALUE"""),2063.0)</f>
        <v>2063</v>
      </c>
      <c r="E3720" s="2">
        <f>IFERROR(__xludf.DUMMYFUNCTION("""COMPUTED_VALUE"""),2087.6)</f>
        <v>2087.6</v>
      </c>
      <c r="F3720" s="2">
        <f>IFERROR(__xludf.DUMMYFUNCTION("""COMPUTED_VALUE"""),4234281.0)</f>
        <v>4234281</v>
      </c>
    </row>
    <row r="3721">
      <c r="A3721" s="3">
        <f>IFERROR(__xludf.DUMMYFUNCTION("""COMPUTED_VALUE"""),43735.64583333333)</f>
        <v>43735.64583</v>
      </c>
      <c r="B3721" s="2">
        <f>IFERROR(__xludf.DUMMYFUNCTION("""COMPUTED_VALUE"""),2085.0)</f>
        <v>2085</v>
      </c>
      <c r="C3721" s="2">
        <f>IFERROR(__xludf.DUMMYFUNCTION("""COMPUTED_VALUE"""),2085.2)</f>
        <v>2085.2</v>
      </c>
      <c r="D3721" s="2">
        <f>IFERROR(__xludf.DUMMYFUNCTION("""COMPUTED_VALUE"""),2051.4)</f>
        <v>2051.4</v>
      </c>
      <c r="E3721" s="2">
        <f>IFERROR(__xludf.DUMMYFUNCTION("""COMPUTED_VALUE"""),2056.15)</f>
        <v>2056.15</v>
      </c>
      <c r="F3721" s="2">
        <f>IFERROR(__xludf.DUMMYFUNCTION("""COMPUTED_VALUE"""),2046795.0)</f>
        <v>2046795</v>
      </c>
    </row>
    <row r="3722">
      <c r="A3722" s="3">
        <f>IFERROR(__xludf.DUMMYFUNCTION("""COMPUTED_VALUE"""),43738.64583333333)</f>
        <v>43738.64583</v>
      </c>
      <c r="B3722" s="2">
        <f>IFERROR(__xludf.DUMMYFUNCTION("""COMPUTED_VALUE"""),2061.85)</f>
        <v>2061.85</v>
      </c>
      <c r="C3722" s="2">
        <f>IFERROR(__xludf.DUMMYFUNCTION("""COMPUTED_VALUE"""),2104.0)</f>
        <v>2104</v>
      </c>
      <c r="D3722" s="2">
        <f>IFERROR(__xludf.DUMMYFUNCTION("""COMPUTED_VALUE"""),2060.0)</f>
        <v>2060</v>
      </c>
      <c r="E3722" s="2">
        <f>IFERROR(__xludf.DUMMYFUNCTION("""COMPUTED_VALUE"""),2099.3)</f>
        <v>2099.3</v>
      </c>
      <c r="F3722" s="2">
        <f>IFERROR(__xludf.DUMMYFUNCTION("""COMPUTED_VALUE"""),2620039.0)</f>
        <v>2620039</v>
      </c>
    </row>
    <row r="3723">
      <c r="A3723" s="3">
        <f>IFERROR(__xludf.DUMMYFUNCTION("""COMPUTED_VALUE"""),43739.64583333333)</f>
        <v>43739.64583</v>
      </c>
      <c r="B3723" s="2">
        <f>IFERROR(__xludf.DUMMYFUNCTION("""COMPUTED_VALUE"""),2095.95)</f>
        <v>2095.95</v>
      </c>
      <c r="C3723" s="2">
        <f>IFERROR(__xludf.DUMMYFUNCTION("""COMPUTED_VALUE"""),2095.95)</f>
        <v>2095.95</v>
      </c>
      <c r="D3723" s="2">
        <f>IFERROR(__xludf.DUMMYFUNCTION("""COMPUTED_VALUE"""),2039.7)</f>
        <v>2039.7</v>
      </c>
      <c r="E3723" s="2">
        <f>IFERROR(__xludf.DUMMYFUNCTION("""COMPUTED_VALUE"""),2059.95)</f>
        <v>2059.95</v>
      </c>
      <c r="F3723" s="2">
        <f>IFERROR(__xludf.DUMMYFUNCTION("""COMPUTED_VALUE"""),3342877.0)</f>
        <v>3342877</v>
      </c>
    </row>
    <row r="3724">
      <c r="A3724" s="3">
        <f>IFERROR(__xludf.DUMMYFUNCTION("""COMPUTED_VALUE"""),43741.64583333333)</f>
        <v>43741.64583</v>
      </c>
      <c r="B3724" s="2">
        <f>IFERROR(__xludf.DUMMYFUNCTION("""COMPUTED_VALUE"""),2070.0)</f>
        <v>2070</v>
      </c>
      <c r="C3724" s="2">
        <f>IFERROR(__xludf.DUMMYFUNCTION("""COMPUTED_VALUE"""),2081.15)</f>
        <v>2081.15</v>
      </c>
      <c r="D3724" s="2">
        <f>IFERROR(__xludf.DUMMYFUNCTION("""COMPUTED_VALUE"""),2046.15)</f>
        <v>2046.15</v>
      </c>
      <c r="E3724" s="2">
        <f>IFERROR(__xludf.DUMMYFUNCTION("""COMPUTED_VALUE"""),2060.25)</f>
        <v>2060.25</v>
      </c>
      <c r="F3724" s="2">
        <f>IFERROR(__xludf.DUMMYFUNCTION("""COMPUTED_VALUE"""),2317618.0)</f>
        <v>2317618</v>
      </c>
    </row>
    <row r="3725">
      <c r="A3725" s="3">
        <f>IFERROR(__xludf.DUMMYFUNCTION("""COMPUTED_VALUE"""),43742.64583333333)</f>
        <v>43742.64583</v>
      </c>
      <c r="B3725" s="2">
        <f>IFERROR(__xludf.DUMMYFUNCTION("""COMPUTED_VALUE"""),2060.6)</f>
        <v>2060.6</v>
      </c>
      <c r="C3725" s="2">
        <f>IFERROR(__xludf.DUMMYFUNCTION("""COMPUTED_VALUE"""),2087.95)</f>
        <v>2087.95</v>
      </c>
      <c r="D3725" s="2">
        <f>IFERROR(__xludf.DUMMYFUNCTION("""COMPUTED_VALUE"""),2054.95)</f>
        <v>2054.95</v>
      </c>
      <c r="E3725" s="2">
        <f>IFERROR(__xludf.DUMMYFUNCTION("""COMPUTED_VALUE"""),2079.35)</f>
        <v>2079.35</v>
      </c>
      <c r="F3725" s="2">
        <f>IFERROR(__xludf.DUMMYFUNCTION("""COMPUTED_VALUE"""),2163251.0)</f>
        <v>2163251</v>
      </c>
    </row>
    <row r="3726">
      <c r="A3726" s="3">
        <f>IFERROR(__xludf.DUMMYFUNCTION("""COMPUTED_VALUE"""),43745.64583333333)</f>
        <v>43745.64583</v>
      </c>
      <c r="B3726" s="2">
        <f>IFERROR(__xludf.DUMMYFUNCTION("""COMPUTED_VALUE"""),2080.0)</f>
        <v>2080</v>
      </c>
      <c r="C3726" s="2">
        <f>IFERROR(__xludf.DUMMYFUNCTION("""COMPUTED_VALUE"""),2094.5)</f>
        <v>2094.5</v>
      </c>
      <c r="D3726" s="2">
        <f>IFERROR(__xludf.DUMMYFUNCTION("""COMPUTED_VALUE"""),2041.0)</f>
        <v>2041</v>
      </c>
      <c r="E3726" s="2">
        <f>IFERROR(__xludf.DUMMYFUNCTION("""COMPUTED_VALUE"""),2047.7)</f>
        <v>2047.7</v>
      </c>
      <c r="F3726" s="2">
        <f>IFERROR(__xludf.DUMMYFUNCTION("""COMPUTED_VALUE"""),2177916.0)</f>
        <v>2177916</v>
      </c>
    </row>
    <row r="3727">
      <c r="A3727" s="3">
        <f>IFERROR(__xludf.DUMMYFUNCTION("""COMPUTED_VALUE"""),43747.64583333333)</f>
        <v>43747.64583</v>
      </c>
      <c r="B3727" s="2">
        <f>IFERROR(__xludf.DUMMYFUNCTION("""COMPUTED_VALUE"""),2060.0)</f>
        <v>2060</v>
      </c>
      <c r="C3727" s="2">
        <f>IFERROR(__xludf.DUMMYFUNCTION("""COMPUTED_VALUE"""),2060.0)</f>
        <v>2060</v>
      </c>
      <c r="D3727" s="2">
        <f>IFERROR(__xludf.DUMMYFUNCTION("""COMPUTED_VALUE"""),2015.5)</f>
        <v>2015.5</v>
      </c>
      <c r="E3727" s="2">
        <f>IFERROR(__xludf.DUMMYFUNCTION("""COMPUTED_VALUE"""),2020.1)</f>
        <v>2020.1</v>
      </c>
      <c r="F3727" s="2">
        <f>IFERROR(__xludf.DUMMYFUNCTION("""COMPUTED_VALUE"""),2066920.0)</f>
        <v>2066920</v>
      </c>
    </row>
    <row r="3728">
      <c r="A3728" s="3">
        <f>IFERROR(__xludf.DUMMYFUNCTION("""COMPUTED_VALUE"""),43748.64583333333)</f>
        <v>43748.64583</v>
      </c>
      <c r="B3728" s="2">
        <f>IFERROR(__xludf.DUMMYFUNCTION("""COMPUTED_VALUE"""),2028.0)</f>
        <v>2028</v>
      </c>
      <c r="C3728" s="2">
        <f>IFERROR(__xludf.DUMMYFUNCTION("""COMPUTED_VALUE"""),2039.05)</f>
        <v>2039.05</v>
      </c>
      <c r="D3728" s="2">
        <f>IFERROR(__xludf.DUMMYFUNCTION("""COMPUTED_VALUE"""),1997.1)</f>
        <v>1997.1</v>
      </c>
      <c r="E3728" s="2">
        <f>IFERROR(__xludf.DUMMYFUNCTION("""COMPUTED_VALUE"""),2004.45)</f>
        <v>2004.45</v>
      </c>
      <c r="F3728" s="2">
        <f>IFERROR(__xludf.DUMMYFUNCTION("""COMPUTED_VALUE"""),2881452.0)</f>
        <v>2881452</v>
      </c>
    </row>
    <row r="3729">
      <c r="A3729" s="3">
        <f>IFERROR(__xludf.DUMMYFUNCTION("""COMPUTED_VALUE"""),43749.64583333333)</f>
        <v>43749.64583</v>
      </c>
      <c r="B3729" s="2">
        <f>IFERROR(__xludf.DUMMYFUNCTION("""COMPUTED_VALUE"""),1931.0)</f>
        <v>1931</v>
      </c>
      <c r="C3729" s="2">
        <f>IFERROR(__xludf.DUMMYFUNCTION("""COMPUTED_VALUE"""),1995.0)</f>
        <v>1995</v>
      </c>
      <c r="D3729" s="2">
        <f>IFERROR(__xludf.DUMMYFUNCTION("""COMPUTED_VALUE"""),1925.0)</f>
        <v>1925</v>
      </c>
      <c r="E3729" s="2">
        <f>IFERROR(__xludf.DUMMYFUNCTION("""COMPUTED_VALUE"""),1986.85)</f>
        <v>1986.85</v>
      </c>
      <c r="F3729" s="2">
        <f>IFERROR(__xludf.DUMMYFUNCTION("""COMPUTED_VALUE"""),1.2593069E7)</f>
        <v>12593069</v>
      </c>
    </row>
    <row r="3730">
      <c r="A3730" s="3">
        <f>IFERROR(__xludf.DUMMYFUNCTION("""COMPUTED_VALUE"""),43752.64583333333)</f>
        <v>43752.64583</v>
      </c>
      <c r="B3730" s="2">
        <f>IFERROR(__xludf.DUMMYFUNCTION("""COMPUTED_VALUE"""),1995.0)</f>
        <v>1995</v>
      </c>
      <c r="C3730" s="2">
        <f>IFERROR(__xludf.DUMMYFUNCTION("""COMPUTED_VALUE"""),2032.75)</f>
        <v>2032.75</v>
      </c>
      <c r="D3730" s="2">
        <f>IFERROR(__xludf.DUMMYFUNCTION("""COMPUTED_VALUE"""),1968.0)</f>
        <v>1968</v>
      </c>
      <c r="E3730" s="2">
        <f>IFERROR(__xludf.DUMMYFUNCTION("""COMPUTED_VALUE"""),2021.0)</f>
        <v>2021</v>
      </c>
      <c r="F3730" s="2">
        <f>IFERROR(__xludf.DUMMYFUNCTION("""COMPUTED_VALUE"""),3510704.0)</f>
        <v>3510704</v>
      </c>
    </row>
    <row r="3731">
      <c r="A3731" s="3">
        <f>IFERROR(__xludf.DUMMYFUNCTION("""COMPUTED_VALUE"""),43753.64583333333)</f>
        <v>43753.64583</v>
      </c>
      <c r="B3731" s="2">
        <f>IFERROR(__xludf.DUMMYFUNCTION("""COMPUTED_VALUE"""),2032.0)</f>
        <v>2032</v>
      </c>
      <c r="C3731" s="2">
        <f>IFERROR(__xludf.DUMMYFUNCTION("""COMPUTED_VALUE"""),2047.0)</f>
        <v>2047</v>
      </c>
      <c r="D3731" s="2">
        <f>IFERROR(__xludf.DUMMYFUNCTION("""COMPUTED_VALUE"""),2022.7)</f>
        <v>2022.7</v>
      </c>
      <c r="E3731" s="2">
        <f>IFERROR(__xludf.DUMMYFUNCTION("""COMPUTED_VALUE"""),2037.3)</f>
        <v>2037.3</v>
      </c>
      <c r="F3731" s="2">
        <f>IFERROR(__xludf.DUMMYFUNCTION("""COMPUTED_VALUE"""),2261310.0)</f>
        <v>2261310</v>
      </c>
    </row>
    <row r="3732">
      <c r="A3732" s="3">
        <f>IFERROR(__xludf.DUMMYFUNCTION("""COMPUTED_VALUE"""),43754.64583333333)</f>
        <v>43754.64583</v>
      </c>
      <c r="B3732" s="2">
        <f>IFERROR(__xludf.DUMMYFUNCTION("""COMPUTED_VALUE"""),2038.0)</f>
        <v>2038</v>
      </c>
      <c r="C3732" s="2">
        <f>IFERROR(__xludf.DUMMYFUNCTION("""COMPUTED_VALUE"""),2056.0)</f>
        <v>2056</v>
      </c>
      <c r="D3732" s="2">
        <f>IFERROR(__xludf.DUMMYFUNCTION("""COMPUTED_VALUE"""),2016.0)</f>
        <v>2016</v>
      </c>
      <c r="E3732" s="2">
        <f>IFERROR(__xludf.DUMMYFUNCTION("""COMPUTED_VALUE"""),2046.4)</f>
        <v>2046.4</v>
      </c>
      <c r="F3732" s="2">
        <f>IFERROR(__xludf.DUMMYFUNCTION("""COMPUTED_VALUE"""),3034082.0)</f>
        <v>3034082</v>
      </c>
    </row>
    <row r="3733">
      <c r="A3733" s="3">
        <f>IFERROR(__xludf.DUMMYFUNCTION("""COMPUTED_VALUE"""),43755.64583333333)</f>
        <v>43755.64583</v>
      </c>
      <c r="B3733" s="2">
        <f>IFERROR(__xludf.DUMMYFUNCTION("""COMPUTED_VALUE"""),2014.0)</f>
        <v>2014</v>
      </c>
      <c r="C3733" s="2">
        <f>IFERROR(__xludf.DUMMYFUNCTION("""COMPUTED_VALUE"""),2038.0)</f>
        <v>2038</v>
      </c>
      <c r="D3733" s="2">
        <f>IFERROR(__xludf.DUMMYFUNCTION("""COMPUTED_VALUE"""),1999.3)</f>
        <v>1999.3</v>
      </c>
      <c r="E3733" s="2">
        <f>IFERROR(__xludf.DUMMYFUNCTION("""COMPUTED_VALUE"""),2030.95)</f>
        <v>2030.95</v>
      </c>
      <c r="F3733" s="2">
        <f>IFERROR(__xludf.DUMMYFUNCTION("""COMPUTED_VALUE"""),3818774.0)</f>
        <v>3818774</v>
      </c>
    </row>
    <row r="3734">
      <c r="A3734" s="3">
        <f>IFERROR(__xludf.DUMMYFUNCTION("""COMPUTED_VALUE"""),43756.64583333333)</f>
        <v>43756.64583</v>
      </c>
      <c r="B3734" s="2">
        <f>IFERROR(__xludf.DUMMYFUNCTION("""COMPUTED_VALUE"""),2037.5)</f>
        <v>2037.5</v>
      </c>
      <c r="C3734" s="2">
        <f>IFERROR(__xludf.DUMMYFUNCTION("""COMPUTED_VALUE"""),2063.9)</f>
        <v>2063.9</v>
      </c>
      <c r="D3734" s="2">
        <f>IFERROR(__xludf.DUMMYFUNCTION("""COMPUTED_VALUE"""),2025.0)</f>
        <v>2025</v>
      </c>
      <c r="E3734" s="2">
        <f>IFERROR(__xludf.DUMMYFUNCTION("""COMPUTED_VALUE"""),2057.35)</f>
        <v>2057.35</v>
      </c>
      <c r="F3734" s="2">
        <f>IFERROR(__xludf.DUMMYFUNCTION("""COMPUTED_VALUE"""),3087901.0)</f>
        <v>3087901</v>
      </c>
    </row>
    <row r="3735">
      <c r="A3735" s="3">
        <f>IFERROR(__xludf.DUMMYFUNCTION("""COMPUTED_VALUE"""),43760.64583333333)</f>
        <v>43760.64583</v>
      </c>
      <c r="B3735" s="2">
        <f>IFERROR(__xludf.DUMMYFUNCTION("""COMPUTED_VALUE"""),2080.0)</f>
        <v>2080</v>
      </c>
      <c r="C3735" s="2">
        <f>IFERROR(__xludf.DUMMYFUNCTION("""COMPUTED_VALUE"""),2111.5)</f>
        <v>2111.5</v>
      </c>
      <c r="D3735" s="2">
        <f>IFERROR(__xludf.DUMMYFUNCTION("""COMPUTED_VALUE"""),2040.05)</f>
        <v>2040.05</v>
      </c>
      <c r="E3735" s="2">
        <f>IFERROR(__xludf.DUMMYFUNCTION("""COMPUTED_VALUE"""),2051.4)</f>
        <v>2051.4</v>
      </c>
      <c r="F3735" s="2">
        <f>IFERROR(__xludf.DUMMYFUNCTION("""COMPUTED_VALUE"""),5552505.0)</f>
        <v>5552505</v>
      </c>
    </row>
    <row r="3736">
      <c r="A3736" s="3">
        <f>IFERROR(__xludf.DUMMYFUNCTION("""COMPUTED_VALUE"""),43761.64583333333)</f>
        <v>43761.64583</v>
      </c>
      <c r="B3736" s="2">
        <f>IFERROR(__xludf.DUMMYFUNCTION("""COMPUTED_VALUE"""),2060.0)</f>
        <v>2060</v>
      </c>
      <c r="C3736" s="2">
        <f>IFERROR(__xludf.DUMMYFUNCTION("""COMPUTED_VALUE"""),2083.85)</f>
        <v>2083.85</v>
      </c>
      <c r="D3736" s="2">
        <f>IFERROR(__xludf.DUMMYFUNCTION("""COMPUTED_VALUE"""),2052.5)</f>
        <v>2052.5</v>
      </c>
      <c r="E3736" s="2">
        <f>IFERROR(__xludf.DUMMYFUNCTION("""COMPUTED_VALUE"""),2070.1)</f>
        <v>2070.1</v>
      </c>
      <c r="F3736" s="2">
        <f>IFERROR(__xludf.DUMMYFUNCTION("""COMPUTED_VALUE"""),2348134.0)</f>
        <v>2348134</v>
      </c>
    </row>
    <row r="3737">
      <c r="A3737" s="3">
        <f>IFERROR(__xludf.DUMMYFUNCTION("""COMPUTED_VALUE"""),43762.64583333333)</f>
        <v>43762.64583</v>
      </c>
      <c r="B3737" s="2">
        <f>IFERROR(__xludf.DUMMYFUNCTION("""COMPUTED_VALUE"""),2084.0)</f>
        <v>2084</v>
      </c>
      <c r="C3737" s="2">
        <f>IFERROR(__xludf.DUMMYFUNCTION("""COMPUTED_VALUE"""),2099.0)</f>
        <v>2099</v>
      </c>
      <c r="D3737" s="2">
        <f>IFERROR(__xludf.DUMMYFUNCTION("""COMPUTED_VALUE"""),2061.3)</f>
        <v>2061.3</v>
      </c>
      <c r="E3737" s="2">
        <f>IFERROR(__xludf.DUMMYFUNCTION("""COMPUTED_VALUE"""),2082.0)</f>
        <v>2082</v>
      </c>
      <c r="F3737" s="2">
        <f>IFERROR(__xludf.DUMMYFUNCTION("""COMPUTED_VALUE"""),2798671.0)</f>
        <v>2798671</v>
      </c>
    </row>
    <row r="3738">
      <c r="A3738" s="3">
        <f>IFERROR(__xludf.DUMMYFUNCTION("""COMPUTED_VALUE"""),43763.79166666667)</f>
        <v>43763.79167</v>
      </c>
      <c r="B3738" s="2">
        <f>IFERROR(__xludf.DUMMYFUNCTION("""COMPUTED_VALUE"""),2094.0)</f>
        <v>2094</v>
      </c>
      <c r="C3738" s="2">
        <f>IFERROR(__xludf.DUMMYFUNCTION("""COMPUTED_VALUE"""),2130.0)</f>
        <v>2130</v>
      </c>
      <c r="D3738" s="2">
        <f>IFERROR(__xludf.DUMMYFUNCTION("""COMPUTED_VALUE"""),2075.05)</f>
        <v>2075.05</v>
      </c>
      <c r="E3738" s="2">
        <f>IFERROR(__xludf.DUMMYFUNCTION("""COMPUTED_VALUE"""),2124.95)</f>
        <v>2124.95</v>
      </c>
      <c r="F3738" s="2">
        <f>IFERROR(__xludf.DUMMYFUNCTION("""COMPUTED_VALUE"""),3954245.0)</f>
        <v>3954245</v>
      </c>
    </row>
    <row r="3739">
      <c r="A3739" s="3">
        <f>IFERROR(__xludf.DUMMYFUNCTION("""COMPUTED_VALUE"""),43765.80902777778)</f>
        <v>43765.80903</v>
      </c>
      <c r="B3739" s="2">
        <f>IFERROR(__xludf.DUMMYFUNCTION("""COMPUTED_VALUE"""),2129.0)</f>
        <v>2129</v>
      </c>
      <c r="C3739" s="2">
        <f>IFERROR(__xludf.DUMMYFUNCTION("""COMPUTED_VALUE"""),2129.0)</f>
        <v>2129</v>
      </c>
      <c r="D3739" s="2">
        <f>IFERROR(__xludf.DUMMYFUNCTION("""COMPUTED_VALUE"""),2108.8)</f>
        <v>2108.8</v>
      </c>
      <c r="E3739" s="2">
        <f>IFERROR(__xludf.DUMMYFUNCTION("""COMPUTED_VALUE"""),2117.65)</f>
        <v>2117.65</v>
      </c>
      <c r="F3739" s="2">
        <f>IFERROR(__xludf.DUMMYFUNCTION("""COMPUTED_VALUE"""),224405.0)</f>
        <v>224405</v>
      </c>
    </row>
    <row r="3740">
      <c r="A3740" s="3">
        <f>IFERROR(__xludf.DUMMYFUNCTION("""COMPUTED_VALUE"""),43767.64583333333)</f>
        <v>43767.64583</v>
      </c>
      <c r="B3740" s="2">
        <f>IFERROR(__xludf.DUMMYFUNCTION("""COMPUTED_VALUE"""),2121.5)</f>
        <v>2121.5</v>
      </c>
      <c r="C3740" s="2">
        <f>IFERROR(__xludf.DUMMYFUNCTION("""COMPUTED_VALUE"""),2201.7)</f>
        <v>2201.7</v>
      </c>
      <c r="D3740" s="2">
        <f>IFERROR(__xludf.DUMMYFUNCTION("""COMPUTED_VALUE"""),2121.5)</f>
        <v>2121.5</v>
      </c>
      <c r="E3740" s="2">
        <f>IFERROR(__xludf.DUMMYFUNCTION("""COMPUTED_VALUE"""),2194.85)</f>
        <v>2194.85</v>
      </c>
      <c r="F3740" s="2">
        <f>IFERROR(__xludf.DUMMYFUNCTION("""COMPUTED_VALUE"""),5064173.0)</f>
        <v>5064173</v>
      </c>
    </row>
    <row r="3741">
      <c r="A3741" s="3">
        <f>IFERROR(__xludf.DUMMYFUNCTION("""COMPUTED_VALUE"""),43768.64583333333)</f>
        <v>43768.64583</v>
      </c>
      <c r="B3741" s="2">
        <f>IFERROR(__xludf.DUMMYFUNCTION("""COMPUTED_VALUE"""),2225.0)</f>
        <v>2225</v>
      </c>
      <c r="C3741" s="2">
        <f>IFERROR(__xludf.DUMMYFUNCTION("""COMPUTED_VALUE"""),2260.0)</f>
        <v>2260</v>
      </c>
      <c r="D3741" s="2">
        <f>IFERROR(__xludf.DUMMYFUNCTION("""COMPUTED_VALUE"""),2176.85)</f>
        <v>2176.85</v>
      </c>
      <c r="E3741" s="2">
        <f>IFERROR(__xludf.DUMMYFUNCTION("""COMPUTED_VALUE"""),2252.8)</f>
        <v>2252.8</v>
      </c>
      <c r="F3741" s="2">
        <f>IFERROR(__xludf.DUMMYFUNCTION("""COMPUTED_VALUE"""),5195136.0)</f>
        <v>5195136</v>
      </c>
    </row>
    <row r="3742">
      <c r="A3742" s="3">
        <f>IFERROR(__xludf.DUMMYFUNCTION("""COMPUTED_VALUE"""),43769.64583333333)</f>
        <v>43769.64583</v>
      </c>
      <c r="B3742" s="2">
        <f>IFERROR(__xludf.DUMMYFUNCTION("""COMPUTED_VALUE"""),2250.0)</f>
        <v>2250</v>
      </c>
      <c r="C3742" s="2">
        <f>IFERROR(__xludf.DUMMYFUNCTION("""COMPUTED_VALUE"""),2284.95)</f>
        <v>2284.95</v>
      </c>
      <c r="D3742" s="2">
        <f>IFERROR(__xludf.DUMMYFUNCTION("""COMPUTED_VALUE"""),2237.0)</f>
        <v>2237</v>
      </c>
      <c r="E3742" s="2">
        <f>IFERROR(__xludf.DUMMYFUNCTION("""COMPUTED_VALUE"""),2269.65)</f>
        <v>2269.65</v>
      </c>
      <c r="F3742" s="2">
        <f>IFERROR(__xludf.DUMMYFUNCTION("""COMPUTED_VALUE"""),4879261.0)</f>
        <v>4879261</v>
      </c>
    </row>
    <row r="3743">
      <c r="A3743" s="3">
        <f>IFERROR(__xludf.DUMMYFUNCTION("""COMPUTED_VALUE"""),43770.64583333333)</f>
        <v>43770.64583</v>
      </c>
      <c r="B3743" s="2">
        <f>IFERROR(__xludf.DUMMYFUNCTION("""COMPUTED_VALUE"""),2264.0)</f>
        <v>2264</v>
      </c>
      <c r="C3743" s="2">
        <f>IFERROR(__xludf.DUMMYFUNCTION("""COMPUTED_VALUE"""),2275.0)</f>
        <v>2275</v>
      </c>
      <c r="D3743" s="2">
        <f>IFERROR(__xludf.DUMMYFUNCTION("""COMPUTED_VALUE"""),2195.0)</f>
        <v>2195</v>
      </c>
      <c r="E3743" s="2">
        <f>IFERROR(__xludf.DUMMYFUNCTION("""COMPUTED_VALUE"""),2200.9)</f>
        <v>2200.9</v>
      </c>
      <c r="F3743" s="2">
        <f>IFERROR(__xludf.DUMMYFUNCTION("""COMPUTED_VALUE"""),4172620.0)</f>
        <v>4172620</v>
      </c>
    </row>
    <row r="3744">
      <c r="A3744" s="3">
        <f>IFERROR(__xludf.DUMMYFUNCTION("""COMPUTED_VALUE"""),43773.64583333333)</f>
        <v>43773.64583</v>
      </c>
      <c r="B3744" s="2">
        <f>IFERROR(__xludf.DUMMYFUNCTION("""COMPUTED_VALUE"""),2207.0)</f>
        <v>2207</v>
      </c>
      <c r="C3744" s="2">
        <f>IFERROR(__xludf.DUMMYFUNCTION("""COMPUTED_VALUE"""),2229.2)</f>
        <v>2229.2</v>
      </c>
      <c r="D3744" s="2">
        <f>IFERROR(__xludf.DUMMYFUNCTION("""COMPUTED_VALUE"""),2180.9)</f>
        <v>2180.9</v>
      </c>
      <c r="E3744" s="2">
        <f>IFERROR(__xludf.DUMMYFUNCTION("""COMPUTED_VALUE"""),2193.95)</f>
        <v>2193.95</v>
      </c>
      <c r="F3744" s="2">
        <f>IFERROR(__xludf.DUMMYFUNCTION("""COMPUTED_VALUE"""),2646411.0)</f>
        <v>2646411</v>
      </c>
    </row>
    <row r="3745">
      <c r="A3745" s="3">
        <f>IFERROR(__xludf.DUMMYFUNCTION("""COMPUTED_VALUE"""),43774.64583333333)</f>
        <v>43774.64583</v>
      </c>
      <c r="B3745" s="2">
        <f>IFERROR(__xludf.DUMMYFUNCTION("""COMPUTED_VALUE"""),2197.0)</f>
        <v>2197</v>
      </c>
      <c r="C3745" s="2">
        <f>IFERROR(__xludf.DUMMYFUNCTION("""COMPUTED_VALUE"""),2211.0)</f>
        <v>2211</v>
      </c>
      <c r="D3745" s="2">
        <f>IFERROR(__xludf.DUMMYFUNCTION("""COMPUTED_VALUE"""),2169.0)</f>
        <v>2169</v>
      </c>
      <c r="E3745" s="2">
        <f>IFERROR(__xludf.DUMMYFUNCTION("""COMPUTED_VALUE"""),2201.85)</f>
        <v>2201.85</v>
      </c>
      <c r="F3745" s="2">
        <f>IFERROR(__xludf.DUMMYFUNCTION("""COMPUTED_VALUE"""),2693475.0)</f>
        <v>2693475</v>
      </c>
    </row>
    <row r="3746">
      <c r="A3746" s="3">
        <f>IFERROR(__xludf.DUMMYFUNCTION("""COMPUTED_VALUE"""),43775.64583333333)</f>
        <v>43775.64583</v>
      </c>
      <c r="B3746" s="2">
        <f>IFERROR(__xludf.DUMMYFUNCTION("""COMPUTED_VALUE"""),2200.0)</f>
        <v>2200</v>
      </c>
      <c r="C3746" s="2">
        <f>IFERROR(__xludf.DUMMYFUNCTION("""COMPUTED_VALUE"""),2210.8)</f>
        <v>2210.8</v>
      </c>
      <c r="D3746" s="2">
        <f>IFERROR(__xludf.DUMMYFUNCTION("""COMPUTED_VALUE"""),2179.0)</f>
        <v>2179</v>
      </c>
      <c r="E3746" s="2">
        <f>IFERROR(__xludf.DUMMYFUNCTION("""COMPUTED_VALUE"""),2188.5)</f>
        <v>2188.5</v>
      </c>
      <c r="F3746" s="2">
        <f>IFERROR(__xludf.DUMMYFUNCTION("""COMPUTED_VALUE"""),2540719.0)</f>
        <v>2540719</v>
      </c>
    </row>
    <row r="3747">
      <c r="A3747" s="3">
        <f>IFERROR(__xludf.DUMMYFUNCTION("""COMPUTED_VALUE"""),43776.64583333333)</f>
        <v>43776.64583</v>
      </c>
      <c r="B3747" s="2">
        <f>IFERROR(__xludf.DUMMYFUNCTION("""COMPUTED_VALUE"""),2204.5)</f>
        <v>2204.5</v>
      </c>
      <c r="C3747" s="2">
        <f>IFERROR(__xludf.DUMMYFUNCTION("""COMPUTED_VALUE"""),2204.5)</f>
        <v>2204.5</v>
      </c>
      <c r="D3747" s="2">
        <f>IFERROR(__xludf.DUMMYFUNCTION("""COMPUTED_VALUE"""),2175.2)</f>
        <v>2175.2</v>
      </c>
      <c r="E3747" s="2">
        <f>IFERROR(__xludf.DUMMYFUNCTION("""COMPUTED_VALUE"""),2185.35)</f>
        <v>2185.35</v>
      </c>
      <c r="F3747" s="2">
        <f>IFERROR(__xludf.DUMMYFUNCTION("""COMPUTED_VALUE"""),1915598.0)</f>
        <v>1915598</v>
      </c>
    </row>
    <row r="3748">
      <c r="A3748" s="3">
        <f>IFERROR(__xludf.DUMMYFUNCTION("""COMPUTED_VALUE"""),43777.64583333333)</f>
        <v>43777.64583</v>
      </c>
      <c r="B3748" s="2">
        <f>IFERROR(__xludf.DUMMYFUNCTION("""COMPUTED_VALUE"""),2189.6)</f>
        <v>2189.6</v>
      </c>
      <c r="C3748" s="2">
        <f>IFERROR(__xludf.DUMMYFUNCTION("""COMPUTED_VALUE"""),2189.6)</f>
        <v>2189.6</v>
      </c>
      <c r="D3748" s="2">
        <f>IFERROR(__xludf.DUMMYFUNCTION("""COMPUTED_VALUE"""),2124.0)</f>
        <v>2124</v>
      </c>
      <c r="E3748" s="2">
        <f>IFERROR(__xludf.DUMMYFUNCTION("""COMPUTED_VALUE"""),2129.95)</f>
        <v>2129.95</v>
      </c>
      <c r="F3748" s="2">
        <f>IFERROR(__xludf.DUMMYFUNCTION("""COMPUTED_VALUE"""),2788759.0)</f>
        <v>2788759</v>
      </c>
    </row>
    <row r="3749">
      <c r="A3749" s="3">
        <f>IFERROR(__xludf.DUMMYFUNCTION("""COMPUTED_VALUE"""),43780.64583333333)</f>
        <v>43780.64583</v>
      </c>
      <c r="B3749" s="2">
        <f>IFERROR(__xludf.DUMMYFUNCTION("""COMPUTED_VALUE"""),2135.0)</f>
        <v>2135</v>
      </c>
      <c r="C3749" s="2">
        <f>IFERROR(__xludf.DUMMYFUNCTION("""COMPUTED_VALUE"""),2139.0)</f>
        <v>2139</v>
      </c>
      <c r="D3749" s="2">
        <f>IFERROR(__xludf.DUMMYFUNCTION("""COMPUTED_VALUE"""),2091.0)</f>
        <v>2091</v>
      </c>
      <c r="E3749" s="2">
        <f>IFERROR(__xludf.DUMMYFUNCTION("""COMPUTED_VALUE"""),2100.95)</f>
        <v>2100.95</v>
      </c>
      <c r="F3749" s="2">
        <f>IFERROR(__xludf.DUMMYFUNCTION("""COMPUTED_VALUE"""),2983768.0)</f>
        <v>2983768</v>
      </c>
    </row>
    <row r="3750">
      <c r="A3750" s="3">
        <f>IFERROR(__xludf.DUMMYFUNCTION("""COMPUTED_VALUE"""),43782.64583333333)</f>
        <v>43782.64583</v>
      </c>
      <c r="B3750" s="2">
        <f>IFERROR(__xludf.DUMMYFUNCTION("""COMPUTED_VALUE"""),2118.0)</f>
        <v>2118</v>
      </c>
      <c r="C3750" s="2">
        <f>IFERROR(__xludf.DUMMYFUNCTION("""COMPUTED_VALUE"""),2183.8)</f>
        <v>2183.8</v>
      </c>
      <c r="D3750" s="2">
        <f>IFERROR(__xludf.DUMMYFUNCTION("""COMPUTED_VALUE"""),2118.0)</f>
        <v>2118</v>
      </c>
      <c r="E3750" s="2">
        <f>IFERROR(__xludf.DUMMYFUNCTION("""COMPUTED_VALUE"""),2178.6)</f>
        <v>2178.6</v>
      </c>
      <c r="F3750" s="2">
        <f>IFERROR(__xludf.DUMMYFUNCTION("""COMPUTED_VALUE"""),3823365.0)</f>
        <v>3823365</v>
      </c>
    </row>
    <row r="3751">
      <c r="A3751" s="3">
        <f>IFERROR(__xludf.DUMMYFUNCTION("""COMPUTED_VALUE"""),43783.64583333333)</f>
        <v>43783.64583</v>
      </c>
      <c r="B3751" s="2">
        <f>IFERROR(__xludf.DUMMYFUNCTION("""COMPUTED_VALUE"""),2187.5)</f>
        <v>2187.5</v>
      </c>
      <c r="C3751" s="2">
        <f>IFERROR(__xludf.DUMMYFUNCTION("""COMPUTED_VALUE"""),2200.0)</f>
        <v>2200</v>
      </c>
      <c r="D3751" s="2">
        <f>IFERROR(__xludf.DUMMYFUNCTION("""COMPUTED_VALUE"""),2146.7)</f>
        <v>2146.7</v>
      </c>
      <c r="E3751" s="2">
        <f>IFERROR(__xludf.DUMMYFUNCTION("""COMPUTED_VALUE"""),2196.8)</f>
        <v>2196.8</v>
      </c>
      <c r="F3751" s="2">
        <f>IFERROR(__xludf.DUMMYFUNCTION("""COMPUTED_VALUE"""),2995915.0)</f>
        <v>2995915</v>
      </c>
    </row>
    <row r="3752">
      <c r="A3752" s="3">
        <f>IFERROR(__xludf.DUMMYFUNCTION("""COMPUTED_VALUE"""),43784.64583333333)</f>
        <v>43784.64583</v>
      </c>
      <c r="B3752" s="2">
        <f>IFERROR(__xludf.DUMMYFUNCTION("""COMPUTED_VALUE"""),2196.0)</f>
        <v>2196</v>
      </c>
      <c r="C3752" s="2">
        <f>IFERROR(__xludf.DUMMYFUNCTION("""COMPUTED_VALUE"""),2211.5)</f>
        <v>2211.5</v>
      </c>
      <c r="D3752" s="2">
        <f>IFERROR(__xludf.DUMMYFUNCTION("""COMPUTED_VALUE"""),2168.75)</f>
        <v>2168.75</v>
      </c>
      <c r="E3752" s="2">
        <f>IFERROR(__xludf.DUMMYFUNCTION("""COMPUTED_VALUE"""),2174.45)</f>
        <v>2174.45</v>
      </c>
      <c r="F3752" s="2">
        <f>IFERROR(__xludf.DUMMYFUNCTION("""COMPUTED_VALUE"""),2724180.0)</f>
        <v>2724180</v>
      </c>
    </row>
    <row r="3753">
      <c r="A3753" s="3">
        <f>IFERROR(__xludf.DUMMYFUNCTION("""COMPUTED_VALUE"""),43787.64583333333)</f>
        <v>43787.64583</v>
      </c>
      <c r="B3753" s="2">
        <f>IFERROR(__xludf.DUMMYFUNCTION("""COMPUTED_VALUE"""),2178.4)</f>
        <v>2178.4</v>
      </c>
      <c r="C3753" s="2">
        <f>IFERROR(__xludf.DUMMYFUNCTION("""COMPUTED_VALUE"""),2187.75)</f>
        <v>2187.75</v>
      </c>
      <c r="D3753" s="2">
        <f>IFERROR(__xludf.DUMMYFUNCTION("""COMPUTED_VALUE"""),2148.75)</f>
        <v>2148.75</v>
      </c>
      <c r="E3753" s="2">
        <f>IFERROR(__xludf.DUMMYFUNCTION("""COMPUTED_VALUE"""),2152.6)</f>
        <v>2152.6</v>
      </c>
      <c r="F3753" s="2">
        <f>IFERROR(__xludf.DUMMYFUNCTION("""COMPUTED_VALUE"""),1611089.0)</f>
        <v>1611089</v>
      </c>
    </row>
    <row r="3754">
      <c r="A3754" s="3">
        <f>IFERROR(__xludf.DUMMYFUNCTION("""COMPUTED_VALUE"""),43788.64583333333)</f>
        <v>43788.64583</v>
      </c>
      <c r="B3754" s="2">
        <f>IFERROR(__xludf.DUMMYFUNCTION("""COMPUTED_VALUE"""),2153.0)</f>
        <v>2153</v>
      </c>
      <c r="C3754" s="2">
        <f>IFERROR(__xludf.DUMMYFUNCTION("""COMPUTED_VALUE"""),2154.65)</f>
        <v>2154.65</v>
      </c>
      <c r="D3754" s="2">
        <f>IFERROR(__xludf.DUMMYFUNCTION("""COMPUTED_VALUE"""),2105.0)</f>
        <v>2105</v>
      </c>
      <c r="E3754" s="2">
        <f>IFERROR(__xludf.DUMMYFUNCTION("""COMPUTED_VALUE"""),2108.8)</f>
        <v>2108.8</v>
      </c>
      <c r="F3754" s="2">
        <f>IFERROR(__xludf.DUMMYFUNCTION("""COMPUTED_VALUE"""),2975313.0)</f>
        <v>2975313</v>
      </c>
    </row>
    <row r="3755">
      <c r="A3755" s="3">
        <f>IFERROR(__xludf.DUMMYFUNCTION("""COMPUTED_VALUE"""),43789.64583333333)</f>
        <v>43789.64583</v>
      </c>
      <c r="B3755" s="2">
        <f>IFERROR(__xludf.DUMMYFUNCTION("""COMPUTED_VALUE"""),2121.95)</f>
        <v>2121.95</v>
      </c>
      <c r="C3755" s="2">
        <f>IFERROR(__xludf.DUMMYFUNCTION("""COMPUTED_VALUE"""),2135.0)</f>
        <v>2135</v>
      </c>
      <c r="D3755" s="2">
        <f>IFERROR(__xludf.DUMMYFUNCTION("""COMPUTED_VALUE"""),2094.5)</f>
        <v>2094.5</v>
      </c>
      <c r="E3755" s="2">
        <f>IFERROR(__xludf.DUMMYFUNCTION("""COMPUTED_VALUE"""),2108.55)</f>
        <v>2108.55</v>
      </c>
      <c r="F3755" s="2">
        <f>IFERROR(__xludf.DUMMYFUNCTION("""COMPUTED_VALUE"""),2894129.0)</f>
        <v>2894129</v>
      </c>
    </row>
    <row r="3756">
      <c r="A3756" s="3">
        <f>IFERROR(__xludf.DUMMYFUNCTION("""COMPUTED_VALUE"""),43790.64583333333)</f>
        <v>43790.64583</v>
      </c>
      <c r="B3756" s="2">
        <f>IFERROR(__xludf.DUMMYFUNCTION("""COMPUTED_VALUE"""),2112.0)</f>
        <v>2112</v>
      </c>
      <c r="C3756" s="2">
        <f>IFERROR(__xludf.DUMMYFUNCTION("""COMPUTED_VALUE"""),2126.6)</f>
        <v>2126.6</v>
      </c>
      <c r="D3756" s="2">
        <f>IFERROR(__xludf.DUMMYFUNCTION("""COMPUTED_VALUE"""),2107.4)</f>
        <v>2107.4</v>
      </c>
      <c r="E3756" s="2">
        <f>IFERROR(__xludf.DUMMYFUNCTION("""COMPUTED_VALUE"""),2118.1)</f>
        <v>2118.1</v>
      </c>
      <c r="F3756" s="2">
        <f>IFERROR(__xludf.DUMMYFUNCTION("""COMPUTED_VALUE"""),2052574.0)</f>
        <v>2052574</v>
      </c>
    </row>
    <row r="3757">
      <c r="A3757" s="3">
        <f>IFERROR(__xludf.DUMMYFUNCTION("""COMPUTED_VALUE"""),43791.64583333333)</f>
        <v>43791.64583</v>
      </c>
      <c r="B3757" s="2">
        <f>IFERROR(__xludf.DUMMYFUNCTION("""COMPUTED_VALUE"""),2097.0)</f>
        <v>2097</v>
      </c>
      <c r="C3757" s="2">
        <f>IFERROR(__xludf.DUMMYFUNCTION("""COMPUTED_VALUE"""),2107.0)</f>
        <v>2107</v>
      </c>
      <c r="D3757" s="2">
        <f>IFERROR(__xludf.DUMMYFUNCTION("""COMPUTED_VALUE"""),2060.5)</f>
        <v>2060.5</v>
      </c>
      <c r="E3757" s="2">
        <f>IFERROR(__xludf.DUMMYFUNCTION("""COMPUTED_VALUE"""),2071.7)</f>
        <v>2071.7</v>
      </c>
      <c r="F3757" s="2">
        <f>IFERROR(__xludf.DUMMYFUNCTION("""COMPUTED_VALUE"""),3742049.0)</f>
        <v>3742049</v>
      </c>
    </row>
    <row r="3758">
      <c r="A3758" s="3">
        <f>IFERROR(__xludf.DUMMYFUNCTION("""COMPUTED_VALUE"""),43794.64583333333)</f>
        <v>43794.64583</v>
      </c>
      <c r="B3758" s="2">
        <f>IFERROR(__xludf.DUMMYFUNCTION("""COMPUTED_VALUE"""),2074.55)</f>
        <v>2074.55</v>
      </c>
      <c r="C3758" s="2">
        <f>IFERROR(__xludf.DUMMYFUNCTION("""COMPUTED_VALUE"""),2084.95)</f>
        <v>2084.95</v>
      </c>
      <c r="D3758" s="2">
        <f>IFERROR(__xludf.DUMMYFUNCTION("""COMPUTED_VALUE"""),2052.2)</f>
        <v>2052.2</v>
      </c>
      <c r="E3758" s="2">
        <f>IFERROR(__xludf.DUMMYFUNCTION("""COMPUTED_VALUE"""),2081.5)</f>
        <v>2081.5</v>
      </c>
      <c r="F3758" s="2">
        <f>IFERROR(__xludf.DUMMYFUNCTION("""COMPUTED_VALUE"""),2737010.0)</f>
        <v>2737010</v>
      </c>
    </row>
    <row r="3759">
      <c r="A3759" s="3">
        <f>IFERROR(__xludf.DUMMYFUNCTION("""COMPUTED_VALUE"""),43795.64583333333)</f>
        <v>43795.64583</v>
      </c>
      <c r="B3759" s="2">
        <f>IFERROR(__xludf.DUMMYFUNCTION("""COMPUTED_VALUE"""),2089.85)</f>
        <v>2089.85</v>
      </c>
      <c r="C3759" s="2">
        <f>IFERROR(__xludf.DUMMYFUNCTION("""COMPUTED_VALUE"""),2097.9)</f>
        <v>2097.9</v>
      </c>
      <c r="D3759" s="2">
        <f>IFERROR(__xludf.DUMMYFUNCTION("""COMPUTED_VALUE"""),2035.05)</f>
        <v>2035.05</v>
      </c>
      <c r="E3759" s="2">
        <f>IFERROR(__xludf.DUMMYFUNCTION("""COMPUTED_VALUE"""),2046.65)</f>
        <v>2046.65</v>
      </c>
      <c r="F3759" s="2">
        <f>IFERROR(__xludf.DUMMYFUNCTION("""COMPUTED_VALUE"""),6561580.0)</f>
        <v>6561580</v>
      </c>
    </row>
    <row r="3760">
      <c r="A3760" s="3">
        <f>IFERROR(__xludf.DUMMYFUNCTION("""COMPUTED_VALUE"""),43796.64583333333)</f>
        <v>43796.64583</v>
      </c>
      <c r="B3760" s="2">
        <f>IFERROR(__xludf.DUMMYFUNCTION("""COMPUTED_VALUE"""),2052.0)</f>
        <v>2052</v>
      </c>
      <c r="C3760" s="2">
        <f>IFERROR(__xludf.DUMMYFUNCTION("""COMPUTED_VALUE"""),2071.7)</f>
        <v>2071.7</v>
      </c>
      <c r="D3760" s="2">
        <f>IFERROR(__xludf.DUMMYFUNCTION("""COMPUTED_VALUE"""),2046.55)</f>
        <v>2046.55</v>
      </c>
      <c r="E3760" s="2">
        <f>IFERROR(__xludf.DUMMYFUNCTION("""COMPUTED_VALUE"""),2054.3)</f>
        <v>2054.3</v>
      </c>
      <c r="F3760" s="2">
        <f>IFERROR(__xludf.DUMMYFUNCTION("""COMPUTED_VALUE"""),2907521.0)</f>
        <v>2907521</v>
      </c>
    </row>
    <row r="3761">
      <c r="A3761" s="3">
        <f>IFERROR(__xludf.DUMMYFUNCTION("""COMPUTED_VALUE"""),43797.64583333333)</f>
        <v>43797.64583</v>
      </c>
      <c r="B3761" s="2">
        <f>IFERROR(__xludf.DUMMYFUNCTION("""COMPUTED_VALUE"""),2067.05)</f>
        <v>2067.05</v>
      </c>
      <c r="C3761" s="2">
        <f>IFERROR(__xludf.DUMMYFUNCTION("""COMPUTED_VALUE"""),2094.4)</f>
        <v>2094.4</v>
      </c>
      <c r="D3761" s="2">
        <f>IFERROR(__xludf.DUMMYFUNCTION("""COMPUTED_VALUE"""),2060.0)</f>
        <v>2060</v>
      </c>
      <c r="E3761" s="2">
        <f>IFERROR(__xludf.DUMMYFUNCTION("""COMPUTED_VALUE"""),2077.35)</f>
        <v>2077.35</v>
      </c>
      <c r="F3761" s="2">
        <f>IFERROR(__xludf.DUMMYFUNCTION("""COMPUTED_VALUE"""),2924429.0)</f>
        <v>2924429</v>
      </c>
    </row>
    <row r="3762">
      <c r="A3762" s="3">
        <f>IFERROR(__xludf.DUMMYFUNCTION("""COMPUTED_VALUE"""),43798.64583333333)</f>
        <v>43798.64583</v>
      </c>
      <c r="B3762" s="2">
        <f>IFERROR(__xludf.DUMMYFUNCTION("""COMPUTED_VALUE"""),2085.0)</f>
        <v>2085</v>
      </c>
      <c r="C3762" s="2">
        <f>IFERROR(__xludf.DUMMYFUNCTION("""COMPUTED_VALUE"""),2085.0)</f>
        <v>2085</v>
      </c>
      <c r="D3762" s="2">
        <f>IFERROR(__xludf.DUMMYFUNCTION("""COMPUTED_VALUE"""),2045.8)</f>
        <v>2045.8</v>
      </c>
      <c r="E3762" s="2">
        <f>IFERROR(__xludf.DUMMYFUNCTION("""COMPUTED_VALUE"""),2053.25)</f>
        <v>2053.25</v>
      </c>
      <c r="F3762" s="2">
        <f>IFERROR(__xludf.DUMMYFUNCTION("""COMPUTED_VALUE"""),2064271.0)</f>
        <v>2064271</v>
      </c>
    </row>
    <row r="3763">
      <c r="A3763" s="3">
        <f>IFERROR(__xludf.DUMMYFUNCTION("""COMPUTED_VALUE"""),43801.64583333333)</f>
        <v>43801.64583</v>
      </c>
      <c r="B3763" s="2">
        <f>IFERROR(__xludf.DUMMYFUNCTION("""COMPUTED_VALUE"""),2060.0)</f>
        <v>2060</v>
      </c>
      <c r="C3763" s="2">
        <f>IFERROR(__xludf.DUMMYFUNCTION("""COMPUTED_VALUE"""),2067.7)</f>
        <v>2067.7</v>
      </c>
      <c r="D3763" s="2">
        <f>IFERROR(__xludf.DUMMYFUNCTION("""COMPUTED_VALUE"""),2016.0)</f>
        <v>2016</v>
      </c>
      <c r="E3763" s="2">
        <f>IFERROR(__xludf.DUMMYFUNCTION("""COMPUTED_VALUE"""),2021.05)</f>
        <v>2021.05</v>
      </c>
      <c r="F3763" s="2">
        <f>IFERROR(__xludf.DUMMYFUNCTION("""COMPUTED_VALUE"""),3809860.0)</f>
        <v>3809860</v>
      </c>
    </row>
    <row r="3764">
      <c r="A3764" s="3">
        <f>IFERROR(__xludf.DUMMYFUNCTION("""COMPUTED_VALUE"""),43802.64583333333)</f>
        <v>43802.64583</v>
      </c>
      <c r="B3764" s="2">
        <f>IFERROR(__xludf.DUMMYFUNCTION("""COMPUTED_VALUE"""),2027.7)</f>
        <v>2027.7</v>
      </c>
      <c r="C3764" s="2">
        <f>IFERROR(__xludf.DUMMYFUNCTION("""COMPUTED_VALUE"""),2062.0)</f>
        <v>2062</v>
      </c>
      <c r="D3764" s="2">
        <f>IFERROR(__xludf.DUMMYFUNCTION("""COMPUTED_VALUE"""),2010.0)</f>
        <v>2010</v>
      </c>
      <c r="E3764" s="2">
        <f>IFERROR(__xludf.DUMMYFUNCTION("""COMPUTED_VALUE"""),2051.0)</f>
        <v>2051</v>
      </c>
      <c r="F3764" s="2">
        <f>IFERROR(__xludf.DUMMYFUNCTION("""COMPUTED_VALUE"""),4664774.0)</f>
        <v>4664774</v>
      </c>
    </row>
    <row r="3765">
      <c r="A3765" s="3">
        <f>IFERROR(__xludf.DUMMYFUNCTION("""COMPUTED_VALUE"""),43803.64583333333)</f>
        <v>43803.64583</v>
      </c>
      <c r="B3765" s="2">
        <f>IFERROR(__xludf.DUMMYFUNCTION("""COMPUTED_VALUE"""),2053.0)</f>
        <v>2053</v>
      </c>
      <c r="C3765" s="2">
        <f>IFERROR(__xludf.DUMMYFUNCTION("""COMPUTED_VALUE"""),2082.0)</f>
        <v>2082</v>
      </c>
      <c r="D3765" s="2">
        <f>IFERROR(__xludf.DUMMYFUNCTION("""COMPUTED_VALUE"""),2045.5)</f>
        <v>2045.5</v>
      </c>
      <c r="E3765" s="2">
        <f>IFERROR(__xludf.DUMMYFUNCTION("""COMPUTED_VALUE"""),2078.5)</f>
        <v>2078.5</v>
      </c>
      <c r="F3765" s="2">
        <f>IFERROR(__xludf.DUMMYFUNCTION("""COMPUTED_VALUE"""),3334301.0)</f>
        <v>3334301</v>
      </c>
    </row>
    <row r="3766">
      <c r="A3766" s="3">
        <f>IFERROR(__xludf.DUMMYFUNCTION("""COMPUTED_VALUE"""),43804.64583333333)</f>
        <v>43804.64583</v>
      </c>
      <c r="B3766" s="2">
        <f>IFERROR(__xludf.DUMMYFUNCTION("""COMPUTED_VALUE"""),2083.0)</f>
        <v>2083</v>
      </c>
      <c r="C3766" s="2">
        <f>IFERROR(__xludf.DUMMYFUNCTION("""COMPUTED_VALUE"""),2126.8)</f>
        <v>2126.8</v>
      </c>
      <c r="D3766" s="2">
        <f>IFERROR(__xludf.DUMMYFUNCTION("""COMPUTED_VALUE"""),2068.35)</f>
        <v>2068.35</v>
      </c>
      <c r="E3766" s="2">
        <f>IFERROR(__xludf.DUMMYFUNCTION("""COMPUTED_VALUE"""),2121.3)</f>
        <v>2121.3</v>
      </c>
      <c r="F3766" s="2">
        <f>IFERROR(__xludf.DUMMYFUNCTION("""COMPUTED_VALUE"""),3902721.0)</f>
        <v>3902721</v>
      </c>
    </row>
    <row r="3767">
      <c r="A3767" s="3">
        <f>IFERROR(__xludf.DUMMYFUNCTION("""COMPUTED_VALUE"""),43805.64583333333)</f>
        <v>43805.64583</v>
      </c>
      <c r="B3767" s="2">
        <f>IFERROR(__xludf.DUMMYFUNCTION("""COMPUTED_VALUE"""),2124.0)</f>
        <v>2124</v>
      </c>
      <c r="C3767" s="2">
        <f>IFERROR(__xludf.DUMMYFUNCTION("""COMPUTED_VALUE"""),2128.0)</f>
        <v>2128</v>
      </c>
      <c r="D3767" s="2">
        <f>IFERROR(__xludf.DUMMYFUNCTION("""COMPUTED_VALUE"""),2101.0)</f>
        <v>2101</v>
      </c>
      <c r="E3767" s="2">
        <f>IFERROR(__xludf.DUMMYFUNCTION("""COMPUTED_VALUE"""),2123.6)</f>
        <v>2123.6</v>
      </c>
      <c r="F3767" s="2">
        <f>IFERROR(__xludf.DUMMYFUNCTION("""COMPUTED_VALUE"""),1829461.0)</f>
        <v>1829461</v>
      </c>
    </row>
    <row r="3768">
      <c r="A3768" s="3">
        <f>IFERROR(__xludf.DUMMYFUNCTION("""COMPUTED_VALUE"""),43808.64583333333)</f>
        <v>43808.64583</v>
      </c>
      <c r="B3768" s="2">
        <f>IFERROR(__xludf.DUMMYFUNCTION("""COMPUTED_VALUE"""),2127.95)</f>
        <v>2127.95</v>
      </c>
      <c r="C3768" s="2">
        <f>IFERROR(__xludf.DUMMYFUNCTION("""COMPUTED_VALUE"""),2127.95)</f>
        <v>2127.95</v>
      </c>
      <c r="D3768" s="2">
        <f>IFERROR(__xludf.DUMMYFUNCTION("""COMPUTED_VALUE"""),2053.5)</f>
        <v>2053.5</v>
      </c>
      <c r="E3768" s="2">
        <f>IFERROR(__xludf.DUMMYFUNCTION("""COMPUTED_VALUE"""),2060.45)</f>
        <v>2060.45</v>
      </c>
      <c r="F3768" s="2">
        <f>IFERROR(__xludf.DUMMYFUNCTION("""COMPUTED_VALUE"""),2244747.0)</f>
        <v>2244747</v>
      </c>
    </row>
    <row r="3769">
      <c r="A3769" s="3">
        <f>IFERROR(__xludf.DUMMYFUNCTION("""COMPUTED_VALUE"""),43809.64583333333)</f>
        <v>43809.64583</v>
      </c>
      <c r="B3769" s="2">
        <f>IFERROR(__xludf.DUMMYFUNCTION("""COMPUTED_VALUE"""),2060.0)</f>
        <v>2060</v>
      </c>
      <c r="C3769" s="2">
        <f>IFERROR(__xludf.DUMMYFUNCTION("""COMPUTED_VALUE"""),2060.85)</f>
        <v>2060.85</v>
      </c>
      <c r="D3769" s="2">
        <f>IFERROR(__xludf.DUMMYFUNCTION("""COMPUTED_VALUE"""),2003.25)</f>
        <v>2003.25</v>
      </c>
      <c r="E3769" s="2">
        <f>IFERROR(__xludf.DUMMYFUNCTION("""COMPUTED_VALUE"""),2012.85)</f>
        <v>2012.85</v>
      </c>
      <c r="F3769" s="2">
        <f>IFERROR(__xludf.DUMMYFUNCTION("""COMPUTED_VALUE"""),4520045.0)</f>
        <v>4520045</v>
      </c>
    </row>
    <row r="3770">
      <c r="A3770" s="3">
        <f>IFERROR(__xludf.DUMMYFUNCTION("""COMPUTED_VALUE"""),43810.64583333333)</f>
        <v>43810.64583</v>
      </c>
      <c r="B3770" s="2">
        <f>IFERROR(__xludf.DUMMYFUNCTION("""COMPUTED_VALUE"""),2025.4)</f>
        <v>2025.4</v>
      </c>
      <c r="C3770" s="2">
        <f>IFERROR(__xludf.DUMMYFUNCTION("""COMPUTED_VALUE"""),2048.0)</f>
        <v>2048</v>
      </c>
      <c r="D3770" s="2">
        <f>IFERROR(__xludf.DUMMYFUNCTION("""COMPUTED_VALUE"""),2006.75)</f>
        <v>2006.75</v>
      </c>
      <c r="E3770" s="2">
        <f>IFERROR(__xludf.DUMMYFUNCTION("""COMPUTED_VALUE"""),2041.9)</f>
        <v>2041.9</v>
      </c>
      <c r="F3770" s="2">
        <f>IFERROR(__xludf.DUMMYFUNCTION("""COMPUTED_VALUE"""),4943024.0)</f>
        <v>4943024</v>
      </c>
    </row>
    <row r="3771">
      <c r="A3771" s="3">
        <f>IFERROR(__xludf.DUMMYFUNCTION("""COMPUTED_VALUE"""),43811.64583333333)</f>
        <v>43811.64583</v>
      </c>
      <c r="B3771" s="2">
        <f>IFERROR(__xludf.DUMMYFUNCTION("""COMPUTED_VALUE"""),2051.1)</f>
        <v>2051.1</v>
      </c>
      <c r="C3771" s="2">
        <f>IFERROR(__xludf.DUMMYFUNCTION("""COMPUTED_VALUE"""),2083.65)</f>
        <v>2083.65</v>
      </c>
      <c r="D3771" s="2">
        <f>IFERROR(__xludf.DUMMYFUNCTION("""COMPUTED_VALUE"""),1984.0)</f>
        <v>1984</v>
      </c>
      <c r="E3771" s="2">
        <f>IFERROR(__xludf.DUMMYFUNCTION("""COMPUTED_VALUE"""),2020.9)</f>
        <v>2020.9</v>
      </c>
      <c r="F3771" s="2">
        <f>IFERROR(__xludf.DUMMYFUNCTION("""COMPUTED_VALUE"""),7137306.0)</f>
        <v>7137306</v>
      </c>
    </row>
    <row r="3772">
      <c r="A3772" s="3">
        <f>IFERROR(__xludf.DUMMYFUNCTION("""COMPUTED_VALUE"""),43812.64583333333)</f>
        <v>43812.64583</v>
      </c>
      <c r="B3772" s="2">
        <f>IFERROR(__xludf.DUMMYFUNCTION("""COMPUTED_VALUE"""),2023.0)</f>
        <v>2023</v>
      </c>
      <c r="C3772" s="2">
        <f>IFERROR(__xludf.DUMMYFUNCTION("""COMPUTED_VALUE"""),2077.4)</f>
        <v>2077.4</v>
      </c>
      <c r="D3772" s="2">
        <f>IFERROR(__xludf.DUMMYFUNCTION("""COMPUTED_VALUE"""),2007.0)</f>
        <v>2007</v>
      </c>
      <c r="E3772" s="2">
        <f>IFERROR(__xludf.DUMMYFUNCTION("""COMPUTED_VALUE"""),2071.25)</f>
        <v>2071.25</v>
      </c>
      <c r="F3772" s="2">
        <f>IFERROR(__xludf.DUMMYFUNCTION("""COMPUTED_VALUE"""),5711133.0)</f>
        <v>5711133</v>
      </c>
    </row>
    <row r="3773">
      <c r="A3773" s="3">
        <f>IFERROR(__xludf.DUMMYFUNCTION("""COMPUTED_VALUE"""),43815.64583333333)</f>
        <v>43815.64583</v>
      </c>
      <c r="B3773" s="2">
        <f>IFERROR(__xludf.DUMMYFUNCTION("""COMPUTED_VALUE"""),2096.0)</f>
        <v>2096</v>
      </c>
      <c r="C3773" s="2">
        <f>IFERROR(__xludf.DUMMYFUNCTION("""COMPUTED_VALUE"""),2136.0)</f>
        <v>2136</v>
      </c>
      <c r="D3773" s="2">
        <f>IFERROR(__xludf.DUMMYFUNCTION("""COMPUTED_VALUE"""),2080.3)</f>
        <v>2080.3</v>
      </c>
      <c r="E3773" s="2">
        <f>IFERROR(__xludf.DUMMYFUNCTION("""COMPUTED_VALUE"""),2126.75)</f>
        <v>2126.75</v>
      </c>
      <c r="F3773" s="2">
        <f>IFERROR(__xludf.DUMMYFUNCTION("""COMPUTED_VALUE"""),5574177.0)</f>
        <v>5574177</v>
      </c>
    </row>
    <row r="3774">
      <c r="A3774" s="3">
        <f>IFERROR(__xludf.DUMMYFUNCTION("""COMPUTED_VALUE"""),43816.64583333333)</f>
        <v>43816.64583</v>
      </c>
      <c r="B3774" s="2">
        <f>IFERROR(__xludf.DUMMYFUNCTION("""COMPUTED_VALUE"""),2126.5)</f>
        <v>2126.5</v>
      </c>
      <c r="C3774" s="2">
        <f>IFERROR(__xludf.DUMMYFUNCTION("""COMPUTED_VALUE"""),2169.0)</f>
        <v>2169</v>
      </c>
      <c r="D3774" s="2">
        <f>IFERROR(__xludf.DUMMYFUNCTION("""COMPUTED_VALUE"""),2119.0)</f>
        <v>2119</v>
      </c>
      <c r="E3774" s="2">
        <f>IFERROR(__xludf.DUMMYFUNCTION("""COMPUTED_VALUE"""),2164.95)</f>
        <v>2164.95</v>
      </c>
      <c r="F3774" s="2">
        <f>IFERROR(__xludf.DUMMYFUNCTION("""COMPUTED_VALUE"""),6059673.0)</f>
        <v>6059673</v>
      </c>
    </row>
    <row r="3775">
      <c r="A3775" s="3">
        <f>IFERROR(__xludf.DUMMYFUNCTION("""COMPUTED_VALUE"""),43817.64583333333)</f>
        <v>43817.64583</v>
      </c>
      <c r="B3775" s="2">
        <f>IFERROR(__xludf.DUMMYFUNCTION("""COMPUTED_VALUE"""),2174.0)</f>
        <v>2174</v>
      </c>
      <c r="C3775" s="2">
        <f>IFERROR(__xludf.DUMMYFUNCTION("""COMPUTED_VALUE"""),2203.45)</f>
        <v>2203.45</v>
      </c>
      <c r="D3775" s="2">
        <f>IFERROR(__xludf.DUMMYFUNCTION("""COMPUTED_VALUE"""),2153.0)</f>
        <v>2153</v>
      </c>
      <c r="E3775" s="2">
        <f>IFERROR(__xludf.DUMMYFUNCTION("""COMPUTED_VALUE"""),2167.75)</f>
        <v>2167.75</v>
      </c>
      <c r="F3775" s="2">
        <f>IFERROR(__xludf.DUMMYFUNCTION("""COMPUTED_VALUE"""),8251081.0)</f>
        <v>8251081</v>
      </c>
    </row>
    <row r="3776">
      <c r="A3776" s="3">
        <f>IFERROR(__xludf.DUMMYFUNCTION("""COMPUTED_VALUE"""),43818.64583333333)</f>
        <v>43818.64583</v>
      </c>
      <c r="B3776" s="2">
        <f>IFERROR(__xludf.DUMMYFUNCTION("""COMPUTED_VALUE"""),2179.8)</f>
        <v>2179.8</v>
      </c>
      <c r="C3776" s="2">
        <f>IFERROR(__xludf.DUMMYFUNCTION("""COMPUTED_VALUE"""),2236.5)</f>
        <v>2236.5</v>
      </c>
      <c r="D3776" s="2">
        <f>IFERROR(__xludf.DUMMYFUNCTION("""COMPUTED_VALUE"""),2167.55)</f>
        <v>2167.55</v>
      </c>
      <c r="E3776" s="2">
        <f>IFERROR(__xludf.DUMMYFUNCTION("""COMPUTED_VALUE"""),2229.05)</f>
        <v>2229.05</v>
      </c>
      <c r="F3776" s="2">
        <f>IFERROR(__xludf.DUMMYFUNCTION("""COMPUTED_VALUE"""),6251505.0)</f>
        <v>6251505</v>
      </c>
    </row>
    <row r="3777">
      <c r="A3777" s="3">
        <f>IFERROR(__xludf.DUMMYFUNCTION("""COMPUTED_VALUE"""),43819.64583333333)</f>
        <v>43819.64583</v>
      </c>
      <c r="B3777" s="2">
        <f>IFERROR(__xludf.DUMMYFUNCTION("""COMPUTED_VALUE"""),2220.0)</f>
        <v>2220</v>
      </c>
      <c r="C3777" s="2">
        <f>IFERROR(__xludf.DUMMYFUNCTION("""COMPUTED_VALUE"""),2246.7)</f>
        <v>2246.7</v>
      </c>
      <c r="D3777" s="2">
        <f>IFERROR(__xludf.DUMMYFUNCTION("""COMPUTED_VALUE"""),2208.25)</f>
        <v>2208.25</v>
      </c>
      <c r="E3777" s="2">
        <f>IFERROR(__xludf.DUMMYFUNCTION("""COMPUTED_VALUE"""),2222.9)</f>
        <v>2222.9</v>
      </c>
      <c r="F3777" s="2">
        <f>IFERROR(__xludf.DUMMYFUNCTION("""COMPUTED_VALUE"""),5548338.0)</f>
        <v>5548338</v>
      </c>
    </row>
    <row r="3778">
      <c r="A3778" s="3">
        <f>IFERROR(__xludf.DUMMYFUNCTION("""COMPUTED_VALUE"""),43822.64583333333)</f>
        <v>43822.64583</v>
      </c>
      <c r="B3778" s="2">
        <f>IFERROR(__xludf.DUMMYFUNCTION("""COMPUTED_VALUE"""),2210.0)</f>
        <v>2210</v>
      </c>
      <c r="C3778" s="2">
        <f>IFERROR(__xludf.DUMMYFUNCTION("""COMPUTED_VALUE"""),2241.95)</f>
        <v>2241.95</v>
      </c>
      <c r="D3778" s="2">
        <f>IFERROR(__xludf.DUMMYFUNCTION("""COMPUTED_VALUE"""),2210.0)</f>
        <v>2210</v>
      </c>
      <c r="E3778" s="2">
        <f>IFERROR(__xludf.DUMMYFUNCTION("""COMPUTED_VALUE"""),2231.7)</f>
        <v>2231.7</v>
      </c>
      <c r="F3778" s="2">
        <f>IFERROR(__xludf.DUMMYFUNCTION("""COMPUTED_VALUE"""),2247329.0)</f>
        <v>2247329</v>
      </c>
    </row>
    <row r="3779">
      <c r="A3779" s="3">
        <f>IFERROR(__xludf.DUMMYFUNCTION("""COMPUTED_VALUE"""),43823.64583333333)</f>
        <v>43823.64583</v>
      </c>
      <c r="B3779" s="2">
        <f>IFERROR(__xludf.DUMMYFUNCTION("""COMPUTED_VALUE"""),2239.0)</f>
        <v>2239</v>
      </c>
      <c r="C3779" s="2">
        <f>IFERROR(__xludf.DUMMYFUNCTION("""COMPUTED_VALUE"""),2243.55)</f>
        <v>2243.55</v>
      </c>
      <c r="D3779" s="2">
        <f>IFERROR(__xludf.DUMMYFUNCTION("""COMPUTED_VALUE"""),2211.15)</f>
        <v>2211.15</v>
      </c>
      <c r="E3779" s="2">
        <f>IFERROR(__xludf.DUMMYFUNCTION("""COMPUTED_VALUE"""),2215.6)</f>
        <v>2215.6</v>
      </c>
      <c r="F3779" s="2">
        <f>IFERROR(__xludf.DUMMYFUNCTION("""COMPUTED_VALUE"""),1805896.0)</f>
        <v>1805896</v>
      </c>
    </row>
    <row r="3780">
      <c r="A3780" s="3">
        <f>IFERROR(__xludf.DUMMYFUNCTION("""COMPUTED_VALUE"""),43825.64583333333)</f>
        <v>43825.64583</v>
      </c>
      <c r="B3780" s="2">
        <f>IFERROR(__xludf.DUMMYFUNCTION("""COMPUTED_VALUE"""),2216.4)</f>
        <v>2216.4</v>
      </c>
      <c r="C3780" s="2">
        <f>IFERROR(__xludf.DUMMYFUNCTION("""COMPUTED_VALUE"""),2229.0)</f>
        <v>2229</v>
      </c>
      <c r="D3780" s="2">
        <f>IFERROR(__xludf.DUMMYFUNCTION("""COMPUTED_VALUE"""),2195.2)</f>
        <v>2195.2</v>
      </c>
      <c r="E3780" s="2">
        <f>IFERROR(__xludf.DUMMYFUNCTION("""COMPUTED_VALUE"""),2201.95)</f>
        <v>2201.95</v>
      </c>
      <c r="F3780" s="2">
        <f>IFERROR(__xludf.DUMMYFUNCTION("""COMPUTED_VALUE"""),1880367.0)</f>
        <v>1880367</v>
      </c>
    </row>
    <row r="3781">
      <c r="A3781" s="3">
        <f>IFERROR(__xludf.DUMMYFUNCTION("""COMPUTED_VALUE"""),43826.64583333333)</f>
        <v>43826.64583</v>
      </c>
      <c r="B3781" s="2">
        <f>IFERROR(__xludf.DUMMYFUNCTION("""COMPUTED_VALUE"""),2208.0)</f>
        <v>2208</v>
      </c>
      <c r="C3781" s="2">
        <f>IFERROR(__xludf.DUMMYFUNCTION("""COMPUTED_VALUE"""),2226.4)</f>
        <v>2226.4</v>
      </c>
      <c r="D3781" s="2">
        <f>IFERROR(__xludf.DUMMYFUNCTION("""COMPUTED_VALUE"""),2176.0)</f>
        <v>2176</v>
      </c>
      <c r="E3781" s="2">
        <f>IFERROR(__xludf.DUMMYFUNCTION("""COMPUTED_VALUE"""),2198.5)</f>
        <v>2198.5</v>
      </c>
      <c r="F3781" s="2">
        <f>IFERROR(__xludf.DUMMYFUNCTION("""COMPUTED_VALUE"""),2720261.0)</f>
        <v>2720261</v>
      </c>
    </row>
    <row r="3782">
      <c r="A3782" s="3">
        <f>IFERROR(__xludf.DUMMYFUNCTION("""COMPUTED_VALUE"""),43829.64583333333)</f>
        <v>43829.64583</v>
      </c>
      <c r="B3782" s="2">
        <f>IFERROR(__xludf.DUMMYFUNCTION("""COMPUTED_VALUE"""),2207.0)</f>
        <v>2207</v>
      </c>
      <c r="C3782" s="2">
        <f>IFERROR(__xludf.DUMMYFUNCTION("""COMPUTED_VALUE"""),2225.0)</f>
        <v>2225</v>
      </c>
      <c r="D3782" s="2">
        <f>IFERROR(__xludf.DUMMYFUNCTION("""COMPUTED_VALUE"""),2177.1)</f>
        <v>2177.1</v>
      </c>
      <c r="E3782" s="2">
        <f>IFERROR(__xludf.DUMMYFUNCTION("""COMPUTED_VALUE"""),2183.2)</f>
        <v>2183.2</v>
      </c>
      <c r="F3782" s="2">
        <f>IFERROR(__xludf.DUMMYFUNCTION("""COMPUTED_VALUE"""),2288830.0)</f>
        <v>2288830</v>
      </c>
    </row>
    <row r="3783">
      <c r="A3783" s="3">
        <f>IFERROR(__xludf.DUMMYFUNCTION("""COMPUTED_VALUE"""),43830.64583333333)</f>
        <v>43830.64583</v>
      </c>
      <c r="B3783" s="2">
        <f>IFERROR(__xludf.DUMMYFUNCTION("""COMPUTED_VALUE"""),2189.0)</f>
        <v>2189</v>
      </c>
      <c r="C3783" s="2">
        <f>IFERROR(__xludf.DUMMYFUNCTION("""COMPUTED_VALUE"""),2197.0)</f>
        <v>2197</v>
      </c>
      <c r="D3783" s="2">
        <f>IFERROR(__xludf.DUMMYFUNCTION("""COMPUTED_VALUE"""),2157.45)</f>
        <v>2157.45</v>
      </c>
      <c r="E3783" s="2">
        <f>IFERROR(__xludf.DUMMYFUNCTION("""COMPUTED_VALUE"""),2161.7)</f>
        <v>2161.7</v>
      </c>
      <c r="F3783" s="2">
        <f>IFERROR(__xludf.DUMMYFUNCTION("""COMPUTED_VALUE"""),1909289.0)</f>
        <v>1909289</v>
      </c>
    </row>
    <row r="3784">
      <c r="A3784" s="3">
        <f>IFERROR(__xludf.DUMMYFUNCTION("""COMPUTED_VALUE"""),43831.64583333333)</f>
        <v>43831.64583</v>
      </c>
      <c r="B3784" s="2">
        <f>IFERROR(__xludf.DUMMYFUNCTION("""COMPUTED_VALUE"""),2168.0)</f>
        <v>2168</v>
      </c>
      <c r="C3784" s="2">
        <f>IFERROR(__xludf.DUMMYFUNCTION("""COMPUTED_VALUE"""),2183.9)</f>
        <v>2183.9</v>
      </c>
      <c r="D3784" s="2">
        <f>IFERROR(__xludf.DUMMYFUNCTION("""COMPUTED_VALUE"""),2154.0)</f>
        <v>2154</v>
      </c>
      <c r="E3784" s="2">
        <f>IFERROR(__xludf.DUMMYFUNCTION("""COMPUTED_VALUE"""),2167.6)</f>
        <v>2167.6</v>
      </c>
      <c r="F3784" s="2">
        <f>IFERROR(__xludf.DUMMYFUNCTION("""COMPUTED_VALUE"""),1354908.0)</f>
        <v>1354908</v>
      </c>
    </row>
    <row r="3785">
      <c r="A3785" s="3">
        <f>IFERROR(__xludf.DUMMYFUNCTION("""COMPUTED_VALUE"""),43832.64583333333)</f>
        <v>43832.64583</v>
      </c>
      <c r="B3785" s="2">
        <f>IFERROR(__xludf.DUMMYFUNCTION("""COMPUTED_VALUE"""),2179.95)</f>
        <v>2179.95</v>
      </c>
      <c r="C3785" s="2">
        <f>IFERROR(__xludf.DUMMYFUNCTION("""COMPUTED_VALUE"""),2179.95)</f>
        <v>2179.95</v>
      </c>
      <c r="D3785" s="2">
        <f>IFERROR(__xludf.DUMMYFUNCTION("""COMPUTED_VALUE"""),2149.2)</f>
        <v>2149.2</v>
      </c>
      <c r="E3785" s="2">
        <f>IFERROR(__xludf.DUMMYFUNCTION("""COMPUTED_VALUE"""),2157.65)</f>
        <v>2157.65</v>
      </c>
      <c r="F3785" s="2">
        <f>IFERROR(__xludf.DUMMYFUNCTION("""COMPUTED_VALUE"""),2380752.0)</f>
        <v>2380752</v>
      </c>
    </row>
    <row r="3786">
      <c r="A3786" s="3">
        <f>IFERROR(__xludf.DUMMYFUNCTION("""COMPUTED_VALUE"""),43833.64583333333)</f>
        <v>43833.64583</v>
      </c>
      <c r="B3786" s="2">
        <f>IFERROR(__xludf.DUMMYFUNCTION("""COMPUTED_VALUE"""),2164.0)</f>
        <v>2164</v>
      </c>
      <c r="C3786" s="2">
        <f>IFERROR(__xludf.DUMMYFUNCTION("""COMPUTED_VALUE"""),2223.0)</f>
        <v>2223</v>
      </c>
      <c r="D3786" s="2">
        <f>IFERROR(__xludf.DUMMYFUNCTION("""COMPUTED_VALUE"""),2164.0)</f>
        <v>2164</v>
      </c>
      <c r="E3786" s="2">
        <f>IFERROR(__xludf.DUMMYFUNCTION("""COMPUTED_VALUE"""),2200.65)</f>
        <v>2200.65</v>
      </c>
      <c r="F3786" s="2">
        <f>IFERROR(__xludf.DUMMYFUNCTION("""COMPUTED_VALUE"""),4655761.0)</f>
        <v>4655761</v>
      </c>
    </row>
    <row r="3787">
      <c r="A3787" s="3">
        <f>IFERROR(__xludf.DUMMYFUNCTION("""COMPUTED_VALUE"""),43836.64583333333)</f>
        <v>43836.64583</v>
      </c>
      <c r="B3787" s="2">
        <f>IFERROR(__xludf.DUMMYFUNCTION("""COMPUTED_VALUE"""),2205.0)</f>
        <v>2205</v>
      </c>
      <c r="C3787" s="2">
        <f>IFERROR(__xludf.DUMMYFUNCTION("""COMPUTED_VALUE"""),2225.95)</f>
        <v>2225.95</v>
      </c>
      <c r="D3787" s="2">
        <f>IFERROR(__xludf.DUMMYFUNCTION("""COMPUTED_VALUE"""),2187.9)</f>
        <v>2187.9</v>
      </c>
      <c r="E3787" s="2">
        <f>IFERROR(__xludf.DUMMYFUNCTION("""COMPUTED_VALUE"""),2200.45)</f>
        <v>2200.45</v>
      </c>
      <c r="F3787" s="2">
        <f>IFERROR(__xludf.DUMMYFUNCTION("""COMPUTED_VALUE"""),3023209.0)</f>
        <v>3023209</v>
      </c>
    </row>
    <row r="3788">
      <c r="A3788" s="3">
        <f>IFERROR(__xludf.DUMMYFUNCTION("""COMPUTED_VALUE"""),43837.64583333333)</f>
        <v>43837.64583</v>
      </c>
      <c r="B3788" s="2">
        <f>IFERROR(__xludf.DUMMYFUNCTION("""COMPUTED_VALUE"""),2200.5)</f>
        <v>2200.5</v>
      </c>
      <c r="C3788" s="2">
        <f>IFERROR(__xludf.DUMMYFUNCTION("""COMPUTED_VALUE"""),2214.65)</f>
        <v>2214.65</v>
      </c>
      <c r="D3788" s="2">
        <f>IFERROR(__xludf.DUMMYFUNCTION("""COMPUTED_VALUE"""),2183.8)</f>
        <v>2183.8</v>
      </c>
      <c r="E3788" s="2">
        <f>IFERROR(__xludf.DUMMYFUNCTION("""COMPUTED_VALUE"""),2205.85)</f>
        <v>2205.85</v>
      </c>
      <c r="F3788" s="2">
        <f>IFERROR(__xludf.DUMMYFUNCTION("""COMPUTED_VALUE"""),2429317.0)</f>
        <v>2429317</v>
      </c>
    </row>
    <row r="3789">
      <c r="A3789" s="3">
        <f>IFERROR(__xludf.DUMMYFUNCTION("""COMPUTED_VALUE"""),43838.64583333333)</f>
        <v>43838.64583</v>
      </c>
      <c r="B3789" s="2">
        <f>IFERROR(__xludf.DUMMYFUNCTION("""COMPUTED_VALUE"""),2205.0)</f>
        <v>2205</v>
      </c>
      <c r="C3789" s="2">
        <f>IFERROR(__xludf.DUMMYFUNCTION("""COMPUTED_VALUE"""),2260.0)</f>
        <v>2260</v>
      </c>
      <c r="D3789" s="2">
        <f>IFERROR(__xludf.DUMMYFUNCTION("""COMPUTED_VALUE"""),2202.05)</f>
        <v>2202.05</v>
      </c>
      <c r="E3789" s="2">
        <f>IFERROR(__xludf.DUMMYFUNCTION("""COMPUTED_VALUE"""),2255.25)</f>
        <v>2255.25</v>
      </c>
      <c r="F3789" s="2">
        <f>IFERROR(__xludf.DUMMYFUNCTION("""COMPUTED_VALUE"""),5197454.0)</f>
        <v>5197454</v>
      </c>
    </row>
    <row r="3790">
      <c r="A3790" s="3">
        <f>IFERROR(__xludf.DUMMYFUNCTION("""COMPUTED_VALUE"""),43839.64583333333)</f>
        <v>43839.64583</v>
      </c>
      <c r="B3790" s="2">
        <f>IFERROR(__xludf.DUMMYFUNCTION("""COMPUTED_VALUE"""),2248.75)</f>
        <v>2248.75</v>
      </c>
      <c r="C3790" s="2">
        <f>IFERROR(__xludf.DUMMYFUNCTION("""COMPUTED_VALUE"""),2251.95)</f>
        <v>2251.95</v>
      </c>
      <c r="D3790" s="2">
        <f>IFERROR(__xludf.DUMMYFUNCTION("""COMPUTED_VALUE"""),2210.0)</f>
        <v>2210</v>
      </c>
      <c r="E3790" s="2">
        <f>IFERROR(__xludf.DUMMYFUNCTION("""COMPUTED_VALUE"""),2214.35)</f>
        <v>2214.35</v>
      </c>
      <c r="F3790" s="2">
        <f>IFERROR(__xludf.DUMMYFUNCTION("""COMPUTED_VALUE"""),3734173.0)</f>
        <v>3734173</v>
      </c>
    </row>
    <row r="3791">
      <c r="A3791" s="3">
        <f>IFERROR(__xludf.DUMMYFUNCTION("""COMPUTED_VALUE"""),43840.64583333333)</f>
        <v>43840.64583</v>
      </c>
      <c r="B3791" s="2">
        <f>IFERROR(__xludf.DUMMYFUNCTION("""COMPUTED_VALUE"""),2228.0)</f>
        <v>2228</v>
      </c>
      <c r="C3791" s="2">
        <f>IFERROR(__xludf.DUMMYFUNCTION("""COMPUTED_VALUE"""),2234.0)</f>
        <v>2234</v>
      </c>
      <c r="D3791" s="2">
        <f>IFERROR(__xludf.DUMMYFUNCTION("""COMPUTED_VALUE"""),2208.0)</f>
        <v>2208</v>
      </c>
      <c r="E3791" s="2">
        <f>IFERROR(__xludf.DUMMYFUNCTION("""COMPUTED_VALUE"""),2213.55)</f>
        <v>2213.55</v>
      </c>
      <c r="F3791" s="2">
        <f>IFERROR(__xludf.DUMMYFUNCTION("""COMPUTED_VALUE"""),1915807.0)</f>
        <v>1915807</v>
      </c>
    </row>
    <row r="3792">
      <c r="A3792" s="3">
        <f>IFERROR(__xludf.DUMMYFUNCTION("""COMPUTED_VALUE"""),43843.64583333333)</f>
        <v>43843.64583</v>
      </c>
      <c r="B3792" s="2">
        <f>IFERROR(__xludf.DUMMYFUNCTION("""COMPUTED_VALUE"""),2217.85)</f>
        <v>2217.85</v>
      </c>
      <c r="C3792" s="2">
        <f>IFERROR(__xludf.DUMMYFUNCTION("""COMPUTED_VALUE"""),2218.95)</f>
        <v>2218.95</v>
      </c>
      <c r="D3792" s="2">
        <f>IFERROR(__xludf.DUMMYFUNCTION("""COMPUTED_VALUE"""),2184.7)</f>
        <v>2184.7</v>
      </c>
      <c r="E3792" s="2">
        <f>IFERROR(__xludf.DUMMYFUNCTION("""COMPUTED_VALUE"""),2190.35)</f>
        <v>2190.35</v>
      </c>
      <c r="F3792" s="2">
        <f>IFERROR(__xludf.DUMMYFUNCTION("""COMPUTED_VALUE"""),2843893.0)</f>
        <v>2843893</v>
      </c>
    </row>
    <row r="3793">
      <c r="A3793" s="3">
        <f>IFERROR(__xludf.DUMMYFUNCTION("""COMPUTED_VALUE"""),43844.64583333333)</f>
        <v>43844.64583</v>
      </c>
      <c r="B3793" s="2">
        <f>IFERROR(__xludf.DUMMYFUNCTION("""COMPUTED_VALUE"""),2195.0)</f>
        <v>2195</v>
      </c>
      <c r="C3793" s="2">
        <f>IFERROR(__xludf.DUMMYFUNCTION("""COMPUTED_VALUE"""),2229.8)</f>
        <v>2229.8</v>
      </c>
      <c r="D3793" s="2">
        <f>IFERROR(__xludf.DUMMYFUNCTION("""COMPUTED_VALUE"""),2195.0)</f>
        <v>2195</v>
      </c>
      <c r="E3793" s="2">
        <f>IFERROR(__xludf.DUMMYFUNCTION("""COMPUTED_VALUE"""),2206.9)</f>
        <v>2206.9</v>
      </c>
      <c r="F3793" s="2">
        <f>IFERROR(__xludf.DUMMYFUNCTION("""COMPUTED_VALUE"""),2948452.0)</f>
        <v>2948452</v>
      </c>
    </row>
    <row r="3794">
      <c r="A3794" s="3">
        <f>IFERROR(__xludf.DUMMYFUNCTION("""COMPUTED_VALUE"""),43845.64583333333)</f>
        <v>43845.64583</v>
      </c>
      <c r="B3794" s="2">
        <f>IFERROR(__xludf.DUMMYFUNCTION("""COMPUTED_VALUE"""),2213.0)</f>
        <v>2213</v>
      </c>
      <c r="C3794" s="2">
        <f>IFERROR(__xludf.DUMMYFUNCTION("""COMPUTED_VALUE"""),2231.0)</f>
        <v>2231</v>
      </c>
      <c r="D3794" s="2">
        <f>IFERROR(__xludf.DUMMYFUNCTION("""COMPUTED_VALUE"""),2194.2)</f>
        <v>2194.2</v>
      </c>
      <c r="E3794" s="2">
        <f>IFERROR(__xludf.DUMMYFUNCTION("""COMPUTED_VALUE"""),2226.9)</f>
        <v>2226.9</v>
      </c>
      <c r="F3794" s="2">
        <f>IFERROR(__xludf.DUMMYFUNCTION("""COMPUTED_VALUE"""),2620681.0)</f>
        <v>2620681</v>
      </c>
    </row>
    <row r="3795">
      <c r="A3795" s="3">
        <f>IFERROR(__xludf.DUMMYFUNCTION("""COMPUTED_VALUE"""),43846.64583333333)</f>
        <v>43846.64583</v>
      </c>
      <c r="B3795" s="2">
        <f>IFERROR(__xludf.DUMMYFUNCTION("""COMPUTED_VALUE"""),2226.95)</f>
        <v>2226.95</v>
      </c>
      <c r="C3795" s="2">
        <f>IFERROR(__xludf.DUMMYFUNCTION("""COMPUTED_VALUE"""),2249.0)</f>
        <v>2249</v>
      </c>
      <c r="D3795" s="2">
        <f>IFERROR(__xludf.DUMMYFUNCTION("""COMPUTED_VALUE"""),2215.0)</f>
        <v>2215</v>
      </c>
      <c r="E3795" s="2">
        <f>IFERROR(__xludf.DUMMYFUNCTION("""COMPUTED_VALUE"""),2238.8)</f>
        <v>2238.8</v>
      </c>
      <c r="F3795" s="2">
        <f>IFERROR(__xludf.DUMMYFUNCTION("""COMPUTED_VALUE"""),3117214.0)</f>
        <v>3117214</v>
      </c>
    </row>
    <row r="3796">
      <c r="A3796" s="3">
        <f>IFERROR(__xludf.DUMMYFUNCTION("""COMPUTED_VALUE"""),43847.64583333333)</f>
        <v>43847.64583</v>
      </c>
      <c r="B3796" s="2">
        <f>IFERROR(__xludf.DUMMYFUNCTION("""COMPUTED_VALUE"""),2240.75)</f>
        <v>2240.75</v>
      </c>
      <c r="C3796" s="2">
        <f>IFERROR(__xludf.DUMMYFUNCTION("""COMPUTED_VALUE"""),2253.55)</f>
        <v>2253.55</v>
      </c>
      <c r="D3796" s="2">
        <f>IFERROR(__xludf.DUMMYFUNCTION("""COMPUTED_VALUE"""),2213.0)</f>
        <v>2213</v>
      </c>
      <c r="E3796" s="2">
        <f>IFERROR(__xludf.DUMMYFUNCTION("""COMPUTED_VALUE"""),2219.1)</f>
        <v>2219.1</v>
      </c>
      <c r="F3796" s="2">
        <f>IFERROR(__xludf.DUMMYFUNCTION("""COMPUTED_VALUE"""),3281059.0)</f>
        <v>3281059</v>
      </c>
    </row>
    <row r="3797">
      <c r="A3797" s="3">
        <f>IFERROR(__xludf.DUMMYFUNCTION("""COMPUTED_VALUE"""),43850.64583333333)</f>
        <v>43850.64583</v>
      </c>
      <c r="B3797" s="2">
        <f>IFERROR(__xludf.DUMMYFUNCTION("""COMPUTED_VALUE"""),2194.9)</f>
        <v>2194.9</v>
      </c>
      <c r="C3797" s="2">
        <f>IFERROR(__xludf.DUMMYFUNCTION("""COMPUTED_VALUE"""),2242.2)</f>
        <v>2242.2</v>
      </c>
      <c r="D3797" s="2">
        <f>IFERROR(__xludf.DUMMYFUNCTION("""COMPUTED_VALUE"""),2156.2)</f>
        <v>2156.2</v>
      </c>
      <c r="E3797" s="2">
        <f>IFERROR(__xludf.DUMMYFUNCTION("""COMPUTED_VALUE"""),2170.35)</f>
        <v>2170.35</v>
      </c>
      <c r="F3797" s="2">
        <f>IFERROR(__xludf.DUMMYFUNCTION("""COMPUTED_VALUE"""),5817599.0)</f>
        <v>5817599</v>
      </c>
    </row>
    <row r="3798">
      <c r="A3798" s="3">
        <f>IFERROR(__xludf.DUMMYFUNCTION("""COMPUTED_VALUE"""),43851.64583333333)</f>
        <v>43851.64583</v>
      </c>
      <c r="B3798" s="2">
        <f>IFERROR(__xludf.DUMMYFUNCTION("""COMPUTED_VALUE"""),2169.95)</f>
        <v>2169.95</v>
      </c>
      <c r="C3798" s="2">
        <f>IFERROR(__xludf.DUMMYFUNCTION("""COMPUTED_VALUE"""),2186.55)</f>
        <v>2186.55</v>
      </c>
      <c r="D3798" s="2">
        <f>IFERROR(__xludf.DUMMYFUNCTION("""COMPUTED_VALUE"""),2158.05)</f>
        <v>2158.05</v>
      </c>
      <c r="E3798" s="2">
        <f>IFERROR(__xludf.DUMMYFUNCTION("""COMPUTED_VALUE"""),2171.05)</f>
        <v>2171.05</v>
      </c>
      <c r="F3798" s="2">
        <f>IFERROR(__xludf.DUMMYFUNCTION("""COMPUTED_VALUE"""),1902980.0)</f>
        <v>1902980</v>
      </c>
    </row>
    <row r="3799">
      <c r="A3799" s="3">
        <f>IFERROR(__xludf.DUMMYFUNCTION("""COMPUTED_VALUE"""),43852.64583333333)</f>
        <v>43852.64583</v>
      </c>
      <c r="B3799" s="2">
        <f>IFERROR(__xludf.DUMMYFUNCTION("""COMPUTED_VALUE"""),2181.0)</f>
        <v>2181</v>
      </c>
      <c r="C3799" s="2">
        <f>IFERROR(__xludf.DUMMYFUNCTION("""COMPUTED_VALUE"""),2210.0)</f>
        <v>2210</v>
      </c>
      <c r="D3799" s="2">
        <f>IFERROR(__xludf.DUMMYFUNCTION("""COMPUTED_VALUE"""),2173.7)</f>
        <v>2173.7</v>
      </c>
      <c r="E3799" s="2">
        <f>IFERROR(__xludf.DUMMYFUNCTION("""COMPUTED_VALUE"""),2206.9)</f>
        <v>2206.9</v>
      </c>
      <c r="F3799" s="2">
        <f>IFERROR(__xludf.DUMMYFUNCTION("""COMPUTED_VALUE"""),1773686.0)</f>
        <v>1773686</v>
      </c>
    </row>
    <row r="3800">
      <c r="A3800" s="3">
        <f>IFERROR(__xludf.DUMMYFUNCTION("""COMPUTED_VALUE"""),43853.64583333333)</f>
        <v>43853.64583</v>
      </c>
      <c r="B3800" s="2">
        <f>IFERROR(__xludf.DUMMYFUNCTION("""COMPUTED_VALUE"""),2209.8)</f>
        <v>2209.8</v>
      </c>
      <c r="C3800" s="2">
        <f>IFERROR(__xludf.DUMMYFUNCTION("""COMPUTED_VALUE"""),2217.75)</f>
        <v>2217.75</v>
      </c>
      <c r="D3800" s="2">
        <f>IFERROR(__xludf.DUMMYFUNCTION("""COMPUTED_VALUE"""),2183.7)</f>
        <v>2183.7</v>
      </c>
      <c r="E3800" s="2">
        <f>IFERROR(__xludf.DUMMYFUNCTION("""COMPUTED_VALUE"""),2190.95)</f>
        <v>2190.95</v>
      </c>
      <c r="F3800" s="2">
        <f>IFERROR(__xludf.DUMMYFUNCTION("""COMPUTED_VALUE"""),2069866.0)</f>
        <v>2069866</v>
      </c>
    </row>
    <row r="3801">
      <c r="A3801" s="3">
        <f>IFERROR(__xludf.DUMMYFUNCTION("""COMPUTED_VALUE"""),43854.64583333333)</f>
        <v>43854.64583</v>
      </c>
      <c r="B3801" s="2">
        <f>IFERROR(__xludf.DUMMYFUNCTION("""COMPUTED_VALUE"""),2190.95)</f>
        <v>2190.95</v>
      </c>
      <c r="C3801" s="2">
        <f>IFERROR(__xludf.DUMMYFUNCTION("""COMPUTED_VALUE"""),2190.95)</f>
        <v>2190.95</v>
      </c>
      <c r="D3801" s="2">
        <f>IFERROR(__xludf.DUMMYFUNCTION("""COMPUTED_VALUE"""),2170.0)</f>
        <v>2170</v>
      </c>
      <c r="E3801" s="2">
        <f>IFERROR(__xludf.DUMMYFUNCTION("""COMPUTED_VALUE"""),2183.4)</f>
        <v>2183.4</v>
      </c>
      <c r="F3801" s="2">
        <f>IFERROR(__xludf.DUMMYFUNCTION("""COMPUTED_VALUE"""),1319430.0)</f>
        <v>1319430</v>
      </c>
    </row>
    <row r="3802">
      <c r="A3802" s="3">
        <f>IFERROR(__xludf.DUMMYFUNCTION("""COMPUTED_VALUE"""),43857.64583333333)</f>
        <v>43857.64583</v>
      </c>
      <c r="B3802" s="2">
        <f>IFERROR(__xludf.DUMMYFUNCTION("""COMPUTED_VALUE"""),2189.7)</f>
        <v>2189.7</v>
      </c>
      <c r="C3802" s="2">
        <f>IFERROR(__xludf.DUMMYFUNCTION("""COMPUTED_VALUE"""),2193.45)</f>
        <v>2193.45</v>
      </c>
      <c r="D3802" s="2">
        <f>IFERROR(__xludf.DUMMYFUNCTION("""COMPUTED_VALUE"""),2165.0)</f>
        <v>2165</v>
      </c>
      <c r="E3802" s="2">
        <f>IFERROR(__xludf.DUMMYFUNCTION("""COMPUTED_VALUE"""),2169.25)</f>
        <v>2169.25</v>
      </c>
      <c r="F3802" s="2">
        <f>IFERROR(__xludf.DUMMYFUNCTION("""COMPUTED_VALUE"""),1549101.0)</f>
        <v>1549101</v>
      </c>
    </row>
    <row r="3803">
      <c r="A3803" s="3">
        <f>IFERROR(__xludf.DUMMYFUNCTION("""COMPUTED_VALUE"""),43858.64583333333)</f>
        <v>43858.64583</v>
      </c>
      <c r="B3803" s="2">
        <f>IFERROR(__xludf.DUMMYFUNCTION("""COMPUTED_VALUE"""),2174.0)</f>
        <v>2174</v>
      </c>
      <c r="C3803" s="2">
        <f>IFERROR(__xludf.DUMMYFUNCTION("""COMPUTED_VALUE"""),2187.8)</f>
        <v>2187.8</v>
      </c>
      <c r="D3803" s="2">
        <f>IFERROR(__xludf.DUMMYFUNCTION("""COMPUTED_VALUE"""),2152.0)</f>
        <v>2152</v>
      </c>
      <c r="E3803" s="2">
        <f>IFERROR(__xludf.DUMMYFUNCTION("""COMPUTED_VALUE"""),2183.75)</f>
        <v>2183.75</v>
      </c>
      <c r="F3803" s="2">
        <f>IFERROR(__xludf.DUMMYFUNCTION("""COMPUTED_VALUE"""),1743024.0)</f>
        <v>1743024</v>
      </c>
    </row>
    <row r="3804">
      <c r="A3804" s="3">
        <f>IFERROR(__xludf.DUMMYFUNCTION("""COMPUTED_VALUE"""),43859.64583333333)</f>
        <v>43859.64583</v>
      </c>
      <c r="B3804" s="2">
        <f>IFERROR(__xludf.DUMMYFUNCTION("""COMPUTED_VALUE"""),2185.0)</f>
        <v>2185</v>
      </c>
      <c r="C3804" s="2">
        <f>IFERROR(__xludf.DUMMYFUNCTION("""COMPUTED_VALUE"""),2186.95)</f>
        <v>2186.95</v>
      </c>
      <c r="D3804" s="2">
        <f>IFERROR(__xludf.DUMMYFUNCTION("""COMPUTED_VALUE"""),2150.0)</f>
        <v>2150</v>
      </c>
      <c r="E3804" s="2">
        <f>IFERROR(__xludf.DUMMYFUNCTION("""COMPUTED_VALUE"""),2154.6)</f>
        <v>2154.6</v>
      </c>
      <c r="F3804" s="2">
        <f>IFERROR(__xludf.DUMMYFUNCTION("""COMPUTED_VALUE"""),2306761.0)</f>
        <v>2306761</v>
      </c>
    </row>
    <row r="3805">
      <c r="A3805" s="3">
        <f>IFERROR(__xludf.DUMMYFUNCTION("""COMPUTED_VALUE"""),43860.64583333333)</f>
        <v>43860.64583</v>
      </c>
      <c r="B3805" s="2">
        <f>IFERROR(__xludf.DUMMYFUNCTION("""COMPUTED_VALUE"""),2160.0)</f>
        <v>2160</v>
      </c>
      <c r="C3805" s="2">
        <f>IFERROR(__xludf.DUMMYFUNCTION("""COMPUTED_VALUE"""),2165.0)</f>
        <v>2165</v>
      </c>
      <c r="D3805" s="2">
        <f>IFERROR(__xludf.DUMMYFUNCTION("""COMPUTED_VALUE"""),2125.0)</f>
        <v>2125</v>
      </c>
      <c r="E3805" s="2">
        <f>IFERROR(__xludf.DUMMYFUNCTION("""COMPUTED_VALUE"""),2137.85)</f>
        <v>2137.85</v>
      </c>
      <c r="F3805" s="2">
        <f>IFERROR(__xludf.DUMMYFUNCTION("""COMPUTED_VALUE"""),2098567.0)</f>
        <v>2098567</v>
      </c>
    </row>
    <row r="3806">
      <c r="A3806" s="3">
        <f>IFERROR(__xludf.DUMMYFUNCTION("""COMPUTED_VALUE"""),43861.64583333333)</f>
        <v>43861.64583</v>
      </c>
      <c r="B3806" s="2">
        <f>IFERROR(__xludf.DUMMYFUNCTION("""COMPUTED_VALUE"""),2139.4)</f>
        <v>2139.4</v>
      </c>
      <c r="C3806" s="2">
        <f>IFERROR(__xludf.DUMMYFUNCTION("""COMPUTED_VALUE"""),2144.35)</f>
        <v>2144.35</v>
      </c>
      <c r="D3806" s="2">
        <f>IFERROR(__xludf.DUMMYFUNCTION("""COMPUTED_VALUE"""),2071.6)</f>
        <v>2071.6</v>
      </c>
      <c r="E3806" s="2">
        <f>IFERROR(__xludf.DUMMYFUNCTION("""COMPUTED_VALUE"""),2079.05)</f>
        <v>2079.05</v>
      </c>
      <c r="F3806" s="2">
        <f>IFERROR(__xludf.DUMMYFUNCTION("""COMPUTED_VALUE"""),3287223.0)</f>
        <v>3287223</v>
      </c>
    </row>
    <row r="3807">
      <c r="A3807" s="3">
        <f>IFERROR(__xludf.DUMMYFUNCTION("""COMPUTED_VALUE"""),43862.70833333333)</f>
        <v>43862.70833</v>
      </c>
      <c r="B3807" s="2">
        <f>IFERROR(__xludf.DUMMYFUNCTION("""COMPUTED_VALUE"""),2079.5)</f>
        <v>2079.5</v>
      </c>
      <c r="C3807" s="2">
        <f>IFERROR(__xludf.DUMMYFUNCTION("""COMPUTED_VALUE"""),2179.0)</f>
        <v>2179</v>
      </c>
      <c r="D3807" s="2">
        <f>IFERROR(__xludf.DUMMYFUNCTION("""COMPUTED_VALUE"""),2063.6)</f>
        <v>2063.6</v>
      </c>
      <c r="E3807" s="2">
        <f>IFERROR(__xludf.DUMMYFUNCTION("""COMPUTED_VALUE"""),2175.0)</f>
        <v>2175</v>
      </c>
      <c r="F3807" s="2">
        <f>IFERROR(__xludf.DUMMYFUNCTION("""COMPUTED_VALUE"""),3127520.0)</f>
        <v>3127520</v>
      </c>
    </row>
    <row r="3808">
      <c r="A3808" s="3">
        <f>IFERROR(__xludf.DUMMYFUNCTION("""COMPUTED_VALUE"""),43864.64583333333)</f>
        <v>43864.64583</v>
      </c>
      <c r="B3808" s="2">
        <f>IFERROR(__xludf.DUMMYFUNCTION("""COMPUTED_VALUE"""),2152.0)</f>
        <v>2152</v>
      </c>
      <c r="C3808" s="2">
        <f>IFERROR(__xludf.DUMMYFUNCTION("""COMPUTED_VALUE"""),2194.7)</f>
        <v>2194.7</v>
      </c>
      <c r="D3808" s="2">
        <f>IFERROR(__xludf.DUMMYFUNCTION("""COMPUTED_VALUE"""),2093.2)</f>
        <v>2093.2</v>
      </c>
      <c r="E3808" s="2">
        <f>IFERROR(__xludf.DUMMYFUNCTION("""COMPUTED_VALUE"""),2102.5)</f>
        <v>2102.5</v>
      </c>
      <c r="F3808" s="2">
        <f>IFERROR(__xludf.DUMMYFUNCTION("""COMPUTED_VALUE"""),4728073.0)</f>
        <v>4728073</v>
      </c>
    </row>
    <row r="3809">
      <c r="A3809" s="3">
        <f>IFERROR(__xludf.DUMMYFUNCTION("""COMPUTED_VALUE"""),43865.64583333333)</f>
        <v>43865.64583</v>
      </c>
      <c r="B3809" s="2">
        <f>IFERROR(__xludf.DUMMYFUNCTION("""COMPUTED_VALUE"""),2129.0)</f>
        <v>2129</v>
      </c>
      <c r="C3809" s="2">
        <f>IFERROR(__xludf.DUMMYFUNCTION("""COMPUTED_VALUE"""),2136.7)</f>
        <v>2136.7</v>
      </c>
      <c r="D3809" s="2">
        <f>IFERROR(__xludf.DUMMYFUNCTION("""COMPUTED_VALUE"""),2086.6)</f>
        <v>2086.6</v>
      </c>
      <c r="E3809" s="2">
        <f>IFERROR(__xludf.DUMMYFUNCTION("""COMPUTED_VALUE"""),2107.75)</f>
        <v>2107.75</v>
      </c>
      <c r="F3809" s="2">
        <f>IFERROR(__xludf.DUMMYFUNCTION("""COMPUTED_VALUE"""),3509339.0)</f>
        <v>3509339</v>
      </c>
    </row>
    <row r="3810">
      <c r="A3810" s="3">
        <f>IFERROR(__xludf.DUMMYFUNCTION("""COMPUTED_VALUE"""),43866.64583333333)</f>
        <v>43866.64583</v>
      </c>
      <c r="B3810" s="2">
        <f>IFERROR(__xludf.DUMMYFUNCTION("""COMPUTED_VALUE"""),2115.0)</f>
        <v>2115</v>
      </c>
      <c r="C3810" s="2">
        <f>IFERROR(__xludf.DUMMYFUNCTION("""COMPUTED_VALUE"""),2156.7)</f>
        <v>2156.7</v>
      </c>
      <c r="D3810" s="2">
        <f>IFERROR(__xludf.DUMMYFUNCTION("""COMPUTED_VALUE"""),2104.3)</f>
        <v>2104.3</v>
      </c>
      <c r="E3810" s="2">
        <f>IFERROR(__xludf.DUMMYFUNCTION("""COMPUTED_VALUE"""),2146.55)</f>
        <v>2146.55</v>
      </c>
      <c r="F3810" s="2">
        <f>IFERROR(__xludf.DUMMYFUNCTION("""COMPUTED_VALUE"""),2439322.0)</f>
        <v>2439322</v>
      </c>
    </row>
    <row r="3811">
      <c r="A3811" s="3">
        <f>IFERROR(__xludf.DUMMYFUNCTION("""COMPUTED_VALUE"""),43867.64583333333)</f>
        <v>43867.64583</v>
      </c>
      <c r="B3811" s="2">
        <f>IFERROR(__xludf.DUMMYFUNCTION("""COMPUTED_VALUE"""),2145.0)</f>
        <v>2145</v>
      </c>
      <c r="C3811" s="2">
        <f>IFERROR(__xludf.DUMMYFUNCTION("""COMPUTED_VALUE"""),2174.2)</f>
        <v>2174.2</v>
      </c>
      <c r="D3811" s="2">
        <f>IFERROR(__xludf.DUMMYFUNCTION("""COMPUTED_VALUE"""),2115.5)</f>
        <v>2115.5</v>
      </c>
      <c r="E3811" s="2">
        <f>IFERROR(__xludf.DUMMYFUNCTION("""COMPUTED_VALUE"""),2128.35)</f>
        <v>2128.35</v>
      </c>
      <c r="F3811" s="2">
        <f>IFERROR(__xludf.DUMMYFUNCTION("""COMPUTED_VALUE"""),2640065.0)</f>
        <v>2640065</v>
      </c>
    </row>
    <row r="3812">
      <c r="A3812" s="3">
        <f>IFERROR(__xludf.DUMMYFUNCTION("""COMPUTED_VALUE"""),43868.64583333333)</f>
        <v>43868.64583</v>
      </c>
      <c r="B3812" s="2">
        <f>IFERROR(__xludf.DUMMYFUNCTION("""COMPUTED_VALUE"""),2139.0)</f>
        <v>2139</v>
      </c>
      <c r="C3812" s="2">
        <f>IFERROR(__xludf.DUMMYFUNCTION("""COMPUTED_VALUE"""),2151.0)</f>
        <v>2151</v>
      </c>
      <c r="D3812" s="2">
        <f>IFERROR(__xludf.DUMMYFUNCTION("""COMPUTED_VALUE"""),2119.0)</f>
        <v>2119</v>
      </c>
      <c r="E3812" s="2">
        <f>IFERROR(__xludf.DUMMYFUNCTION("""COMPUTED_VALUE"""),2136.55)</f>
        <v>2136.55</v>
      </c>
      <c r="F3812" s="2">
        <f>IFERROR(__xludf.DUMMYFUNCTION("""COMPUTED_VALUE"""),2083442.0)</f>
        <v>2083442</v>
      </c>
    </row>
    <row r="3813">
      <c r="A3813" s="3">
        <f>IFERROR(__xludf.DUMMYFUNCTION("""COMPUTED_VALUE"""),43871.64583333333)</f>
        <v>43871.64583</v>
      </c>
      <c r="B3813" s="2">
        <f>IFERROR(__xludf.DUMMYFUNCTION("""COMPUTED_VALUE"""),2140.9)</f>
        <v>2140.9</v>
      </c>
      <c r="C3813" s="2">
        <f>IFERROR(__xludf.DUMMYFUNCTION("""COMPUTED_VALUE"""),2167.0)</f>
        <v>2167</v>
      </c>
      <c r="D3813" s="2">
        <f>IFERROR(__xludf.DUMMYFUNCTION("""COMPUTED_VALUE"""),2119.0)</f>
        <v>2119</v>
      </c>
      <c r="E3813" s="2">
        <f>IFERROR(__xludf.DUMMYFUNCTION("""COMPUTED_VALUE"""),2161.95)</f>
        <v>2161.95</v>
      </c>
      <c r="F3813" s="2">
        <f>IFERROR(__xludf.DUMMYFUNCTION("""COMPUTED_VALUE"""),2383032.0)</f>
        <v>2383032</v>
      </c>
    </row>
    <row r="3814">
      <c r="A3814" s="3">
        <f>IFERROR(__xludf.DUMMYFUNCTION("""COMPUTED_VALUE"""),43872.64583333333)</f>
        <v>43872.64583</v>
      </c>
      <c r="B3814" s="2">
        <f>IFERROR(__xludf.DUMMYFUNCTION("""COMPUTED_VALUE"""),2163.0)</f>
        <v>2163</v>
      </c>
      <c r="C3814" s="2">
        <f>IFERROR(__xludf.DUMMYFUNCTION("""COMPUTED_VALUE"""),2174.8)</f>
        <v>2174.8</v>
      </c>
      <c r="D3814" s="2">
        <f>IFERROR(__xludf.DUMMYFUNCTION("""COMPUTED_VALUE"""),2147.6)</f>
        <v>2147.6</v>
      </c>
      <c r="E3814" s="2">
        <f>IFERROR(__xludf.DUMMYFUNCTION("""COMPUTED_VALUE"""),2153.4)</f>
        <v>2153.4</v>
      </c>
      <c r="F3814" s="2">
        <f>IFERROR(__xludf.DUMMYFUNCTION("""COMPUTED_VALUE"""),1335820.0)</f>
        <v>1335820</v>
      </c>
    </row>
    <row r="3815">
      <c r="A3815" s="3">
        <f>IFERROR(__xludf.DUMMYFUNCTION("""COMPUTED_VALUE"""),43873.64583333333)</f>
        <v>43873.64583</v>
      </c>
      <c r="B3815" s="2">
        <f>IFERROR(__xludf.DUMMYFUNCTION("""COMPUTED_VALUE"""),2151.1)</f>
        <v>2151.1</v>
      </c>
      <c r="C3815" s="2">
        <f>IFERROR(__xludf.DUMMYFUNCTION("""COMPUTED_VALUE"""),2185.0)</f>
        <v>2185</v>
      </c>
      <c r="D3815" s="2">
        <f>IFERROR(__xludf.DUMMYFUNCTION("""COMPUTED_VALUE"""),2150.0)</f>
        <v>2150</v>
      </c>
      <c r="E3815" s="2">
        <f>IFERROR(__xludf.DUMMYFUNCTION("""COMPUTED_VALUE"""),2170.75)</f>
        <v>2170.75</v>
      </c>
      <c r="F3815" s="2">
        <f>IFERROR(__xludf.DUMMYFUNCTION("""COMPUTED_VALUE"""),1620407.0)</f>
        <v>1620407</v>
      </c>
    </row>
    <row r="3816">
      <c r="A3816" s="3">
        <f>IFERROR(__xludf.DUMMYFUNCTION("""COMPUTED_VALUE"""),43874.64583333333)</f>
        <v>43874.64583</v>
      </c>
      <c r="B3816" s="2">
        <f>IFERROR(__xludf.DUMMYFUNCTION("""COMPUTED_VALUE"""),2172.95)</f>
        <v>2172.95</v>
      </c>
      <c r="C3816" s="2">
        <f>IFERROR(__xludf.DUMMYFUNCTION("""COMPUTED_VALUE"""),2197.0)</f>
        <v>2197</v>
      </c>
      <c r="D3816" s="2">
        <f>IFERROR(__xludf.DUMMYFUNCTION("""COMPUTED_VALUE"""),2171.0)</f>
        <v>2171</v>
      </c>
      <c r="E3816" s="2">
        <f>IFERROR(__xludf.DUMMYFUNCTION("""COMPUTED_VALUE"""),2191.95)</f>
        <v>2191.95</v>
      </c>
      <c r="F3816" s="2">
        <f>IFERROR(__xludf.DUMMYFUNCTION("""COMPUTED_VALUE"""),1645948.0)</f>
        <v>1645948</v>
      </c>
    </row>
    <row r="3817">
      <c r="A3817" s="3">
        <f>IFERROR(__xludf.DUMMYFUNCTION("""COMPUTED_VALUE"""),43875.64583333333)</f>
        <v>43875.64583</v>
      </c>
      <c r="B3817" s="2">
        <f>IFERROR(__xludf.DUMMYFUNCTION("""COMPUTED_VALUE"""),2188.0)</f>
        <v>2188</v>
      </c>
      <c r="C3817" s="2">
        <f>IFERROR(__xludf.DUMMYFUNCTION("""COMPUTED_VALUE"""),2212.0)</f>
        <v>2212</v>
      </c>
      <c r="D3817" s="2">
        <f>IFERROR(__xludf.DUMMYFUNCTION("""COMPUTED_VALUE"""),2171.0)</f>
        <v>2171</v>
      </c>
      <c r="E3817" s="2">
        <f>IFERROR(__xludf.DUMMYFUNCTION("""COMPUTED_VALUE"""),2184.2)</f>
        <v>2184.2</v>
      </c>
      <c r="F3817" s="2">
        <f>IFERROR(__xludf.DUMMYFUNCTION("""COMPUTED_VALUE"""),1500115.0)</f>
        <v>1500115</v>
      </c>
    </row>
    <row r="3818">
      <c r="A3818" s="3">
        <f>IFERROR(__xludf.DUMMYFUNCTION("""COMPUTED_VALUE"""),43878.64583333333)</f>
        <v>43878.64583</v>
      </c>
      <c r="B3818" s="2">
        <f>IFERROR(__xludf.DUMMYFUNCTION("""COMPUTED_VALUE"""),2196.95)</f>
        <v>2196.95</v>
      </c>
      <c r="C3818" s="2">
        <f>IFERROR(__xludf.DUMMYFUNCTION("""COMPUTED_VALUE"""),2217.0)</f>
        <v>2217</v>
      </c>
      <c r="D3818" s="2">
        <f>IFERROR(__xludf.DUMMYFUNCTION("""COMPUTED_VALUE"""),2190.2)</f>
        <v>2190.2</v>
      </c>
      <c r="E3818" s="2">
        <f>IFERROR(__xludf.DUMMYFUNCTION("""COMPUTED_VALUE"""),2203.25)</f>
        <v>2203.25</v>
      </c>
      <c r="F3818" s="2">
        <f>IFERROR(__xludf.DUMMYFUNCTION("""COMPUTED_VALUE"""),1774724.0)</f>
        <v>1774724</v>
      </c>
    </row>
    <row r="3819">
      <c r="A3819" s="3">
        <f>IFERROR(__xludf.DUMMYFUNCTION("""COMPUTED_VALUE"""),43879.64583333333)</f>
        <v>43879.64583</v>
      </c>
      <c r="B3819" s="2">
        <f>IFERROR(__xludf.DUMMYFUNCTION("""COMPUTED_VALUE"""),2199.95)</f>
        <v>2199.95</v>
      </c>
      <c r="C3819" s="2">
        <f>IFERROR(__xludf.DUMMYFUNCTION("""COMPUTED_VALUE"""),2221.0)</f>
        <v>2221</v>
      </c>
      <c r="D3819" s="2">
        <f>IFERROR(__xludf.DUMMYFUNCTION("""COMPUTED_VALUE"""),2186.05)</f>
        <v>2186.05</v>
      </c>
      <c r="E3819" s="2">
        <f>IFERROR(__xludf.DUMMYFUNCTION("""COMPUTED_VALUE"""),2215.75)</f>
        <v>2215.75</v>
      </c>
      <c r="F3819" s="2">
        <f>IFERROR(__xludf.DUMMYFUNCTION("""COMPUTED_VALUE"""),2486223.0)</f>
        <v>2486223</v>
      </c>
    </row>
    <row r="3820">
      <c r="A3820" s="3">
        <f>IFERROR(__xludf.DUMMYFUNCTION("""COMPUTED_VALUE"""),43880.64583333333)</f>
        <v>43880.64583</v>
      </c>
      <c r="B3820" s="2">
        <f>IFERROR(__xludf.DUMMYFUNCTION("""COMPUTED_VALUE"""),2215.75)</f>
        <v>2215.75</v>
      </c>
      <c r="C3820" s="2">
        <f>IFERROR(__xludf.DUMMYFUNCTION("""COMPUTED_VALUE"""),2230.0)</f>
        <v>2230</v>
      </c>
      <c r="D3820" s="2">
        <f>IFERROR(__xludf.DUMMYFUNCTION("""COMPUTED_VALUE"""),2190.5)</f>
        <v>2190.5</v>
      </c>
      <c r="E3820" s="2">
        <f>IFERROR(__xludf.DUMMYFUNCTION("""COMPUTED_VALUE"""),2196.35)</f>
        <v>2196.35</v>
      </c>
      <c r="F3820" s="2">
        <f>IFERROR(__xludf.DUMMYFUNCTION("""COMPUTED_VALUE"""),1760463.0)</f>
        <v>1760463</v>
      </c>
    </row>
    <row r="3821">
      <c r="A3821" s="3">
        <f>IFERROR(__xludf.DUMMYFUNCTION("""COMPUTED_VALUE"""),43881.64583333333)</f>
        <v>43881.64583</v>
      </c>
      <c r="B3821" s="2">
        <f>IFERROR(__xludf.DUMMYFUNCTION("""COMPUTED_VALUE"""),2204.5)</f>
        <v>2204.5</v>
      </c>
      <c r="C3821" s="2">
        <f>IFERROR(__xludf.DUMMYFUNCTION("""COMPUTED_VALUE"""),2214.4)</f>
        <v>2214.4</v>
      </c>
      <c r="D3821" s="2">
        <f>IFERROR(__xludf.DUMMYFUNCTION("""COMPUTED_VALUE"""),2151.25)</f>
        <v>2151.25</v>
      </c>
      <c r="E3821" s="2">
        <f>IFERROR(__xludf.DUMMYFUNCTION("""COMPUTED_VALUE"""),2156.8)</f>
        <v>2156.8</v>
      </c>
      <c r="F3821" s="2">
        <f>IFERROR(__xludf.DUMMYFUNCTION("""COMPUTED_VALUE"""),2317278.0)</f>
        <v>2317278</v>
      </c>
    </row>
    <row r="3822">
      <c r="A3822" s="3">
        <f>IFERROR(__xludf.DUMMYFUNCTION("""COMPUTED_VALUE"""),43885.64583333333)</f>
        <v>43885.64583</v>
      </c>
      <c r="B3822" s="2">
        <f>IFERROR(__xludf.DUMMYFUNCTION("""COMPUTED_VALUE"""),2156.0)</f>
        <v>2156</v>
      </c>
      <c r="C3822" s="2">
        <f>IFERROR(__xludf.DUMMYFUNCTION("""COMPUTED_VALUE"""),2178.95)</f>
        <v>2178.95</v>
      </c>
      <c r="D3822" s="2">
        <f>IFERROR(__xludf.DUMMYFUNCTION("""COMPUTED_VALUE"""),2106.7)</f>
        <v>2106.7</v>
      </c>
      <c r="E3822" s="2">
        <f>IFERROR(__xludf.DUMMYFUNCTION("""COMPUTED_VALUE"""),2115.35)</f>
        <v>2115.35</v>
      </c>
      <c r="F3822" s="2">
        <f>IFERROR(__xludf.DUMMYFUNCTION("""COMPUTED_VALUE"""),3092877.0)</f>
        <v>3092877</v>
      </c>
    </row>
    <row r="3823">
      <c r="A3823" s="3">
        <f>IFERROR(__xludf.DUMMYFUNCTION("""COMPUTED_VALUE"""),43886.64583333333)</f>
        <v>43886.64583</v>
      </c>
      <c r="B3823" s="2">
        <f>IFERROR(__xludf.DUMMYFUNCTION("""COMPUTED_VALUE"""),2115.5)</f>
        <v>2115.5</v>
      </c>
      <c r="C3823" s="2">
        <f>IFERROR(__xludf.DUMMYFUNCTION("""COMPUTED_VALUE"""),2176.65)</f>
        <v>2176.65</v>
      </c>
      <c r="D3823" s="2">
        <f>IFERROR(__xludf.DUMMYFUNCTION("""COMPUTED_VALUE"""),2111.0)</f>
        <v>2111</v>
      </c>
      <c r="E3823" s="2">
        <f>IFERROR(__xludf.DUMMYFUNCTION("""COMPUTED_VALUE"""),2156.15)</f>
        <v>2156.15</v>
      </c>
      <c r="F3823" s="2">
        <f>IFERROR(__xludf.DUMMYFUNCTION("""COMPUTED_VALUE"""),2674567.0)</f>
        <v>2674567</v>
      </c>
    </row>
    <row r="3824">
      <c r="A3824" s="3">
        <f>IFERROR(__xludf.DUMMYFUNCTION("""COMPUTED_VALUE"""),43887.64583333333)</f>
        <v>43887.64583</v>
      </c>
      <c r="B3824" s="2">
        <f>IFERROR(__xludf.DUMMYFUNCTION("""COMPUTED_VALUE"""),2154.0)</f>
        <v>2154</v>
      </c>
      <c r="C3824" s="2">
        <f>IFERROR(__xludf.DUMMYFUNCTION("""COMPUTED_VALUE"""),2163.9)</f>
        <v>2163.9</v>
      </c>
      <c r="D3824" s="2">
        <f>IFERROR(__xludf.DUMMYFUNCTION("""COMPUTED_VALUE"""),2112.95)</f>
        <v>2112.95</v>
      </c>
      <c r="E3824" s="2">
        <f>IFERROR(__xludf.DUMMYFUNCTION("""COMPUTED_VALUE"""),2123.6)</f>
        <v>2123.6</v>
      </c>
      <c r="F3824" s="2">
        <f>IFERROR(__xludf.DUMMYFUNCTION("""COMPUTED_VALUE"""),2686842.0)</f>
        <v>2686842</v>
      </c>
    </row>
    <row r="3825">
      <c r="A3825" s="3">
        <f>IFERROR(__xludf.DUMMYFUNCTION("""COMPUTED_VALUE"""),43888.64583333333)</f>
        <v>43888.64583</v>
      </c>
      <c r="B3825" s="2">
        <f>IFERROR(__xludf.DUMMYFUNCTION("""COMPUTED_VALUE"""),2119.95)</f>
        <v>2119.95</v>
      </c>
      <c r="C3825" s="2">
        <f>IFERROR(__xludf.DUMMYFUNCTION("""COMPUTED_VALUE"""),2119.95)</f>
        <v>2119.95</v>
      </c>
      <c r="D3825" s="2">
        <f>IFERROR(__xludf.DUMMYFUNCTION("""COMPUTED_VALUE"""),2086.2)</f>
        <v>2086.2</v>
      </c>
      <c r="E3825" s="2">
        <f>IFERROR(__xludf.DUMMYFUNCTION("""COMPUTED_VALUE"""),2105.5)</f>
        <v>2105.5</v>
      </c>
      <c r="F3825" s="2">
        <f>IFERROR(__xludf.DUMMYFUNCTION("""COMPUTED_VALUE"""),2349001.0)</f>
        <v>2349001</v>
      </c>
    </row>
    <row r="3826">
      <c r="A3826" s="3">
        <f>IFERROR(__xludf.DUMMYFUNCTION("""COMPUTED_VALUE"""),43889.64583333333)</f>
        <v>43889.64583</v>
      </c>
      <c r="B3826" s="2">
        <f>IFERROR(__xludf.DUMMYFUNCTION("""COMPUTED_VALUE"""),2068.0)</f>
        <v>2068</v>
      </c>
      <c r="C3826" s="2">
        <f>IFERROR(__xludf.DUMMYFUNCTION("""COMPUTED_VALUE"""),2069.5)</f>
        <v>2069.5</v>
      </c>
      <c r="D3826" s="2">
        <f>IFERROR(__xludf.DUMMYFUNCTION("""COMPUTED_VALUE"""),1990.0)</f>
        <v>1990</v>
      </c>
      <c r="E3826" s="2">
        <f>IFERROR(__xludf.DUMMYFUNCTION("""COMPUTED_VALUE"""),2000.15)</f>
        <v>2000.15</v>
      </c>
      <c r="F3826" s="2">
        <f>IFERROR(__xludf.DUMMYFUNCTION("""COMPUTED_VALUE"""),4298076.0)</f>
        <v>4298076</v>
      </c>
    </row>
    <row r="3827">
      <c r="A3827" s="3">
        <f>IFERROR(__xludf.DUMMYFUNCTION("""COMPUTED_VALUE"""),43892.64583333333)</f>
        <v>43892.64583</v>
      </c>
      <c r="B3827" s="2">
        <f>IFERROR(__xludf.DUMMYFUNCTION("""COMPUTED_VALUE"""),2035.0)</f>
        <v>2035</v>
      </c>
      <c r="C3827" s="2">
        <f>IFERROR(__xludf.DUMMYFUNCTION("""COMPUTED_VALUE"""),2053.95)</f>
        <v>2053.95</v>
      </c>
      <c r="D3827" s="2">
        <f>IFERROR(__xludf.DUMMYFUNCTION("""COMPUTED_VALUE"""),1985.7)</f>
        <v>1985.7</v>
      </c>
      <c r="E3827" s="2">
        <f>IFERROR(__xludf.DUMMYFUNCTION("""COMPUTED_VALUE"""),2001.3)</f>
        <v>2001.3</v>
      </c>
      <c r="F3827" s="2">
        <f>IFERROR(__xludf.DUMMYFUNCTION("""COMPUTED_VALUE"""),2667076.0)</f>
        <v>2667076</v>
      </c>
    </row>
    <row r="3828">
      <c r="A3828" s="3">
        <f>IFERROR(__xludf.DUMMYFUNCTION("""COMPUTED_VALUE"""),43893.64583333333)</f>
        <v>43893.64583</v>
      </c>
      <c r="B3828" s="2">
        <f>IFERROR(__xludf.DUMMYFUNCTION("""COMPUTED_VALUE"""),2020.0)</f>
        <v>2020</v>
      </c>
      <c r="C3828" s="2">
        <f>IFERROR(__xludf.DUMMYFUNCTION("""COMPUTED_VALUE"""),2060.0)</f>
        <v>2060</v>
      </c>
      <c r="D3828" s="2">
        <f>IFERROR(__xludf.DUMMYFUNCTION("""COMPUTED_VALUE"""),2012.0)</f>
        <v>2012</v>
      </c>
      <c r="E3828" s="2">
        <f>IFERROR(__xludf.DUMMYFUNCTION("""COMPUTED_VALUE"""),2036.2)</f>
        <v>2036.2</v>
      </c>
      <c r="F3828" s="2">
        <f>IFERROR(__xludf.DUMMYFUNCTION("""COMPUTED_VALUE"""),2757585.0)</f>
        <v>2757585</v>
      </c>
    </row>
    <row r="3829">
      <c r="A3829" s="3">
        <f>IFERROR(__xludf.DUMMYFUNCTION("""COMPUTED_VALUE"""),43894.64583333333)</f>
        <v>43894.64583</v>
      </c>
      <c r="B3829" s="2">
        <f>IFERROR(__xludf.DUMMYFUNCTION("""COMPUTED_VALUE"""),2056.0)</f>
        <v>2056</v>
      </c>
      <c r="C3829" s="2">
        <f>IFERROR(__xludf.DUMMYFUNCTION("""COMPUTED_VALUE"""),2094.45)</f>
        <v>2094.45</v>
      </c>
      <c r="D3829" s="2">
        <f>IFERROR(__xludf.DUMMYFUNCTION("""COMPUTED_VALUE"""),2025.0)</f>
        <v>2025</v>
      </c>
      <c r="E3829" s="2">
        <f>IFERROR(__xludf.DUMMYFUNCTION("""COMPUTED_VALUE"""),2083.2)</f>
        <v>2083.2</v>
      </c>
      <c r="F3829" s="2">
        <f>IFERROR(__xludf.DUMMYFUNCTION("""COMPUTED_VALUE"""),3237002.0)</f>
        <v>3237002</v>
      </c>
    </row>
    <row r="3830">
      <c r="A3830" s="3">
        <f>IFERROR(__xludf.DUMMYFUNCTION("""COMPUTED_VALUE"""),43895.64583333333)</f>
        <v>43895.64583</v>
      </c>
      <c r="B3830" s="2">
        <f>IFERROR(__xludf.DUMMYFUNCTION("""COMPUTED_VALUE"""),2085.7)</f>
        <v>2085.7</v>
      </c>
      <c r="C3830" s="2">
        <f>IFERROR(__xludf.DUMMYFUNCTION("""COMPUTED_VALUE"""),2147.75)</f>
        <v>2147.75</v>
      </c>
      <c r="D3830" s="2">
        <f>IFERROR(__xludf.DUMMYFUNCTION("""COMPUTED_VALUE"""),2084.05)</f>
        <v>2084.05</v>
      </c>
      <c r="E3830" s="2">
        <f>IFERROR(__xludf.DUMMYFUNCTION("""COMPUTED_VALUE"""),2125.05)</f>
        <v>2125.05</v>
      </c>
      <c r="F3830" s="2">
        <f>IFERROR(__xludf.DUMMYFUNCTION("""COMPUTED_VALUE"""),3937056.0)</f>
        <v>3937056</v>
      </c>
    </row>
    <row r="3831">
      <c r="A3831" s="3">
        <f>IFERROR(__xludf.DUMMYFUNCTION("""COMPUTED_VALUE"""),43896.64583333333)</f>
        <v>43896.64583</v>
      </c>
      <c r="B3831" s="2">
        <f>IFERROR(__xludf.DUMMYFUNCTION("""COMPUTED_VALUE"""),2098.0)</f>
        <v>2098</v>
      </c>
      <c r="C3831" s="2">
        <f>IFERROR(__xludf.DUMMYFUNCTION("""COMPUTED_VALUE"""),2123.65)</f>
        <v>2123.65</v>
      </c>
      <c r="D3831" s="2">
        <f>IFERROR(__xludf.DUMMYFUNCTION("""COMPUTED_VALUE"""),2071.6)</f>
        <v>2071.6</v>
      </c>
      <c r="E3831" s="2">
        <f>IFERROR(__xludf.DUMMYFUNCTION("""COMPUTED_VALUE"""),2116.45)</f>
        <v>2116.45</v>
      </c>
      <c r="F3831" s="2">
        <f>IFERROR(__xludf.DUMMYFUNCTION("""COMPUTED_VALUE"""),2595027.0)</f>
        <v>2595027</v>
      </c>
    </row>
    <row r="3832">
      <c r="A3832" s="3">
        <f>IFERROR(__xludf.DUMMYFUNCTION("""COMPUTED_VALUE"""),43899.64583333333)</f>
        <v>43899.64583</v>
      </c>
      <c r="B3832" s="2">
        <f>IFERROR(__xludf.DUMMYFUNCTION("""COMPUTED_VALUE"""),2075.0)</f>
        <v>2075</v>
      </c>
      <c r="C3832" s="2">
        <f>IFERROR(__xludf.DUMMYFUNCTION("""COMPUTED_VALUE"""),2079.9)</f>
        <v>2079.9</v>
      </c>
      <c r="D3832" s="2">
        <f>IFERROR(__xludf.DUMMYFUNCTION("""COMPUTED_VALUE"""),1935.0)</f>
        <v>1935</v>
      </c>
      <c r="E3832" s="2">
        <f>IFERROR(__xludf.DUMMYFUNCTION("""COMPUTED_VALUE"""),1972.35)</f>
        <v>1972.35</v>
      </c>
      <c r="F3832" s="2">
        <f>IFERROR(__xludf.DUMMYFUNCTION("""COMPUTED_VALUE"""),4940982.0)</f>
        <v>4940982</v>
      </c>
    </row>
    <row r="3833">
      <c r="A3833" s="3">
        <f>IFERROR(__xludf.DUMMYFUNCTION("""COMPUTED_VALUE"""),43901.64583333333)</f>
        <v>43901.64583</v>
      </c>
      <c r="B3833" s="2">
        <f>IFERROR(__xludf.DUMMYFUNCTION("""COMPUTED_VALUE"""),1933.0)</f>
        <v>1933</v>
      </c>
      <c r="C3833" s="2">
        <f>IFERROR(__xludf.DUMMYFUNCTION("""COMPUTED_VALUE"""),1987.3)</f>
        <v>1987.3</v>
      </c>
      <c r="D3833" s="2">
        <f>IFERROR(__xludf.DUMMYFUNCTION("""COMPUTED_VALUE"""),1920.0)</f>
        <v>1920</v>
      </c>
      <c r="E3833" s="2">
        <f>IFERROR(__xludf.DUMMYFUNCTION("""COMPUTED_VALUE"""),1953.7)</f>
        <v>1953.7</v>
      </c>
      <c r="F3833" s="2">
        <f>IFERROR(__xludf.DUMMYFUNCTION("""COMPUTED_VALUE"""),6796752.0)</f>
        <v>6796752</v>
      </c>
    </row>
    <row r="3834">
      <c r="A3834" s="3">
        <f>IFERROR(__xludf.DUMMYFUNCTION("""COMPUTED_VALUE"""),43902.64583333333)</f>
        <v>43902.64583</v>
      </c>
      <c r="B3834" s="2">
        <f>IFERROR(__xludf.DUMMYFUNCTION("""COMPUTED_VALUE"""),1904.0)</f>
        <v>1904</v>
      </c>
      <c r="C3834" s="2">
        <f>IFERROR(__xludf.DUMMYFUNCTION("""COMPUTED_VALUE"""),1908.4)</f>
        <v>1908.4</v>
      </c>
      <c r="D3834" s="2">
        <f>IFERROR(__xludf.DUMMYFUNCTION("""COMPUTED_VALUE"""),1758.35)</f>
        <v>1758.35</v>
      </c>
      <c r="E3834" s="2">
        <f>IFERROR(__xludf.DUMMYFUNCTION("""COMPUTED_VALUE"""),1769.85)</f>
        <v>1769.85</v>
      </c>
      <c r="F3834" s="2">
        <f>IFERROR(__xludf.DUMMYFUNCTION("""COMPUTED_VALUE"""),8728972.0)</f>
        <v>8728972</v>
      </c>
    </row>
    <row r="3835">
      <c r="A3835" s="3">
        <f>IFERROR(__xludf.DUMMYFUNCTION("""COMPUTED_VALUE"""),43903.64583333333)</f>
        <v>43903.64583</v>
      </c>
      <c r="B3835" s="2">
        <f>IFERROR(__xludf.DUMMYFUNCTION("""COMPUTED_VALUE"""),1687.9)</f>
        <v>1687.9</v>
      </c>
      <c r="C3835" s="2">
        <f>IFERROR(__xludf.DUMMYFUNCTION("""COMPUTED_VALUE"""),1820.0)</f>
        <v>1820</v>
      </c>
      <c r="D3835" s="2">
        <f>IFERROR(__xludf.DUMMYFUNCTION("""COMPUTED_VALUE"""),1506.05)</f>
        <v>1506.05</v>
      </c>
      <c r="E3835" s="2">
        <f>IFERROR(__xludf.DUMMYFUNCTION("""COMPUTED_VALUE"""),1806.3)</f>
        <v>1806.3</v>
      </c>
      <c r="F3835" s="2">
        <f>IFERROR(__xludf.DUMMYFUNCTION("""COMPUTED_VALUE"""),8029725.0)</f>
        <v>8029725</v>
      </c>
    </row>
    <row r="3836">
      <c r="A3836" s="3">
        <f>IFERROR(__xludf.DUMMYFUNCTION("""COMPUTED_VALUE"""),43906.64583333333)</f>
        <v>43906.64583</v>
      </c>
      <c r="B3836" s="2">
        <f>IFERROR(__xludf.DUMMYFUNCTION("""COMPUTED_VALUE"""),1755.0)</f>
        <v>1755</v>
      </c>
      <c r="C3836" s="2">
        <f>IFERROR(__xludf.DUMMYFUNCTION("""COMPUTED_VALUE"""),1842.25)</f>
        <v>1842.25</v>
      </c>
      <c r="D3836" s="2">
        <f>IFERROR(__xludf.DUMMYFUNCTION("""COMPUTED_VALUE"""),1675.85)</f>
        <v>1675.85</v>
      </c>
      <c r="E3836" s="2">
        <f>IFERROR(__xludf.DUMMYFUNCTION("""COMPUTED_VALUE"""),1696.4)</f>
        <v>1696.4</v>
      </c>
      <c r="F3836" s="2">
        <f>IFERROR(__xludf.DUMMYFUNCTION("""COMPUTED_VALUE"""),7844420.0)</f>
        <v>7844420</v>
      </c>
    </row>
    <row r="3837">
      <c r="A3837" s="3">
        <f>IFERROR(__xludf.DUMMYFUNCTION("""COMPUTED_VALUE"""),43907.64583333333)</f>
        <v>43907.64583</v>
      </c>
      <c r="B3837" s="2">
        <f>IFERROR(__xludf.DUMMYFUNCTION("""COMPUTED_VALUE"""),1730.0)</f>
        <v>1730</v>
      </c>
      <c r="C3837" s="2">
        <f>IFERROR(__xludf.DUMMYFUNCTION("""COMPUTED_VALUE"""),1731.0)</f>
        <v>1731</v>
      </c>
      <c r="D3837" s="2">
        <f>IFERROR(__xludf.DUMMYFUNCTION("""COMPUTED_VALUE"""),1623.15)</f>
        <v>1623.15</v>
      </c>
      <c r="E3837" s="2">
        <f>IFERROR(__xludf.DUMMYFUNCTION("""COMPUTED_VALUE"""),1658.0)</f>
        <v>1658</v>
      </c>
      <c r="F3837" s="2">
        <f>IFERROR(__xludf.DUMMYFUNCTION("""COMPUTED_VALUE"""),5713269.0)</f>
        <v>5713269</v>
      </c>
    </row>
    <row r="3838">
      <c r="A3838" s="3">
        <f>IFERROR(__xludf.DUMMYFUNCTION("""COMPUTED_VALUE"""),43908.64583333333)</f>
        <v>43908.64583</v>
      </c>
      <c r="B3838" s="2">
        <f>IFERROR(__xludf.DUMMYFUNCTION("""COMPUTED_VALUE"""),1676.8)</f>
        <v>1676.8</v>
      </c>
      <c r="C3838" s="2">
        <f>IFERROR(__xludf.DUMMYFUNCTION("""COMPUTED_VALUE"""),1713.55)</f>
        <v>1713.55</v>
      </c>
      <c r="D3838" s="2">
        <f>IFERROR(__xludf.DUMMYFUNCTION("""COMPUTED_VALUE"""),1627.75)</f>
        <v>1627.75</v>
      </c>
      <c r="E3838" s="2">
        <f>IFERROR(__xludf.DUMMYFUNCTION("""COMPUTED_VALUE"""),1654.4)</f>
        <v>1654.4</v>
      </c>
      <c r="F3838" s="2">
        <f>IFERROR(__xludf.DUMMYFUNCTION("""COMPUTED_VALUE"""),7259111.0)</f>
        <v>7259111</v>
      </c>
    </row>
    <row r="3839">
      <c r="A3839" s="3">
        <f>IFERROR(__xludf.DUMMYFUNCTION("""COMPUTED_VALUE"""),43909.64583333333)</f>
        <v>43909.64583</v>
      </c>
      <c r="B3839" s="2">
        <f>IFERROR(__xludf.DUMMYFUNCTION("""COMPUTED_VALUE"""),1559.7)</f>
        <v>1559.7</v>
      </c>
      <c r="C3839" s="2">
        <f>IFERROR(__xludf.DUMMYFUNCTION("""COMPUTED_VALUE"""),1685.45)</f>
        <v>1685.45</v>
      </c>
      <c r="D3839" s="2">
        <f>IFERROR(__xludf.DUMMYFUNCTION("""COMPUTED_VALUE"""),1546.75)</f>
        <v>1546.75</v>
      </c>
      <c r="E3839" s="2">
        <f>IFERROR(__xludf.DUMMYFUNCTION("""COMPUTED_VALUE"""),1636.35)</f>
        <v>1636.35</v>
      </c>
      <c r="F3839" s="2">
        <f>IFERROR(__xludf.DUMMYFUNCTION("""COMPUTED_VALUE"""),5135162.0)</f>
        <v>5135162</v>
      </c>
    </row>
    <row r="3840">
      <c r="A3840" s="3">
        <f>IFERROR(__xludf.DUMMYFUNCTION("""COMPUTED_VALUE"""),43910.64583333333)</f>
        <v>43910.64583</v>
      </c>
      <c r="B3840" s="2">
        <f>IFERROR(__xludf.DUMMYFUNCTION("""COMPUTED_VALUE"""),1630.0)</f>
        <v>1630</v>
      </c>
      <c r="C3840" s="2">
        <f>IFERROR(__xludf.DUMMYFUNCTION("""COMPUTED_VALUE"""),1869.0)</f>
        <v>1869</v>
      </c>
      <c r="D3840" s="2">
        <f>IFERROR(__xludf.DUMMYFUNCTION("""COMPUTED_VALUE"""),1627.0)</f>
        <v>1627</v>
      </c>
      <c r="E3840" s="2">
        <f>IFERROR(__xludf.DUMMYFUNCTION("""COMPUTED_VALUE"""),1797.45)</f>
        <v>1797.45</v>
      </c>
      <c r="F3840" s="2">
        <f>IFERROR(__xludf.DUMMYFUNCTION("""COMPUTED_VALUE"""),8547645.0)</f>
        <v>8547645</v>
      </c>
    </row>
    <row r="3841">
      <c r="A3841" s="3">
        <f>IFERROR(__xludf.DUMMYFUNCTION("""COMPUTED_VALUE"""),43913.64583333333)</f>
        <v>43913.64583</v>
      </c>
      <c r="B3841" s="2">
        <f>IFERROR(__xludf.DUMMYFUNCTION("""COMPUTED_VALUE"""),1620.0)</f>
        <v>1620</v>
      </c>
      <c r="C3841" s="2">
        <f>IFERROR(__xludf.DUMMYFUNCTION("""COMPUTED_VALUE"""),1750.0)</f>
        <v>1750</v>
      </c>
      <c r="D3841" s="2">
        <f>IFERROR(__xludf.DUMMYFUNCTION("""COMPUTED_VALUE"""),1617.75)</f>
        <v>1617.75</v>
      </c>
      <c r="E3841" s="2">
        <f>IFERROR(__xludf.DUMMYFUNCTION("""COMPUTED_VALUE"""),1669.7)</f>
        <v>1669.7</v>
      </c>
      <c r="F3841" s="2">
        <f>IFERROR(__xludf.DUMMYFUNCTION("""COMPUTED_VALUE"""),7003558.0)</f>
        <v>7003558</v>
      </c>
    </row>
    <row r="3842">
      <c r="A3842" s="3">
        <f>IFERROR(__xludf.DUMMYFUNCTION("""COMPUTED_VALUE"""),43914.64583333333)</f>
        <v>43914.64583</v>
      </c>
      <c r="B3842" s="2">
        <f>IFERROR(__xludf.DUMMYFUNCTION("""COMPUTED_VALUE"""),1653.05)</f>
        <v>1653.05</v>
      </c>
      <c r="C3842" s="2">
        <f>IFERROR(__xludf.DUMMYFUNCTION("""COMPUTED_VALUE"""),1770.0)</f>
        <v>1770</v>
      </c>
      <c r="D3842" s="2">
        <f>IFERROR(__xludf.DUMMYFUNCTION("""COMPUTED_VALUE"""),1632.85)</f>
        <v>1632.85</v>
      </c>
      <c r="E3842" s="2">
        <f>IFERROR(__xludf.DUMMYFUNCTION("""COMPUTED_VALUE"""),1703.15)</f>
        <v>1703.15</v>
      </c>
      <c r="F3842" s="2">
        <f>IFERROR(__xludf.DUMMYFUNCTION("""COMPUTED_VALUE"""),6354209.0)</f>
        <v>6354209</v>
      </c>
    </row>
    <row r="3843">
      <c r="A3843" s="3">
        <f>IFERROR(__xludf.DUMMYFUNCTION("""COMPUTED_VALUE"""),43915.64583333333)</f>
        <v>43915.64583</v>
      </c>
      <c r="B3843" s="2">
        <f>IFERROR(__xludf.DUMMYFUNCTION("""COMPUTED_VALUE"""),1700.0)</f>
        <v>1700</v>
      </c>
      <c r="C3843" s="2">
        <f>IFERROR(__xludf.DUMMYFUNCTION("""COMPUTED_VALUE"""),1810.0)</f>
        <v>1810</v>
      </c>
      <c r="D3843" s="2">
        <f>IFERROR(__xludf.DUMMYFUNCTION("""COMPUTED_VALUE"""),1680.0)</f>
        <v>1680</v>
      </c>
      <c r="E3843" s="2">
        <f>IFERROR(__xludf.DUMMYFUNCTION("""COMPUTED_VALUE"""),1750.3)</f>
        <v>1750.3</v>
      </c>
      <c r="F3843" s="2">
        <f>IFERROR(__xludf.DUMMYFUNCTION("""COMPUTED_VALUE"""),2765527.0)</f>
        <v>2765527</v>
      </c>
    </row>
    <row r="3844">
      <c r="A3844" s="3">
        <f>IFERROR(__xludf.DUMMYFUNCTION("""COMPUTED_VALUE"""),43916.64583333333)</f>
        <v>43916.64583</v>
      </c>
      <c r="B3844" s="2">
        <f>IFERROR(__xludf.DUMMYFUNCTION("""COMPUTED_VALUE"""),1831.6)</f>
        <v>1831.6</v>
      </c>
      <c r="C3844" s="2">
        <f>IFERROR(__xludf.DUMMYFUNCTION("""COMPUTED_VALUE"""),1832.05)</f>
        <v>1832.05</v>
      </c>
      <c r="D3844" s="2">
        <f>IFERROR(__xludf.DUMMYFUNCTION("""COMPUTED_VALUE"""),1722.55)</f>
        <v>1722.55</v>
      </c>
      <c r="E3844" s="2">
        <f>IFERROR(__xludf.DUMMYFUNCTION("""COMPUTED_VALUE"""),1790.95)</f>
        <v>1790.95</v>
      </c>
      <c r="F3844" s="2">
        <f>IFERROR(__xludf.DUMMYFUNCTION("""COMPUTED_VALUE"""),4556071.0)</f>
        <v>4556071</v>
      </c>
    </row>
    <row r="3845">
      <c r="A3845" s="3">
        <f>IFERROR(__xludf.DUMMYFUNCTION("""COMPUTED_VALUE"""),43917.64583333333)</f>
        <v>43917.64583</v>
      </c>
      <c r="B3845" s="2">
        <f>IFERROR(__xludf.DUMMYFUNCTION("""COMPUTED_VALUE"""),1820.0)</f>
        <v>1820</v>
      </c>
      <c r="C3845" s="2">
        <f>IFERROR(__xludf.DUMMYFUNCTION("""COMPUTED_VALUE"""),1850.0)</f>
        <v>1850</v>
      </c>
      <c r="D3845" s="2">
        <f>IFERROR(__xludf.DUMMYFUNCTION("""COMPUTED_VALUE"""),1750.4)</f>
        <v>1750.4</v>
      </c>
      <c r="E3845" s="2">
        <f>IFERROR(__xludf.DUMMYFUNCTION("""COMPUTED_VALUE"""),1824.5)</f>
        <v>1824.5</v>
      </c>
      <c r="F3845" s="2">
        <f>IFERROR(__xludf.DUMMYFUNCTION("""COMPUTED_VALUE"""),4331310.0)</f>
        <v>4331310</v>
      </c>
    </row>
    <row r="3846">
      <c r="A3846" s="3">
        <f>IFERROR(__xludf.DUMMYFUNCTION("""COMPUTED_VALUE"""),43920.64583333333)</f>
        <v>43920.64583</v>
      </c>
      <c r="B3846" s="2">
        <f>IFERROR(__xludf.DUMMYFUNCTION("""COMPUTED_VALUE"""),1766.0)</f>
        <v>1766</v>
      </c>
      <c r="C3846" s="2">
        <f>IFERROR(__xludf.DUMMYFUNCTION("""COMPUTED_VALUE"""),1905.0)</f>
        <v>1905</v>
      </c>
      <c r="D3846" s="2">
        <f>IFERROR(__xludf.DUMMYFUNCTION("""COMPUTED_VALUE"""),1763.55)</f>
        <v>1763.55</v>
      </c>
      <c r="E3846" s="2">
        <f>IFERROR(__xludf.DUMMYFUNCTION("""COMPUTED_VALUE"""),1778.5)</f>
        <v>1778.5</v>
      </c>
      <c r="F3846" s="2">
        <f>IFERROR(__xludf.DUMMYFUNCTION("""COMPUTED_VALUE"""),8513608.0)</f>
        <v>8513608</v>
      </c>
    </row>
    <row r="3847">
      <c r="A3847" s="3">
        <f>IFERROR(__xludf.DUMMYFUNCTION("""COMPUTED_VALUE"""),43921.64583333333)</f>
        <v>43921.64583</v>
      </c>
      <c r="B3847" s="2">
        <f>IFERROR(__xludf.DUMMYFUNCTION("""COMPUTED_VALUE"""),1837.4)</f>
        <v>1837.4</v>
      </c>
      <c r="C3847" s="2">
        <f>IFERROR(__xludf.DUMMYFUNCTION("""COMPUTED_VALUE"""),1855.0)</f>
        <v>1855</v>
      </c>
      <c r="D3847" s="2">
        <f>IFERROR(__xludf.DUMMYFUNCTION("""COMPUTED_VALUE"""),1780.0)</f>
        <v>1780</v>
      </c>
      <c r="E3847" s="2">
        <f>IFERROR(__xludf.DUMMYFUNCTION("""COMPUTED_VALUE"""),1826.1)</f>
        <v>1826.1</v>
      </c>
      <c r="F3847" s="2">
        <f>IFERROR(__xludf.DUMMYFUNCTION("""COMPUTED_VALUE"""),3927593.0)</f>
        <v>3927593</v>
      </c>
    </row>
    <row r="3848">
      <c r="A3848" s="3">
        <f>IFERROR(__xludf.DUMMYFUNCTION("""COMPUTED_VALUE"""),43922.64583333333)</f>
        <v>43922.64583</v>
      </c>
      <c r="B3848" s="2">
        <f>IFERROR(__xludf.DUMMYFUNCTION("""COMPUTED_VALUE"""),1825.9)</f>
        <v>1825.9</v>
      </c>
      <c r="C3848" s="2">
        <f>IFERROR(__xludf.DUMMYFUNCTION("""COMPUTED_VALUE"""),1834.75)</f>
        <v>1834.75</v>
      </c>
      <c r="D3848" s="2">
        <f>IFERROR(__xludf.DUMMYFUNCTION("""COMPUTED_VALUE"""),1702.0)</f>
        <v>1702</v>
      </c>
      <c r="E3848" s="2">
        <f>IFERROR(__xludf.DUMMYFUNCTION("""COMPUTED_VALUE"""),1708.75)</f>
        <v>1708.75</v>
      </c>
      <c r="F3848" s="2">
        <f>IFERROR(__xludf.DUMMYFUNCTION("""COMPUTED_VALUE"""),4941898.0)</f>
        <v>4941898</v>
      </c>
    </row>
    <row r="3849">
      <c r="A3849" s="3">
        <f>IFERROR(__xludf.DUMMYFUNCTION("""COMPUTED_VALUE"""),43924.64583333333)</f>
        <v>43924.64583</v>
      </c>
      <c r="B3849" s="2">
        <f>IFERROR(__xludf.DUMMYFUNCTION("""COMPUTED_VALUE"""),1740.0)</f>
        <v>1740</v>
      </c>
      <c r="C3849" s="2">
        <f>IFERROR(__xludf.DUMMYFUNCTION("""COMPUTED_VALUE"""),1740.0)</f>
        <v>1740</v>
      </c>
      <c r="D3849" s="2">
        <f>IFERROR(__xludf.DUMMYFUNCTION("""COMPUTED_VALUE"""),1650.0)</f>
        <v>1650</v>
      </c>
      <c r="E3849" s="2">
        <f>IFERROR(__xludf.DUMMYFUNCTION("""COMPUTED_VALUE"""),1654.2)</f>
        <v>1654.2</v>
      </c>
      <c r="F3849" s="2">
        <f>IFERROR(__xludf.DUMMYFUNCTION("""COMPUTED_VALUE"""),5735529.0)</f>
        <v>5735529</v>
      </c>
    </row>
    <row r="3850">
      <c r="A3850" s="3">
        <f>IFERROR(__xludf.DUMMYFUNCTION("""COMPUTED_VALUE"""),43928.64583333333)</f>
        <v>43928.64583</v>
      </c>
      <c r="B3850" s="2">
        <f>IFERROR(__xludf.DUMMYFUNCTION("""COMPUTED_VALUE"""),1710.0)</f>
        <v>1710</v>
      </c>
      <c r="C3850" s="2">
        <f>IFERROR(__xludf.DUMMYFUNCTION("""COMPUTED_VALUE"""),1785.85)</f>
        <v>1785.85</v>
      </c>
      <c r="D3850" s="2">
        <f>IFERROR(__xludf.DUMMYFUNCTION("""COMPUTED_VALUE"""),1705.0)</f>
        <v>1705</v>
      </c>
      <c r="E3850" s="2">
        <f>IFERROR(__xludf.DUMMYFUNCTION("""COMPUTED_VALUE"""),1775.2)</f>
        <v>1775.2</v>
      </c>
      <c r="F3850" s="2">
        <f>IFERROR(__xludf.DUMMYFUNCTION("""COMPUTED_VALUE"""),5427965.0)</f>
        <v>5427965</v>
      </c>
    </row>
    <row r="3851">
      <c r="A3851" s="3">
        <f>IFERROR(__xludf.DUMMYFUNCTION("""COMPUTED_VALUE"""),43929.64583333333)</f>
        <v>43929.64583</v>
      </c>
      <c r="B3851" s="2">
        <f>IFERROR(__xludf.DUMMYFUNCTION("""COMPUTED_VALUE"""),1760.0)</f>
        <v>1760</v>
      </c>
      <c r="C3851" s="2">
        <f>IFERROR(__xludf.DUMMYFUNCTION("""COMPUTED_VALUE"""),1806.0)</f>
        <v>1806</v>
      </c>
      <c r="D3851" s="2">
        <f>IFERROR(__xludf.DUMMYFUNCTION("""COMPUTED_VALUE"""),1701.0)</f>
        <v>1701</v>
      </c>
      <c r="E3851" s="2">
        <f>IFERROR(__xludf.DUMMYFUNCTION("""COMPUTED_VALUE"""),1705.45)</f>
        <v>1705.45</v>
      </c>
      <c r="F3851" s="2">
        <f>IFERROR(__xludf.DUMMYFUNCTION("""COMPUTED_VALUE"""),6285616.0)</f>
        <v>6285616</v>
      </c>
    </row>
    <row r="3852">
      <c r="A3852" s="3">
        <f>IFERROR(__xludf.DUMMYFUNCTION("""COMPUTED_VALUE"""),43930.64583333333)</f>
        <v>43930.64583</v>
      </c>
      <c r="B3852" s="2">
        <f>IFERROR(__xludf.DUMMYFUNCTION("""COMPUTED_VALUE"""),1750.45)</f>
        <v>1750.45</v>
      </c>
      <c r="C3852" s="2">
        <f>IFERROR(__xludf.DUMMYFUNCTION("""COMPUTED_VALUE"""),1778.8)</f>
        <v>1778.8</v>
      </c>
      <c r="D3852" s="2">
        <f>IFERROR(__xludf.DUMMYFUNCTION("""COMPUTED_VALUE"""),1731.2)</f>
        <v>1731.2</v>
      </c>
      <c r="E3852" s="2">
        <f>IFERROR(__xludf.DUMMYFUNCTION("""COMPUTED_VALUE"""),1766.15)</f>
        <v>1766.15</v>
      </c>
      <c r="F3852" s="2">
        <f>IFERROR(__xludf.DUMMYFUNCTION("""COMPUTED_VALUE"""),5307649.0)</f>
        <v>5307649</v>
      </c>
    </row>
    <row r="3853">
      <c r="A3853" s="3">
        <f>IFERROR(__xludf.DUMMYFUNCTION("""COMPUTED_VALUE"""),43934.64583333333)</f>
        <v>43934.64583</v>
      </c>
      <c r="B3853" s="2">
        <f>IFERROR(__xludf.DUMMYFUNCTION("""COMPUTED_VALUE"""),1761.0)</f>
        <v>1761</v>
      </c>
      <c r="C3853" s="2">
        <f>IFERROR(__xludf.DUMMYFUNCTION("""COMPUTED_VALUE"""),1787.0)</f>
        <v>1787</v>
      </c>
      <c r="D3853" s="2">
        <f>IFERROR(__xludf.DUMMYFUNCTION("""COMPUTED_VALUE"""),1746.0)</f>
        <v>1746</v>
      </c>
      <c r="E3853" s="2">
        <f>IFERROR(__xludf.DUMMYFUNCTION("""COMPUTED_VALUE"""),1759.25)</f>
        <v>1759.25</v>
      </c>
      <c r="F3853" s="2">
        <f>IFERROR(__xludf.DUMMYFUNCTION("""COMPUTED_VALUE"""),2990478.0)</f>
        <v>2990478</v>
      </c>
    </row>
    <row r="3854">
      <c r="A3854" s="3">
        <f>IFERROR(__xludf.DUMMYFUNCTION("""COMPUTED_VALUE"""),43936.64583333333)</f>
        <v>43936.64583</v>
      </c>
      <c r="B3854" s="2">
        <f>IFERROR(__xludf.DUMMYFUNCTION("""COMPUTED_VALUE"""),1785.0)</f>
        <v>1785</v>
      </c>
      <c r="C3854" s="2">
        <f>IFERROR(__xludf.DUMMYFUNCTION("""COMPUTED_VALUE"""),1812.0)</f>
        <v>1812</v>
      </c>
      <c r="D3854" s="2">
        <f>IFERROR(__xludf.DUMMYFUNCTION("""COMPUTED_VALUE"""),1727.8)</f>
        <v>1727.8</v>
      </c>
      <c r="E3854" s="2">
        <f>IFERROR(__xludf.DUMMYFUNCTION("""COMPUTED_VALUE"""),1735.15)</f>
        <v>1735.15</v>
      </c>
      <c r="F3854" s="2">
        <f>IFERROR(__xludf.DUMMYFUNCTION("""COMPUTED_VALUE"""),4761401.0)</f>
        <v>4761401</v>
      </c>
    </row>
    <row r="3855">
      <c r="A3855" s="3">
        <f>IFERROR(__xludf.DUMMYFUNCTION("""COMPUTED_VALUE"""),43937.64583333333)</f>
        <v>43937.64583</v>
      </c>
      <c r="B3855" s="2">
        <f>IFERROR(__xludf.DUMMYFUNCTION("""COMPUTED_VALUE"""),1709.95)</f>
        <v>1709.95</v>
      </c>
      <c r="C3855" s="2">
        <f>IFERROR(__xludf.DUMMYFUNCTION("""COMPUTED_VALUE"""),1764.9)</f>
        <v>1764.9</v>
      </c>
      <c r="D3855" s="2">
        <f>IFERROR(__xludf.DUMMYFUNCTION("""COMPUTED_VALUE"""),1675.05)</f>
        <v>1675.05</v>
      </c>
      <c r="E3855" s="2">
        <f>IFERROR(__xludf.DUMMYFUNCTION("""COMPUTED_VALUE"""),1716.05)</f>
        <v>1716.05</v>
      </c>
      <c r="F3855" s="2">
        <f>IFERROR(__xludf.DUMMYFUNCTION("""COMPUTED_VALUE"""),6245583.0)</f>
        <v>6245583</v>
      </c>
    </row>
    <row r="3856">
      <c r="A3856" s="3">
        <f>IFERROR(__xludf.DUMMYFUNCTION("""COMPUTED_VALUE"""),43938.64583333333)</f>
        <v>43938.64583</v>
      </c>
      <c r="B3856" s="2">
        <f>IFERROR(__xludf.DUMMYFUNCTION("""COMPUTED_VALUE"""),1800.0)</f>
        <v>1800</v>
      </c>
      <c r="C3856" s="2">
        <f>IFERROR(__xludf.DUMMYFUNCTION("""COMPUTED_VALUE"""),1851.95)</f>
        <v>1851.95</v>
      </c>
      <c r="D3856" s="2">
        <f>IFERROR(__xludf.DUMMYFUNCTION("""COMPUTED_VALUE"""),1753.0)</f>
        <v>1753</v>
      </c>
      <c r="E3856" s="2">
        <f>IFERROR(__xludf.DUMMYFUNCTION("""COMPUTED_VALUE"""),1806.2)</f>
        <v>1806.2</v>
      </c>
      <c r="F3856" s="2">
        <f>IFERROR(__xludf.DUMMYFUNCTION("""COMPUTED_VALUE"""),9895825.0)</f>
        <v>9895825</v>
      </c>
    </row>
    <row r="3857">
      <c r="A3857" s="3">
        <f>IFERROR(__xludf.DUMMYFUNCTION("""COMPUTED_VALUE"""),43941.64583333333)</f>
        <v>43941.64583</v>
      </c>
      <c r="B3857" s="2">
        <f>IFERROR(__xludf.DUMMYFUNCTION("""COMPUTED_VALUE"""),1830.0)</f>
        <v>1830</v>
      </c>
      <c r="C3857" s="2">
        <f>IFERROR(__xludf.DUMMYFUNCTION("""COMPUTED_VALUE"""),1830.0)</f>
        <v>1830</v>
      </c>
      <c r="D3857" s="2">
        <f>IFERROR(__xludf.DUMMYFUNCTION("""COMPUTED_VALUE"""),1802.5)</f>
        <v>1802.5</v>
      </c>
      <c r="E3857" s="2">
        <f>IFERROR(__xludf.DUMMYFUNCTION("""COMPUTED_VALUE"""),1818.65)</f>
        <v>1818.65</v>
      </c>
      <c r="F3857" s="2">
        <f>IFERROR(__xludf.DUMMYFUNCTION("""COMPUTED_VALUE"""),3244293.0)</f>
        <v>3244293</v>
      </c>
    </row>
    <row r="3858">
      <c r="A3858" s="3">
        <f>IFERROR(__xludf.DUMMYFUNCTION("""COMPUTED_VALUE"""),43942.64583333333)</f>
        <v>43942.64583</v>
      </c>
      <c r="B3858" s="2">
        <f>IFERROR(__xludf.DUMMYFUNCTION("""COMPUTED_VALUE"""),1765.0)</f>
        <v>1765</v>
      </c>
      <c r="C3858" s="2">
        <f>IFERROR(__xludf.DUMMYFUNCTION("""COMPUTED_VALUE"""),1794.6)</f>
        <v>1794.6</v>
      </c>
      <c r="D3858" s="2">
        <f>IFERROR(__xludf.DUMMYFUNCTION("""COMPUTED_VALUE"""),1727.7)</f>
        <v>1727.7</v>
      </c>
      <c r="E3858" s="2">
        <f>IFERROR(__xludf.DUMMYFUNCTION("""COMPUTED_VALUE"""),1737.65)</f>
        <v>1737.65</v>
      </c>
      <c r="F3858" s="2">
        <f>IFERROR(__xludf.DUMMYFUNCTION("""COMPUTED_VALUE"""),5122606.0)</f>
        <v>5122606</v>
      </c>
    </row>
    <row r="3859">
      <c r="A3859" s="3">
        <f>IFERROR(__xludf.DUMMYFUNCTION("""COMPUTED_VALUE"""),43943.64583333333)</f>
        <v>43943.64583</v>
      </c>
      <c r="B3859" s="2">
        <f>IFERROR(__xludf.DUMMYFUNCTION("""COMPUTED_VALUE"""),1737.65)</f>
        <v>1737.65</v>
      </c>
      <c r="C3859" s="2">
        <f>IFERROR(__xludf.DUMMYFUNCTION("""COMPUTED_VALUE"""),1790.0)</f>
        <v>1790</v>
      </c>
      <c r="D3859" s="2">
        <f>IFERROR(__xludf.DUMMYFUNCTION("""COMPUTED_VALUE"""),1719.15)</f>
        <v>1719.15</v>
      </c>
      <c r="E3859" s="2">
        <f>IFERROR(__xludf.DUMMYFUNCTION("""COMPUTED_VALUE"""),1769.5)</f>
        <v>1769.5</v>
      </c>
      <c r="F3859" s="2">
        <f>IFERROR(__xludf.DUMMYFUNCTION("""COMPUTED_VALUE"""),3829839.0)</f>
        <v>3829839</v>
      </c>
    </row>
    <row r="3860">
      <c r="A3860" s="3">
        <f>IFERROR(__xludf.DUMMYFUNCTION("""COMPUTED_VALUE"""),43944.64583333333)</f>
        <v>43944.64583</v>
      </c>
      <c r="B3860" s="2">
        <f>IFERROR(__xludf.DUMMYFUNCTION("""COMPUTED_VALUE"""),1780.0)</f>
        <v>1780</v>
      </c>
      <c r="C3860" s="2">
        <f>IFERROR(__xludf.DUMMYFUNCTION("""COMPUTED_VALUE"""),1900.0)</f>
        <v>1900</v>
      </c>
      <c r="D3860" s="2">
        <f>IFERROR(__xludf.DUMMYFUNCTION("""COMPUTED_VALUE"""),1760.85)</f>
        <v>1760.85</v>
      </c>
      <c r="E3860" s="2">
        <f>IFERROR(__xludf.DUMMYFUNCTION("""COMPUTED_VALUE"""),1878.25)</f>
        <v>1878.25</v>
      </c>
      <c r="F3860" s="2">
        <f>IFERROR(__xludf.DUMMYFUNCTION("""COMPUTED_VALUE"""),5934424.0)</f>
        <v>5934424</v>
      </c>
    </row>
    <row r="3861">
      <c r="A3861" s="3">
        <f>IFERROR(__xludf.DUMMYFUNCTION("""COMPUTED_VALUE"""),43945.64583333333)</f>
        <v>43945.64583</v>
      </c>
      <c r="B3861" s="2">
        <f>IFERROR(__xludf.DUMMYFUNCTION("""COMPUTED_VALUE"""),1840.7)</f>
        <v>1840.7</v>
      </c>
      <c r="C3861" s="2">
        <f>IFERROR(__xludf.DUMMYFUNCTION("""COMPUTED_VALUE"""),1851.95)</f>
        <v>1851.95</v>
      </c>
      <c r="D3861" s="2">
        <f>IFERROR(__xludf.DUMMYFUNCTION("""COMPUTED_VALUE"""),1807.8)</f>
        <v>1807.8</v>
      </c>
      <c r="E3861" s="2">
        <f>IFERROR(__xludf.DUMMYFUNCTION("""COMPUTED_VALUE"""),1818.55)</f>
        <v>1818.55</v>
      </c>
      <c r="F3861" s="2">
        <f>IFERROR(__xludf.DUMMYFUNCTION("""COMPUTED_VALUE"""),2987150.0)</f>
        <v>2987150</v>
      </c>
    </row>
    <row r="3862">
      <c r="A3862" s="3">
        <f>IFERROR(__xludf.DUMMYFUNCTION("""COMPUTED_VALUE"""),43948.64583333333)</f>
        <v>43948.64583</v>
      </c>
      <c r="B3862" s="2">
        <f>IFERROR(__xludf.DUMMYFUNCTION("""COMPUTED_VALUE"""),1832.3)</f>
        <v>1832.3</v>
      </c>
      <c r="C3862" s="2">
        <f>IFERROR(__xludf.DUMMYFUNCTION("""COMPUTED_VALUE"""),1875.0)</f>
        <v>1875</v>
      </c>
      <c r="D3862" s="2">
        <f>IFERROR(__xludf.DUMMYFUNCTION("""COMPUTED_VALUE"""),1825.0)</f>
        <v>1825</v>
      </c>
      <c r="E3862" s="2">
        <f>IFERROR(__xludf.DUMMYFUNCTION("""COMPUTED_VALUE"""),1836.6)</f>
        <v>1836.6</v>
      </c>
      <c r="F3862" s="2">
        <f>IFERROR(__xludf.DUMMYFUNCTION("""COMPUTED_VALUE"""),3374747.0)</f>
        <v>3374747</v>
      </c>
    </row>
    <row r="3863">
      <c r="A3863" s="3">
        <f>IFERROR(__xludf.DUMMYFUNCTION("""COMPUTED_VALUE"""),43949.64583333333)</f>
        <v>43949.64583</v>
      </c>
      <c r="B3863" s="2">
        <f>IFERROR(__xludf.DUMMYFUNCTION("""COMPUTED_VALUE"""),1865.0)</f>
        <v>1865</v>
      </c>
      <c r="C3863" s="2">
        <f>IFERROR(__xludf.DUMMYFUNCTION("""COMPUTED_VALUE"""),1868.0)</f>
        <v>1868</v>
      </c>
      <c r="D3863" s="2">
        <f>IFERROR(__xludf.DUMMYFUNCTION("""COMPUTED_VALUE"""),1832.6)</f>
        <v>1832.6</v>
      </c>
      <c r="E3863" s="2">
        <f>IFERROR(__xludf.DUMMYFUNCTION("""COMPUTED_VALUE"""),1859.05)</f>
        <v>1859.05</v>
      </c>
      <c r="F3863" s="2">
        <f>IFERROR(__xludf.DUMMYFUNCTION("""COMPUTED_VALUE"""),2678512.0)</f>
        <v>2678512</v>
      </c>
    </row>
    <row r="3864">
      <c r="A3864" s="3">
        <f>IFERROR(__xludf.DUMMYFUNCTION("""COMPUTED_VALUE"""),43950.64583333333)</f>
        <v>43950.64583</v>
      </c>
      <c r="B3864" s="2">
        <f>IFERROR(__xludf.DUMMYFUNCTION("""COMPUTED_VALUE"""),1874.0)</f>
        <v>1874</v>
      </c>
      <c r="C3864" s="2">
        <f>IFERROR(__xludf.DUMMYFUNCTION("""COMPUTED_VALUE"""),1912.55)</f>
        <v>1912.55</v>
      </c>
      <c r="D3864" s="2">
        <f>IFERROR(__xludf.DUMMYFUNCTION("""COMPUTED_VALUE"""),1850.05)</f>
        <v>1850.05</v>
      </c>
      <c r="E3864" s="2">
        <f>IFERROR(__xludf.DUMMYFUNCTION("""COMPUTED_VALUE"""),1905.65)</f>
        <v>1905.65</v>
      </c>
      <c r="F3864" s="2">
        <f>IFERROR(__xludf.DUMMYFUNCTION("""COMPUTED_VALUE"""),4241579.0)</f>
        <v>4241579</v>
      </c>
    </row>
    <row r="3865">
      <c r="A3865" s="3">
        <f>IFERROR(__xludf.DUMMYFUNCTION("""COMPUTED_VALUE"""),43951.64583333333)</f>
        <v>43951.64583</v>
      </c>
      <c r="B3865" s="2">
        <f>IFERROR(__xludf.DUMMYFUNCTION("""COMPUTED_VALUE"""),1980.0)</f>
        <v>1980</v>
      </c>
      <c r="C3865" s="2">
        <f>IFERROR(__xludf.DUMMYFUNCTION("""COMPUTED_VALUE"""),2032.0)</f>
        <v>2032</v>
      </c>
      <c r="D3865" s="2">
        <f>IFERROR(__xludf.DUMMYFUNCTION("""COMPUTED_VALUE"""),1942.2)</f>
        <v>1942.2</v>
      </c>
      <c r="E3865" s="2">
        <f>IFERROR(__xludf.DUMMYFUNCTION("""COMPUTED_VALUE"""),2014.45)</f>
        <v>2014.45</v>
      </c>
      <c r="F3865" s="2">
        <f>IFERROR(__xludf.DUMMYFUNCTION("""COMPUTED_VALUE"""),5915950.0)</f>
        <v>5915950</v>
      </c>
    </row>
    <row r="3866">
      <c r="A3866" s="3">
        <f>IFERROR(__xludf.DUMMYFUNCTION("""COMPUTED_VALUE"""),43955.64583333333)</f>
        <v>43955.64583</v>
      </c>
      <c r="B3866" s="2">
        <f>IFERROR(__xludf.DUMMYFUNCTION("""COMPUTED_VALUE"""),1966.0)</f>
        <v>1966</v>
      </c>
      <c r="C3866" s="2">
        <f>IFERROR(__xludf.DUMMYFUNCTION("""COMPUTED_VALUE"""),1966.0)</f>
        <v>1966</v>
      </c>
      <c r="D3866" s="2">
        <f>IFERROR(__xludf.DUMMYFUNCTION("""COMPUTED_VALUE"""),1913.65)</f>
        <v>1913.65</v>
      </c>
      <c r="E3866" s="2">
        <f>IFERROR(__xludf.DUMMYFUNCTION("""COMPUTED_VALUE"""),1930.45)</f>
        <v>1930.45</v>
      </c>
      <c r="F3866" s="2">
        <f>IFERROR(__xludf.DUMMYFUNCTION("""COMPUTED_VALUE"""),3729409.0)</f>
        <v>3729409</v>
      </c>
    </row>
    <row r="3867">
      <c r="A3867" s="3">
        <f>IFERROR(__xludf.DUMMYFUNCTION("""COMPUTED_VALUE"""),43956.64583333333)</f>
        <v>43956.64583</v>
      </c>
      <c r="B3867" s="2">
        <f>IFERROR(__xludf.DUMMYFUNCTION("""COMPUTED_VALUE"""),1955.1)</f>
        <v>1955.1</v>
      </c>
      <c r="C3867" s="2">
        <f>IFERROR(__xludf.DUMMYFUNCTION("""COMPUTED_VALUE"""),1977.0)</f>
        <v>1977</v>
      </c>
      <c r="D3867" s="2">
        <f>IFERROR(__xludf.DUMMYFUNCTION("""COMPUTED_VALUE"""),1927.0)</f>
        <v>1927</v>
      </c>
      <c r="E3867" s="2">
        <f>IFERROR(__xludf.DUMMYFUNCTION("""COMPUTED_VALUE"""),1932.75)</f>
        <v>1932.75</v>
      </c>
      <c r="F3867" s="2">
        <f>IFERROR(__xludf.DUMMYFUNCTION("""COMPUTED_VALUE"""),2905541.0)</f>
        <v>2905541</v>
      </c>
    </row>
    <row r="3868">
      <c r="A3868" s="3">
        <f>IFERROR(__xludf.DUMMYFUNCTION("""COMPUTED_VALUE"""),43957.64583333333)</f>
        <v>43957.64583</v>
      </c>
      <c r="B3868" s="2">
        <f>IFERROR(__xludf.DUMMYFUNCTION("""COMPUTED_VALUE"""),1939.8)</f>
        <v>1939.8</v>
      </c>
      <c r="C3868" s="2">
        <f>IFERROR(__xludf.DUMMYFUNCTION("""COMPUTED_VALUE"""),1953.7)</f>
        <v>1953.7</v>
      </c>
      <c r="D3868" s="2">
        <f>IFERROR(__xludf.DUMMYFUNCTION("""COMPUTED_VALUE"""),1893.6)</f>
        <v>1893.6</v>
      </c>
      <c r="E3868" s="2">
        <f>IFERROR(__xludf.DUMMYFUNCTION("""COMPUTED_VALUE"""),1903.6)</f>
        <v>1903.6</v>
      </c>
      <c r="F3868" s="2">
        <f>IFERROR(__xludf.DUMMYFUNCTION("""COMPUTED_VALUE"""),3517432.0)</f>
        <v>3517432</v>
      </c>
    </row>
    <row r="3869">
      <c r="A3869" s="3">
        <f>IFERROR(__xludf.DUMMYFUNCTION("""COMPUTED_VALUE"""),43958.64583333333)</f>
        <v>43958.64583</v>
      </c>
      <c r="B3869" s="2">
        <f>IFERROR(__xludf.DUMMYFUNCTION("""COMPUTED_VALUE"""),1910.0)</f>
        <v>1910</v>
      </c>
      <c r="C3869" s="2">
        <f>IFERROR(__xludf.DUMMYFUNCTION("""COMPUTED_VALUE"""),1934.45)</f>
        <v>1934.45</v>
      </c>
      <c r="D3869" s="2">
        <f>IFERROR(__xludf.DUMMYFUNCTION("""COMPUTED_VALUE"""),1883.35)</f>
        <v>1883.35</v>
      </c>
      <c r="E3869" s="2">
        <f>IFERROR(__xludf.DUMMYFUNCTION("""COMPUTED_VALUE"""),1891.65)</f>
        <v>1891.65</v>
      </c>
      <c r="F3869" s="2">
        <f>IFERROR(__xludf.DUMMYFUNCTION("""COMPUTED_VALUE"""),3166784.0)</f>
        <v>3166784</v>
      </c>
    </row>
    <row r="3870">
      <c r="A3870" s="3">
        <f>IFERROR(__xludf.DUMMYFUNCTION("""COMPUTED_VALUE"""),43959.64583333333)</f>
        <v>43959.64583</v>
      </c>
      <c r="B3870" s="2">
        <f>IFERROR(__xludf.DUMMYFUNCTION("""COMPUTED_VALUE"""),1939.1)</f>
        <v>1939.1</v>
      </c>
      <c r="C3870" s="2">
        <f>IFERROR(__xludf.DUMMYFUNCTION("""COMPUTED_VALUE"""),1939.5)</f>
        <v>1939.5</v>
      </c>
      <c r="D3870" s="2">
        <f>IFERROR(__xludf.DUMMYFUNCTION("""COMPUTED_VALUE"""),1886.25)</f>
        <v>1886.25</v>
      </c>
      <c r="E3870" s="2">
        <f>IFERROR(__xludf.DUMMYFUNCTION("""COMPUTED_VALUE"""),1893.4)</f>
        <v>1893.4</v>
      </c>
      <c r="F3870" s="2">
        <f>IFERROR(__xludf.DUMMYFUNCTION("""COMPUTED_VALUE"""),2686536.0)</f>
        <v>2686536</v>
      </c>
    </row>
    <row r="3871">
      <c r="A3871" s="3">
        <f>IFERROR(__xludf.DUMMYFUNCTION("""COMPUTED_VALUE"""),43962.64583333333)</f>
        <v>43962.64583</v>
      </c>
      <c r="B3871" s="2">
        <f>IFERROR(__xludf.DUMMYFUNCTION("""COMPUTED_VALUE"""),1909.0)</f>
        <v>1909</v>
      </c>
      <c r="C3871" s="2">
        <f>IFERROR(__xludf.DUMMYFUNCTION("""COMPUTED_VALUE"""),1951.4)</f>
        <v>1951.4</v>
      </c>
      <c r="D3871" s="2">
        <f>IFERROR(__xludf.DUMMYFUNCTION("""COMPUTED_VALUE"""),1909.0)</f>
        <v>1909</v>
      </c>
      <c r="E3871" s="2">
        <f>IFERROR(__xludf.DUMMYFUNCTION("""COMPUTED_VALUE"""),1935.3)</f>
        <v>1935.3</v>
      </c>
      <c r="F3871" s="2">
        <f>IFERROR(__xludf.DUMMYFUNCTION("""COMPUTED_VALUE"""),2449846.0)</f>
        <v>2449846</v>
      </c>
    </row>
    <row r="3872">
      <c r="A3872" s="3">
        <f>IFERROR(__xludf.DUMMYFUNCTION("""COMPUTED_VALUE"""),43963.64583333333)</f>
        <v>43963.64583</v>
      </c>
      <c r="B3872" s="2">
        <f>IFERROR(__xludf.DUMMYFUNCTION("""COMPUTED_VALUE"""),1933.4)</f>
        <v>1933.4</v>
      </c>
      <c r="C3872" s="2">
        <f>IFERROR(__xludf.DUMMYFUNCTION("""COMPUTED_VALUE"""),1956.5)</f>
        <v>1956.5</v>
      </c>
      <c r="D3872" s="2">
        <f>IFERROR(__xludf.DUMMYFUNCTION("""COMPUTED_VALUE"""),1910.25)</f>
        <v>1910.25</v>
      </c>
      <c r="E3872" s="2">
        <f>IFERROR(__xludf.DUMMYFUNCTION("""COMPUTED_VALUE"""),1949.5)</f>
        <v>1949.5</v>
      </c>
      <c r="F3872" s="2">
        <f>IFERROR(__xludf.DUMMYFUNCTION("""COMPUTED_VALUE"""),3256630.0)</f>
        <v>3256630</v>
      </c>
    </row>
    <row r="3873">
      <c r="A3873" s="3">
        <f>IFERROR(__xludf.DUMMYFUNCTION("""COMPUTED_VALUE"""),43964.64583333333)</f>
        <v>43964.64583</v>
      </c>
      <c r="B3873" s="2">
        <f>IFERROR(__xludf.DUMMYFUNCTION("""COMPUTED_VALUE"""),1994.0)</f>
        <v>1994</v>
      </c>
      <c r="C3873" s="2">
        <f>IFERROR(__xludf.DUMMYFUNCTION("""COMPUTED_VALUE"""),1994.0)</f>
        <v>1994</v>
      </c>
      <c r="D3873" s="2">
        <f>IFERROR(__xludf.DUMMYFUNCTION("""COMPUTED_VALUE"""),1925.65)</f>
        <v>1925.65</v>
      </c>
      <c r="E3873" s="2">
        <f>IFERROR(__xludf.DUMMYFUNCTION("""COMPUTED_VALUE"""),1949.65)</f>
        <v>1949.65</v>
      </c>
      <c r="F3873" s="2">
        <f>IFERROR(__xludf.DUMMYFUNCTION("""COMPUTED_VALUE"""),2656665.0)</f>
        <v>2656665</v>
      </c>
    </row>
    <row r="3874">
      <c r="A3874" s="3">
        <f>IFERROR(__xludf.DUMMYFUNCTION("""COMPUTED_VALUE"""),43965.64583333333)</f>
        <v>43965.64583</v>
      </c>
      <c r="B3874" s="2">
        <f>IFERROR(__xludf.DUMMYFUNCTION("""COMPUTED_VALUE"""),1910.0)</f>
        <v>1910</v>
      </c>
      <c r="C3874" s="2">
        <f>IFERROR(__xludf.DUMMYFUNCTION("""COMPUTED_VALUE"""),1923.1)</f>
        <v>1923.1</v>
      </c>
      <c r="D3874" s="2">
        <f>IFERROR(__xludf.DUMMYFUNCTION("""COMPUTED_VALUE"""),1891.1)</f>
        <v>1891.1</v>
      </c>
      <c r="E3874" s="2">
        <f>IFERROR(__xludf.DUMMYFUNCTION("""COMPUTED_VALUE"""),1902.35)</f>
        <v>1902.35</v>
      </c>
      <c r="F3874" s="2">
        <f>IFERROR(__xludf.DUMMYFUNCTION("""COMPUTED_VALUE"""),2263204.0)</f>
        <v>2263204</v>
      </c>
    </row>
    <row r="3875">
      <c r="A3875" s="3">
        <f>IFERROR(__xludf.DUMMYFUNCTION("""COMPUTED_VALUE"""),43966.64583333333)</f>
        <v>43966.64583</v>
      </c>
      <c r="B3875" s="2">
        <f>IFERROR(__xludf.DUMMYFUNCTION("""COMPUTED_VALUE"""),1916.0)</f>
        <v>1916</v>
      </c>
      <c r="C3875" s="2">
        <f>IFERROR(__xludf.DUMMYFUNCTION("""COMPUTED_VALUE"""),1917.4)</f>
        <v>1917.4</v>
      </c>
      <c r="D3875" s="2">
        <f>IFERROR(__xludf.DUMMYFUNCTION("""COMPUTED_VALUE"""),1865.2)</f>
        <v>1865.2</v>
      </c>
      <c r="E3875" s="2">
        <f>IFERROR(__xludf.DUMMYFUNCTION("""COMPUTED_VALUE"""),1892.9)</f>
        <v>1892.9</v>
      </c>
      <c r="F3875" s="2">
        <f>IFERROR(__xludf.DUMMYFUNCTION("""COMPUTED_VALUE"""),3173682.0)</f>
        <v>3173682</v>
      </c>
    </row>
    <row r="3876">
      <c r="A3876" s="3">
        <f>IFERROR(__xludf.DUMMYFUNCTION("""COMPUTED_VALUE"""),43969.64583333333)</f>
        <v>43969.64583</v>
      </c>
      <c r="B3876" s="2">
        <f>IFERROR(__xludf.DUMMYFUNCTION("""COMPUTED_VALUE"""),1907.0)</f>
        <v>1907</v>
      </c>
      <c r="C3876" s="2">
        <f>IFERROR(__xludf.DUMMYFUNCTION("""COMPUTED_VALUE"""),1952.95)</f>
        <v>1952.95</v>
      </c>
      <c r="D3876" s="2">
        <f>IFERROR(__xludf.DUMMYFUNCTION("""COMPUTED_VALUE"""),1872.1)</f>
        <v>1872.1</v>
      </c>
      <c r="E3876" s="2">
        <f>IFERROR(__xludf.DUMMYFUNCTION("""COMPUTED_VALUE"""),1945.6)</f>
        <v>1945.6</v>
      </c>
      <c r="F3876" s="2">
        <f>IFERROR(__xludf.DUMMYFUNCTION("""COMPUTED_VALUE"""),3727896.0)</f>
        <v>3727896</v>
      </c>
    </row>
    <row r="3877">
      <c r="A3877" s="3">
        <f>IFERROR(__xludf.DUMMYFUNCTION("""COMPUTED_VALUE"""),43970.64583333333)</f>
        <v>43970.64583</v>
      </c>
      <c r="B3877" s="2">
        <f>IFERROR(__xludf.DUMMYFUNCTION("""COMPUTED_VALUE"""),1903.0)</f>
        <v>1903</v>
      </c>
      <c r="C3877" s="2">
        <f>IFERROR(__xludf.DUMMYFUNCTION("""COMPUTED_VALUE"""),1966.45)</f>
        <v>1966.45</v>
      </c>
      <c r="D3877" s="2">
        <f>IFERROR(__xludf.DUMMYFUNCTION("""COMPUTED_VALUE"""),1903.0)</f>
        <v>1903</v>
      </c>
      <c r="E3877" s="2">
        <f>IFERROR(__xludf.DUMMYFUNCTION("""COMPUTED_VALUE"""),1948.65)</f>
        <v>1948.65</v>
      </c>
      <c r="F3877" s="2">
        <f>IFERROR(__xludf.DUMMYFUNCTION("""COMPUTED_VALUE"""),3198699.0)</f>
        <v>3198699</v>
      </c>
    </row>
    <row r="3878">
      <c r="A3878" s="3">
        <f>IFERROR(__xludf.DUMMYFUNCTION("""COMPUTED_VALUE"""),43971.64583333333)</f>
        <v>43971.64583</v>
      </c>
      <c r="B3878" s="2">
        <f>IFERROR(__xludf.DUMMYFUNCTION("""COMPUTED_VALUE"""),1950.0)</f>
        <v>1950</v>
      </c>
      <c r="C3878" s="2">
        <f>IFERROR(__xludf.DUMMYFUNCTION("""COMPUTED_VALUE"""),1962.9)</f>
        <v>1962.9</v>
      </c>
      <c r="D3878" s="2">
        <f>IFERROR(__xludf.DUMMYFUNCTION("""COMPUTED_VALUE"""),1931.7)</f>
        <v>1931.7</v>
      </c>
      <c r="E3878" s="2">
        <f>IFERROR(__xludf.DUMMYFUNCTION("""COMPUTED_VALUE"""),1953.6)</f>
        <v>1953.6</v>
      </c>
      <c r="F3878" s="2">
        <f>IFERROR(__xludf.DUMMYFUNCTION("""COMPUTED_VALUE"""),2778505.0)</f>
        <v>2778505</v>
      </c>
    </row>
    <row r="3879">
      <c r="A3879" s="3">
        <f>IFERROR(__xludf.DUMMYFUNCTION("""COMPUTED_VALUE"""),43972.64583333333)</f>
        <v>43972.64583</v>
      </c>
      <c r="B3879" s="2">
        <f>IFERROR(__xludf.DUMMYFUNCTION("""COMPUTED_VALUE"""),1946.0)</f>
        <v>1946</v>
      </c>
      <c r="C3879" s="2">
        <f>IFERROR(__xludf.DUMMYFUNCTION("""COMPUTED_VALUE"""),1998.0)</f>
        <v>1998</v>
      </c>
      <c r="D3879" s="2">
        <f>IFERROR(__xludf.DUMMYFUNCTION("""COMPUTED_VALUE"""),1941.15)</f>
        <v>1941.15</v>
      </c>
      <c r="E3879" s="2">
        <f>IFERROR(__xludf.DUMMYFUNCTION("""COMPUTED_VALUE"""),1991.2)</f>
        <v>1991.2</v>
      </c>
      <c r="F3879" s="2">
        <f>IFERROR(__xludf.DUMMYFUNCTION("""COMPUTED_VALUE"""),3400925.0)</f>
        <v>3400925</v>
      </c>
    </row>
    <row r="3880">
      <c r="A3880" s="3">
        <f>IFERROR(__xludf.DUMMYFUNCTION("""COMPUTED_VALUE"""),43973.64583333333)</f>
        <v>43973.64583</v>
      </c>
      <c r="B3880" s="2">
        <f>IFERROR(__xludf.DUMMYFUNCTION("""COMPUTED_VALUE"""),1977.1)</f>
        <v>1977.1</v>
      </c>
      <c r="C3880" s="2">
        <f>IFERROR(__xludf.DUMMYFUNCTION("""COMPUTED_VALUE"""),2032.0)</f>
        <v>2032</v>
      </c>
      <c r="D3880" s="2">
        <f>IFERROR(__xludf.DUMMYFUNCTION("""COMPUTED_VALUE"""),1961.25)</f>
        <v>1961.25</v>
      </c>
      <c r="E3880" s="2">
        <f>IFERROR(__xludf.DUMMYFUNCTION("""COMPUTED_VALUE"""),2020.35)</f>
        <v>2020.35</v>
      </c>
      <c r="F3880" s="2">
        <f>IFERROR(__xludf.DUMMYFUNCTION("""COMPUTED_VALUE"""),3663422.0)</f>
        <v>3663422</v>
      </c>
    </row>
    <row r="3881">
      <c r="A3881" s="3">
        <f>IFERROR(__xludf.DUMMYFUNCTION("""COMPUTED_VALUE"""),43977.64583333333)</f>
        <v>43977.64583</v>
      </c>
      <c r="B3881" s="2">
        <f>IFERROR(__xludf.DUMMYFUNCTION("""COMPUTED_VALUE"""),2015.0)</f>
        <v>2015</v>
      </c>
      <c r="C3881" s="2">
        <f>IFERROR(__xludf.DUMMYFUNCTION("""COMPUTED_VALUE"""),2024.0)</f>
        <v>2024</v>
      </c>
      <c r="D3881" s="2">
        <f>IFERROR(__xludf.DUMMYFUNCTION("""COMPUTED_VALUE"""),1925.0)</f>
        <v>1925</v>
      </c>
      <c r="E3881" s="2">
        <f>IFERROR(__xludf.DUMMYFUNCTION("""COMPUTED_VALUE"""),1943.0)</f>
        <v>1943</v>
      </c>
      <c r="F3881" s="2">
        <f>IFERROR(__xludf.DUMMYFUNCTION("""COMPUTED_VALUE"""),4575512.0)</f>
        <v>4575512</v>
      </c>
    </row>
    <row r="3882">
      <c r="A3882" s="3">
        <f>IFERROR(__xludf.DUMMYFUNCTION("""COMPUTED_VALUE"""),43978.64583333333)</f>
        <v>43978.64583</v>
      </c>
      <c r="B3882" s="2">
        <f>IFERROR(__xludf.DUMMYFUNCTION("""COMPUTED_VALUE"""),1959.0)</f>
        <v>1959</v>
      </c>
      <c r="C3882" s="2">
        <f>IFERROR(__xludf.DUMMYFUNCTION("""COMPUTED_VALUE"""),2010.0)</f>
        <v>2010</v>
      </c>
      <c r="D3882" s="2">
        <f>IFERROR(__xludf.DUMMYFUNCTION("""COMPUTED_VALUE"""),1941.25)</f>
        <v>1941.25</v>
      </c>
      <c r="E3882" s="2">
        <f>IFERROR(__xludf.DUMMYFUNCTION("""COMPUTED_VALUE"""),2005.3)</f>
        <v>2005.3</v>
      </c>
      <c r="F3882" s="2">
        <f>IFERROR(__xludf.DUMMYFUNCTION("""COMPUTED_VALUE"""),3482185.0)</f>
        <v>3482185</v>
      </c>
    </row>
    <row r="3883">
      <c r="A3883" s="3">
        <f>IFERROR(__xludf.DUMMYFUNCTION("""COMPUTED_VALUE"""),43979.64583333333)</f>
        <v>43979.64583</v>
      </c>
      <c r="B3883" s="2">
        <f>IFERROR(__xludf.DUMMYFUNCTION("""COMPUTED_VALUE"""),1988.5)</f>
        <v>1988.5</v>
      </c>
      <c r="C3883" s="2">
        <f>IFERROR(__xludf.DUMMYFUNCTION("""COMPUTED_VALUE"""),2014.0)</f>
        <v>2014</v>
      </c>
      <c r="D3883" s="2">
        <f>IFERROR(__xludf.DUMMYFUNCTION("""COMPUTED_VALUE"""),1971.3)</f>
        <v>1971.3</v>
      </c>
      <c r="E3883" s="2">
        <f>IFERROR(__xludf.DUMMYFUNCTION("""COMPUTED_VALUE"""),2004.3)</f>
        <v>2004.3</v>
      </c>
      <c r="F3883" s="2">
        <f>IFERROR(__xludf.DUMMYFUNCTION("""COMPUTED_VALUE"""),3475788.0)</f>
        <v>3475788</v>
      </c>
    </row>
    <row r="3884">
      <c r="A3884" s="3">
        <f>IFERROR(__xludf.DUMMYFUNCTION("""COMPUTED_VALUE"""),43980.64583333333)</f>
        <v>43980.64583</v>
      </c>
      <c r="B3884" s="2">
        <f>IFERROR(__xludf.DUMMYFUNCTION("""COMPUTED_VALUE"""),1982.0)</f>
        <v>1982</v>
      </c>
      <c r="C3884" s="2">
        <f>IFERROR(__xludf.DUMMYFUNCTION("""COMPUTED_VALUE"""),2002.65)</f>
        <v>2002.65</v>
      </c>
      <c r="D3884" s="2">
        <f>IFERROR(__xludf.DUMMYFUNCTION("""COMPUTED_VALUE"""),1962.4)</f>
        <v>1962.4</v>
      </c>
      <c r="E3884" s="2">
        <f>IFERROR(__xludf.DUMMYFUNCTION("""COMPUTED_VALUE"""),1972.35)</f>
        <v>1972.35</v>
      </c>
      <c r="F3884" s="2">
        <f>IFERROR(__xludf.DUMMYFUNCTION("""COMPUTED_VALUE"""),7237765.0)</f>
        <v>7237765</v>
      </c>
    </row>
    <row r="3885">
      <c r="A3885" s="3">
        <f>IFERROR(__xludf.DUMMYFUNCTION("""COMPUTED_VALUE"""),43983.64583333333)</f>
        <v>43983.64583</v>
      </c>
      <c r="B3885" s="2">
        <f>IFERROR(__xludf.DUMMYFUNCTION("""COMPUTED_VALUE"""),1990.0)</f>
        <v>1990</v>
      </c>
      <c r="C3885" s="2">
        <f>IFERROR(__xludf.DUMMYFUNCTION("""COMPUTED_VALUE"""),2060.0)</f>
        <v>2060</v>
      </c>
      <c r="D3885" s="2">
        <f>IFERROR(__xludf.DUMMYFUNCTION("""COMPUTED_VALUE"""),1981.1)</f>
        <v>1981.1</v>
      </c>
      <c r="E3885" s="2">
        <f>IFERROR(__xludf.DUMMYFUNCTION("""COMPUTED_VALUE"""),2045.25)</f>
        <v>2045.25</v>
      </c>
      <c r="F3885" s="2">
        <f>IFERROR(__xludf.DUMMYFUNCTION("""COMPUTED_VALUE"""),3747850.0)</f>
        <v>3747850</v>
      </c>
    </row>
    <row r="3886">
      <c r="A3886" s="3">
        <f>IFERROR(__xludf.DUMMYFUNCTION("""COMPUTED_VALUE"""),43984.64583333333)</f>
        <v>43984.64583</v>
      </c>
      <c r="B3886" s="2">
        <f>IFERROR(__xludf.DUMMYFUNCTION("""COMPUTED_VALUE"""),2060.2)</f>
        <v>2060.2</v>
      </c>
      <c r="C3886" s="2">
        <f>IFERROR(__xludf.DUMMYFUNCTION("""COMPUTED_VALUE"""),2081.0)</f>
        <v>2081</v>
      </c>
      <c r="D3886" s="2">
        <f>IFERROR(__xludf.DUMMYFUNCTION("""COMPUTED_VALUE"""),2040.05)</f>
        <v>2040.05</v>
      </c>
      <c r="E3886" s="2">
        <f>IFERROR(__xludf.DUMMYFUNCTION("""COMPUTED_VALUE"""),2047.15)</f>
        <v>2047.15</v>
      </c>
      <c r="F3886" s="2">
        <f>IFERROR(__xludf.DUMMYFUNCTION("""COMPUTED_VALUE"""),2443886.0)</f>
        <v>2443886</v>
      </c>
    </row>
    <row r="3887">
      <c r="A3887" s="3">
        <f>IFERROR(__xludf.DUMMYFUNCTION("""COMPUTED_VALUE"""),43985.64583333333)</f>
        <v>43985.64583</v>
      </c>
      <c r="B3887" s="2">
        <f>IFERROR(__xludf.DUMMYFUNCTION("""COMPUTED_VALUE"""),2051.85)</f>
        <v>2051.85</v>
      </c>
      <c r="C3887" s="2">
        <f>IFERROR(__xludf.DUMMYFUNCTION("""COMPUTED_VALUE"""),2063.75)</f>
        <v>2063.75</v>
      </c>
      <c r="D3887" s="2">
        <f>IFERROR(__xludf.DUMMYFUNCTION("""COMPUTED_VALUE"""),2020.0)</f>
        <v>2020</v>
      </c>
      <c r="E3887" s="2">
        <f>IFERROR(__xludf.DUMMYFUNCTION("""COMPUTED_VALUE"""),2046.15)</f>
        <v>2046.15</v>
      </c>
      <c r="F3887" s="2">
        <f>IFERROR(__xludf.DUMMYFUNCTION("""COMPUTED_VALUE"""),3699799.0)</f>
        <v>3699799</v>
      </c>
    </row>
    <row r="3888">
      <c r="A3888" s="3">
        <f>IFERROR(__xludf.DUMMYFUNCTION("""COMPUTED_VALUE"""),43986.64583333333)</f>
        <v>43986.64583</v>
      </c>
      <c r="B3888" s="2">
        <f>IFERROR(__xludf.DUMMYFUNCTION("""COMPUTED_VALUE"""),2046.75)</f>
        <v>2046.75</v>
      </c>
      <c r="C3888" s="2">
        <f>IFERROR(__xludf.DUMMYFUNCTION("""COMPUTED_VALUE"""),2100.0)</f>
        <v>2100</v>
      </c>
      <c r="D3888" s="2">
        <f>IFERROR(__xludf.DUMMYFUNCTION("""COMPUTED_VALUE"""),2046.75)</f>
        <v>2046.75</v>
      </c>
      <c r="E3888" s="2">
        <f>IFERROR(__xludf.DUMMYFUNCTION("""COMPUTED_VALUE"""),2091.55)</f>
        <v>2091.55</v>
      </c>
      <c r="F3888" s="2">
        <f>IFERROR(__xludf.DUMMYFUNCTION("""COMPUTED_VALUE"""),4048593.0)</f>
        <v>4048593</v>
      </c>
    </row>
    <row r="3889">
      <c r="A3889" s="3">
        <f>IFERROR(__xludf.DUMMYFUNCTION("""COMPUTED_VALUE"""),43987.64583333333)</f>
        <v>43987.64583</v>
      </c>
      <c r="B3889" s="2">
        <f>IFERROR(__xludf.DUMMYFUNCTION("""COMPUTED_VALUE"""),2091.6)</f>
        <v>2091.6</v>
      </c>
      <c r="C3889" s="2">
        <f>IFERROR(__xludf.DUMMYFUNCTION("""COMPUTED_VALUE"""),2098.0)</f>
        <v>2098</v>
      </c>
      <c r="D3889" s="2">
        <f>IFERROR(__xludf.DUMMYFUNCTION("""COMPUTED_VALUE"""),2040.3)</f>
        <v>2040.3</v>
      </c>
      <c r="E3889" s="2">
        <f>IFERROR(__xludf.DUMMYFUNCTION("""COMPUTED_VALUE"""),2048.25)</f>
        <v>2048.25</v>
      </c>
      <c r="F3889" s="2">
        <f>IFERROR(__xludf.DUMMYFUNCTION("""COMPUTED_VALUE"""),3573299.0)</f>
        <v>3573299</v>
      </c>
    </row>
    <row r="3890">
      <c r="A3890" s="3">
        <f>IFERROR(__xludf.DUMMYFUNCTION("""COMPUTED_VALUE"""),43990.64583333333)</f>
        <v>43990.64583</v>
      </c>
      <c r="B3890" s="2">
        <f>IFERROR(__xludf.DUMMYFUNCTION("""COMPUTED_VALUE"""),2078.25)</f>
        <v>2078.25</v>
      </c>
      <c r="C3890" s="2">
        <f>IFERROR(__xludf.DUMMYFUNCTION("""COMPUTED_VALUE"""),2095.0)</f>
        <v>2095</v>
      </c>
      <c r="D3890" s="2">
        <f>IFERROR(__xludf.DUMMYFUNCTION("""COMPUTED_VALUE"""),2062.1)</f>
        <v>2062.1</v>
      </c>
      <c r="E3890" s="2">
        <f>IFERROR(__xludf.DUMMYFUNCTION("""COMPUTED_VALUE"""),2071.75)</f>
        <v>2071.75</v>
      </c>
      <c r="F3890" s="2">
        <f>IFERROR(__xludf.DUMMYFUNCTION("""COMPUTED_VALUE"""),2957841.0)</f>
        <v>2957841</v>
      </c>
    </row>
    <row r="3891">
      <c r="A3891" s="3">
        <f>IFERROR(__xludf.DUMMYFUNCTION("""COMPUTED_VALUE"""),43991.64583333333)</f>
        <v>43991.64583</v>
      </c>
      <c r="B3891" s="2">
        <f>IFERROR(__xludf.DUMMYFUNCTION("""COMPUTED_VALUE"""),2063.1)</f>
        <v>2063.1</v>
      </c>
      <c r="C3891" s="2">
        <f>IFERROR(__xludf.DUMMYFUNCTION("""COMPUTED_VALUE"""),2095.5)</f>
        <v>2095.5</v>
      </c>
      <c r="D3891" s="2">
        <f>IFERROR(__xludf.DUMMYFUNCTION("""COMPUTED_VALUE"""),2060.25)</f>
        <v>2060.25</v>
      </c>
      <c r="E3891" s="2">
        <f>IFERROR(__xludf.DUMMYFUNCTION("""COMPUTED_VALUE"""),2072.05)</f>
        <v>2072.05</v>
      </c>
      <c r="F3891" s="2">
        <f>IFERROR(__xludf.DUMMYFUNCTION("""COMPUTED_VALUE"""),2910152.0)</f>
        <v>2910152</v>
      </c>
    </row>
    <row r="3892">
      <c r="A3892" s="3">
        <f>IFERROR(__xludf.DUMMYFUNCTION("""COMPUTED_VALUE"""),43992.64583333333)</f>
        <v>43992.64583</v>
      </c>
      <c r="B3892" s="2">
        <f>IFERROR(__xludf.DUMMYFUNCTION("""COMPUTED_VALUE"""),2077.05)</f>
        <v>2077.05</v>
      </c>
      <c r="C3892" s="2">
        <f>IFERROR(__xludf.DUMMYFUNCTION("""COMPUTED_VALUE"""),2132.0)</f>
        <v>2132</v>
      </c>
      <c r="D3892" s="2">
        <f>IFERROR(__xludf.DUMMYFUNCTION("""COMPUTED_VALUE"""),2073.5)</f>
        <v>2073.5</v>
      </c>
      <c r="E3892" s="2">
        <f>IFERROR(__xludf.DUMMYFUNCTION("""COMPUTED_VALUE"""),2108.75)</f>
        <v>2108.75</v>
      </c>
      <c r="F3892" s="2">
        <f>IFERROR(__xludf.DUMMYFUNCTION("""COMPUTED_VALUE"""),5168494.0)</f>
        <v>5168494</v>
      </c>
    </row>
    <row r="3893">
      <c r="A3893" s="3">
        <f>IFERROR(__xludf.DUMMYFUNCTION("""COMPUTED_VALUE"""),43993.64583333333)</f>
        <v>43993.64583</v>
      </c>
      <c r="B3893" s="2">
        <f>IFERROR(__xludf.DUMMYFUNCTION("""COMPUTED_VALUE"""),2100.0)</f>
        <v>2100</v>
      </c>
      <c r="C3893" s="2">
        <f>IFERROR(__xludf.DUMMYFUNCTION("""COMPUTED_VALUE"""),2105.0)</f>
        <v>2105</v>
      </c>
      <c r="D3893" s="2">
        <f>IFERROR(__xludf.DUMMYFUNCTION("""COMPUTED_VALUE"""),2061.8)</f>
        <v>2061.8</v>
      </c>
      <c r="E3893" s="2">
        <f>IFERROR(__xludf.DUMMYFUNCTION("""COMPUTED_VALUE"""),2067.65)</f>
        <v>2067.65</v>
      </c>
      <c r="F3893" s="2">
        <f>IFERROR(__xludf.DUMMYFUNCTION("""COMPUTED_VALUE"""),2269569.0)</f>
        <v>2269569</v>
      </c>
    </row>
    <row r="3894">
      <c r="A3894" s="3">
        <f>IFERROR(__xludf.DUMMYFUNCTION("""COMPUTED_VALUE"""),43994.64583333333)</f>
        <v>43994.64583</v>
      </c>
      <c r="B3894" s="2">
        <f>IFERROR(__xludf.DUMMYFUNCTION("""COMPUTED_VALUE"""),2011.2)</f>
        <v>2011.2</v>
      </c>
      <c r="C3894" s="2">
        <f>IFERROR(__xludf.DUMMYFUNCTION("""COMPUTED_VALUE"""),2049.2)</f>
        <v>2049.2</v>
      </c>
      <c r="D3894" s="2">
        <f>IFERROR(__xludf.DUMMYFUNCTION("""COMPUTED_VALUE"""),2011.0)</f>
        <v>2011</v>
      </c>
      <c r="E3894" s="2">
        <f>IFERROR(__xludf.DUMMYFUNCTION("""COMPUTED_VALUE"""),2039.5)</f>
        <v>2039.5</v>
      </c>
      <c r="F3894" s="2">
        <f>IFERROR(__xludf.DUMMYFUNCTION("""COMPUTED_VALUE"""),2842757.0)</f>
        <v>2842757</v>
      </c>
    </row>
    <row r="3895">
      <c r="A3895" s="3">
        <f>IFERROR(__xludf.DUMMYFUNCTION("""COMPUTED_VALUE"""),43997.64583333333)</f>
        <v>43997.64583</v>
      </c>
      <c r="B3895" s="2">
        <f>IFERROR(__xludf.DUMMYFUNCTION("""COMPUTED_VALUE"""),2039.1)</f>
        <v>2039.1</v>
      </c>
      <c r="C3895" s="2">
        <f>IFERROR(__xludf.DUMMYFUNCTION("""COMPUTED_VALUE"""),2059.0)</f>
        <v>2059</v>
      </c>
      <c r="D3895" s="2">
        <f>IFERROR(__xludf.DUMMYFUNCTION("""COMPUTED_VALUE"""),2000.95)</f>
        <v>2000.95</v>
      </c>
      <c r="E3895" s="2">
        <f>IFERROR(__xludf.DUMMYFUNCTION("""COMPUTED_VALUE"""),2029.9)</f>
        <v>2029.9</v>
      </c>
      <c r="F3895" s="2">
        <f>IFERROR(__xludf.DUMMYFUNCTION("""COMPUTED_VALUE"""),2399028.0)</f>
        <v>2399028</v>
      </c>
    </row>
    <row r="3896">
      <c r="A3896" s="3">
        <f>IFERROR(__xludf.DUMMYFUNCTION("""COMPUTED_VALUE"""),43998.64583333333)</f>
        <v>43998.64583</v>
      </c>
      <c r="B3896" s="2">
        <f>IFERROR(__xludf.DUMMYFUNCTION("""COMPUTED_VALUE"""),2065.0)</f>
        <v>2065</v>
      </c>
      <c r="C3896" s="2">
        <f>IFERROR(__xludf.DUMMYFUNCTION("""COMPUTED_VALUE"""),2073.95)</f>
        <v>2073.95</v>
      </c>
      <c r="D3896" s="2">
        <f>IFERROR(__xludf.DUMMYFUNCTION("""COMPUTED_VALUE"""),2031.0)</f>
        <v>2031</v>
      </c>
      <c r="E3896" s="2">
        <f>IFERROR(__xludf.DUMMYFUNCTION("""COMPUTED_VALUE"""),2045.8)</f>
        <v>2045.8</v>
      </c>
      <c r="F3896" s="2">
        <f>IFERROR(__xludf.DUMMYFUNCTION("""COMPUTED_VALUE"""),2146528.0)</f>
        <v>2146528</v>
      </c>
    </row>
    <row r="3897">
      <c r="A3897" s="3">
        <f>IFERROR(__xludf.DUMMYFUNCTION("""COMPUTED_VALUE"""),43999.64583333333)</f>
        <v>43999.64583</v>
      </c>
      <c r="B3897" s="2">
        <f>IFERROR(__xludf.DUMMYFUNCTION("""COMPUTED_VALUE"""),2046.0)</f>
        <v>2046</v>
      </c>
      <c r="C3897" s="2">
        <f>IFERROR(__xludf.DUMMYFUNCTION("""COMPUTED_VALUE"""),2058.85)</f>
        <v>2058.85</v>
      </c>
      <c r="D3897" s="2">
        <f>IFERROR(__xludf.DUMMYFUNCTION("""COMPUTED_VALUE"""),2026.55)</f>
        <v>2026.55</v>
      </c>
      <c r="E3897" s="2">
        <f>IFERROR(__xludf.DUMMYFUNCTION("""COMPUTED_VALUE"""),2047.8)</f>
        <v>2047.8</v>
      </c>
      <c r="F3897" s="2">
        <f>IFERROR(__xludf.DUMMYFUNCTION("""COMPUTED_VALUE"""),2703546.0)</f>
        <v>2703546</v>
      </c>
    </row>
    <row r="3898">
      <c r="A3898" s="3">
        <f>IFERROR(__xludf.DUMMYFUNCTION("""COMPUTED_VALUE"""),44000.64583333333)</f>
        <v>44000.64583</v>
      </c>
      <c r="B3898" s="2">
        <f>IFERROR(__xludf.DUMMYFUNCTION("""COMPUTED_VALUE"""),2045.0)</f>
        <v>2045</v>
      </c>
      <c r="C3898" s="2">
        <f>IFERROR(__xludf.DUMMYFUNCTION("""COMPUTED_VALUE"""),2059.2)</f>
        <v>2059.2</v>
      </c>
      <c r="D3898" s="2">
        <f>IFERROR(__xludf.DUMMYFUNCTION("""COMPUTED_VALUE"""),2025.2)</f>
        <v>2025.2</v>
      </c>
      <c r="E3898" s="2">
        <f>IFERROR(__xludf.DUMMYFUNCTION("""COMPUTED_VALUE"""),2038.1)</f>
        <v>2038.1</v>
      </c>
      <c r="F3898" s="2">
        <f>IFERROR(__xludf.DUMMYFUNCTION("""COMPUTED_VALUE"""),1944471.0)</f>
        <v>1944471</v>
      </c>
    </row>
    <row r="3899">
      <c r="A3899" s="3">
        <f>IFERROR(__xludf.DUMMYFUNCTION("""COMPUTED_VALUE"""),44001.64583333333)</f>
        <v>44001.64583</v>
      </c>
      <c r="B3899" s="2">
        <f>IFERROR(__xludf.DUMMYFUNCTION("""COMPUTED_VALUE"""),2042.0)</f>
        <v>2042</v>
      </c>
      <c r="C3899" s="2">
        <f>IFERROR(__xludf.DUMMYFUNCTION("""COMPUTED_VALUE"""),2090.0)</f>
        <v>2090</v>
      </c>
      <c r="D3899" s="2">
        <f>IFERROR(__xludf.DUMMYFUNCTION("""COMPUTED_VALUE"""),2032.0)</f>
        <v>2032</v>
      </c>
      <c r="E3899" s="2">
        <f>IFERROR(__xludf.DUMMYFUNCTION("""COMPUTED_VALUE"""),2044.6)</f>
        <v>2044.6</v>
      </c>
      <c r="F3899" s="2">
        <f>IFERROR(__xludf.DUMMYFUNCTION("""COMPUTED_VALUE"""),5681784.0)</f>
        <v>5681784</v>
      </c>
    </row>
    <row r="3900">
      <c r="A3900" s="3">
        <f>IFERROR(__xludf.DUMMYFUNCTION("""COMPUTED_VALUE"""),44004.64583333333)</f>
        <v>44004.64583</v>
      </c>
      <c r="B3900" s="2">
        <f>IFERROR(__xludf.DUMMYFUNCTION("""COMPUTED_VALUE"""),2050.0)</f>
        <v>2050</v>
      </c>
      <c r="C3900" s="2">
        <f>IFERROR(__xludf.DUMMYFUNCTION("""COMPUTED_VALUE"""),2052.25)</f>
        <v>2052.25</v>
      </c>
      <c r="D3900" s="2">
        <f>IFERROR(__xludf.DUMMYFUNCTION("""COMPUTED_VALUE"""),2019.15)</f>
        <v>2019.15</v>
      </c>
      <c r="E3900" s="2">
        <f>IFERROR(__xludf.DUMMYFUNCTION("""COMPUTED_VALUE"""),2027.95)</f>
        <v>2027.95</v>
      </c>
      <c r="F3900" s="2">
        <f>IFERROR(__xludf.DUMMYFUNCTION("""COMPUTED_VALUE"""),3196138.0)</f>
        <v>3196138</v>
      </c>
    </row>
    <row r="3901">
      <c r="A3901" s="3">
        <f>IFERROR(__xludf.DUMMYFUNCTION("""COMPUTED_VALUE"""),44005.64583333333)</f>
        <v>44005.64583</v>
      </c>
      <c r="B3901" s="2">
        <f>IFERROR(__xludf.DUMMYFUNCTION("""COMPUTED_VALUE"""),2027.0)</f>
        <v>2027</v>
      </c>
      <c r="C3901" s="2">
        <f>IFERROR(__xludf.DUMMYFUNCTION("""COMPUTED_VALUE"""),2044.0)</f>
        <v>2044</v>
      </c>
      <c r="D3901" s="2">
        <f>IFERROR(__xludf.DUMMYFUNCTION("""COMPUTED_VALUE"""),2010.0)</f>
        <v>2010</v>
      </c>
      <c r="E3901" s="2">
        <f>IFERROR(__xludf.DUMMYFUNCTION("""COMPUTED_VALUE"""),2035.3)</f>
        <v>2035.3</v>
      </c>
      <c r="F3901" s="2">
        <f>IFERROR(__xludf.DUMMYFUNCTION("""COMPUTED_VALUE"""),4206122.0)</f>
        <v>4206122</v>
      </c>
    </row>
    <row r="3902">
      <c r="A3902" s="3">
        <f>IFERROR(__xludf.DUMMYFUNCTION("""COMPUTED_VALUE"""),44006.64583333333)</f>
        <v>44006.64583</v>
      </c>
      <c r="B3902" s="2">
        <f>IFERROR(__xludf.DUMMYFUNCTION("""COMPUTED_VALUE"""),2034.0)</f>
        <v>2034</v>
      </c>
      <c r="C3902" s="2">
        <f>IFERROR(__xludf.DUMMYFUNCTION("""COMPUTED_VALUE"""),2064.25)</f>
        <v>2064.25</v>
      </c>
      <c r="D3902" s="2">
        <f>IFERROR(__xludf.DUMMYFUNCTION("""COMPUTED_VALUE"""),2031.6)</f>
        <v>2031.6</v>
      </c>
      <c r="E3902" s="2">
        <f>IFERROR(__xludf.DUMMYFUNCTION("""COMPUTED_VALUE"""),2042.2)</f>
        <v>2042.2</v>
      </c>
      <c r="F3902" s="2">
        <f>IFERROR(__xludf.DUMMYFUNCTION("""COMPUTED_VALUE"""),2560951.0)</f>
        <v>2560951</v>
      </c>
    </row>
    <row r="3903">
      <c r="A3903" s="3">
        <f>IFERROR(__xludf.DUMMYFUNCTION("""COMPUTED_VALUE"""),44007.64583333333)</f>
        <v>44007.64583</v>
      </c>
      <c r="B3903" s="2">
        <f>IFERROR(__xludf.DUMMYFUNCTION("""COMPUTED_VALUE"""),2035.0)</f>
        <v>2035</v>
      </c>
      <c r="C3903" s="2">
        <f>IFERROR(__xludf.DUMMYFUNCTION("""COMPUTED_VALUE"""),2060.0)</f>
        <v>2060</v>
      </c>
      <c r="D3903" s="2">
        <f>IFERROR(__xludf.DUMMYFUNCTION("""COMPUTED_VALUE"""),2009.25)</f>
        <v>2009.25</v>
      </c>
      <c r="E3903" s="2">
        <f>IFERROR(__xludf.DUMMYFUNCTION("""COMPUTED_VALUE"""),2016.1)</f>
        <v>2016.1</v>
      </c>
      <c r="F3903" s="2">
        <f>IFERROR(__xludf.DUMMYFUNCTION("""COMPUTED_VALUE"""),3044089.0)</f>
        <v>3044089</v>
      </c>
    </row>
    <row r="3904">
      <c r="A3904" s="3">
        <f>IFERROR(__xludf.DUMMYFUNCTION("""COMPUTED_VALUE"""),44008.64583333333)</f>
        <v>44008.64583</v>
      </c>
      <c r="B3904" s="2">
        <f>IFERROR(__xludf.DUMMYFUNCTION("""COMPUTED_VALUE"""),2025.0)</f>
        <v>2025</v>
      </c>
      <c r="C3904" s="2">
        <f>IFERROR(__xludf.DUMMYFUNCTION("""COMPUTED_VALUE"""),2132.0)</f>
        <v>2132</v>
      </c>
      <c r="D3904" s="2">
        <f>IFERROR(__xludf.DUMMYFUNCTION("""COMPUTED_VALUE"""),2019.95)</f>
        <v>2019.95</v>
      </c>
      <c r="E3904" s="2">
        <f>IFERROR(__xludf.DUMMYFUNCTION("""COMPUTED_VALUE"""),2118.85)</f>
        <v>2118.85</v>
      </c>
      <c r="F3904" s="2">
        <f>IFERROR(__xludf.DUMMYFUNCTION("""COMPUTED_VALUE"""),6300912.0)</f>
        <v>6300912</v>
      </c>
    </row>
    <row r="3905">
      <c r="A3905" s="3">
        <f>IFERROR(__xludf.DUMMYFUNCTION("""COMPUTED_VALUE"""),44011.64583333333)</f>
        <v>44011.64583</v>
      </c>
      <c r="B3905" s="2">
        <f>IFERROR(__xludf.DUMMYFUNCTION("""COMPUTED_VALUE"""),2108.0)</f>
        <v>2108</v>
      </c>
      <c r="C3905" s="2">
        <f>IFERROR(__xludf.DUMMYFUNCTION("""COMPUTED_VALUE"""),2127.6)</f>
        <v>2127.6</v>
      </c>
      <c r="D3905" s="2">
        <f>IFERROR(__xludf.DUMMYFUNCTION("""COMPUTED_VALUE"""),2091.3)</f>
        <v>2091.3</v>
      </c>
      <c r="E3905" s="2">
        <f>IFERROR(__xludf.DUMMYFUNCTION("""COMPUTED_VALUE"""),2101.65)</f>
        <v>2101.65</v>
      </c>
      <c r="F3905" s="2">
        <f>IFERROR(__xludf.DUMMYFUNCTION("""COMPUTED_VALUE"""),3076344.0)</f>
        <v>3076344</v>
      </c>
    </row>
    <row r="3906">
      <c r="A3906" s="3">
        <f>IFERROR(__xludf.DUMMYFUNCTION("""COMPUTED_VALUE"""),44012.64583333333)</f>
        <v>44012.64583</v>
      </c>
      <c r="B3906" s="2">
        <f>IFERROR(__xludf.DUMMYFUNCTION("""COMPUTED_VALUE"""),2100.0)</f>
        <v>2100</v>
      </c>
      <c r="C3906" s="2">
        <f>IFERROR(__xludf.DUMMYFUNCTION("""COMPUTED_VALUE"""),2111.9)</f>
        <v>2111.9</v>
      </c>
      <c r="D3906" s="2">
        <f>IFERROR(__xludf.DUMMYFUNCTION("""COMPUTED_VALUE"""),2075.05)</f>
        <v>2075.05</v>
      </c>
      <c r="E3906" s="2">
        <f>IFERROR(__xludf.DUMMYFUNCTION("""COMPUTED_VALUE"""),2082.15)</f>
        <v>2082.15</v>
      </c>
      <c r="F3906" s="2">
        <f>IFERROR(__xludf.DUMMYFUNCTION("""COMPUTED_VALUE"""),3071877.0)</f>
        <v>3071877</v>
      </c>
    </row>
    <row r="3907">
      <c r="A3907" s="3">
        <f>IFERROR(__xludf.DUMMYFUNCTION("""COMPUTED_VALUE"""),44013.64583333333)</f>
        <v>44013.64583</v>
      </c>
      <c r="B3907" s="2">
        <f>IFERROR(__xludf.DUMMYFUNCTION("""COMPUTED_VALUE"""),2079.7)</f>
        <v>2079.7</v>
      </c>
      <c r="C3907" s="2">
        <f>IFERROR(__xludf.DUMMYFUNCTION("""COMPUTED_VALUE"""),2113.95)</f>
        <v>2113.95</v>
      </c>
      <c r="D3907" s="2">
        <f>IFERROR(__xludf.DUMMYFUNCTION("""COMPUTED_VALUE"""),2079.5)</f>
        <v>2079.5</v>
      </c>
      <c r="E3907" s="2">
        <f>IFERROR(__xludf.DUMMYFUNCTION("""COMPUTED_VALUE"""),2092.05)</f>
        <v>2092.05</v>
      </c>
      <c r="F3907" s="2">
        <f>IFERROR(__xludf.DUMMYFUNCTION("""COMPUTED_VALUE"""),2503466.0)</f>
        <v>2503466</v>
      </c>
    </row>
    <row r="3908">
      <c r="A3908" s="3">
        <f>IFERROR(__xludf.DUMMYFUNCTION("""COMPUTED_VALUE"""),44014.64583333333)</f>
        <v>44014.64583</v>
      </c>
      <c r="B3908" s="2">
        <f>IFERROR(__xludf.DUMMYFUNCTION("""COMPUTED_VALUE"""),2102.0)</f>
        <v>2102</v>
      </c>
      <c r="C3908" s="2">
        <f>IFERROR(__xludf.DUMMYFUNCTION("""COMPUTED_VALUE"""),2165.0)</f>
        <v>2165</v>
      </c>
      <c r="D3908" s="2">
        <f>IFERROR(__xludf.DUMMYFUNCTION("""COMPUTED_VALUE"""),2098.0)</f>
        <v>2098</v>
      </c>
      <c r="E3908" s="2">
        <f>IFERROR(__xludf.DUMMYFUNCTION("""COMPUTED_VALUE"""),2157.15)</f>
        <v>2157.15</v>
      </c>
      <c r="F3908" s="2">
        <f>IFERROR(__xludf.DUMMYFUNCTION("""COMPUTED_VALUE"""),3758709.0)</f>
        <v>3758709</v>
      </c>
    </row>
    <row r="3909">
      <c r="A3909" s="3">
        <f>IFERROR(__xludf.DUMMYFUNCTION("""COMPUTED_VALUE"""),44015.64583333333)</f>
        <v>44015.64583</v>
      </c>
      <c r="B3909" s="2">
        <f>IFERROR(__xludf.DUMMYFUNCTION("""COMPUTED_VALUE"""),2163.65)</f>
        <v>2163.65</v>
      </c>
      <c r="C3909" s="2">
        <f>IFERROR(__xludf.DUMMYFUNCTION("""COMPUTED_VALUE"""),2205.0)</f>
        <v>2205</v>
      </c>
      <c r="D3909" s="2">
        <f>IFERROR(__xludf.DUMMYFUNCTION("""COMPUTED_VALUE"""),2160.25)</f>
        <v>2160.25</v>
      </c>
      <c r="E3909" s="2">
        <f>IFERROR(__xludf.DUMMYFUNCTION("""COMPUTED_VALUE"""),2199.65)</f>
        <v>2199.65</v>
      </c>
      <c r="F3909" s="2">
        <f>IFERROR(__xludf.DUMMYFUNCTION("""COMPUTED_VALUE"""),4185215.0)</f>
        <v>4185215</v>
      </c>
    </row>
    <row r="3910">
      <c r="A3910" s="3">
        <f>IFERROR(__xludf.DUMMYFUNCTION("""COMPUTED_VALUE"""),44018.64583333333)</f>
        <v>44018.64583</v>
      </c>
      <c r="B3910" s="2">
        <f>IFERROR(__xludf.DUMMYFUNCTION("""COMPUTED_VALUE"""),2205.0)</f>
        <v>2205</v>
      </c>
      <c r="C3910" s="2">
        <f>IFERROR(__xludf.DUMMYFUNCTION("""COMPUTED_VALUE"""),2269.9)</f>
        <v>2269.9</v>
      </c>
      <c r="D3910" s="2">
        <f>IFERROR(__xludf.DUMMYFUNCTION("""COMPUTED_VALUE"""),2205.0)</f>
        <v>2205</v>
      </c>
      <c r="E3910" s="2">
        <f>IFERROR(__xludf.DUMMYFUNCTION("""COMPUTED_VALUE"""),2263.2)</f>
        <v>2263.2</v>
      </c>
      <c r="F3910" s="2">
        <f>IFERROR(__xludf.DUMMYFUNCTION("""COMPUTED_VALUE"""),5190366.0)</f>
        <v>5190366</v>
      </c>
    </row>
    <row r="3911">
      <c r="A3911" s="3">
        <f>IFERROR(__xludf.DUMMYFUNCTION("""COMPUTED_VALUE"""),44019.64583333333)</f>
        <v>44019.64583</v>
      </c>
      <c r="B3911" s="2">
        <f>IFERROR(__xludf.DUMMYFUNCTION("""COMPUTED_VALUE"""),2275.0)</f>
        <v>2275</v>
      </c>
      <c r="C3911" s="2">
        <f>IFERROR(__xludf.DUMMYFUNCTION("""COMPUTED_VALUE"""),2302.7)</f>
        <v>2302.7</v>
      </c>
      <c r="D3911" s="2">
        <f>IFERROR(__xludf.DUMMYFUNCTION("""COMPUTED_VALUE"""),2232.15)</f>
        <v>2232.15</v>
      </c>
      <c r="E3911" s="2">
        <f>IFERROR(__xludf.DUMMYFUNCTION("""COMPUTED_VALUE"""),2269.9)</f>
        <v>2269.9</v>
      </c>
      <c r="F3911" s="2">
        <f>IFERROR(__xludf.DUMMYFUNCTION("""COMPUTED_VALUE"""),5630081.0)</f>
        <v>5630081</v>
      </c>
    </row>
    <row r="3912">
      <c r="A3912" s="3">
        <f>IFERROR(__xludf.DUMMYFUNCTION("""COMPUTED_VALUE"""),44020.64583333333)</f>
        <v>44020.64583</v>
      </c>
      <c r="B3912" s="2">
        <f>IFERROR(__xludf.DUMMYFUNCTION("""COMPUTED_VALUE"""),2270.0)</f>
        <v>2270</v>
      </c>
      <c r="C3912" s="2">
        <f>IFERROR(__xludf.DUMMYFUNCTION("""COMPUTED_VALUE"""),2274.4)</f>
        <v>2274.4</v>
      </c>
      <c r="D3912" s="2">
        <f>IFERROR(__xludf.DUMMYFUNCTION("""COMPUTED_VALUE"""),2207.6)</f>
        <v>2207.6</v>
      </c>
      <c r="E3912" s="2">
        <f>IFERROR(__xludf.DUMMYFUNCTION("""COMPUTED_VALUE"""),2218.9)</f>
        <v>2218.9</v>
      </c>
      <c r="F3912" s="2">
        <f>IFERROR(__xludf.DUMMYFUNCTION("""COMPUTED_VALUE"""),2793674.0)</f>
        <v>2793674</v>
      </c>
    </row>
    <row r="3913">
      <c r="A3913" s="3">
        <f>IFERROR(__xludf.DUMMYFUNCTION("""COMPUTED_VALUE"""),44021.64583333333)</f>
        <v>44021.64583</v>
      </c>
      <c r="B3913" s="2">
        <f>IFERROR(__xludf.DUMMYFUNCTION("""COMPUTED_VALUE"""),2229.0)</f>
        <v>2229</v>
      </c>
      <c r="C3913" s="2">
        <f>IFERROR(__xludf.DUMMYFUNCTION("""COMPUTED_VALUE"""),2244.5)</f>
        <v>2244.5</v>
      </c>
      <c r="D3913" s="2">
        <f>IFERROR(__xludf.DUMMYFUNCTION("""COMPUTED_VALUE"""),2191.05)</f>
        <v>2191.05</v>
      </c>
      <c r="E3913" s="2">
        <f>IFERROR(__xludf.DUMMYFUNCTION("""COMPUTED_VALUE"""),2204.35)</f>
        <v>2204.35</v>
      </c>
      <c r="F3913" s="2">
        <f>IFERROR(__xludf.DUMMYFUNCTION("""COMPUTED_VALUE"""),3443998.0)</f>
        <v>3443998</v>
      </c>
    </row>
    <row r="3914">
      <c r="A3914" s="3">
        <f>IFERROR(__xludf.DUMMYFUNCTION("""COMPUTED_VALUE"""),44022.64583333333)</f>
        <v>44022.64583</v>
      </c>
      <c r="B3914" s="2">
        <f>IFERROR(__xludf.DUMMYFUNCTION("""COMPUTED_VALUE"""),2205.25)</f>
        <v>2205.25</v>
      </c>
      <c r="C3914" s="2">
        <f>IFERROR(__xludf.DUMMYFUNCTION("""COMPUTED_VALUE"""),2249.85)</f>
        <v>2249.85</v>
      </c>
      <c r="D3914" s="2">
        <f>IFERROR(__xludf.DUMMYFUNCTION("""COMPUTED_VALUE"""),2176.0)</f>
        <v>2176</v>
      </c>
      <c r="E3914" s="2">
        <f>IFERROR(__xludf.DUMMYFUNCTION("""COMPUTED_VALUE"""),2222.35)</f>
        <v>2222.35</v>
      </c>
      <c r="F3914" s="2">
        <f>IFERROR(__xludf.DUMMYFUNCTION("""COMPUTED_VALUE"""),9610327.0)</f>
        <v>9610327</v>
      </c>
    </row>
    <row r="3915">
      <c r="A3915" s="3">
        <f>IFERROR(__xludf.DUMMYFUNCTION("""COMPUTED_VALUE"""),44025.64583333333)</f>
        <v>44025.64583</v>
      </c>
      <c r="B3915" s="2">
        <f>IFERROR(__xludf.DUMMYFUNCTION("""COMPUTED_VALUE"""),2220.0)</f>
        <v>2220</v>
      </c>
      <c r="C3915" s="2">
        <f>IFERROR(__xludf.DUMMYFUNCTION("""COMPUTED_VALUE"""),2244.95)</f>
        <v>2244.95</v>
      </c>
      <c r="D3915" s="2">
        <f>IFERROR(__xludf.DUMMYFUNCTION("""COMPUTED_VALUE"""),2210.0)</f>
        <v>2210</v>
      </c>
      <c r="E3915" s="2">
        <f>IFERROR(__xludf.DUMMYFUNCTION("""COMPUTED_VALUE"""),2220.0)</f>
        <v>2220</v>
      </c>
      <c r="F3915" s="2">
        <f>IFERROR(__xludf.DUMMYFUNCTION("""COMPUTED_VALUE"""),2963525.0)</f>
        <v>2963525</v>
      </c>
    </row>
    <row r="3916">
      <c r="A3916" s="3">
        <f>IFERROR(__xludf.DUMMYFUNCTION("""COMPUTED_VALUE"""),44026.64583333333)</f>
        <v>44026.64583</v>
      </c>
      <c r="B3916" s="2">
        <f>IFERROR(__xludf.DUMMYFUNCTION("""COMPUTED_VALUE"""),2210.0)</f>
        <v>2210</v>
      </c>
      <c r="C3916" s="2">
        <f>IFERROR(__xludf.DUMMYFUNCTION("""COMPUTED_VALUE"""),2239.0)</f>
        <v>2239</v>
      </c>
      <c r="D3916" s="2">
        <f>IFERROR(__xludf.DUMMYFUNCTION("""COMPUTED_VALUE"""),2165.0)</f>
        <v>2165</v>
      </c>
      <c r="E3916" s="2">
        <f>IFERROR(__xludf.DUMMYFUNCTION("""COMPUTED_VALUE"""),2171.95)</f>
        <v>2171.95</v>
      </c>
      <c r="F3916" s="2">
        <f>IFERROR(__xludf.DUMMYFUNCTION("""COMPUTED_VALUE"""),2976749.0)</f>
        <v>2976749</v>
      </c>
    </row>
    <row r="3917">
      <c r="A3917" s="3">
        <f>IFERROR(__xludf.DUMMYFUNCTION("""COMPUTED_VALUE"""),44027.64583333333)</f>
        <v>44027.64583</v>
      </c>
      <c r="B3917" s="2">
        <f>IFERROR(__xludf.DUMMYFUNCTION("""COMPUTED_VALUE"""),2185.0)</f>
        <v>2185</v>
      </c>
      <c r="C3917" s="2">
        <f>IFERROR(__xludf.DUMMYFUNCTION("""COMPUTED_VALUE"""),2260.0)</f>
        <v>2260</v>
      </c>
      <c r="D3917" s="2">
        <f>IFERROR(__xludf.DUMMYFUNCTION("""COMPUTED_VALUE"""),2181.1)</f>
        <v>2181.1</v>
      </c>
      <c r="E3917" s="2">
        <f>IFERROR(__xludf.DUMMYFUNCTION("""COMPUTED_VALUE"""),2233.9)</f>
        <v>2233.9</v>
      </c>
      <c r="F3917" s="2">
        <f>IFERROR(__xludf.DUMMYFUNCTION("""COMPUTED_VALUE"""),5569322.0)</f>
        <v>5569322</v>
      </c>
    </row>
    <row r="3918">
      <c r="A3918" s="3">
        <f>IFERROR(__xludf.DUMMYFUNCTION("""COMPUTED_VALUE"""),44028.64583333333)</f>
        <v>44028.64583</v>
      </c>
      <c r="B3918" s="2">
        <f>IFERROR(__xludf.DUMMYFUNCTION("""COMPUTED_VALUE"""),2244.0)</f>
        <v>2244</v>
      </c>
      <c r="C3918" s="2">
        <f>IFERROR(__xludf.DUMMYFUNCTION("""COMPUTED_VALUE"""),2333.0)</f>
        <v>2333</v>
      </c>
      <c r="D3918" s="2">
        <f>IFERROR(__xludf.DUMMYFUNCTION("""COMPUTED_VALUE"""),2220.1)</f>
        <v>2220.1</v>
      </c>
      <c r="E3918" s="2">
        <f>IFERROR(__xludf.DUMMYFUNCTION("""COMPUTED_VALUE"""),2234.75)</f>
        <v>2234.75</v>
      </c>
      <c r="F3918" s="2">
        <f>IFERROR(__xludf.DUMMYFUNCTION("""COMPUTED_VALUE"""),8582120.0)</f>
        <v>8582120</v>
      </c>
    </row>
    <row r="3919">
      <c r="A3919" s="3">
        <f>IFERROR(__xludf.DUMMYFUNCTION("""COMPUTED_VALUE"""),44029.64583333333)</f>
        <v>44029.64583</v>
      </c>
      <c r="B3919" s="2">
        <f>IFERROR(__xludf.DUMMYFUNCTION("""COMPUTED_VALUE"""),2237.0)</f>
        <v>2237</v>
      </c>
      <c r="C3919" s="2">
        <f>IFERROR(__xludf.DUMMYFUNCTION("""COMPUTED_VALUE"""),2243.9)</f>
        <v>2243.9</v>
      </c>
      <c r="D3919" s="2">
        <f>IFERROR(__xludf.DUMMYFUNCTION("""COMPUTED_VALUE"""),2190.05)</f>
        <v>2190.05</v>
      </c>
      <c r="E3919" s="2">
        <f>IFERROR(__xludf.DUMMYFUNCTION("""COMPUTED_VALUE"""),2200.75)</f>
        <v>2200.75</v>
      </c>
      <c r="F3919" s="2">
        <f>IFERROR(__xludf.DUMMYFUNCTION("""COMPUTED_VALUE"""),4509143.0)</f>
        <v>4509143</v>
      </c>
    </row>
    <row r="3920">
      <c r="A3920" s="3">
        <f>IFERROR(__xludf.DUMMYFUNCTION("""COMPUTED_VALUE"""),44032.64583333333)</f>
        <v>44032.64583</v>
      </c>
      <c r="B3920" s="2">
        <f>IFERROR(__xludf.DUMMYFUNCTION("""COMPUTED_VALUE"""),2201.0)</f>
        <v>2201</v>
      </c>
      <c r="C3920" s="2">
        <f>IFERROR(__xludf.DUMMYFUNCTION("""COMPUTED_VALUE"""),2226.9)</f>
        <v>2226.9</v>
      </c>
      <c r="D3920" s="2">
        <f>IFERROR(__xludf.DUMMYFUNCTION("""COMPUTED_VALUE"""),2190.8)</f>
        <v>2190.8</v>
      </c>
      <c r="E3920" s="2">
        <f>IFERROR(__xludf.DUMMYFUNCTION("""COMPUTED_VALUE"""),2207.9)</f>
        <v>2207.9</v>
      </c>
      <c r="F3920" s="2">
        <f>IFERROR(__xludf.DUMMYFUNCTION("""COMPUTED_VALUE"""),2952719.0)</f>
        <v>2952719</v>
      </c>
    </row>
    <row r="3921">
      <c r="A3921" s="3">
        <f>IFERROR(__xludf.DUMMYFUNCTION("""COMPUTED_VALUE"""),44033.64583333333)</f>
        <v>44033.64583</v>
      </c>
      <c r="B3921" s="2">
        <f>IFERROR(__xludf.DUMMYFUNCTION("""COMPUTED_VALUE"""),2230.0)</f>
        <v>2230</v>
      </c>
      <c r="C3921" s="2">
        <f>IFERROR(__xludf.DUMMYFUNCTION("""COMPUTED_VALUE"""),2238.65)</f>
        <v>2238.65</v>
      </c>
      <c r="D3921" s="2">
        <f>IFERROR(__xludf.DUMMYFUNCTION("""COMPUTED_VALUE"""),2201.15)</f>
        <v>2201.15</v>
      </c>
      <c r="E3921" s="2">
        <f>IFERROR(__xludf.DUMMYFUNCTION("""COMPUTED_VALUE"""),2225.05)</f>
        <v>2225.05</v>
      </c>
      <c r="F3921" s="2">
        <f>IFERROR(__xludf.DUMMYFUNCTION("""COMPUTED_VALUE"""),2665386.0)</f>
        <v>2665386</v>
      </c>
    </row>
    <row r="3922">
      <c r="A3922" s="3">
        <f>IFERROR(__xludf.DUMMYFUNCTION("""COMPUTED_VALUE"""),44034.64583333333)</f>
        <v>44034.64583</v>
      </c>
      <c r="B3922" s="2">
        <f>IFERROR(__xludf.DUMMYFUNCTION("""COMPUTED_VALUE"""),2231.0)</f>
        <v>2231</v>
      </c>
      <c r="C3922" s="2">
        <f>IFERROR(__xludf.DUMMYFUNCTION("""COMPUTED_VALUE"""),2231.0)</f>
        <v>2231</v>
      </c>
      <c r="D3922" s="2">
        <f>IFERROR(__xludf.DUMMYFUNCTION("""COMPUTED_VALUE"""),2184.2)</f>
        <v>2184.2</v>
      </c>
      <c r="E3922" s="2">
        <f>IFERROR(__xludf.DUMMYFUNCTION("""COMPUTED_VALUE"""),2190.95)</f>
        <v>2190.95</v>
      </c>
      <c r="F3922" s="2">
        <f>IFERROR(__xludf.DUMMYFUNCTION("""COMPUTED_VALUE"""),2861698.0)</f>
        <v>2861698</v>
      </c>
    </row>
    <row r="3923">
      <c r="A3923" s="3">
        <f>IFERROR(__xludf.DUMMYFUNCTION("""COMPUTED_VALUE"""),44035.64583333333)</f>
        <v>44035.64583</v>
      </c>
      <c r="B3923" s="2">
        <f>IFERROR(__xludf.DUMMYFUNCTION("""COMPUTED_VALUE"""),2190.95)</f>
        <v>2190.95</v>
      </c>
      <c r="C3923" s="2">
        <f>IFERROR(__xludf.DUMMYFUNCTION("""COMPUTED_VALUE"""),2190.95)</f>
        <v>2190.95</v>
      </c>
      <c r="D3923" s="2">
        <f>IFERROR(__xludf.DUMMYFUNCTION("""COMPUTED_VALUE"""),2163.0)</f>
        <v>2163</v>
      </c>
      <c r="E3923" s="2">
        <f>IFERROR(__xludf.DUMMYFUNCTION("""COMPUTED_VALUE"""),2171.2)</f>
        <v>2171.2</v>
      </c>
      <c r="F3923" s="2">
        <f>IFERROR(__xludf.DUMMYFUNCTION("""COMPUTED_VALUE"""),2265791.0)</f>
        <v>2265791</v>
      </c>
    </row>
    <row r="3924">
      <c r="A3924" s="3">
        <f>IFERROR(__xludf.DUMMYFUNCTION("""COMPUTED_VALUE"""),44036.64583333333)</f>
        <v>44036.64583</v>
      </c>
      <c r="B3924" s="2">
        <f>IFERROR(__xludf.DUMMYFUNCTION("""COMPUTED_VALUE"""),2154.5)</f>
        <v>2154.5</v>
      </c>
      <c r="C3924" s="2">
        <f>IFERROR(__xludf.DUMMYFUNCTION("""COMPUTED_VALUE"""),2163.0)</f>
        <v>2163</v>
      </c>
      <c r="D3924" s="2">
        <f>IFERROR(__xludf.DUMMYFUNCTION("""COMPUTED_VALUE"""),2125.1)</f>
        <v>2125.1</v>
      </c>
      <c r="E3924" s="2">
        <f>IFERROR(__xludf.DUMMYFUNCTION("""COMPUTED_VALUE"""),2157.4)</f>
        <v>2157.4</v>
      </c>
      <c r="F3924" s="2">
        <f>IFERROR(__xludf.DUMMYFUNCTION("""COMPUTED_VALUE"""),3665123.0)</f>
        <v>3665123</v>
      </c>
    </row>
    <row r="3925">
      <c r="A3925" s="3">
        <f>IFERROR(__xludf.DUMMYFUNCTION("""COMPUTED_VALUE"""),44039.64583333333)</f>
        <v>44039.64583</v>
      </c>
      <c r="B3925" s="2">
        <f>IFERROR(__xludf.DUMMYFUNCTION("""COMPUTED_VALUE"""),2165.0)</f>
        <v>2165</v>
      </c>
      <c r="C3925" s="2">
        <f>IFERROR(__xludf.DUMMYFUNCTION("""COMPUTED_VALUE"""),2215.0)</f>
        <v>2215</v>
      </c>
      <c r="D3925" s="2">
        <f>IFERROR(__xludf.DUMMYFUNCTION("""COMPUTED_VALUE"""),2163.5)</f>
        <v>2163.5</v>
      </c>
      <c r="E3925" s="2">
        <f>IFERROR(__xludf.DUMMYFUNCTION("""COMPUTED_VALUE"""),2206.8)</f>
        <v>2206.8</v>
      </c>
      <c r="F3925" s="2">
        <f>IFERROR(__xludf.DUMMYFUNCTION("""COMPUTED_VALUE"""),4248837.0)</f>
        <v>4248837</v>
      </c>
    </row>
    <row r="3926">
      <c r="A3926" s="3">
        <f>IFERROR(__xludf.DUMMYFUNCTION("""COMPUTED_VALUE"""),44040.64583333333)</f>
        <v>44040.64583</v>
      </c>
      <c r="B3926" s="2">
        <f>IFERROR(__xludf.DUMMYFUNCTION("""COMPUTED_VALUE"""),2215.0)</f>
        <v>2215</v>
      </c>
      <c r="C3926" s="2">
        <f>IFERROR(__xludf.DUMMYFUNCTION("""COMPUTED_VALUE"""),2320.0)</f>
        <v>2320</v>
      </c>
      <c r="D3926" s="2">
        <f>IFERROR(__xludf.DUMMYFUNCTION("""COMPUTED_VALUE"""),2215.0)</f>
        <v>2215</v>
      </c>
      <c r="E3926" s="2">
        <f>IFERROR(__xludf.DUMMYFUNCTION("""COMPUTED_VALUE"""),2309.75)</f>
        <v>2309.75</v>
      </c>
      <c r="F3926" s="2">
        <f>IFERROR(__xludf.DUMMYFUNCTION("""COMPUTED_VALUE"""),8092458.0)</f>
        <v>8092458</v>
      </c>
    </row>
    <row r="3927">
      <c r="A3927" s="3">
        <f>IFERROR(__xludf.DUMMYFUNCTION("""COMPUTED_VALUE"""),44041.64583333333)</f>
        <v>44041.64583</v>
      </c>
      <c r="B3927" s="2">
        <f>IFERROR(__xludf.DUMMYFUNCTION("""COMPUTED_VALUE"""),2292.0)</f>
        <v>2292</v>
      </c>
      <c r="C3927" s="2">
        <f>IFERROR(__xludf.DUMMYFUNCTION("""COMPUTED_VALUE"""),2342.0)</f>
        <v>2342</v>
      </c>
      <c r="D3927" s="2">
        <f>IFERROR(__xludf.DUMMYFUNCTION("""COMPUTED_VALUE"""),2246.05)</f>
        <v>2246.05</v>
      </c>
      <c r="E3927" s="2">
        <f>IFERROR(__xludf.DUMMYFUNCTION("""COMPUTED_VALUE"""),2276.05)</f>
        <v>2276.05</v>
      </c>
      <c r="F3927" s="2">
        <f>IFERROR(__xludf.DUMMYFUNCTION("""COMPUTED_VALUE"""),6090440.0)</f>
        <v>6090440</v>
      </c>
    </row>
    <row r="3928">
      <c r="A3928" s="3">
        <f>IFERROR(__xludf.DUMMYFUNCTION("""COMPUTED_VALUE"""),44042.64583333333)</f>
        <v>44042.64583</v>
      </c>
      <c r="B3928" s="2">
        <f>IFERROR(__xludf.DUMMYFUNCTION("""COMPUTED_VALUE"""),2285.9)</f>
        <v>2285.9</v>
      </c>
      <c r="C3928" s="2">
        <f>IFERROR(__xludf.DUMMYFUNCTION("""COMPUTED_VALUE"""),2358.0)</f>
        <v>2358</v>
      </c>
      <c r="D3928" s="2">
        <f>IFERROR(__xludf.DUMMYFUNCTION("""COMPUTED_VALUE"""),2272.25)</f>
        <v>2272.25</v>
      </c>
      <c r="E3928" s="2">
        <f>IFERROR(__xludf.DUMMYFUNCTION("""COMPUTED_VALUE"""),2279.5)</f>
        <v>2279.5</v>
      </c>
      <c r="F3928" s="2">
        <f>IFERROR(__xludf.DUMMYFUNCTION("""COMPUTED_VALUE"""),7098913.0)</f>
        <v>7098913</v>
      </c>
    </row>
    <row r="3929">
      <c r="A3929" s="3">
        <f>IFERROR(__xludf.DUMMYFUNCTION("""COMPUTED_VALUE"""),44043.64583333333)</f>
        <v>44043.64583</v>
      </c>
      <c r="B3929" s="2">
        <f>IFERROR(__xludf.DUMMYFUNCTION("""COMPUTED_VALUE"""),2303.15)</f>
        <v>2303.15</v>
      </c>
      <c r="C3929" s="2">
        <f>IFERROR(__xludf.DUMMYFUNCTION("""COMPUTED_VALUE"""),2334.8)</f>
        <v>2334.8</v>
      </c>
      <c r="D3929" s="2">
        <f>IFERROR(__xludf.DUMMYFUNCTION("""COMPUTED_VALUE"""),2257.45)</f>
        <v>2257.45</v>
      </c>
      <c r="E3929" s="2">
        <f>IFERROR(__xludf.DUMMYFUNCTION("""COMPUTED_VALUE"""),2281.4)</f>
        <v>2281.4</v>
      </c>
      <c r="F3929" s="2">
        <f>IFERROR(__xludf.DUMMYFUNCTION("""COMPUTED_VALUE"""),4723290.0)</f>
        <v>4723290</v>
      </c>
    </row>
    <row r="3930">
      <c r="A3930" s="3">
        <f>IFERROR(__xludf.DUMMYFUNCTION("""COMPUTED_VALUE"""),44046.64583333333)</f>
        <v>44046.64583</v>
      </c>
      <c r="B3930" s="2">
        <f>IFERROR(__xludf.DUMMYFUNCTION("""COMPUTED_VALUE"""),2290.45)</f>
        <v>2290.45</v>
      </c>
      <c r="C3930" s="2">
        <f>IFERROR(__xludf.DUMMYFUNCTION("""COMPUTED_VALUE"""),2303.85)</f>
        <v>2303.85</v>
      </c>
      <c r="D3930" s="2">
        <f>IFERROR(__xludf.DUMMYFUNCTION("""COMPUTED_VALUE"""),2230.7)</f>
        <v>2230.7</v>
      </c>
      <c r="E3930" s="2">
        <f>IFERROR(__xludf.DUMMYFUNCTION("""COMPUTED_VALUE"""),2254.15)</f>
        <v>2254.15</v>
      </c>
      <c r="F3930" s="2">
        <f>IFERROR(__xludf.DUMMYFUNCTION("""COMPUTED_VALUE"""),4012445.0)</f>
        <v>4012445</v>
      </c>
    </row>
    <row r="3931">
      <c r="A3931" s="3">
        <f>IFERROR(__xludf.DUMMYFUNCTION("""COMPUTED_VALUE"""),44047.64583333333)</f>
        <v>44047.64583</v>
      </c>
      <c r="B3931" s="2">
        <f>IFERROR(__xludf.DUMMYFUNCTION("""COMPUTED_VALUE"""),2259.95)</f>
        <v>2259.95</v>
      </c>
      <c r="C3931" s="2">
        <f>IFERROR(__xludf.DUMMYFUNCTION("""COMPUTED_VALUE"""),2269.65)</f>
        <v>2269.65</v>
      </c>
      <c r="D3931" s="2">
        <f>IFERROR(__xludf.DUMMYFUNCTION("""COMPUTED_VALUE"""),2225.05)</f>
        <v>2225.05</v>
      </c>
      <c r="E3931" s="2">
        <f>IFERROR(__xludf.DUMMYFUNCTION("""COMPUTED_VALUE"""),2249.7)</f>
        <v>2249.7</v>
      </c>
      <c r="F3931" s="2">
        <f>IFERROR(__xludf.DUMMYFUNCTION("""COMPUTED_VALUE"""),2927953.0)</f>
        <v>2927953</v>
      </c>
    </row>
    <row r="3932">
      <c r="A3932" s="3">
        <f>IFERROR(__xludf.DUMMYFUNCTION("""COMPUTED_VALUE"""),44048.64583333333)</f>
        <v>44048.64583</v>
      </c>
      <c r="B3932" s="2">
        <f>IFERROR(__xludf.DUMMYFUNCTION("""COMPUTED_VALUE"""),2260.0)</f>
        <v>2260</v>
      </c>
      <c r="C3932" s="2">
        <f>IFERROR(__xludf.DUMMYFUNCTION("""COMPUTED_VALUE"""),2300.0)</f>
        <v>2300</v>
      </c>
      <c r="D3932" s="2">
        <f>IFERROR(__xludf.DUMMYFUNCTION("""COMPUTED_VALUE"""),2253.0)</f>
        <v>2253</v>
      </c>
      <c r="E3932" s="2">
        <f>IFERROR(__xludf.DUMMYFUNCTION("""COMPUTED_VALUE"""),2259.5)</f>
        <v>2259.5</v>
      </c>
      <c r="F3932" s="2">
        <f>IFERROR(__xludf.DUMMYFUNCTION("""COMPUTED_VALUE"""),3800641.0)</f>
        <v>3800641</v>
      </c>
    </row>
    <row r="3933">
      <c r="A3933" s="3">
        <f>IFERROR(__xludf.DUMMYFUNCTION("""COMPUTED_VALUE"""),44049.64583333333)</f>
        <v>44049.64583</v>
      </c>
      <c r="B3933" s="2">
        <f>IFERROR(__xludf.DUMMYFUNCTION("""COMPUTED_VALUE"""),2275.0)</f>
        <v>2275</v>
      </c>
      <c r="C3933" s="2">
        <f>IFERROR(__xludf.DUMMYFUNCTION("""COMPUTED_VALUE"""),2319.5)</f>
        <v>2319.5</v>
      </c>
      <c r="D3933" s="2">
        <f>IFERROR(__xludf.DUMMYFUNCTION("""COMPUTED_VALUE"""),2265.35)</f>
        <v>2265.35</v>
      </c>
      <c r="E3933" s="2">
        <f>IFERROR(__xludf.DUMMYFUNCTION("""COMPUTED_VALUE"""),2308.1)</f>
        <v>2308.1</v>
      </c>
      <c r="F3933" s="2">
        <f>IFERROR(__xludf.DUMMYFUNCTION("""COMPUTED_VALUE"""),4748348.0)</f>
        <v>4748348</v>
      </c>
    </row>
    <row r="3934">
      <c r="A3934" s="3">
        <f>IFERROR(__xludf.DUMMYFUNCTION("""COMPUTED_VALUE"""),44050.64583333333)</f>
        <v>44050.64583</v>
      </c>
      <c r="B3934" s="2">
        <f>IFERROR(__xludf.DUMMYFUNCTION("""COMPUTED_VALUE"""),2308.0)</f>
        <v>2308</v>
      </c>
      <c r="C3934" s="2">
        <f>IFERROR(__xludf.DUMMYFUNCTION("""COMPUTED_VALUE"""),2328.0)</f>
        <v>2328</v>
      </c>
      <c r="D3934" s="2">
        <f>IFERROR(__xludf.DUMMYFUNCTION("""COMPUTED_VALUE"""),2287.0)</f>
        <v>2287</v>
      </c>
      <c r="E3934" s="2">
        <f>IFERROR(__xludf.DUMMYFUNCTION("""COMPUTED_VALUE"""),2295.35)</f>
        <v>2295.35</v>
      </c>
      <c r="F3934" s="2">
        <f>IFERROR(__xludf.DUMMYFUNCTION("""COMPUTED_VALUE"""),3165495.0)</f>
        <v>3165495</v>
      </c>
    </row>
    <row r="3935">
      <c r="A3935" s="3">
        <f>IFERROR(__xludf.DUMMYFUNCTION("""COMPUTED_VALUE"""),44053.64583333333)</f>
        <v>44053.64583</v>
      </c>
      <c r="B3935" s="2">
        <f>IFERROR(__xludf.DUMMYFUNCTION("""COMPUTED_VALUE"""),2318.0)</f>
        <v>2318</v>
      </c>
      <c r="C3935" s="2">
        <f>IFERROR(__xludf.DUMMYFUNCTION("""COMPUTED_VALUE"""),2325.0)</f>
        <v>2325</v>
      </c>
      <c r="D3935" s="2">
        <f>IFERROR(__xludf.DUMMYFUNCTION("""COMPUTED_VALUE"""),2276.05)</f>
        <v>2276.05</v>
      </c>
      <c r="E3935" s="2">
        <f>IFERROR(__xludf.DUMMYFUNCTION("""COMPUTED_VALUE"""),2282.8)</f>
        <v>2282.8</v>
      </c>
      <c r="F3935" s="2">
        <f>IFERROR(__xludf.DUMMYFUNCTION("""COMPUTED_VALUE"""),2929385.0)</f>
        <v>2929385</v>
      </c>
    </row>
    <row r="3936">
      <c r="A3936" s="3">
        <f>IFERROR(__xludf.DUMMYFUNCTION("""COMPUTED_VALUE"""),44054.64583333333)</f>
        <v>44054.64583</v>
      </c>
      <c r="B3936" s="2">
        <f>IFERROR(__xludf.DUMMYFUNCTION("""COMPUTED_VALUE"""),2283.0)</f>
        <v>2283</v>
      </c>
      <c r="C3936" s="2">
        <f>IFERROR(__xludf.DUMMYFUNCTION("""COMPUTED_VALUE"""),2312.0)</f>
        <v>2312</v>
      </c>
      <c r="D3936" s="2">
        <f>IFERROR(__xludf.DUMMYFUNCTION("""COMPUTED_VALUE"""),2275.6)</f>
        <v>2275.6</v>
      </c>
      <c r="E3936" s="2">
        <f>IFERROR(__xludf.DUMMYFUNCTION("""COMPUTED_VALUE"""),2279.9)</f>
        <v>2279.9</v>
      </c>
      <c r="F3936" s="2">
        <f>IFERROR(__xludf.DUMMYFUNCTION("""COMPUTED_VALUE"""),2774509.0)</f>
        <v>2774509</v>
      </c>
    </row>
    <row r="3937">
      <c r="A3937" s="3">
        <f>IFERROR(__xludf.DUMMYFUNCTION("""COMPUTED_VALUE"""),44055.64583333333)</f>
        <v>44055.64583</v>
      </c>
      <c r="B3937" s="2">
        <f>IFERROR(__xludf.DUMMYFUNCTION("""COMPUTED_VALUE"""),2288.35)</f>
        <v>2288.35</v>
      </c>
      <c r="C3937" s="2">
        <f>IFERROR(__xludf.DUMMYFUNCTION("""COMPUTED_VALUE"""),2296.4)</f>
        <v>2296.4</v>
      </c>
      <c r="D3937" s="2">
        <f>IFERROR(__xludf.DUMMYFUNCTION("""COMPUTED_VALUE"""),2246.55)</f>
        <v>2246.55</v>
      </c>
      <c r="E3937" s="2">
        <f>IFERROR(__xludf.DUMMYFUNCTION("""COMPUTED_VALUE"""),2257.35)</f>
        <v>2257.35</v>
      </c>
      <c r="F3937" s="2">
        <f>IFERROR(__xludf.DUMMYFUNCTION("""COMPUTED_VALUE"""),3415766.0)</f>
        <v>3415766</v>
      </c>
    </row>
    <row r="3938">
      <c r="A3938" s="3">
        <f>IFERROR(__xludf.DUMMYFUNCTION("""COMPUTED_VALUE"""),44056.64583333333)</f>
        <v>44056.64583</v>
      </c>
      <c r="B3938" s="2">
        <f>IFERROR(__xludf.DUMMYFUNCTION("""COMPUTED_VALUE"""),2273.0)</f>
        <v>2273</v>
      </c>
      <c r="C3938" s="2">
        <f>IFERROR(__xludf.DUMMYFUNCTION("""COMPUTED_VALUE"""),2300.0)</f>
        <v>2300</v>
      </c>
      <c r="D3938" s="2">
        <f>IFERROR(__xludf.DUMMYFUNCTION("""COMPUTED_VALUE"""),2250.5)</f>
        <v>2250.5</v>
      </c>
      <c r="E3938" s="2">
        <f>IFERROR(__xludf.DUMMYFUNCTION("""COMPUTED_VALUE"""),2254.45)</f>
        <v>2254.45</v>
      </c>
      <c r="F3938" s="2">
        <f>IFERROR(__xludf.DUMMYFUNCTION("""COMPUTED_VALUE"""),2695682.0)</f>
        <v>2695682</v>
      </c>
    </row>
    <row r="3939">
      <c r="A3939" s="3">
        <f>IFERROR(__xludf.DUMMYFUNCTION("""COMPUTED_VALUE"""),44057.64583333333)</f>
        <v>44057.64583</v>
      </c>
      <c r="B3939" s="2">
        <f>IFERROR(__xludf.DUMMYFUNCTION("""COMPUTED_VALUE"""),2277.0)</f>
        <v>2277</v>
      </c>
      <c r="C3939" s="2">
        <f>IFERROR(__xludf.DUMMYFUNCTION("""COMPUTED_VALUE"""),2281.3)</f>
        <v>2281.3</v>
      </c>
      <c r="D3939" s="2">
        <f>IFERROR(__xludf.DUMMYFUNCTION("""COMPUTED_VALUE"""),2233.1)</f>
        <v>2233.1</v>
      </c>
      <c r="E3939" s="2">
        <f>IFERROR(__xludf.DUMMYFUNCTION("""COMPUTED_VALUE"""),2242.15)</f>
        <v>2242.15</v>
      </c>
      <c r="F3939" s="2">
        <f>IFERROR(__xludf.DUMMYFUNCTION("""COMPUTED_VALUE"""),2270405.0)</f>
        <v>2270405</v>
      </c>
    </row>
    <row r="3940">
      <c r="A3940" s="3">
        <f>IFERROR(__xludf.DUMMYFUNCTION("""COMPUTED_VALUE"""),44060.64583333333)</f>
        <v>44060.64583</v>
      </c>
      <c r="B3940" s="2">
        <f>IFERROR(__xludf.DUMMYFUNCTION("""COMPUTED_VALUE"""),2263.0)</f>
        <v>2263</v>
      </c>
      <c r="C3940" s="2">
        <f>IFERROR(__xludf.DUMMYFUNCTION("""COMPUTED_VALUE"""),2270.0)</f>
        <v>2270</v>
      </c>
      <c r="D3940" s="2">
        <f>IFERROR(__xludf.DUMMYFUNCTION("""COMPUTED_VALUE"""),2238.25)</f>
        <v>2238.25</v>
      </c>
      <c r="E3940" s="2">
        <f>IFERROR(__xludf.DUMMYFUNCTION("""COMPUTED_VALUE"""),2253.4)</f>
        <v>2253.4</v>
      </c>
      <c r="F3940" s="2">
        <f>IFERROR(__xludf.DUMMYFUNCTION("""COMPUTED_VALUE"""),2625670.0)</f>
        <v>2625670</v>
      </c>
    </row>
    <row r="3941">
      <c r="A3941" s="3">
        <f>IFERROR(__xludf.DUMMYFUNCTION("""COMPUTED_VALUE"""),44061.64583333333)</f>
        <v>44061.64583</v>
      </c>
      <c r="B3941" s="2">
        <f>IFERROR(__xludf.DUMMYFUNCTION("""COMPUTED_VALUE"""),2262.8)</f>
        <v>2262.8</v>
      </c>
      <c r="C3941" s="2">
        <f>IFERROR(__xludf.DUMMYFUNCTION("""COMPUTED_VALUE"""),2289.0)</f>
        <v>2289</v>
      </c>
      <c r="D3941" s="2">
        <f>IFERROR(__xludf.DUMMYFUNCTION("""COMPUTED_VALUE"""),2248.3)</f>
        <v>2248.3</v>
      </c>
      <c r="E3941" s="2">
        <f>IFERROR(__xludf.DUMMYFUNCTION("""COMPUTED_VALUE"""),2269.75)</f>
        <v>2269.75</v>
      </c>
      <c r="F3941" s="2">
        <f>IFERROR(__xludf.DUMMYFUNCTION("""COMPUTED_VALUE"""),3493411.0)</f>
        <v>3493411</v>
      </c>
    </row>
    <row r="3942">
      <c r="A3942" s="3">
        <f>IFERROR(__xludf.DUMMYFUNCTION("""COMPUTED_VALUE"""),44062.64583333333)</f>
        <v>44062.64583</v>
      </c>
      <c r="B3942" s="2">
        <f>IFERROR(__xludf.DUMMYFUNCTION("""COMPUTED_VALUE"""),2276.35)</f>
        <v>2276.35</v>
      </c>
      <c r="C3942" s="2">
        <f>IFERROR(__xludf.DUMMYFUNCTION("""COMPUTED_VALUE"""),2284.6)</f>
        <v>2284.6</v>
      </c>
      <c r="D3942" s="2">
        <f>IFERROR(__xludf.DUMMYFUNCTION("""COMPUTED_VALUE"""),2252.5)</f>
        <v>2252.5</v>
      </c>
      <c r="E3942" s="2">
        <f>IFERROR(__xludf.DUMMYFUNCTION("""COMPUTED_VALUE"""),2256.6)</f>
        <v>2256.6</v>
      </c>
      <c r="F3942" s="2">
        <f>IFERROR(__xludf.DUMMYFUNCTION("""COMPUTED_VALUE"""),2843007.0)</f>
        <v>2843007</v>
      </c>
    </row>
    <row r="3943">
      <c r="A3943" s="3">
        <f>IFERROR(__xludf.DUMMYFUNCTION("""COMPUTED_VALUE"""),44063.64583333333)</f>
        <v>44063.64583</v>
      </c>
      <c r="B3943" s="2">
        <f>IFERROR(__xludf.DUMMYFUNCTION("""COMPUTED_VALUE"""),2257.0)</f>
        <v>2257</v>
      </c>
      <c r="C3943" s="2">
        <f>IFERROR(__xludf.DUMMYFUNCTION("""COMPUTED_VALUE"""),2276.55)</f>
        <v>2276.55</v>
      </c>
      <c r="D3943" s="2">
        <f>IFERROR(__xludf.DUMMYFUNCTION("""COMPUTED_VALUE"""),2240.05)</f>
        <v>2240.05</v>
      </c>
      <c r="E3943" s="2">
        <f>IFERROR(__xludf.DUMMYFUNCTION("""COMPUTED_VALUE"""),2252.85)</f>
        <v>2252.85</v>
      </c>
      <c r="F3943" s="2">
        <f>IFERROR(__xludf.DUMMYFUNCTION("""COMPUTED_VALUE"""),2895265.0)</f>
        <v>2895265</v>
      </c>
    </row>
    <row r="3944">
      <c r="A3944" s="3">
        <f>IFERROR(__xludf.DUMMYFUNCTION("""COMPUTED_VALUE"""),44064.64583333333)</f>
        <v>44064.64583</v>
      </c>
      <c r="B3944" s="2">
        <f>IFERROR(__xludf.DUMMYFUNCTION("""COMPUTED_VALUE"""),2260.0)</f>
        <v>2260</v>
      </c>
      <c r="C3944" s="2">
        <f>IFERROR(__xludf.DUMMYFUNCTION("""COMPUTED_VALUE"""),2271.0)</f>
        <v>2271</v>
      </c>
      <c r="D3944" s="2">
        <f>IFERROR(__xludf.DUMMYFUNCTION("""COMPUTED_VALUE"""),2241.05)</f>
        <v>2241.05</v>
      </c>
      <c r="E3944" s="2">
        <f>IFERROR(__xludf.DUMMYFUNCTION("""COMPUTED_VALUE"""),2248.6)</f>
        <v>2248.6</v>
      </c>
      <c r="F3944" s="2">
        <f>IFERROR(__xludf.DUMMYFUNCTION("""COMPUTED_VALUE"""),1975304.0)</f>
        <v>1975304</v>
      </c>
    </row>
    <row r="3945">
      <c r="A3945" s="3">
        <f>IFERROR(__xludf.DUMMYFUNCTION("""COMPUTED_VALUE"""),44067.64583333333)</f>
        <v>44067.64583</v>
      </c>
      <c r="B3945" s="2">
        <f>IFERROR(__xludf.DUMMYFUNCTION("""COMPUTED_VALUE"""),2250.6)</f>
        <v>2250.6</v>
      </c>
      <c r="C3945" s="2">
        <f>IFERROR(__xludf.DUMMYFUNCTION("""COMPUTED_VALUE"""),2259.95)</f>
        <v>2259.95</v>
      </c>
      <c r="D3945" s="2">
        <f>IFERROR(__xludf.DUMMYFUNCTION("""COMPUTED_VALUE"""),2230.0)</f>
        <v>2230</v>
      </c>
      <c r="E3945" s="2">
        <f>IFERROR(__xludf.DUMMYFUNCTION("""COMPUTED_VALUE"""),2248.1)</f>
        <v>2248.1</v>
      </c>
      <c r="F3945" s="2">
        <f>IFERROR(__xludf.DUMMYFUNCTION("""COMPUTED_VALUE"""),2167987.0)</f>
        <v>2167987</v>
      </c>
    </row>
    <row r="3946">
      <c r="A3946" s="3">
        <f>IFERROR(__xludf.DUMMYFUNCTION("""COMPUTED_VALUE"""),44068.64583333333)</f>
        <v>44068.64583</v>
      </c>
      <c r="B3946" s="2">
        <f>IFERROR(__xludf.DUMMYFUNCTION("""COMPUTED_VALUE"""),2245.0)</f>
        <v>2245</v>
      </c>
      <c r="C3946" s="2">
        <f>IFERROR(__xludf.DUMMYFUNCTION("""COMPUTED_VALUE"""),2250.0)</f>
        <v>2250</v>
      </c>
      <c r="D3946" s="2">
        <f>IFERROR(__xludf.DUMMYFUNCTION("""COMPUTED_VALUE"""),2233.55)</f>
        <v>2233.55</v>
      </c>
      <c r="E3946" s="2">
        <f>IFERROR(__xludf.DUMMYFUNCTION("""COMPUTED_VALUE"""),2242.65)</f>
        <v>2242.65</v>
      </c>
      <c r="F3946" s="2">
        <f>IFERROR(__xludf.DUMMYFUNCTION("""COMPUTED_VALUE"""),1663454.0)</f>
        <v>1663454</v>
      </c>
    </row>
    <row r="3947">
      <c r="A3947" s="3">
        <f>IFERROR(__xludf.DUMMYFUNCTION("""COMPUTED_VALUE"""),44069.64583333333)</f>
        <v>44069.64583</v>
      </c>
      <c r="B3947" s="2">
        <f>IFERROR(__xludf.DUMMYFUNCTION("""COMPUTED_VALUE"""),2242.0)</f>
        <v>2242</v>
      </c>
      <c r="C3947" s="2">
        <f>IFERROR(__xludf.DUMMYFUNCTION("""COMPUTED_VALUE"""),2259.9)</f>
        <v>2259.9</v>
      </c>
      <c r="D3947" s="2">
        <f>IFERROR(__xludf.DUMMYFUNCTION("""COMPUTED_VALUE"""),2216.45)</f>
        <v>2216.45</v>
      </c>
      <c r="E3947" s="2">
        <f>IFERROR(__xludf.DUMMYFUNCTION("""COMPUTED_VALUE"""),2253.5)</f>
        <v>2253.5</v>
      </c>
      <c r="F3947" s="2">
        <f>IFERROR(__xludf.DUMMYFUNCTION("""COMPUTED_VALUE"""),2618159.0)</f>
        <v>2618159</v>
      </c>
    </row>
    <row r="3948">
      <c r="A3948" s="3">
        <f>IFERROR(__xludf.DUMMYFUNCTION("""COMPUTED_VALUE"""),44070.64583333333)</f>
        <v>44070.64583</v>
      </c>
      <c r="B3948" s="2">
        <f>IFERROR(__xludf.DUMMYFUNCTION("""COMPUTED_VALUE"""),2266.0)</f>
        <v>2266</v>
      </c>
      <c r="C3948" s="2">
        <f>IFERROR(__xludf.DUMMYFUNCTION("""COMPUTED_VALUE"""),2287.35)</f>
        <v>2287.35</v>
      </c>
      <c r="D3948" s="2">
        <f>IFERROR(__xludf.DUMMYFUNCTION("""COMPUTED_VALUE"""),2241.75)</f>
        <v>2241.75</v>
      </c>
      <c r="E3948" s="2">
        <f>IFERROR(__xludf.DUMMYFUNCTION("""COMPUTED_VALUE"""),2248.4)</f>
        <v>2248.4</v>
      </c>
      <c r="F3948" s="2">
        <f>IFERROR(__xludf.DUMMYFUNCTION("""COMPUTED_VALUE"""),3579397.0)</f>
        <v>3579397</v>
      </c>
    </row>
    <row r="3949">
      <c r="A3949" s="3">
        <f>IFERROR(__xludf.DUMMYFUNCTION("""COMPUTED_VALUE"""),44071.64583333333)</f>
        <v>44071.64583</v>
      </c>
      <c r="B3949" s="2">
        <f>IFERROR(__xludf.DUMMYFUNCTION("""COMPUTED_VALUE"""),2268.4)</f>
        <v>2268.4</v>
      </c>
      <c r="C3949" s="2">
        <f>IFERROR(__xludf.DUMMYFUNCTION("""COMPUTED_VALUE"""),2279.95)</f>
        <v>2279.95</v>
      </c>
      <c r="D3949" s="2">
        <f>IFERROR(__xludf.DUMMYFUNCTION("""COMPUTED_VALUE"""),2235.1)</f>
        <v>2235.1</v>
      </c>
      <c r="E3949" s="2">
        <f>IFERROR(__xludf.DUMMYFUNCTION("""COMPUTED_VALUE"""),2238.55)</f>
        <v>2238.55</v>
      </c>
      <c r="F3949" s="2">
        <f>IFERROR(__xludf.DUMMYFUNCTION("""COMPUTED_VALUE"""),2941156.0)</f>
        <v>2941156</v>
      </c>
    </row>
    <row r="3950">
      <c r="A3950" s="3">
        <f>IFERROR(__xludf.DUMMYFUNCTION("""COMPUTED_VALUE"""),44074.64583333333)</f>
        <v>44074.64583</v>
      </c>
      <c r="B3950" s="2">
        <f>IFERROR(__xludf.DUMMYFUNCTION("""COMPUTED_VALUE"""),2240.0)</f>
        <v>2240</v>
      </c>
      <c r="C3950" s="2">
        <f>IFERROR(__xludf.DUMMYFUNCTION("""COMPUTED_VALUE"""),2276.2)</f>
        <v>2276.2</v>
      </c>
      <c r="D3950" s="2">
        <f>IFERROR(__xludf.DUMMYFUNCTION("""COMPUTED_VALUE"""),2228.0)</f>
        <v>2228</v>
      </c>
      <c r="E3950" s="2">
        <f>IFERROR(__xludf.DUMMYFUNCTION("""COMPUTED_VALUE"""),2257.25)</f>
        <v>2257.25</v>
      </c>
      <c r="F3950" s="2">
        <f>IFERROR(__xludf.DUMMYFUNCTION("""COMPUTED_VALUE"""),6018160.0)</f>
        <v>6018160</v>
      </c>
    </row>
    <row r="3951">
      <c r="A3951" s="3">
        <f>IFERROR(__xludf.DUMMYFUNCTION("""COMPUTED_VALUE"""),44075.64583333333)</f>
        <v>44075.64583</v>
      </c>
      <c r="B3951" s="2">
        <f>IFERROR(__xludf.DUMMYFUNCTION("""COMPUTED_VALUE"""),2269.0)</f>
        <v>2269</v>
      </c>
      <c r="C3951" s="2">
        <f>IFERROR(__xludf.DUMMYFUNCTION("""COMPUTED_VALUE"""),2278.0)</f>
        <v>2278</v>
      </c>
      <c r="D3951" s="2">
        <f>IFERROR(__xludf.DUMMYFUNCTION("""COMPUTED_VALUE"""),2241.3)</f>
        <v>2241.3</v>
      </c>
      <c r="E3951" s="2">
        <f>IFERROR(__xludf.DUMMYFUNCTION("""COMPUTED_VALUE"""),2246.35)</f>
        <v>2246.35</v>
      </c>
      <c r="F3951" s="2">
        <f>IFERROR(__xludf.DUMMYFUNCTION("""COMPUTED_VALUE"""),3610908.0)</f>
        <v>3610908</v>
      </c>
    </row>
    <row r="3952">
      <c r="A3952" s="3">
        <f>IFERROR(__xludf.DUMMYFUNCTION("""COMPUTED_VALUE"""),44076.64583333333)</f>
        <v>44076.64583</v>
      </c>
      <c r="B3952" s="2">
        <f>IFERROR(__xludf.DUMMYFUNCTION("""COMPUTED_VALUE"""),2247.0)</f>
        <v>2247</v>
      </c>
      <c r="C3952" s="2">
        <f>IFERROR(__xludf.DUMMYFUNCTION("""COMPUTED_VALUE"""),2268.75)</f>
        <v>2268.75</v>
      </c>
      <c r="D3952" s="2">
        <f>IFERROR(__xludf.DUMMYFUNCTION("""COMPUTED_VALUE"""),2241.65)</f>
        <v>2241.65</v>
      </c>
      <c r="E3952" s="2">
        <f>IFERROR(__xludf.DUMMYFUNCTION("""COMPUTED_VALUE"""),2265.15)</f>
        <v>2265.15</v>
      </c>
      <c r="F3952" s="2">
        <f>IFERROR(__xludf.DUMMYFUNCTION("""COMPUTED_VALUE"""),2084152.0)</f>
        <v>2084152</v>
      </c>
    </row>
    <row r="3953">
      <c r="A3953" s="3">
        <f>IFERROR(__xludf.DUMMYFUNCTION("""COMPUTED_VALUE"""),44077.64583333333)</f>
        <v>44077.64583</v>
      </c>
      <c r="B3953" s="2">
        <f>IFERROR(__xludf.DUMMYFUNCTION("""COMPUTED_VALUE"""),2268.0)</f>
        <v>2268</v>
      </c>
      <c r="C3953" s="2">
        <f>IFERROR(__xludf.DUMMYFUNCTION("""COMPUTED_VALUE"""),2324.0)</f>
        <v>2324</v>
      </c>
      <c r="D3953" s="2">
        <f>IFERROR(__xludf.DUMMYFUNCTION("""COMPUTED_VALUE"""),2268.0)</f>
        <v>2268</v>
      </c>
      <c r="E3953" s="2">
        <f>IFERROR(__xludf.DUMMYFUNCTION("""COMPUTED_VALUE"""),2299.5)</f>
        <v>2299.5</v>
      </c>
      <c r="F3953" s="2">
        <f>IFERROR(__xludf.DUMMYFUNCTION("""COMPUTED_VALUE"""),4654146.0)</f>
        <v>4654146</v>
      </c>
    </row>
    <row r="3954">
      <c r="A3954" s="3">
        <f>IFERROR(__xludf.DUMMYFUNCTION("""COMPUTED_VALUE"""),44078.64583333333)</f>
        <v>44078.64583</v>
      </c>
      <c r="B3954" s="2">
        <f>IFERROR(__xludf.DUMMYFUNCTION("""COMPUTED_VALUE"""),2275.0)</f>
        <v>2275</v>
      </c>
      <c r="C3954" s="2">
        <f>IFERROR(__xludf.DUMMYFUNCTION("""COMPUTED_VALUE"""),2324.25)</f>
        <v>2324.25</v>
      </c>
      <c r="D3954" s="2">
        <f>IFERROR(__xludf.DUMMYFUNCTION("""COMPUTED_VALUE"""),2262.95)</f>
        <v>2262.95</v>
      </c>
      <c r="E3954" s="2">
        <f>IFERROR(__xludf.DUMMYFUNCTION("""COMPUTED_VALUE"""),2288.8)</f>
        <v>2288.8</v>
      </c>
      <c r="F3954" s="2">
        <f>IFERROR(__xludf.DUMMYFUNCTION("""COMPUTED_VALUE"""),5232180.0)</f>
        <v>5232180</v>
      </c>
    </row>
    <row r="3955">
      <c r="A3955" s="3">
        <f>IFERROR(__xludf.DUMMYFUNCTION("""COMPUTED_VALUE"""),44081.64583333333)</f>
        <v>44081.64583</v>
      </c>
      <c r="B3955" s="2">
        <f>IFERROR(__xludf.DUMMYFUNCTION("""COMPUTED_VALUE"""),2289.0)</f>
        <v>2289</v>
      </c>
      <c r="C3955" s="2">
        <f>IFERROR(__xludf.DUMMYFUNCTION("""COMPUTED_VALUE"""),2343.5)</f>
        <v>2343.5</v>
      </c>
      <c r="D3955" s="2">
        <f>IFERROR(__xludf.DUMMYFUNCTION("""COMPUTED_VALUE"""),2283.35)</f>
        <v>2283.35</v>
      </c>
      <c r="E3955" s="2">
        <f>IFERROR(__xludf.DUMMYFUNCTION("""COMPUTED_VALUE"""),2327.05)</f>
        <v>2327.05</v>
      </c>
      <c r="F3955" s="2">
        <f>IFERROR(__xludf.DUMMYFUNCTION("""COMPUTED_VALUE"""),4620416.0)</f>
        <v>4620416</v>
      </c>
    </row>
    <row r="3956">
      <c r="A3956" s="3">
        <f>IFERROR(__xludf.DUMMYFUNCTION("""COMPUTED_VALUE"""),44082.64583333333)</f>
        <v>44082.64583</v>
      </c>
      <c r="B3956" s="2">
        <f>IFERROR(__xludf.DUMMYFUNCTION("""COMPUTED_VALUE"""),2335.95)</f>
        <v>2335.95</v>
      </c>
      <c r="C3956" s="2">
        <f>IFERROR(__xludf.DUMMYFUNCTION("""COMPUTED_VALUE"""),2390.45)</f>
        <v>2390.45</v>
      </c>
      <c r="D3956" s="2">
        <f>IFERROR(__xludf.DUMMYFUNCTION("""COMPUTED_VALUE"""),2327.05)</f>
        <v>2327.05</v>
      </c>
      <c r="E3956" s="2">
        <f>IFERROR(__xludf.DUMMYFUNCTION("""COMPUTED_VALUE"""),2348.2)</f>
        <v>2348.2</v>
      </c>
      <c r="F3956" s="2">
        <f>IFERROR(__xludf.DUMMYFUNCTION("""COMPUTED_VALUE"""),7454161.0)</f>
        <v>7454161</v>
      </c>
    </row>
    <row r="3957">
      <c r="A3957" s="3">
        <f>IFERROR(__xludf.DUMMYFUNCTION("""COMPUTED_VALUE"""),44083.64583333333)</f>
        <v>44083.64583</v>
      </c>
      <c r="B3957" s="2">
        <f>IFERROR(__xludf.DUMMYFUNCTION("""COMPUTED_VALUE"""),2325.0)</f>
        <v>2325</v>
      </c>
      <c r="C3957" s="2">
        <f>IFERROR(__xludf.DUMMYFUNCTION("""COMPUTED_VALUE"""),2359.0)</f>
        <v>2359</v>
      </c>
      <c r="D3957" s="2">
        <f>IFERROR(__xludf.DUMMYFUNCTION("""COMPUTED_VALUE"""),2320.0)</f>
        <v>2320</v>
      </c>
      <c r="E3957" s="2">
        <f>IFERROR(__xludf.DUMMYFUNCTION("""COMPUTED_VALUE"""),2327.65)</f>
        <v>2327.65</v>
      </c>
      <c r="F3957" s="2">
        <f>IFERROR(__xludf.DUMMYFUNCTION("""COMPUTED_VALUE"""),3866542.0)</f>
        <v>3866542</v>
      </c>
    </row>
    <row r="3958">
      <c r="A3958" s="3">
        <f>IFERROR(__xludf.DUMMYFUNCTION("""COMPUTED_VALUE"""),44084.64583333333)</f>
        <v>44084.64583</v>
      </c>
      <c r="B3958" s="2">
        <f>IFERROR(__xludf.DUMMYFUNCTION("""COMPUTED_VALUE"""),2335.0)</f>
        <v>2335</v>
      </c>
      <c r="C3958" s="2">
        <f>IFERROR(__xludf.DUMMYFUNCTION("""COMPUTED_VALUE"""),2348.5)</f>
        <v>2348.5</v>
      </c>
      <c r="D3958" s="2">
        <f>IFERROR(__xludf.DUMMYFUNCTION("""COMPUTED_VALUE"""),2324.3)</f>
        <v>2324.3</v>
      </c>
      <c r="E3958" s="2">
        <f>IFERROR(__xludf.DUMMYFUNCTION("""COMPUTED_VALUE"""),2331.15)</f>
        <v>2331.15</v>
      </c>
      <c r="F3958" s="2">
        <f>IFERROR(__xludf.DUMMYFUNCTION("""COMPUTED_VALUE"""),2308813.0)</f>
        <v>2308813</v>
      </c>
    </row>
    <row r="3959">
      <c r="A3959" s="3">
        <f>IFERROR(__xludf.DUMMYFUNCTION("""COMPUTED_VALUE"""),44085.64583333333)</f>
        <v>44085.64583</v>
      </c>
      <c r="B3959" s="2">
        <f>IFERROR(__xludf.DUMMYFUNCTION("""COMPUTED_VALUE"""),2330.95)</f>
        <v>2330.95</v>
      </c>
      <c r="C3959" s="2">
        <f>IFERROR(__xludf.DUMMYFUNCTION("""COMPUTED_VALUE"""),2383.0)</f>
        <v>2383</v>
      </c>
      <c r="D3959" s="2">
        <f>IFERROR(__xludf.DUMMYFUNCTION("""COMPUTED_VALUE"""),2330.15)</f>
        <v>2330.15</v>
      </c>
      <c r="E3959" s="2">
        <f>IFERROR(__xludf.DUMMYFUNCTION("""COMPUTED_VALUE"""),2374.1)</f>
        <v>2374.1</v>
      </c>
      <c r="F3959" s="2">
        <f>IFERROR(__xludf.DUMMYFUNCTION("""COMPUTED_VALUE"""),4145429.0)</f>
        <v>4145429</v>
      </c>
    </row>
    <row r="3960">
      <c r="A3960" s="3">
        <f>IFERROR(__xludf.DUMMYFUNCTION("""COMPUTED_VALUE"""),44088.64583333333)</f>
        <v>44088.64583</v>
      </c>
      <c r="B3960" s="2">
        <f>IFERROR(__xludf.DUMMYFUNCTION("""COMPUTED_VALUE"""),2384.1)</f>
        <v>2384.1</v>
      </c>
      <c r="C3960" s="2">
        <f>IFERROR(__xludf.DUMMYFUNCTION("""COMPUTED_VALUE"""),2505.75)</f>
        <v>2505.75</v>
      </c>
      <c r="D3960" s="2">
        <f>IFERROR(__xludf.DUMMYFUNCTION("""COMPUTED_VALUE"""),2381.85)</f>
        <v>2381.85</v>
      </c>
      <c r="E3960" s="2">
        <f>IFERROR(__xludf.DUMMYFUNCTION("""COMPUTED_VALUE"""),2491.4)</f>
        <v>2491.4</v>
      </c>
      <c r="F3960" s="2">
        <f>IFERROR(__xludf.DUMMYFUNCTION("""COMPUTED_VALUE"""),7512284.0)</f>
        <v>7512284</v>
      </c>
    </row>
    <row r="3961">
      <c r="A3961" s="3">
        <f>IFERROR(__xludf.DUMMYFUNCTION("""COMPUTED_VALUE"""),44089.64583333333)</f>
        <v>44089.64583</v>
      </c>
      <c r="B3961" s="2">
        <f>IFERROR(__xludf.DUMMYFUNCTION("""COMPUTED_VALUE"""),2491.4)</f>
        <v>2491.4</v>
      </c>
      <c r="C3961" s="2">
        <f>IFERROR(__xludf.DUMMYFUNCTION("""COMPUTED_VALUE"""),2538.0)</f>
        <v>2538</v>
      </c>
      <c r="D3961" s="2">
        <f>IFERROR(__xludf.DUMMYFUNCTION("""COMPUTED_VALUE"""),2464.6)</f>
        <v>2464.6</v>
      </c>
      <c r="E3961" s="2">
        <f>IFERROR(__xludf.DUMMYFUNCTION("""COMPUTED_VALUE"""),2491.4)</f>
        <v>2491.4</v>
      </c>
      <c r="F3961" s="2">
        <f>IFERROR(__xludf.DUMMYFUNCTION("""COMPUTED_VALUE"""),7318773.0)</f>
        <v>7318773</v>
      </c>
    </row>
    <row r="3962">
      <c r="A3962" s="3">
        <f>IFERROR(__xludf.DUMMYFUNCTION("""COMPUTED_VALUE"""),44090.64583333333)</f>
        <v>44090.64583</v>
      </c>
      <c r="B3962" s="2">
        <f>IFERROR(__xludf.DUMMYFUNCTION("""COMPUTED_VALUE"""),2488.95)</f>
        <v>2488.95</v>
      </c>
      <c r="C3962" s="2">
        <f>IFERROR(__xludf.DUMMYFUNCTION("""COMPUTED_VALUE"""),2507.6)</f>
        <v>2507.6</v>
      </c>
      <c r="D3962" s="2">
        <f>IFERROR(__xludf.DUMMYFUNCTION("""COMPUTED_VALUE"""),2477.3)</f>
        <v>2477.3</v>
      </c>
      <c r="E3962" s="2">
        <f>IFERROR(__xludf.DUMMYFUNCTION("""COMPUTED_VALUE"""),2503.0)</f>
        <v>2503</v>
      </c>
      <c r="F3962" s="2">
        <f>IFERROR(__xludf.DUMMYFUNCTION("""COMPUTED_VALUE"""),3074013.0)</f>
        <v>3074013</v>
      </c>
    </row>
    <row r="3963">
      <c r="A3963" s="3">
        <f>IFERROR(__xludf.DUMMYFUNCTION("""COMPUTED_VALUE"""),44091.64583333333)</f>
        <v>44091.64583</v>
      </c>
      <c r="B3963" s="2">
        <f>IFERROR(__xludf.DUMMYFUNCTION("""COMPUTED_VALUE"""),2480.0)</f>
        <v>2480</v>
      </c>
      <c r="C3963" s="2">
        <f>IFERROR(__xludf.DUMMYFUNCTION("""COMPUTED_VALUE"""),2495.75)</f>
        <v>2495.75</v>
      </c>
      <c r="D3963" s="2">
        <f>IFERROR(__xludf.DUMMYFUNCTION("""COMPUTED_VALUE"""),2450.6)</f>
        <v>2450.6</v>
      </c>
      <c r="E3963" s="2">
        <f>IFERROR(__xludf.DUMMYFUNCTION("""COMPUTED_VALUE"""),2460.95)</f>
        <v>2460.95</v>
      </c>
      <c r="F3963" s="2">
        <f>IFERROR(__xludf.DUMMYFUNCTION("""COMPUTED_VALUE"""),4828231.0)</f>
        <v>4828231</v>
      </c>
    </row>
    <row r="3964">
      <c r="A3964" s="3">
        <f>IFERROR(__xludf.DUMMYFUNCTION("""COMPUTED_VALUE"""),44092.64583333333)</f>
        <v>44092.64583</v>
      </c>
      <c r="B3964" s="2">
        <f>IFERROR(__xludf.DUMMYFUNCTION("""COMPUTED_VALUE"""),2485.0)</f>
        <v>2485</v>
      </c>
      <c r="C3964" s="2">
        <f>IFERROR(__xludf.DUMMYFUNCTION("""COMPUTED_VALUE"""),2500.4)</f>
        <v>2500.4</v>
      </c>
      <c r="D3964" s="2">
        <f>IFERROR(__xludf.DUMMYFUNCTION("""COMPUTED_VALUE"""),2436.4)</f>
        <v>2436.4</v>
      </c>
      <c r="E3964" s="2">
        <f>IFERROR(__xludf.DUMMYFUNCTION("""COMPUTED_VALUE"""),2449.9)</f>
        <v>2449.9</v>
      </c>
      <c r="F3964" s="2">
        <f>IFERROR(__xludf.DUMMYFUNCTION("""COMPUTED_VALUE"""),4183256.0)</f>
        <v>4183256</v>
      </c>
    </row>
    <row r="3965">
      <c r="A3965" s="3">
        <f>IFERROR(__xludf.DUMMYFUNCTION("""COMPUTED_VALUE"""),44095.64583333333)</f>
        <v>44095.64583</v>
      </c>
      <c r="B3965" s="2">
        <f>IFERROR(__xludf.DUMMYFUNCTION("""COMPUTED_VALUE"""),2465.0)</f>
        <v>2465</v>
      </c>
      <c r="C3965" s="2">
        <f>IFERROR(__xludf.DUMMYFUNCTION("""COMPUTED_VALUE"""),2504.9)</f>
        <v>2504.9</v>
      </c>
      <c r="D3965" s="2">
        <f>IFERROR(__xludf.DUMMYFUNCTION("""COMPUTED_VALUE"""),2452.15)</f>
        <v>2452.15</v>
      </c>
      <c r="E3965" s="2">
        <f>IFERROR(__xludf.DUMMYFUNCTION("""COMPUTED_VALUE"""),2465.3)</f>
        <v>2465.3</v>
      </c>
      <c r="F3965" s="2">
        <f>IFERROR(__xludf.DUMMYFUNCTION("""COMPUTED_VALUE"""),4598809.0)</f>
        <v>4598809</v>
      </c>
    </row>
    <row r="3966">
      <c r="A3966" s="3">
        <f>IFERROR(__xludf.DUMMYFUNCTION("""COMPUTED_VALUE"""),44096.64583333333)</f>
        <v>44096.64583</v>
      </c>
      <c r="B3966" s="2">
        <f>IFERROR(__xludf.DUMMYFUNCTION("""COMPUTED_VALUE"""),2485.0)</f>
        <v>2485</v>
      </c>
      <c r="C3966" s="2">
        <f>IFERROR(__xludf.DUMMYFUNCTION("""COMPUTED_VALUE"""),2555.0)</f>
        <v>2555</v>
      </c>
      <c r="D3966" s="2">
        <f>IFERROR(__xludf.DUMMYFUNCTION("""COMPUTED_VALUE"""),2458.0)</f>
        <v>2458</v>
      </c>
      <c r="E3966" s="2">
        <f>IFERROR(__xludf.DUMMYFUNCTION("""COMPUTED_VALUE"""),2522.95)</f>
        <v>2522.95</v>
      </c>
      <c r="F3966" s="2">
        <f>IFERROR(__xludf.DUMMYFUNCTION("""COMPUTED_VALUE"""),7499927.0)</f>
        <v>7499927</v>
      </c>
    </row>
    <row r="3967">
      <c r="A3967" s="3">
        <f>IFERROR(__xludf.DUMMYFUNCTION("""COMPUTED_VALUE"""),44097.64583333333)</f>
        <v>44097.64583</v>
      </c>
      <c r="B3967" s="2">
        <f>IFERROR(__xludf.DUMMYFUNCTION("""COMPUTED_VALUE"""),2510.0)</f>
        <v>2510</v>
      </c>
      <c r="C3967" s="2">
        <f>IFERROR(__xludf.DUMMYFUNCTION("""COMPUTED_VALUE"""),2519.85)</f>
        <v>2519.85</v>
      </c>
      <c r="D3967" s="2">
        <f>IFERROR(__xludf.DUMMYFUNCTION("""COMPUTED_VALUE"""),2409.0)</f>
        <v>2409</v>
      </c>
      <c r="E3967" s="2">
        <f>IFERROR(__xludf.DUMMYFUNCTION("""COMPUTED_VALUE"""),2467.45)</f>
        <v>2467.45</v>
      </c>
      <c r="F3967" s="2">
        <f>IFERROR(__xludf.DUMMYFUNCTION("""COMPUTED_VALUE"""),7503152.0)</f>
        <v>7503152</v>
      </c>
    </row>
    <row r="3968">
      <c r="A3968" s="3">
        <f>IFERROR(__xludf.DUMMYFUNCTION("""COMPUTED_VALUE"""),44098.64583333333)</f>
        <v>44098.64583</v>
      </c>
      <c r="B3968" s="2">
        <f>IFERROR(__xludf.DUMMYFUNCTION("""COMPUTED_VALUE"""),2450.0)</f>
        <v>2450</v>
      </c>
      <c r="C3968" s="2">
        <f>IFERROR(__xludf.DUMMYFUNCTION("""COMPUTED_VALUE"""),2450.0)</f>
        <v>2450</v>
      </c>
      <c r="D3968" s="2">
        <f>IFERROR(__xludf.DUMMYFUNCTION("""COMPUTED_VALUE"""),2302.6)</f>
        <v>2302.6</v>
      </c>
      <c r="E3968" s="2">
        <f>IFERROR(__xludf.DUMMYFUNCTION("""COMPUTED_VALUE"""),2332.25)</f>
        <v>2332.25</v>
      </c>
      <c r="F3968" s="2">
        <f>IFERROR(__xludf.DUMMYFUNCTION("""COMPUTED_VALUE"""),8425118.0)</f>
        <v>8425118</v>
      </c>
    </row>
    <row r="3969">
      <c r="A3969" s="3">
        <f>IFERROR(__xludf.DUMMYFUNCTION("""COMPUTED_VALUE"""),44099.64583333333)</f>
        <v>44099.64583</v>
      </c>
      <c r="B3969" s="2">
        <f>IFERROR(__xludf.DUMMYFUNCTION("""COMPUTED_VALUE"""),2368.0)</f>
        <v>2368</v>
      </c>
      <c r="C3969" s="2">
        <f>IFERROR(__xludf.DUMMYFUNCTION("""COMPUTED_VALUE"""),2440.0)</f>
        <v>2440</v>
      </c>
      <c r="D3969" s="2">
        <f>IFERROR(__xludf.DUMMYFUNCTION("""COMPUTED_VALUE"""),2352.1)</f>
        <v>2352.1</v>
      </c>
      <c r="E3969" s="2">
        <f>IFERROR(__xludf.DUMMYFUNCTION("""COMPUTED_VALUE"""),2422.3)</f>
        <v>2422.3</v>
      </c>
      <c r="F3969" s="2">
        <f>IFERROR(__xludf.DUMMYFUNCTION("""COMPUTED_VALUE"""),8228297.0)</f>
        <v>8228297</v>
      </c>
    </row>
    <row r="3970">
      <c r="A3970" s="3">
        <f>IFERROR(__xludf.DUMMYFUNCTION("""COMPUTED_VALUE"""),44102.64583333333)</f>
        <v>44102.64583</v>
      </c>
      <c r="B3970" s="2">
        <f>IFERROR(__xludf.DUMMYFUNCTION("""COMPUTED_VALUE"""),2440.0)</f>
        <v>2440</v>
      </c>
      <c r="C3970" s="2">
        <f>IFERROR(__xludf.DUMMYFUNCTION("""COMPUTED_VALUE"""),2444.0)</f>
        <v>2444</v>
      </c>
      <c r="D3970" s="2">
        <f>IFERROR(__xludf.DUMMYFUNCTION("""COMPUTED_VALUE"""),2366.0)</f>
        <v>2366</v>
      </c>
      <c r="E3970" s="2">
        <f>IFERROR(__xludf.DUMMYFUNCTION("""COMPUTED_VALUE"""),2426.3)</f>
        <v>2426.3</v>
      </c>
      <c r="F3970" s="2">
        <f>IFERROR(__xludf.DUMMYFUNCTION("""COMPUTED_VALUE"""),4347177.0)</f>
        <v>4347177</v>
      </c>
    </row>
    <row r="3971">
      <c r="A3971" s="3">
        <f>IFERROR(__xludf.DUMMYFUNCTION("""COMPUTED_VALUE"""),44103.64583333333)</f>
        <v>44103.64583</v>
      </c>
      <c r="B3971" s="2">
        <f>IFERROR(__xludf.DUMMYFUNCTION("""COMPUTED_VALUE"""),2434.85)</f>
        <v>2434.85</v>
      </c>
      <c r="C3971" s="2">
        <f>IFERROR(__xludf.DUMMYFUNCTION("""COMPUTED_VALUE"""),2511.05)</f>
        <v>2511.05</v>
      </c>
      <c r="D3971" s="2">
        <f>IFERROR(__xludf.DUMMYFUNCTION("""COMPUTED_VALUE"""),2426.3)</f>
        <v>2426.3</v>
      </c>
      <c r="E3971" s="2">
        <f>IFERROR(__xludf.DUMMYFUNCTION("""COMPUTED_VALUE"""),2488.4)</f>
        <v>2488.4</v>
      </c>
      <c r="F3971" s="2">
        <f>IFERROR(__xludf.DUMMYFUNCTION("""COMPUTED_VALUE"""),6995815.0)</f>
        <v>6995815</v>
      </c>
    </row>
    <row r="3972">
      <c r="A3972" s="3">
        <f>IFERROR(__xludf.DUMMYFUNCTION("""COMPUTED_VALUE"""),44104.64583333333)</f>
        <v>44104.64583</v>
      </c>
      <c r="B3972" s="2">
        <f>IFERROR(__xludf.DUMMYFUNCTION("""COMPUTED_VALUE"""),2489.0)</f>
        <v>2489</v>
      </c>
      <c r="C3972" s="2">
        <f>IFERROR(__xludf.DUMMYFUNCTION("""COMPUTED_VALUE"""),2505.0)</f>
        <v>2505</v>
      </c>
      <c r="D3972" s="2">
        <f>IFERROR(__xludf.DUMMYFUNCTION("""COMPUTED_VALUE"""),2460.0)</f>
        <v>2460</v>
      </c>
      <c r="E3972" s="2">
        <f>IFERROR(__xludf.DUMMYFUNCTION("""COMPUTED_VALUE"""),2492.3)</f>
        <v>2492.3</v>
      </c>
      <c r="F3972" s="2">
        <f>IFERROR(__xludf.DUMMYFUNCTION("""COMPUTED_VALUE"""),3917186.0)</f>
        <v>3917186</v>
      </c>
    </row>
    <row r="3973">
      <c r="A3973" s="3">
        <f>IFERROR(__xludf.DUMMYFUNCTION("""COMPUTED_VALUE"""),44105.64583333333)</f>
        <v>44105.64583</v>
      </c>
      <c r="B3973" s="2">
        <f>IFERROR(__xludf.DUMMYFUNCTION("""COMPUTED_VALUE"""),2510.0)</f>
        <v>2510</v>
      </c>
      <c r="C3973" s="2">
        <f>IFERROR(__xludf.DUMMYFUNCTION("""COMPUTED_VALUE"""),2540.0)</f>
        <v>2540</v>
      </c>
      <c r="D3973" s="2">
        <f>IFERROR(__xludf.DUMMYFUNCTION("""COMPUTED_VALUE"""),2492.3)</f>
        <v>2492.3</v>
      </c>
      <c r="E3973" s="2">
        <f>IFERROR(__xludf.DUMMYFUNCTION("""COMPUTED_VALUE"""),2523.45)</f>
        <v>2523.45</v>
      </c>
      <c r="F3973" s="2">
        <f>IFERROR(__xludf.DUMMYFUNCTION("""COMPUTED_VALUE"""),2610338.0)</f>
        <v>2610338</v>
      </c>
    </row>
    <row r="3974">
      <c r="A3974" s="3">
        <f>IFERROR(__xludf.DUMMYFUNCTION("""COMPUTED_VALUE"""),44109.64583333333)</f>
        <v>44109.64583</v>
      </c>
      <c r="B3974" s="2">
        <f>IFERROR(__xludf.DUMMYFUNCTION("""COMPUTED_VALUE"""),2620.0)</f>
        <v>2620</v>
      </c>
      <c r="C3974" s="2">
        <f>IFERROR(__xludf.DUMMYFUNCTION("""COMPUTED_VALUE"""),2728.1)</f>
        <v>2728.1</v>
      </c>
      <c r="D3974" s="2">
        <f>IFERROR(__xludf.DUMMYFUNCTION("""COMPUTED_VALUE"""),2603.05)</f>
        <v>2603.05</v>
      </c>
      <c r="E3974" s="2">
        <f>IFERROR(__xludf.DUMMYFUNCTION("""COMPUTED_VALUE"""),2705.8)</f>
        <v>2705.8</v>
      </c>
      <c r="F3974" s="2">
        <f>IFERROR(__xludf.DUMMYFUNCTION("""COMPUTED_VALUE"""),1.7412119E7)</f>
        <v>17412119</v>
      </c>
    </row>
    <row r="3975">
      <c r="A3975" s="3">
        <f>IFERROR(__xludf.DUMMYFUNCTION("""COMPUTED_VALUE"""),44110.64583333333)</f>
        <v>44110.64583</v>
      </c>
      <c r="B3975" s="2">
        <f>IFERROR(__xludf.DUMMYFUNCTION("""COMPUTED_VALUE"""),2736.0)</f>
        <v>2736</v>
      </c>
      <c r="C3975" s="2">
        <f>IFERROR(__xludf.DUMMYFUNCTION("""COMPUTED_VALUE"""),2736.0)</f>
        <v>2736</v>
      </c>
      <c r="D3975" s="2">
        <f>IFERROR(__xludf.DUMMYFUNCTION("""COMPUTED_VALUE"""),2650.1)</f>
        <v>2650.1</v>
      </c>
      <c r="E3975" s="2">
        <f>IFERROR(__xludf.DUMMYFUNCTION("""COMPUTED_VALUE"""),2714.3)</f>
        <v>2714.3</v>
      </c>
      <c r="F3975" s="2">
        <f>IFERROR(__xludf.DUMMYFUNCTION("""COMPUTED_VALUE"""),9846376.0)</f>
        <v>9846376</v>
      </c>
    </row>
    <row r="3976">
      <c r="A3976" s="3">
        <f>IFERROR(__xludf.DUMMYFUNCTION("""COMPUTED_VALUE"""),44111.64583333333)</f>
        <v>44111.64583</v>
      </c>
      <c r="B3976" s="2">
        <f>IFERROR(__xludf.DUMMYFUNCTION("""COMPUTED_VALUE"""),2742.0)</f>
        <v>2742</v>
      </c>
      <c r="C3976" s="2">
        <f>IFERROR(__xludf.DUMMYFUNCTION("""COMPUTED_VALUE"""),2770.0)</f>
        <v>2770</v>
      </c>
      <c r="D3976" s="2">
        <f>IFERROR(__xludf.DUMMYFUNCTION("""COMPUTED_VALUE"""),2703.0)</f>
        <v>2703</v>
      </c>
      <c r="E3976" s="2">
        <f>IFERROR(__xludf.DUMMYFUNCTION("""COMPUTED_VALUE"""),2735.95)</f>
        <v>2735.95</v>
      </c>
      <c r="F3976" s="2">
        <f>IFERROR(__xludf.DUMMYFUNCTION("""COMPUTED_VALUE"""),9656167.0)</f>
        <v>9656167</v>
      </c>
    </row>
    <row r="3977">
      <c r="A3977" s="3">
        <f>IFERROR(__xludf.DUMMYFUNCTION("""COMPUTED_VALUE"""),44112.64583333333)</f>
        <v>44112.64583</v>
      </c>
      <c r="B3977" s="2">
        <f>IFERROR(__xludf.DUMMYFUNCTION("""COMPUTED_VALUE"""),2800.0)</f>
        <v>2800</v>
      </c>
      <c r="C3977" s="2">
        <f>IFERROR(__xludf.DUMMYFUNCTION("""COMPUTED_VALUE"""),2885.0)</f>
        <v>2885</v>
      </c>
      <c r="D3977" s="2">
        <f>IFERROR(__xludf.DUMMYFUNCTION("""COMPUTED_VALUE"""),2800.0)</f>
        <v>2800</v>
      </c>
      <c r="E3977" s="2">
        <f>IFERROR(__xludf.DUMMYFUNCTION("""COMPUTED_VALUE"""),2825.7)</f>
        <v>2825.7</v>
      </c>
      <c r="F3977" s="2">
        <f>IFERROR(__xludf.DUMMYFUNCTION("""COMPUTED_VALUE"""),1.9839826E7)</f>
        <v>19839826</v>
      </c>
    </row>
    <row r="3978">
      <c r="A3978" s="3">
        <f>IFERROR(__xludf.DUMMYFUNCTION("""COMPUTED_VALUE"""),44113.64583333333)</f>
        <v>44113.64583</v>
      </c>
      <c r="B3978" s="2">
        <f>IFERROR(__xludf.DUMMYFUNCTION("""COMPUTED_VALUE"""),2810.0)</f>
        <v>2810</v>
      </c>
      <c r="C3978" s="2">
        <f>IFERROR(__xludf.DUMMYFUNCTION("""COMPUTED_VALUE"""),2829.85)</f>
        <v>2829.85</v>
      </c>
      <c r="D3978" s="2">
        <f>IFERROR(__xludf.DUMMYFUNCTION("""COMPUTED_VALUE"""),2780.0)</f>
        <v>2780</v>
      </c>
      <c r="E3978" s="2">
        <f>IFERROR(__xludf.DUMMYFUNCTION("""COMPUTED_VALUE"""),2812.95)</f>
        <v>2812.95</v>
      </c>
      <c r="F3978" s="2">
        <f>IFERROR(__xludf.DUMMYFUNCTION("""COMPUTED_VALUE"""),7739375.0)</f>
        <v>7739375</v>
      </c>
    </row>
    <row r="3979">
      <c r="A3979" s="3">
        <f>IFERROR(__xludf.DUMMYFUNCTION("""COMPUTED_VALUE"""),44116.64583333333)</f>
        <v>44116.64583</v>
      </c>
      <c r="B3979" s="2">
        <f>IFERROR(__xludf.DUMMYFUNCTION("""COMPUTED_VALUE"""),2815.5)</f>
        <v>2815.5</v>
      </c>
      <c r="C3979" s="2">
        <f>IFERROR(__xludf.DUMMYFUNCTION("""COMPUTED_VALUE"""),2854.0)</f>
        <v>2854</v>
      </c>
      <c r="D3979" s="2">
        <f>IFERROR(__xludf.DUMMYFUNCTION("""COMPUTED_VALUE"""),2800.75)</f>
        <v>2800.75</v>
      </c>
      <c r="E3979" s="2">
        <f>IFERROR(__xludf.DUMMYFUNCTION("""COMPUTED_VALUE"""),2830.0)</f>
        <v>2830</v>
      </c>
      <c r="F3979" s="2">
        <f>IFERROR(__xludf.DUMMYFUNCTION("""COMPUTED_VALUE"""),4623211.0)</f>
        <v>4623211</v>
      </c>
    </row>
    <row r="3980">
      <c r="A3980" s="3">
        <f>IFERROR(__xludf.DUMMYFUNCTION("""COMPUTED_VALUE"""),44117.64583333333)</f>
        <v>44117.64583</v>
      </c>
      <c r="B3980" s="2">
        <f>IFERROR(__xludf.DUMMYFUNCTION("""COMPUTED_VALUE"""),2845.0)</f>
        <v>2845</v>
      </c>
      <c r="C3980" s="2">
        <f>IFERROR(__xludf.DUMMYFUNCTION("""COMPUTED_VALUE"""),2854.9)</f>
        <v>2854.9</v>
      </c>
      <c r="D3980" s="2">
        <f>IFERROR(__xludf.DUMMYFUNCTION("""COMPUTED_VALUE"""),2812.2)</f>
        <v>2812.2</v>
      </c>
      <c r="E3980" s="2">
        <f>IFERROR(__xludf.DUMMYFUNCTION("""COMPUTED_VALUE"""),2826.55)</f>
        <v>2826.55</v>
      </c>
      <c r="F3980" s="2">
        <f>IFERROR(__xludf.DUMMYFUNCTION("""COMPUTED_VALUE"""),4209905.0)</f>
        <v>4209905</v>
      </c>
    </row>
    <row r="3981">
      <c r="A3981" s="3">
        <f>IFERROR(__xludf.DUMMYFUNCTION("""COMPUTED_VALUE"""),44118.64583333333)</f>
        <v>44118.64583</v>
      </c>
      <c r="B3981" s="2">
        <f>IFERROR(__xludf.DUMMYFUNCTION("""COMPUTED_VALUE"""),2842.0)</f>
        <v>2842</v>
      </c>
      <c r="C3981" s="2">
        <f>IFERROR(__xludf.DUMMYFUNCTION("""COMPUTED_VALUE"""),2842.0)</f>
        <v>2842</v>
      </c>
      <c r="D3981" s="2">
        <f>IFERROR(__xludf.DUMMYFUNCTION("""COMPUTED_VALUE"""),2787.55)</f>
        <v>2787.55</v>
      </c>
      <c r="E3981" s="2">
        <f>IFERROR(__xludf.DUMMYFUNCTION("""COMPUTED_VALUE"""),2809.6)</f>
        <v>2809.6</v>
      </c>
      <c r="F3981" s="2">
        <f>IFERROR(__xludf.DUMMYFUNCTION("""COMPUTED_VALUE"""),4395979.0)</f>
        <v>4395979</v>
      </c>
    </row>
    <row r="3982">
      <c r="A3982" s="3">
        <f>IFERROR(__xludf.DUMMYFUNCTION("""COMPUTED_VALUE"""),44119.64583333333)</f>
        <v>44119.64583</v>
      </c>
      <c r="B3982" s="2">
        <f>IFERROR(__xludf.DUMMYFUNCTION("""COMPUTED_VALUE"""),2811.0)</f>
        <v>2811</v>
      </c>
      <c r="C3982" s="2">
        <f>IFERROR(__xludf.DUMMYFUNCTION("""COMPUTED_VALUE"""),2827.75)</f>
        <v>2827.75</v>
      </c>
      <c r="D3982" s="2">
        <f>IFERROR(__xludf.DUMMYFUNCTION("""COMPUTED_VALUE"""),2727.0)</f>
        <v>2727</v>
      </c>
      <c r="E3982" s="2">
        <f>IFERROR(__xludf.DUMMYFUNCTION("""COMPUTED_VALUE"""),2740.6)</f>
        <v>2740.6</v>
      </c>
      <c r="F3982" s="2">
        <f>IFERROR(__xludf.DUMMYFUNCTION("""COMPUTED_VALUE"""),6629395.0)</f>
        <v>6629395</v>
      </c>
    </row>
    <row r="3983">
      <c r="A3983" s="3">
        <f>IFERROR(__xludf.DUMMYFUNCTION("""COMPUTED_VALUE"""),44120.64583333333)</f>
        <v>44120.64583</v>
      </c>
      <c r="B3983" s="2">
        <f>IFERROR(__xludf.DUMMYFUNCTION("""COMPUTED_VALUE"""),2750.1)</f>
        <v>2750.1</v>
      </c>
      <c r="C3983" s="2">
        <f>IFERROR(__xludf.DUMMYFUNCTION("""COMPUTED_VALUE"""),2771.65)</f>
        <v>2771.65</v>
      </c>
      <c r="D3983" s="2">
        <f>IFERROR(__xludf.DUMMYFUNCTION("""COMPUTED_VALUE"""),2731.3)</f>
        <v>2731.3</v>
      </c>
      <c r="E3983" s="2">
        <f>IFERROR(__xludf.DUMMYFUNCTION("""COMPUTED_VALUE"""),2763.3)</f>
        <v>2763.3</v>
      </c>
      <c r="F3983" s="2">
        <f>IFERROR(__xludf.DUMMYFUNCTION("""COMPUTED_VALUE"""),5273773.0)</f>
        <v>5273773</v>
      </c>
    </row>
    <row r="3984">
      <c r="A3984" s="3">
        <f>IFERROR(__xludf.DUMMYFUNCTION("""COMPUTED_VALUE"""),44123.64583333333)</f>
        <v>44123.64583</v>
      </c>
      <c r="B3984" s="2">
        <f>IFERROR(__xludf.DUMMYFUNCTION("""COMPUTED_VALUE"""),2774.0)</f>
        <v>2774</v>
      </c>
      <c r="C3984" s="2">
        <f>IFERROR(__xludf.DUMMYFUNCTION("""COMPUTED_VALUE"""),2774.0)</f>
        <v>2774</v>
      </c>
      <c r="D3984" s="2">
        <f>IFERROR(__xludf.DUMMYFUNCTION("""COMPUTED_VALUE"""),2706.6)</f>
        <v>2706.6</v>
      </c>
      <c r="E3984" s="2">
        <f>IFERROR(__xludf.DUMMYFUNCTION("""COMPUTED_VALUE"""),2711.55)</f>
        <v>2711.55</v>
      </c>
      <c r="F3984" s="2">
        <f>IFERROR(__xludf.DUMMYFUNCTION("""COMPUTED_VALUE"""),3331194.0)</f>
        <v>3331194</v>
      </c>
    </row>
    <row r="3985">
      <c r="A3985" s="3">
        <f>IFERROR(__xludf.DUMMYFUNCTION("""COMPUTED_VALUE"""),44124.64583333333)</f>
        <v>44124.64583</v>
      </c>
      <c r="B3985" s="2">
        <f>IFERROR(__xludf.DUMMYFUNCTION("""COMPUTED_VALUE"""),2725.0)</f>
        <v>2725</v>
      </c>
      <c r="C3985" s="2">
        <f>IFERROR(__xludf.DUMMYFUNCTION("""COMPUTED_VALUE"""),2759.9)</f>
        <v>2759.9</v>
      </c>
      <c r="D3985" s="2">
        <f>IFERROR(__xludf.DUMMYFUNCTION("""COMPUTED_VALUE"""),2717.95)</f>
        <v>2717.95</v>
      </c>
      <c r="E3985" s="2">
        <f>IFERROR(__xludf.DUMMYFUNCTION("""COMPUTED_VALUE"""),2739.0)</f>
        <v>2739</v>
      </c>
      <c r="F3985" s="2">
        <f>IFERROR(__xludf.DUMMYFUNCTION("""COMPUTED_VALUE"""),3406298.0)</f>
        <v>3406298</v>
      </c>
    </row>
    <row r="3986">
      <c r="A3986" s="3">
        <f>IFERROR(__xludf.DUMMYFUNCTION("""COMPUTED_VALUE"""),44125.64583333333)</f>
        <v>44125.64583</v>
      </c>
      <c r="B3986" s="2">
        <f>IFERROR(__xludf.DUMMYFUNCTION("""COMPUTED_VALUE"""),2739.0)</f>
        <v>2739</v>
      </c>
      <c r="C3986" s="2">
        <f>IFERROR(__xludf.DUMMYFUNCTION("""COMPUTED_VALUE"""),2749.0)</f>
        <v>2749</v>
      </c>
      <c r="D3986" s="2">
        <f>IFERROR(__xludf.DUMMYFUNCTION("""COMPUTED_VALUE"""),2663.05)</f>
        <v>2663.05</v>
      </c>
      <c r="E3986" s="2">
        <f>IFERROR(__xludf.DUMMYFUNCTION("""COMPUTED_VALUE"""),2675.4)</f>
        <v>2675.4</v>
      </c>
      <c r="F3986" s="2">
        <f>IFERROR(__xludf.DUMMYFUNCTION("""COMPUTED_VALUE"""),4570175.0)</f>
        <v>4570175</v>
      </c>
    </row>
    <row r="3987">
      <c r="A3987" s="3">
        <f>IFERROR(__xludf.DUMMYFUNCTION("""COMPUTED_VALUE"""),44126.64583333333)</f>
        <v>44126.64583</v>
      </c>
      <c r="B3987" s="2">
        <f>IFERROR(__xludf.DUMMYFUNCTION("""COMPUTED_VALUE"""),2661.0)</f>
        <v>2661</v>
      </c>
      <c r="C3987" s="2">
        <f>IFERROR(__xludf.DUMMYFUNCTION("""COMPUTED_VALUE"""),2686.65)</f>
        <v>2686.65</v>
      </c>
      <c r="D3987" s="2">
        <f>IFERROR(__xludf.DUMMYFUNCTION("""COMPUTED_VALUE"""),2638.1)</f>
        <v>2638.1</v>
      </c>
      <c r="E3987" s="2">
        <f>IFERROR(__xludf.DUMMYFUNCTION("""COMPUTED_VALUE"""),2671.15)</f>
        <v>2671.15</v>
      </c>
      <c r="F3987" s="2">
        <f>IFERROR(__xludf.DUMMYFUNCTION("""COMPUTED_VALUE"""),5262311.0)</f>
        <v>5262311</v>
      </c>
    </row>
    <row r="3988">
      <c r="A3988" s="3">
        <f>IFERROR(__xludf.DUMMYFUNCTION("""COMPUTED_VALUE"""),44127.64583333333)</f>
        <v>44127.64583</v>
      </c>
      <c r="B3988" s="2">
        <f>IFERROR(__xludf.DUMMYFUNCTION("""COMPUTED_VALUE"""),2687.8)</f>
        <v>2687.8</v>
      </c>
      <c r="C3988" s="2">
        <f>IFERROR(__xludf.DUMMYFUNCTION("""COMPUTED_VALUE"""),2702.0)</f>
        <v>2702</v>
      </c>
      <c r="D3988" s="2">
        <f>IFERROR(__xludf.DUMMYFUNCTION("""COMPUTED_VALUE"""),2670.1)</f>
        <v>2670.1</v>
      </c>
      <c r="E3988" s="2">
        <f>IFERROR(__xludf.DUMMYFUNCTION("""COMPUTED_VALUE"""),2686.8)</f>
        <v>2686.8</v>
      </c>
      <c r="F3988" s="2">
        <f>IFERROR(__xludf.DUMMYFUNCTION("""COMPUTED_VALUE"""),3499372.0)</f>
        <v>3499372</v>
      </c>
    </row>
    <row r="3989">
      <c r="A3989" s="3">
        <f>IFERROR(__xludf.DUMMYFUNCTION("""COMPUTED_VALUE"""),44130.64583333333)</f>
        <v>44130.64583</v>
      </c>
      <c r="B3989" s="2">
        <f>IFERROR(__xludf.DUMMYFUNCTION("""COMPUTED_VALUE"""),2689.95)</f>
        <v>2689.95</v>
      </c>
      <c r="C3989" s="2">
        <f>IFERROR(__xludf.DUMMYFUNCTION("""COMPUTED_VALUE"""),2709.95)</f>
        <v>2709.95</v>
      </c>
      <c r="D3989" s="2">
        <f>IFERROR(__xludf.DUMMYFUNCTION("""COMPUTED_VALUE"""),2670.5)</f>
        <v>2670.5</v>
      </c>
      <c r="E3989" s="2">
        <f>IFERROR(__xludf.DUMMYFUNCTION("""COMPUTED_VALUE"""),2688.2)</f>
        <v>2688.2</v>
      </c>
      <c r="F3989" s="2">
        <f>IFERROR(__xludf.DUMMYFUNCTION("""COMPUTED_VALUE"""),2672766.0)</f>
        <v>2672766</v>
      </c>
    </row>
    <row r="3990">
      <c r="A3990" s="3">
        <f>IFERROR(__xludf.DUMMYFUNCTION("""COMPUTED_VALUE"""),44131.64583333333)</f>
        <v>44131.64583</v>
      </c>
      <c r="B3990" s="2">
        <f>IFERROR(__xludf.DUMMYFUNCTION("""COMPUTED_VALUE"""),2699.75)</f>
        <v>2699.75</v>
      </c>
      <c r="C3990" s="2">
        <f>IFERROR(__xludf.DUMMYFUNCTION("""COMPUTED_VALUE"""),2718.15)</f>
        <v>2718.15</v>
      </c>
      <c r="D3990" s="2">
        <f>IFERROR(__xludf.DUMMYFUNCTION("""COMPUTED_VALUE"""),2624.1)</f>
        <v>2624.1</v>
      </c>
      <c r="E3990" s="2">
        <f>IFERROR(__xludf.DUMMYFUNCTION("""COMPUTED_VALUE"""),2630.15)</f>
        <v>2630.15</v>
      </c>
      <c r="F3990" s="2">
        <f>IFERROR(__xludf.DUMMYFUNCTION("""COMPUTED_VALUE"""),3537594.0)</f>
        <v>3537594</v>
      </c>
    </row>
    <row r="3991">
      <c r="A3991" s="3">
        <f>IFERROR(__xludf.DUMMYFUNCTION("""COMPUTED_VALUE"""),44132.64583333333)</f>
        <v>44132.64583</v>
      </c>
      <c r="B3991" s="2">
        <f>IFERROR(__xludf.DUMMYFUNCTION("""COMPUTED_VALUE"""),2650.0)</f>
        <v>2650</v>
      </c>
      <c r="C3991" s="2">
        <f>IFERROR(__xludf.DUMMYFUNCTION("""COMPUTED_VALUE"""),2655.95)</f>
        <v>2655.95</v>
      </c>
      <c r="D3991" s="2">
        <f>IFERROR(__xludf.DUMMYFUNCTION("""COMPUTED_VALUE"""),2606.0)</f>
        <v>2606</v>
      </c>
      <c r="E3991" s="2">
        <f>IFERROR(__xludf.DUMMYFUNCTION("""COMPUTED_VALUE"""),2622.2)</f>
        <v>2622.2</v>
      </c>
      <c r="F3991" s="2">
        <f>IFERROR(__xludf.DUMMYFUNCTION("""COMPUTED_VALUE"""),3569515.0)</f>
        <v>3569515</v>
      </c>
    </row>
    <row r="3992">
      <c r="A3992" s="3">
        <f>IFERROR(__xludf.DUMMYFUNCTION("""COMPUTED_VALUE"""),44133.64583333333)</f>
        <v>44133.64583</v>
      </c>
      <c r="B3992" s="2">
        <f>IFERROR(__xludf.DUMMYFUNCTION("""COMPUTED_VALUE"""),2608.0)</f>
        <v>2608</v>
      </c>
      <c r="C3992" s="2">
        <f>IFERROR(__xludf.DUMMYFUNCTION("""COMPUTED_VALUE"""),2655.0)</f>
        <v>2655</v>
      </c>
      <c r="D3992" s="2">
        <f>IFERROR(__xludf.DUMMYFUNCTION("""COMPUTED_VALUE"""),2600.25)</f>
        <v>2600.25</v>
      </c>
      <c r="E3992" s="2">
        <f>IFERROR(__xludf.DUMMYFUNCTION("""COMPUTED_VALUE"""),2632.65)</f>
        <v>2632.65</v>
      </c>
      <c r="F3992" s="2">
        <f>IFERROR(__xludf.DUMMYFUNCTION("""COMPUTED_VALUE"""),3105970.0)</f>
        <v>3105970</v>
      </c>
    </row>
    <row r="3993">
      <c r="A3993" s="3">
        <f>IFERROR(__xludf.DUMMYFUNCTION("""COMPUTED_VALUE"""),44134.64583333333)</f>
        <v>44134.64583</v>
      </c>
      <c r="B3993" s="2">
        <f>IFERROR(__xludf.DUMMYFUNCTION("""COMPUTED_VALUE"""),2636.1)</f>
        <v>2636.1</v>
      </c>
      <c r="C3993" s="2">
        <f>IFERROR(__xludf.DUMMYFUNCTION("""COMPUTED_VALUE"""),2674.35)</f>
        <v>2674.35</v>
      </c>
      <c r="D3993" s="2">
        <f>IFERROR(__xludf.DUMMYFUNCTION("""COMPUTED_VALUE"""),2621.6)</f>
        <v>2621.6</v>
      </c>
      <c r="E3993" s="2">
        <f>IFERROR(__xludf.DUMMYFUNCTION("""COMPUTED_VALUE"""),2664.85)</f>
        <v>2664.85</v>
      </c>
      <c r="F3993" s="2">
        <f>IFERROR(__xludf.DUMMYFUNCTION("""COMPUTED_VALUE"""),3427003.0)</f>
        <v>3427003</v>
      </c>
    </row>
    <row r="3994">
      <c r="A3994" s="3">
        <f>IFERROR(__xludf.DUMMYFUNCTION("""COMPUTED_VALUE"""),44137.64583333333)</f>
        <v>44137.64583</v>
      </c>
      <c r="B3994" s="2">
        <f>IFERROR(__xludf.DUMMYFUNCTION("""COMPUTED_VALUE"""),2660.0)</f>
        <v>2660</v>
      </c>
      <c r="C3994" s="2">
        <f>IFERROR(__xludf.DUMMYFUNCTION("""COMPUTED_VALUE"""),2664.85)</f>
        <v>2664.85</v>
      </c>
      <c r="D3994" s="2">
        <f>IFERROR(__xludf.DUMMYFUNCTION("""COMPUTED_VALUE"""),2600.05)</f>
        <v>2600.05</v>
      </c>
      <c r="E3994" s="2">
        <f>IFERROR(__xludf.DUMMYFUNCTION("""COMPUTED_VALUE"""),2604.6)</f>
        <v>2604.6</v>
      </c>
      <c r="F3994" s="2">
        <f>IFERROR(__xludf.DUMMYFUNCTION("""COMPUTED_VALUE"""),2571196.0)</f>
        <v>2571196</v>
      </c>
    </row>
    <row r="3995">
      <c r="A3995" s="3">
        <f>IFERROR(__xludf.DUMMYFUNCTION("""COMPUTED_VALUE"""),44138.64583333333)</f>
        <v>44138.64583</v>
      </c>
      <c r="B3995" s="2">
        <f>IFERROR(__xludf.DUMMYFUNCTION("""COMPUTED_VALUE"""),2604.0)</f>
        <v>2604</v>
      </c>
      <c r="C3995" s="2">
        <f>IFERROR(__xludf.DUMMYFUNCTION("""COMPUTED_VALUE"""),2665.0)</f>
        <v>2665</v>
      </c>
      <c r="D3995" s="2">
        <f>IFERROR(__xludf.DUMMYFUNCTION("""COMPUTED_VALUE"""),2601.05)</f>
        <v>2601.05</v>
      </c>
      <c r="E3995" s="2">
        <f>IFERROR(__xludf.DUMMYFUNCTION("""COMPUTED_VALUE"""),2633.6)</f>
        <v>2633.6</v>
      </c>
      <c r="F3995" s="2">
        <f>IFERROR(__xludf.DUMMYFUNCTION("""COMPUTED_VALUE"""),2879269.0)</f>
        <v>2879269</v>
      </c>
    </row>
    <row r="3996">
      <c r="A3996" s="3">
        <f>IFERROR(__xludf.DUMMYFUNCTION("""COMPUTED_VALUE"""),44139.64583333333)</f>
        <v>44139.64583</v>
      </c>
      <c r="B3996" s="2">
        <f>IFERROR(__xludf.DUMMYFUNCTION("""COMPUTED_VALUE"""),2610.0)</f>
        <v>2610</v>
      </c>
      <c r="C3996" s="2">
        <f>IFERROR(__xludf.DUMMYFUNCTION("""COMPUTED_VALUE"""),2721.85)</f>
        <v>2721.85</v>
      </c>
      <c r="D3996" s="2">
        <f>IFERROR(__xludf.DUMMYFUNCTION("""COMPUTED_VALUE"""),2610.0)</f>
        <v>2610</v>
      </c>
      <c r="E3996" s="2">
        <f>IFERROR(__xludf.DUMMYFUNCTION("""COMPUTED_VALUE"""),2653.15)</f>
        <v>2653.15</v>
      </c>
      <c r="F3996" s="2">
        <f>IFERROR(__xludf.DUMMYFUNCTION("""COMPUTED_VALUE"""),4893928.0)</f>
        <v>4893928</v>
      </c>
    </row>
    <row r="3997">
      <c r="A3997" s="3">
        <f>IFERROR(__xludf.DUMMYFUNCTION("""COMPUTED_VALUE"""),44140.64583333333)</f>
        <v>44140.64583</v>
      </c>
      <c r="B3997" s="2">
        <f>IFERROR(__xludf.DUMMYFUNCTION("""COMPUTED_VALUE"""),2685.0)</f>
        <v>2685</v>
      </c>
      <c r="C3997" s="2">
        <f>IFERROR(__xludf.DUMMYFUNCTION("""COMPUTED_VALUE"""),2710.0)</f>
        <v>2710</v>
      </c>
      <c r="D3997" s="2">
        <f>IFERROR(__xludf.DUMMYFUNCTION("""COMPUTED_VALUE"""),2667.0)</f>
        <v>2667</v>
      </c>
      <c r="E3997" s="2">
        <f>IFERROR(__xludf.DUMMYFUNCTION("""COMPUTED_VALUE"""),2685.7)</f>
        <v>2685.7</v>
      </c>
      <c r="F3997" s="2">
        <f>IFERROR(__xludf.DUMMYFUNCTION("""COMPUTED_VALUE"""),2816502.0)</f>
        <v>2816502</v>
      </c>
    </row>
    <row r="3998">
      <c r="A3998" s="3">
        <f>IFERROR(__xludf.DUMMYFUNCTION("""COMPUTED_VALUE"""),44141.64583333333)</f>
        <v>44141.64583</v>
      </c>
      <c r="B3998" s="2">
        <f>IFERROR(__xludf.DUMMYFUNCTION("""COMPUTED_VALUE"""),2699.0)</f>
        <v>2699</v>
      </c>
      <c r="C3998" s="2">
        <f>IFERROR(__xludf.DUMMYFUNCTION("""COMPUTED_VALUE"""),2713.25)</f>
        <v>2713.25</v>
      </c>
      <c r="D3998" s="2">
        <f>IFERROR(__xludf.DUMMYFUNCTION("""COMPUTED_VALUE"""),2681.3)</f>
        <v>2681.3</v>
      </c>
      <c r="E3998" s="2">
        <f>IFERROR(__xludf.DUMMYFUNCTION("""COMPUTED_VALUE"""),2707.45)</f>
        <v>2707.45</v>
      </c>
      <c r="F3998" s="2">
        <f>IFERROR(__xludf.DUMMYFUNCTION("""COMPUTED_VALUE"""),3884421.0)</f>
        <v>3884421</v>
      </c>
    </row>
    <row r="3999">
      <c r="A3999" s="3">
        <f>IFERROR(__xludf.DUMMYFUNCTION("""COMPUTED_VALUE"""),44144.64583333333)</f>
        <v>44144.64583</v>
      </c>
      <c r="B3999" s="2">
        <f>IFERROR(__xludf.DUMMYFUNCTION("""COMPUTED_VALUE"""),2731.1)</f>
        <v>2731.1</v>
      </c>
      <c r="C3999" s="2">
        <f>IFERROR(__xludf.DUMMYFUNCTION("""COMPUTED_VALUE"""),2744.0)</f>
        <v>2744</v>
      </c>
      <c r="D3999" s="2">
        <f>IFERROR(__xludf.DUMMYFUNCTION("""COMPUTED_VALUE"""),2695.1)</f>
        <v>2695.1</v>
      </c>
      <c r="E3999" s="2">
        <f>IFERROR(__xludf.DUMMYFUNCTION("""COMPUTED_VALUE"""),2726.6)</f>
        <v>2726.6</v>
      </c>
      <c r="F3999" s="2">
        <f>IFERROR(__xludf.DUMMYFUNCTION("""COMPUTED_VALUE"""),3646592.0)</f>
        <v>3646592</v>
      </c>
    </row>
    <row r="4000">
      <c r="A4000" s="3">
        <f>IFERROR(__xludf.DUMMYFUNCTION("""COMPUTED_VALUE"""),44145.64583333333)</f>
        <v>44145.64583</v>
      </c>
      <c r="B4000" s="2">
        <f>IFERROR(__xludf.DUMMYFUNCTION("""COMPUTED_VALUE"""),2697.2)</f>
        <v>2697.2</v>
      </c>
      <c r="C4000" s="2">
        <f>IFERROR(__xludf.DUMMYFUNCTION("""COMPUTED_VALUE"""),2713.15)</f>
        <v>2713.15</v>
      </c>
      <c r="D4000" s="2">
        <f>IFERROR(__xludf.DUMMYFUNCTION("""COMPUTED_VALUE"""),2638.35)</f>
        <v>2638.35</v>
      </c>
      <c r="E4000" s="2">
        <f>IFERROR(__xludf.DUMMYFUNCTION("""COMPUTED_VALUE"""),2649.6)</f>
        <v>2649.6</v>
      </c>
      <c r="F4000" s="2">
        <f>IFERROR(__xludf.DUMMYFUNCTION("""COMPUTED_VALUE"""),4760020.0)</f>
        <v>4760020</v>
      </c>
    </row>
    <row r="4001">
      <c r="A4001" s="3">
        <f>IFERROR(__xludf.DUMMYFUNCTION("""COMPUTED_VALUE"""),44146.64583333333)</f>
        <v>44146.64583</v>
      </c>
      <c r="B4001" s="2">
        <f>IFERROR(__xludf.DUMMYFUNCTION("""COMPUTED_VALUE"""),2667.95)</f>
        <v>2667.95</v>
      </c>
      <c r="C4001" s="2">
        <f>IFERROR(__xludf.DUMMYFUNCTION("""COMPUTED_VALUE"""),2692.8)</f>
        <v>2692.8</v>
      </c>
      <c r="D4001" s="2">
        <f>IFERROR(__xludf.DUMMYFUNCTION("""COMPUTED_VALUE"""),2643.4)</f>
        <v>2643.4</v>
      </c>
      <c r="E4001" s="2">
        <f>IFERROR(__xludf.DUMMYFUNCTION("""COMPUTED_VALUE"""),2687.8)</f>
        <v>2687.8</v>
      </c>
      <c r="F4001" s="2">
        <f>IFERROR(__xludf.DUMMYFUNCTION("""COMPUTED_VALUE"""),3242441.0)</f>
        <v>3242441</v>
      </c>
    </row>
    <row r="4002">
      <c r="A4002" s="3">
        <f>IFERROR(__xludf.DUMMYFUNCTION("""COMPUTED_VALUE"""),44147.64583333333)</f>
        <v>44147.64583</v>
      </c>
      <c r="B4002" s="2">
        <f>IFERROR(__xludf.DUMMYFUNCTION("""COMPUTED_VALUE"""),2686.0)</f>
        <v>2686</v>
      </c>
      <c r="C4002" s="2">
        <f>IFERROR(__xludf.DUMMYFUNCTION("""COMPUTED_VALUE"""),2713.0)</f>
        <v>2713</v>
      </c>
      <c r="D4002" s="2">
        <f>IFERROR(__xludf.DUMMYFUNCTION("""COMPUTED_VALUE"""),2661.75)</f>
        <v>2661.75</v>
      </c>
      <c r="E4002" s="2">
        <f>IFERROR(__xludf.DUMMYFUNCTION("""COMPUTED_VALUE"""),2671.05)</f>
        <v>2671.05</v>
      </c>
      <c r="F4002" s="2">
        <f>IFERROR(__xludf.DUMMYFUNCTION("""COMPUTED_VALUE"""),2437505.0)</f>
        <v>2437505</v>
      </c>
    </row>
    <row r="4003">
      <c r="A4003" s="3">
        <f>IFERROR(__xludf.DUMMYFUNCTION("""COMPUTED_VALUE"""),44148.64583333333)</f>
        <v>44148.64583</v>
      </c>
      <c r="B4003" s="2">
        <f>IFERROR(__xludf.DUMMYFUNCTION("""COMPUTED_VALUE"""),2655.75)</f>
        <v>2655.75</v>
      </c>
      <c r="C4003" s="2">
        <f>IFERROR(__xludf.DUMMYFUNCTION("""COMPUTED_VALUE"""),2664.9)</f>
        <v>2664.9</v>
      </c>
      <c r="D4003" s="2">
        <f>IFERROR(__xludf.DUMMYFUNCTION("""COMPUTED_VALUE"""),2636.0)</f>
        <v>2636</v>
      </c>
      <c r="E4003" s="2">
        <f>IFERROR(__xludf.DUMMYFUNCTION("""COMPUTED_VALUE"""),2656.85)</f>
        <v>2656.85</v>
      </c>
      <c r="F4003" s="2">
        <f>IFERROR(__xludf.DUMMYFUNCTION("""COMPUTED_VALUE"""),2548093.0)</f>
        <v>2548093</v>
      </c>
    </row>
    <row r="4004">
      <c r="A4004" s="3">
        <f>IFERROR(__xludf.DUMMYFUNCTION("""COMPUTED_VALUE"""),44152.64583333333)</f>
        <v>44152.64583</v>
      </c>
      <c r="B4004" s="2">
        <f>IFERROR(__xludf.DUMMYFUNCTION("""COMPUTED_VALUE"""),2695.0)</f>
        <v>2695</v>
      </c>
      <c r="C4004" s="2">
        <f>IFERROR(__xludf.DUMMYFUNCTION("""COMPUTED_VALUE"""),2695.0)</f>
        <v>2695</v>
      </c>
      <c r="D4004" s="2">
        <f>IFERROR(__xludf.DUMMYFUNCTION("""COMPUTED_VALUE"""),2650.05)</f>
        <v>2650.05</v>
      </c>
      <c r="E4004" s="2">
        <f>IFERROR(__xludf.DUMMYFUNCTION("""COMPUTED_VALUE"""),2666.05)</f>
        <v>2666.05</v>
      </c>
      <c r="F4004" s="2">
        <f>IFERROR(__xludf.DUMMYFUNCTION("""COMPUTED_VALUE"""),2827273.0)</f>
        <v>2827273</v>
      </c>
    </row>
    <row r="4005">
      <c r="A4005" s="3">
        <f>IFERROR(__xludf.DUMMYFUNCTION("""COMPUTED_VALUE"""),44153.64583333333)</f>
        <v>44153.64583</v>
      </c>
      <c r="B4005" s="2">
        <f>IFERROR(__xludf.DUMMYFUNCTION("""COMPUTED_VALUE"""),2661.0)</f>
        <v>2661</v>
      </c>
      <c r="C4005" s="2">
        <f>IFERROR(__xludf.DUMMYFUNCTION("""COMPUTED_VALUE"""),2664.2)</f>
        <v>2664.2</v>
      </c>
      <c r="D4005" s="2">
        <f>IFERROR(__xludf.DUMMYFUNCTION("""COMPUTED_VALUE"""),2607.05)</f>
        <v>2607.05</v>
      </c>
      <c r="E4005" s="2">
        <f>IFERROR(__xludf.DUMMYFUNCTION("""COMPUTED_VALUE"""),2626.65)</f>
        <v>2626.65</v>
      </c>
      <c r="F4005" s="2">
        <f>IFERROR(__xludf.DUMMYFUNCTION("""COMPUTED_VALUE"""),2893762.0)</f>
        <v>2893762</v>
      </c>
    </row>
    <row r="4006">
      <c r="A4006" s="3">
        <f>IFERROR(__xludf.DUMMYFUNCTION("""COMPUTED_VALUE"""),44154.64583333333)</f>
        <v>44154.64583</v>
      </c>
      <c r="B4006" s="2">
        <f>IFERROR(__xludf.DUMMYFUNCTION("""COMPUTED_VALUE"""),2637.0)</f>
        <v>2637</v>
      </c>
      <c r="C4006" s="2">
        <f>IFERROR(__xludf.DUMMYFUNCTION("""COMPUTED_VALUE"""),2676.15)</f>
        <v>2676.15</v>
      </c>
      <c r="D4006" s="2">
        <f>IFERROR(__xludf.DUMMYFUNCTION("""COMPUTED_VALUE"""),2630.85)</f>
        <v>2630.85</v>
      </c>
      <c r="E4006" s="2">
        <f>IFERROR(__xludf.DUMMYFUNCTION("""COMPUTED_VALUE"""),2636.9)</f>
        <v>2636.9</v>
      </c>
      <c r="F4006" s="2">
        <f>IFERROR(__xludf.DUMMYFUNCTION("""COMPUTED_VALUE"""),4167501.0)</f>
        <v>4167501</v>
      </c>
    </row>
    <row r="4007">
      <c r="A4007" s="3">
        <f>IFERROR(__xludf.DUMMYFUNCTION("""COMPUTED_VALUE"""),44155.64583333333)</f>
        <v>44155.64583</v>
      </c>
      <c r="B4007" s="2">
        <f>IFERROR(__xludf.DUMMYFUNCTION("""COMPUTED_VALUE"""),2655.0)</f>
        <v>2655</v>
      </c>
      <c r="C4007" s="2">
        <f>IFERROR(__xludf.DUMMYFUNCTION("""COMPUTED_VALUE"""),2676.0)</f>
        <v>2676</v>
      </c>
      <c r="D4007" s="2">
        <f>IFERROR(__xludf.DUMMYFUNCTION("""COMPUTED_VALUE"""),2627.55)</f>
        <v>2627.55</v>
      </c>
      <c r="E4007" s="2">
        <f>IFERROR(__xludf.DUMMYFUNCTION("""COMPUTED_VALUE"""),2660.25)</f>
        <v>2660.25</v>
      </c>
      <c r="F4007" s="2">
        <f>IFERROR(__xludf.DUMMYFUNCTION("""COMPUTED_VALUE"""),2711471.0)</f>
        <v>2711471</v>
      </c>
    </row>
    <row r="4008">
      <c r="A4008" s="3">
        <f>IFERROR(__xludf.DUMMYFUNCTION("""COMPUTED_VALUE"""),44158.64583333333)</f>
        <v>44158.64583</v>
      </c>
      <c r="B4008" s="2">
        <f>IFERROR(__xludf.DUMMYFUNCTION("""COMPUTED_VALUE"""),2690.0)</f>
        <v>2690</v>
      </c>
      <c r="C4008" s="2">
        <f>IFERROR(__xludf.DUMMYFUNCTION("""COMPUTED_VALUE"""),2730.0)</f>
        <v>2730</v>
      </c>
      <c r="D4008" s="2">
        <f>IFERROR(__xludf.DUMMYFUNCTION("""COMPUTED_VALUE"""),2665.0)</f>
        <v>2665</v>
      </c>
      <c r="E4008" s="2">
        <f>IFERROR(__xludf.DUMMYFUNCTION("""COMPUTED_VALUE"""),2724.25)</f>
        <v>2724.25</v>
      </c>
      <c r="F4008" s="2">
        <f>IFERROR(__xludf.DUMMYFUNCTION("""COMPUTED_VALUE"""),3706418.0)</f>
        <v>3706418</v>
      </c>
    </row>
    <row r="4009">
      <c r="A4009" s="3">
        <f>IFERROR(__xludf.DUMMYFUNCTION("""COMPUTED_VALUE"""),44159.64583333333)</f>
        <v>44159.64583</v>
      </c>
      <c r="B4009" s="2">
        <f>IFERROR(__xludf.DUMMYFUNCTION("""COMPUTED_VALUE"""),2734.4)</f>
        <v>2734.4</v>
      </c>
      <c r="C4009" s="2">
        <f>IFERROR(__xludf.DUMMYFUNCTION("""COMPUTED_VALUE"""),2743.0)</f>
        <v>2743</v>
      </c>
      <c r="D4009" s="2">
        <f>IFERROR(__xludf.DUMMYFUNCTION("""COMPUTED_VALUE"""),2705.0)</f>
        <v>2705</v>
      </c>
      <c r="E4009" s="2">
        <f>IFERROR(__xludf.DUMMYFUNCTION("""COMPUTED_VALUE"""),2722.05)</f>
        <v>2722.05</v>
      </c>
      <c r="F4009" s="2">
        <f>IFERROR(__xludf.DUMMYFUNCTION("""COMPUTED_VALUE"""),3120516.0)</f>
        <v>3120516</v>
      </c>
    </row>
    <row r="4010">
      <c r="A4010" s="3">
        <f>IFERROR(__xludf.DUMMYFUNCTION("""COMPUTED_VALUE"""),44160.64583333333)</f>
        <v>44160.64583</v>
      </c>
      <c r="B4010" s="2">
        <f>IFERROR(__xludf.DUMMYFUNCTION("""COMPUTED_VALUE"""),2729.0)</f>
        <v>2729</v>
      </c>
      <c r="C4010" s="2">
        <f>IFERROR(__xludf.DUMMYFUNCTION("""COMPUTED_VALUE"""),2732.95)</f>
        <v>2732.95</v>
      </c>
      <c r="D4010" s="2">
        <f>IFERROR(__xludf.DUMMYFUNCTION("""COMPUTED_VALUE"""),2688.2)</f>
        <v>2688.2</v>
      </c>
      <c r="E4010" s="2">
        <f>IFERROR(__xludf.DUMMYFUNCTION("""COMPUTED_VALUE"""),2701.3)</f>
        <v>2701.3</v>
      </c>
      <c r="F4010" s="2">
        <f>IFERROR(__xludf.DUMMYFUNCTION("""COMPUTED_VALUE"""),3302249.0)</f>
        <v>3302249</v>
      </c>
    </row>
    <row r="4011">
      <c r="A4011" s="3">
        <f>IFERROR(__xludf.DUMMYFUNCTION("""COMPUTED_VALUE"""),44161.64583333333)</f>
        <v>44161.64583</v>
      </c>
      <c r="B4011" s="2">
        <f>IFERROR(__xludf.DUMMYFUNCTION("""COMPUTED_VALUE"""),2686.0)</f>
        <v>2686</v>
      </c>
      <c r="C4011" s="2">
        <f>IFERROR(__xludf.DUMMYFUNCTION("""COMPUTED_VALUE"""),2730.95)</f>
        <v>2730.95</v>
      </c>
      <c r="D4011" s="2">
        <f>IFERROR(__xludf.DUMMYFUNCTION("""COMPUTED_VALUE"""),2680.0)</f>
        <v>2680</v>
      </c>
      <c r="E4011" s="2">
        <f>IFERROR(__xludf.DUMMYFUNCTION("""COMPUTED_VALUE"""),2720.6)</f>
        <v>2720.6</v>
      </c>
      <c r="F4011" s="2">
        <f>IFERROR(__xludf.DUMMYFUNCTION("""COMPUTED_VALUE"""),2341099.0)</f>
        <v>2341099</v>
      </c>
    </row>
    <row r="4012">
      <c r="A4012" s="3">
        <f>IFERROR(__xludf.DUMMYFUNCTION("""COMPUTED_VALUE"""),44162.64583333333)</f>
        <v>44162.64583</v>
      </c>
      <c r="B4012" s="2">
        <f>IFERROR(__xludf.DUMMYFUNCTION("""COMPUTED_VALUE"""),2705.0)</f>
        <v>2705</v>
      </c>
      <c r="C4012" s="2">
        <f>IFERROR(__xludf.DUMMYFUNCTION("""COMPUTED_VALUE"""),2717.7)</f>
        <v>2717.7</v>
      </c>
      <c r="D4012" s="2">
        <f>IFERROR(__xludf.DUMMYFUNCTION("""COMPUTED_VALUE"""),2669.05)</f>
        <v>2669.05</v>
      </c>
      <c r="E4012" s="2">
        <f>IFERROR(__xludf.DUMMYFUNCTION("""COMPUTED_VALUE"""),2679.65)</f>
        <v>2679.65</v>
      </c>
      <c r="F4012" s="2">
        <f>IFERROR(__xludf.DUMMYFUNCTION("""COMPUTED_VALUE"""),6086808.0)</f>
        <v>6086808</v>
      </c>
    </row>
    <row r="4013">
      <c r="A4013" s="3">
        <f>IFERROR(__xludf.DUMMYFUNCTION("""COMPUTED_VALUE"""),44166.64583333333)</f>
        <v>44166.64583</v>
      </c>
      <c r="B4013" s="2">
        <f>IFERROR(__xludf.DUMMYFUNCTION("""COMPUTED_VALUE"""),2679.0)</f>
        <v>2679</v>
      </c>
      <c r="C4013" s="2">
        <f>IFERROR(__xludf.DUMMYFUNCTION("""COMPUTED_VALUE"""),2735.9)</f>
        <v>2735.9</v>
      </c>
      <c r="D4013" s="2">
        <f>IFERROR(__xludf.DUMMYFUNCTION("""COMPUTED_VALUE"""),2624.45)</f>
        <v>2624.45</v>
      </c>
      <c r="E4013" s="2">
        <f>IFERROR(__xludf.DUMMYFUNCTION("""COMPUTED_VALUE"""),2726.8)</f>
        <v>2726.8</v>
      </c>
      <c r="F4013" s="2">
        <f>IFERROR(__xludf.DUMMYFUNCTION("""COMPUTED_VALUE"""),3605017.0)</f>
        <v>3605017</v>
      </c>
    </row>
    <row r="4014">
      <c r="A4014" s="3">
        <f>IFERROR(__xludf.DUMMYFUNCTION("""COMPUTED_VALUE"""),44167.64583333333)</f>
        <v>44167.64583</v>
      </c>
      <c r="B4014" s="2">
        <f>IFERROR(__xludf.DUMMYFUNCTION("""COMPUTED_VALUE"""),2719.0)</f>
        <v>2719</v>
      </c>
      <c r="C4014" s="2">
        <f>IFERROR(__xludf.DUMMYFUNCTION("""COMPUTED_VALUE"""),2754.7)</f>
        <v>2754.7</v>
      </c>
      <c r="D4014" s="2">
        <f>IFERROR(__xludf.DUMMYFUNCTION("""COMPUTED_VALUE"""),2702.45)</f>
        <v>2702.45</v>
      </c>
      <c r="E4014" s="2">
        <f>IFERROR(__xludf.DUMMYFUNCTION("""COMPUTED_VALUE"""),2749.55)</f>
        <v>2749.55</v>
      </c>
      <c r="F4014" s="2">
        <f>IFERROR(__xludf.DUMMYFUNCTION("""COMPUTED_VALUE"""),2509032.0)</f>
        <v>2509032</v>
      </c>
    </row>
    <row r="4015">
      <c r="A4015" s="3">
        <f>IFERROR(__xludf.DUMMYFUNCTION("""COMPUTED_VALUE"""),44168.64583333333)</f>
        <v>44168.64583</v>
      </c>
      <c r="B4015" s="2">
        <f>IFERROR(__xludf.DUMMYFUNCTION("""COMPUTED_VALUE"""),2773.9)</f>
        <v>2773.9</v>
      </c>
      <c r="C4015" s="2">
        <f>IFERROR(__xludf.DUMMYFUNCTION("""COMPUTED_VALUE"""),2773.9)</f>
        <v>2773.9</v>
      </c>
      <c r="D4015" s="2">
        <f>IFERROR(__xludf.DUMMYFUNCTION("""COMPUTED_VALUE"""),2700.8)</f>
        <v>2700.8</v>
      </c>
      <c r="E4015" s="2">
        <f>IFERROR(__xludf.DUMMYFUNCTION("""COMPUTED_VALUE"""),2709.45)</f>
        <v>2709.45</v>
      </c>
      <c r="F4015" s="2">
        <f>IFERROR(__xludf.DUMMYFUNCTION("""COMPUTED_VALUE"""),2852548.0)</f>
        <v>2852548</v>
      </c>
    </row>
    <row r="4016">
      <c r="A4016" s="3">
        <f>IFERROR(__xludf.DUMMYFUNCTION("""COMPUTED_VALUE"""),44169.64583333333)</f>
        <v>44169.64583</v>
      </c>
      <c r="B4016" s="2">
        <f>IFERROR(__xludf.DUMMYFUNCTION("""COMPUTED_VALUE"""),2710.8)</f>
        <v>2710.8</v>
      </c>
      <c r="C4016" s="2">
        <f>IFERROR(__xludf.DUMMYFUNCTION("""COMPUTED_VALUE"""),2738.85)</f>
        <v>2738.85</v>
      </c>
      <c r="D4016" s="2">
        <f>IFERROR(__xludf.DUMMYFUNCTION("""COMPUTED_VALUE"""),2699.0)</f>
        <v>2699</v>
      </c>
      <c r="E4016" s="2">
        <f>IFERROR(__xludf.DUMMYFUNCTION("""COMPUTED_VALUE"""),2727.55)</f>
        <v>2727.55</v>
      </c>
      <c r="F4016" s="2">
        <f>IFERROR(__xludf.DUMMYFUNCTION("""COMPUTED_VALUE"""),2686527.0)</f>
        <v>2686527</v>
      </c>
    </row>
    <row r="4017">
      <c r="A4017" s="3">
        <f>IFERROR(__xludf.DUMMYFUNCTION("""COMPUTED_VALUE"""),44172.64583333333)</f>
        <v>44172.64583</v>
      </c>
      <c r="B4017" s="2">
        <f>IFERROR(__xludf.DUMMYFUNCTION("""COMPUTED_VALUE"""),2715.0)</f>
        <v>2715</v>
      </c>
      <c r="C4017" s="2">
        <f>IFERROR(__xludf.DUMMYFUNCTION("""COMPUTED_VALUE"""),2744.0)</f>
        <v>2744</v>
      </c>
      <c r="D4017" s="2">
        <f>IFERROR(__xludf.DUMMYFUNCTION("""COMPUTED_VALUE"""),2706.15)</f>
        <v>2706.15</v>
      </c>
      <c r="E4017" s="2">
        <f>IFERROR(__xludf.DUMMYFUNCTION("""COMPUTED_VALUE"""),2737.7)</f>
        <v>2737.7</v>
      </c>
      <c r="F4017" s="2">
        <f>IFERROR(__xludf.DUMMYFUNCTION("""COMPUTED_VALUE"""),1996400.0)</f>
        <v>1996400</v>
      </c>
    </row>
    <row r="4018">
      <c r="A4018" s="3">
        <f>IFERROR(__xludf.DUMMYFUNCTION("""COMPUTED_VALUE"""),44173.64583333333)</f>
        <v>44173.64583</v>
      </c>
      <c r="B4018" s="2">
        <f>IFERROR(__xludf.DUMMYFUNCTION("""COMPUTED_VALUE"""),2740.0)</f>
        <v>2740</v>
      </c>
      <c r="C4018" s="2">
        <f>IFERROR(__xludf.DUMMYFUNCTION("""COMPUTED_VALUE"""),2805.55)</f>
        <v>2805.55</v>
      </c>
      <c r="D4018" s="2">
        <f>IFERROR(__xludf.DUMMYFUNCTION("""COMPUTED_VALUE"""),2732.45)</f>
        <v>2732.45</v>
      </c>
      <c r="E4018" s="2">
        <f>IFERROR(__xludf.DUMMYFUNCTION("""COMPUTED_VALUE"""),2797.3)</f>
        <v>2797.3</v>
      </c>
      <c r="F4018" s="2">
        <f>IFERROR(__xludf.DUMMYFUNCTION("""COMPUTED_VALUE"""),4277818.0)</f>
        <v>4277818</v>
      </c>
    </row>
    <row r="4019">
      <c r="A4019" s="3">
        <f>IFERROR(__xludf.DUMMYFUNCTION("""COMPUTED_VALUE"""),44174.64583333333)</f>
        <v>44174.64583</v>
      </c>
      <c r="B4019" s="2">
        <f>IFERROR(__xludf.DUMMYFUNCTION("""COMPUTED_VALUE"""),2815.0)</f>
        <v>2815</v>
      </c>
      <c r="C4019" s="2">
        <f>IFERROR(__xludf.DUMMYFUNCTION("""COMPUTED_VALUE"""),2840.0)</f>
        <v>2840</v>
      </c>
      <c r="D4019" s="2">
        <f>IFERROR(__xludf.DUMMYFUNCTION("""COMPUTED_VALUE"""),2793.15)</f>
        <v>2793.15</v>
      </c>
      <c r="E4019" s="2">
        <f>IFERROR(__xludf.DUMMYFUNCTION("""COMPUTED_VALUE"""),2810.8)</f>
        <v>2810.8</v>
      </c>
      <c r="F4019" s="2">
        <f>IFERROR(__xludf.DUMMYFUNCTION("""COMPUTED_VALUE"""),3659996.0)</f>
        <v>3659996</v>
      </c>
    </row>
    <row r="4020">
      <c r="A4020" s="3">
        <f>IFERROR(__xludf.DUMMYFUNCTION("""COMPUTED_VALUE"""),44175.64583333333)</f>
        <v>44175.64583</v>
      </c>
      <c r="B4020" s="2">
        <f>IFERROR(__xludf.DUMMYFUNCTION("""COMPUTED_VALUE"""),2818.0)</f>
        <v>2818</v>
      </c>
      <c r="C4020" s="2">
        <f>IFERROR(__xludf.DUMMYFUNCTION("""COMPUTED_VALUE"""),2827.3)</f>
        <v>2827.3</v>
      </c>
      <c r="D4020" s="2">
        <f>IFERROR(__xludf.DUMMYFUNCTION("""COMPUTED_VALUE"""),2780.25)</f>
        <v>2780.25</v>
      </c>
      <c r="E4020" s="2">
        <f>IFERROR(__xludf.DUMMYFUNCTION("""COMPUTED_VALUE"""),2784.3)</f>
        <v>2784.3</v>
      </c>
      <c r="F4020" s="2">
        <f>IFERROR(__xludf.DUMMYFUNCTION("""COMPUTED_VALUE"""),2127801.0)</f>
        <v>2127801</v>
      </c>
    </row>
    <row r="4021">
      <c r="A4021" s="3">
        <f>IFERROR(__xludf.DUMMYFUNCTION("""COMPUTED_VALUE"""),44176.64583333333)</f>
        <v>44176.64583</v>
      </c>
      <c r="B4021" s="2">
        <f>IFERROR(__xludf.DUMMYFUNCTION("""COMPUTED_VALUE"""),2792.7)</f>
        <v>2792.7</v>
      </c>
      <c r="C4021" s="2">
        <f>IFERROR(__xludf.DUMMYFUNCTION("""COMPUTED_VALUE"""),2807.7)</f>
        <v>2807.7</v>
      </c>
      <c r="D4021" s="2">
        <f>IFERROR(__xludf.DUMMYFUNCTION("""COMPUTED_VALUE"""),2764.55)</f>
        <v>2764.55</v>
      </c>
      <c r="E4021" s="2">
        <f>IFERROR(__xludf.DUMMYFUNCTION("""COMPUTED_VALUE"""),2783.6)</f>
        <v>2783.6</v>
      </c>
      <c r="F4021" s="2">
        <f>IFERROR(__xludf.DUMMYFUNCTION("""COMPUTED_VALUE"""),1795408.0)</f>
        <v>1795408</v>
      </c>
    </row>
    <row r="4022">
      <c r="A4022" s="3">
        <f>IFERROR(__xludf.DUMMYFUNCTION("""COMPUTED_VALUE"""),44179.64583333333)</f>
        <v>44179.64583</v>
      </c>
      <c r="B4022" s="2">
        <f>IFERROR(__xludf.DUMMYFUNCTION("""COMPUTED_VALUE"""),2802.0)</f>
        <v>2802</v>
      </c>
      <c r="C4022" s="2">
        <f>IFERROR(__xludf.DUMMYFUNCTION("""COMPUTED_VALUE"""),2804.0)</f>
        <v>2804</v>
      </c>
      <c r="D4022" s="2">
        <f>IFERROR(__xludf.DUMMYFUNCTION("""COMPUTED_VALUE"""),2756.25)</f>
        <v>2756.25</v>
      </c>
      <c r="E4022" s="2">
        <f>IFERROR(__xludf.DUMMYFUNCTION("""COMPUTED_VALUE"""),2797.7)</f>
        <v>2797.7</v>
      </c>
      <c r="F4022" s="2">
        <f>IFERROR(__xludf.DUMMYFUNCTION("""COMPUTED_VALUE"""),2483658.0)</f>
        <v>2483658</v>
      </c>
    </row>
    <row r="4023">
      <c r="A4023" s="3">
        <f>IFERROR(__xludf.DUMMYFUNCTION("""COMPUTED_VALUE"""),44180.64583333333)</f>
        <v>44180.64583</v>
      </c>
      <c r="B4023" s="2">
        <f>IFERROR(__xludf.DUMMYFUNCTION("""COMPUTED_VALUE"""),2786.0)</f>
        <v>2786</v>
      </c>
      <c r="C4023" s="2">
        <f>IFERROR(__xludf.DUMMYFUNCTION("""COMPUTED_VALUE"""),2794.7)</f>
        <v>2794.7</v>
      </c>
      <c r="D4023" s="2">
        <f>IFERROR(__xludf.DUMMYFUNCTION("""COMPUTED_VALUE"""),2755.0)</f>
        <v>2755</v>
      </c>
      <c r="E4023" s="2">
        <f>IFERROR(__xludf.DUMMYFUNCTION("""COMPUTED_VALUE"""),2761.55)</f>
        <v>2761.55</v>
      </c>
      <c r="F4023" s="2">
        <f>IFERROR(__xludf.DUMMYFUNCTION("""COMPUTED_VALUE"""),2365509.0)</f>
        <v>2365509</v>
      </c>
    </row>
    <row r="4024">
      <c r="A4024" s="3">
        <f>IFERROR(__xludf.DUMMYFUNCTION("""COMPUTED_VALUE"""),44181.64583333333)</f>
        <v>44181.64583</v>
      </c>
      <c r="B4024" s="2">
        <f>IFERROR(__xludf.DUMMYFUNCTION("""COMPUTED_VALUE"""),2779.0)</f>
        <v>2779</v>
      </c>
      <c r="C4024" s="2">
        <f>IFERROR(__xludf.DUMMYFUNCTION("""COMPUTED_VALUE"""),2819.8)</f>
        <v>2819.8</v>
      </c>
      <c r="D4024" s="2">
        <f>IFERROR(__xludf.DUMMYFUNCTION("""COMPUTED_VALUE"""),2760.45)</f>
        <v>2760.45</v>
      </c>
      <c r="E4024" s="2">
        <f>IFERROR(__xludf.DUMMYFUNCTION("""COMPUTED_VALUE"""),2814.2)</f>
        <v>2814.2</v>
      </c>
      <c r="F4024" s="2">
        <f>IFERROR(__xludf.DUMMYFUNCTION("""COMPUTED_VALUE"""),2565149.0)</f>
        <v>2565149</v>
      </c>
    </row>
    <row r="4025">
      <c r="A4025" s="3">
        <f>IFERROR(__xludf.DUMMYFUNCTION("""COMPUTED_VALUE"""),44182.64583333333)</f>
        <v>44182.64583</v>
      </c>
      <c r="B4025" s="2">
        <f>IFERROR(__xludf.DUMMYFUNCTION("""COMPUTED_VALUE"""),2811.0)</f>
        <v>2811</v>
      </c>
      <c r="C4025" s="2">
        <f>IFERROR(__xludf.DUMMYFUNCTION("""COMPUTED_VALUE"""),2853.7)</f>
        <v>2853.7</v>
      </c>
      <c r="D4025" s="2">
        <f>IFERROR(__xludf.DUMMYFUNCTION("""COMPUTED_VALUE"""),2805.0)</f>
        <v>2805</v>
      </c>
      <c r="E4025" s="2">
        <f>IFERROR(__xludf.DUMMYFUNCTION("""COMPUTED_VALUE"""),2838.2)</f>
        <v>2838.2</v>
      </c>
      <c r="F4025" s="2">
        <f>IFERROR(__xludf.DUMMYFUNCTION("""COMPUTED_VALUE"""),2863460.0)</f>
        <v>2863460</v>
      </c>
    </row>
    <row r="4026">
      <c r="A4026" s="3">
        <f>IFERROR(__xludf.DUMMYFUNCTION("""COMPUTED_VALUE"""),44183.64583333333)</f>
        <v>44183.64583</v>
      </c>
      <c r="B4026" s="2">
        <f>IFERROR(__xludf.DUMMYFUNCTION("""COMPUTED_VALUE"""),2868.0)</f>
        <v>2868</v>
      </c>
      <c r="C4026" s="2">
        <f>IFERROR(__xludf.DUMMYFUNCTION("""COMPUTED_VALUE"""),2898.0)</f>
        <v>2898</v>
      </c>
      <c r="D4026" s="2">
        <f>IFERROR(__xludf.DUMMYFUNCTION("""COMPUTED_VALUE"""),2846.2)</f>
        <v>2846.2</v>
      </c>
      <c r="E4026" s="2">
        <f>IFERROR(__xludf.DUMMYFUNCTION("""COMPUTED_VALUE"""),2861.0)</f>
        <v>2861</v>
      </c>
      <c r="F4026" s="2">
        <f>IFERROR(__xludf.DUMMYFUNCTION("""COMPUTED_VALUE"""),6076692.0)</f>
        <v>6076692</v>
      </c>
    </row>
    <row r="4027">
      <c r="A4027" s="3">
        <f>IFERROR(__xludf.DUMMYFUNCTION("""COMPUTED_VALUE"""),44186.64583333333)</f>
        <v>44186.64583</v>
      </c>
      <c r="B4027" s="2">
        <f>IFERROR(__xludf.DUMMYFUNCTION("""COMPUTED_VALUE"""),2861.0)</f>
        <v>2861</v>
      </c>
      <c r="C4027" s="2">
        <f>IFERROR(__xludf.DUMMYFUNCTION("""COMPUTED_VALUE"""),2886.5)</f>
        <v>2886.5</v>
      </c>
      <c r="D4027" s="2">
        <f>IFERROR(__xludf.DUMMYFUNCTION("""COMPUTED_VALUE"""),2785.0)</f>
        <v>2785</v>
      </c>
      <c r="E4027" s="2">
        <f>IFERROR(__xludf.DUMMYFUNCTION("""COMPUTED_VALUE"""),2820.15)</f>
        <v>2820.15</v>
      </c>
      <c r="F4027" s="2">
        <f>IFERROR(__xludf.DUMMYFUNCTION("""COMPUTED_VALUE"""),2705195.0)</f>
        <v>2705195</v>
      </c>
    </row>
    <row r="4028">
      <c r="A4028" s="3">
        <f>IFERROR(__xludf.DUMMYFUNCTION("""COMPUTED_VALUE"""),44187.64583333333)</f>
        <v>44187.64583</v>
      </c>
      <c r="B4028" s="2">
        <f>IFERROR(__xludf.DUMMYFUNCTION("""COMPUTED_VALUE"""),2834.0)</f>
        <v>2834</v>
      </c>
      <c r="C4028" s="2">
        <f>IFERROR(__xludf.DUMMYFUNCTION("""COMPUTED_VALUE"""),2883.65)</f>
        <v>2883.65</v>
      </c>
      <c r="D4028" s="2">
        <f>IFERROR(__xludf.DUMMYFUNCTION("""COMPUTED_VALUE"""),2818.65)</f>
        <v>2818.65</v>
      </c>
      <c r="E4028" s="2">
        <f>IFERROR(__xludf.DUMMYFUNCTION("""COMPUTED_VALUE"""),2872.5)</f>
        <v>2872.5</v>
      </c>
      <c r="F4028" s="2">
        <f>IFERROR(__xludf.DUMMYFUNCTION("""COMPUTED_VALUE"""),2881737.0)</f>
        <v>2881737</v>
      </c>
    </row>
    <row r="4029">
      <c r="A4029" s="3">
        <f>IFERROR(__xludf.DUMMYFUNCTION("""COMPUTED_VALUE"""),44188.64583333333)</f>
        <v>44188.64583</v>
      </c>
      <c r="B4029" s="2">
        <f>IFERROR(__xludf.DUMMYFUNCTION("""COMPUTED_VALUE"""),2876.05)</f>
        <v>2876.05</v>
      </c>
      <c r="C4029" s="2">
        <f>IFERROR(__xludf.DUMMYFUNCTION("""COMPUTED_VALUE"""),2919.0)</f>
        <v>2919</v>
      </c>
      <c r="D4029" s="2">
        <f>IFERROR(__xludf.DUMMYFUNCTION("""COMPUTED_VALUE"""),2865.45)</f>
        <v>2865.45</v>
      </c>
      <c r="E4029" s="2">
        <f>IFERROR(__xludf.DUMMYFUNCTION("""COMPUTED_VALUE"""),2908.75)</f>
        <v>2908.75</v>
      </c>
      <c r="F4029" s="2">
        <f>IFERROR(__xludf.DUMMYFUNCTION("""COMPUTED_VALUE"""),2790988.0)</f>
        <v>2790988</v>
      </c>
    </row>
    <row r="4030">
      <c r="A4030" s="3">
        <f>IFERROR(__xludf.DUMMYFUNCTION("""COMPUTED_VALUE"""),44189.64583333333)</f>
        <v>44189.64583</v>
      </c>
      <c r="B4030" s="2">
        <f>IFERROR(__xludf.DUMMYFUNCTION("""COMPUTED_VALUE"""),2909.0)</f>
        <v>2909</v>
      </c>
      <c r="C4030" s="2">
        <f>IFERROR(__xludf.DUMMYFUNCTION("""COMPUTED_VALUE"""),2921.35)</f>
        <v>2921.35</v>
      </c>
      <c r="D4030" s="2">
        <f>IFERROR(__xludf.DUMMYFUNCTION("""COMPUTED_VALUE"""),2883.2)</f>
        <v>2883.2</v>
      </c>
      <c r="E4030" s="2">
        <f>IFERROR(__xludf.DUMMYFUNCTION("""COMPUTED_VALUE"""),2909.35)</f>
        <v>2909.35</v>
      </c>
      <c r="F4030" s="2">
        <f>IFERROR(__xludf.DUMMYFUNCTION("""COMPUTED_VALUE"""),1807144.0)</f>
        <v>1807144</v>
      </c>
    </row>
    <row r="4031">
      <c r="A4031" s="3">
        <f>IFERROR(__xludf.DUMMYFUNCTION("""COMPUTED_VALUE"""),44193.64583333333)</f>
        <v>44193.64583</v>
      </c>
      <c r="B4031" s="2">
        <f>IFERROR(__xludf.DUMMYFUNCTION("""COMPUTED_VALUE"""),2910.0)</f>
        <v>2910</v>
      </c>
      <c r="C4031" s="2">
        <f>IFERROR(__xludf.DUMMYFUNCTION("""COMPUTED_VALUE"""),2949.7)</f>
        <v>2949.7</v>
      </c>
      <c r="D4031" s="2">
        <f>IFERROR(__xludf.DUMMYFUNCTION("""COMPUTED_VALUE"""),2902.0)</f>
        <v>2902</v>
      </c>
      <c r="E4031" s="2">
        <f>IFERROR(__xludf.DUMMYFUNCTION("""COMPUTED_VALUE"""),2929.4)</f>
        <v>2929.4</v>
      </c>
      <c r="F4031" s="2">
        <f>IFERROR(__xludf.DUMMYFUNCTION("""COMPUTED_VALUE"""),2108994.0)</f>
        <v>2108994</v>
      </c>
    </row>
    <row r="4032">
      <c r="A4032" s="3">
        <f>IFERROR(__xludf.DUMMYFUNCTION("""COMPUTED_VALUE"""),44194.64583333333)</f>
        <v>44194.64583</v>
      </c>
      <c r="B4032" s="2">
        <f>IFERROR(__xludf.DUMMYFUNCTION("""COMPUTED_VALUE"""),2920.0)</f>
        <v>2920</v>
      </c>
      <c r="C4032" s="2">
        <f>IFERROR(__xludf.DUMMYFUNCTION("""COMPUTED_VALUE"""),2952.0)</f>
        <v>2952</v>
      </c>
      <c r="D4032" s="2">
        <f>IFERROR(__xludf.DUMMYFUNCTION("""COMPUTED_VALUE"""),2920.0)</f>
        <v>2920</v>
      </c>
      <c r="E4032" s="2">
        <f>IFERROR(__xludf.DUMMYFUNCTION("""COMPUTED_VALUE"""),2930.5)</f>
        <v>2930.5</v>
      </c>
      <c r="F4032" s="2">
        <f>IFERROR(__xludf.DUMMYFUNCTION("""COMPUTED_VALUE"""),1994151.0)</f>
        <v>1994151</v>
      </c>
    </row>
    <row r="4033">
      <c r="A4033" s="3">
        <f>IFERROR(__xludf.DUMMYFUNCTION("""COMPUTED_VALUE"""),44195.64583333333)</f>
        <v>44195.64583</v>
      </c>
      <c r="B4033" s="2">
        <f>IFERROR(__xludf.DUMMYFUNCTION("""COMPUTED_VALUE"""),2934.4)</f>
        <v>2934.4</v>
      </c>
      <c r="C4033" s="2">
        <f>IFERROR(__xludf.DUMMYFUNCTION("""COMPUTED_VALUE"""),2947.7)</f>
        <v>2947.7</v>
      </c>
      <c r="D4033" s="2">
        <f>IFERROR(__xludf.DUMMYFUNCTION("""COMPUTED_VALUE"""),2902.0)</f>
        <v>2902</v>
      </c>
      <c r="E4033" s="2">
        <f>IFERROR(__xludf.DUMMYFUNCTION("""COMPUTED_VALUE"""),2909.3)</f>
        <v>2909.3</v>
      </c>
      <c r="F4033" s="2">
        <f>IFERROR(__xludf.DUMMYFUNCTION("""COMPUTED_VALUE"""),2637968.0)</f>
        <v>2637968</v>
      </c>
    </row>
    <row r="4034">
      <c r="A4034" s="3">
        <f>IFERROR(__xludf.DUMMYFUNCTION("""COMPUTED_VALUE"""),44196.64583333333)</f>
        <v>44196.64583</v>
      </c>
      <c r="B4034" s="2">
        <f>IFERROR(__xludf.DUMMYFUNCTION("""COMPUTED_VALUE"""),2900.0)</f>
        <v>2900</v>
      </c>
      <c r="C4034" s="2">
        <f>IFERROR(__xludf.DUMMYFUNCTION("""COMPUTED_VALUE"""),2905.0)</f>
        <v>2905</v>
      </c>
      <c r="D4034" s="2">
        <f>IFERROR(__xludf.DUMMYFUNCTION("""COMPUTED_VALUE"""),2845.0)</f>
        <v>2845</v>
      </c>
      <c r="E4034" s="2">
        <f>IFERROR(__xludf.DUMMYFUNCTION("""COMPUTED_VALUE"""),2862.75)</f>
        <v>2862.75</v>
      </c>
      <c r="F4034" s="2">
        <f>IFERROR(__xludf.DUMMYFUNCTION("""COMPUTED_VALUE"""),4040956.0)</f>
        <v>4040956</v>
      </c>
    </row>
    <row r="4035">
      <c r="A4035" s="3">
        <f>IFERROR(__xludf.DUMMYFUNCTION("""COMPUTED_VALUE"""),44197.64583333333)</f>
        <v>44197.64583</v>
      </c>
      <c r="B4035" s="2">
        <f>IFERROR(__xludf.DUMMYFUNCTION("""COMPUTED_VALUE"""),2880.0)</f>
        <v>2880</v>
      </c>
      <c r="C4035" s="2">
        <f>IFERROR(__xludf.DUMMYFUNCTION("""COMPUTED_VALUE"""),2940.0)</f>
        <v>2940</v>
      </c>
      <c r="D4035" s="2">
        <f>IFERROR(__xludf.DUMMYFUNCTION("""COMPUTED_VALUE"""),2879.0)</f>
        <v>2879</v>
      </c>
      <c r="E4035" s="2">
        <f>IFERROR(__xludf.DUMMYFUNCTION("""COMPUTED_VALUE"""),2928.25)</f>
        <v>2928.25</v>
      </c>
      <c r="F4035" s="2">
        <f>IFERROR(__xludf.DUMMYFUNCTION("""COMPUTED_VALUE"""),2681440.0)</f>
        <v>2681440</v>
      </c>
    </row>
    <row r="4036">
      <c r="A4036" s="3">
        <f>IFERROR(__xludf.DUMMYFUNCTION("""COMPUTED_VALUE"""),44200.64583333333)</f>
        <v>44200.64583</v>
      </c>
      <c r="B4036" s="2">
        <f>IFERROR(__xludf.DUMMYFUNCTION("""COMPUTED_VALUE"""),2950.0)</f>
        <v>2950</v>
      </c>
      <c r="C4036" s="2">
        <f>IFERROR(__xludf.DUMMYFUNCTION("""COMPUTED_VALUE"""),3050.75)</f>
        <v>3050.75</v>
      </c>
      <c r="D4036" s="2">
        <f>IFERROR(__xludf.DUMMYFUNCTION("""COMPUTED_VALUE"""),2940.95)</f>
        <v>2940.95</v>
      </c>
      <c r="E4036" s="2">
        <f>IFERROR(__xludf.DUMMYFUNCTION("""COMPUTED_VALUE"""),3039.45)</f>
        <v>3039.45</v>
      </c>
      <c r="F4036" s="2">
        <f>IFERROR(__xludf.DUMMYFUNCTION("""COMPUTED_VALUE"""),5113293.0)</f>
        <v>5113293</v>
      </c>
    </row>
    <row r="4037">
      <c r="A4037" s="3">
        <f>IFERROR(__xludf.DUMMYFUNCTION("""COMPUTED_VALUE"""),44201.64583333333)</f>
        <v>44201.64583</v>
      </c>
      <c r="B4037" s="2">
        <f>IFERROR(__xludf.DUMMYFUNCTION("""COMPUTED_VALUE"""),3039.6)</f>
        <v>3039.6</v>
      </c>
      <c r="C4037" s="2">
        <f>IFERROR(__xludf.DUMMYFUNCTION("""COMPUTED_VALUE"""),3114.25)</f>
        <v>3114.25</v>
      </c>
      <c r="D4037" s="2">
        <f>IFERROR(__xludf.DUMMYFUNCTION("""COMPUTED_VALUE"""),3039.6)</f>
        <v>3039.6</v>
      </c>
      <c r="E4037" s="2">
        <f>IFERROR(__xludf.DUMMYFUNCTION("""COMPUTED_VALUE"""),3093.0)</f>
        <v>3093</v>
      </c>
      <c r="F4037" s="2">
        <f>IFERROR(__xludf.DUMMYFUNCTION("""COMPUTED_VALUE"""),5801309.0)</f>
        <v>5801309</v>
      </c>
    </row>
    <row r="4038">
      <c r="A4038" s="3">
        <f>IFERROR(__xludf.DUMMYFUNCTION("""COMPUTED_VALUE"""),44202.64583333333)</f>
        <v>44202.64583</v>
      </c>
      <c r="B4038" s="2">
        <f>IFERROR(__xludf.DUMMYFUNCTION("""COMPUTED_VALUE"""),3100.0)</f>
        <v>3100</v>
      </c>
      <c r="C4038" s="2">
        <f>IFERROR(__xludf.DUMMYFUNCTION("""COMPUTED_VALUE"""),3113.5)</f>
        <v>3113.5</v>
      </c>
      <c r="D4038" s="2">
        <f>IFERROR(__xludf.DUMMYFUNCTION("""COMPUTED_VALUE"""),3037.2)</f>
        <v>3037.2</v>
      </c>
      <c r="E4038" s="2">
        <f>IFERROR(__xludf.DUMMYFUNCTION("""COMPUTED_VALUE"""),3051.5)</f>
        <v>3051.5</v>
      </c>
      <c r="F4038" s="2">
        <f>IFERROR(__xludf.DUMMYFUNCTION("""COMPUTED_VALUE"""),3726716.0)</f>
        <v>3726716</v>
      </c>
    </row>
    <row r="4039">
      <c r="A4039" s="3">
        <f>IFERROR(__xludf.DUMMYFUNCTION("""COMPUTED_VALUE"""),44203.64583333333)</f>
        <v>44203.64583</v>
      </c>
      <c r="B4039" s="2">
        <f>IFERROR(__xludf.DUMMYFUNCTION("""COMPUTED_VALUE"""),3075.0)</f>
        <v>3075</v>
      </c>
      <c r="C4039" s="2">
        <f>IFERROR(__xludf.DUMMYFUNCTION("""COMPUTED_VALUE"""),3080.85)</f>
        <v>3080.85</v>
      </c>
      <c r="D4039" s="2">
        <f>IFERROR(__xludf.DUMMYFUNCTION("""COMPUTED_VALUE"""),3000.25)</f>
        <v>3000.25</v>
      </c>
      <c r="E4039" s="2">
        <f>IFERROR(__xludf.DUMMYFUNCTION("""COMPUTED_VALUE"""),3032.8)</f>
        <v>3032.8</v>
      </c>
      <c r="F4039" s="2">
        <f>IFERROR(__xludf.DUMMYFUNCTION("""COMPUTED_VALUE"""),3717827.0)</f>
        <v>3717827</v>
      </c>
    </row>
    <row r="4040">
      <c r="A4040" s="3">
        <f>IFERROR(__xludf.DUMMYFUNCTION("""COMPUTED_VALUE"""),44204.64583333333)</f>
        <v>44204.64583</v>
      </c>
      <c r="B4040" s="2">
        <f>IFERROR(__xludf.DUMMYFUNCTION("""COMPUTED_VALUE"""),3090.0)</f>
        <v>3090</v>
      </c>
      <c r="C4040" s="2">
        <f>IFERROR(__xludf.DUMMYFUNCTION("""COMPUTED_VALUE"""),3128.0)</f>
        <v>3128</v>
      </c>
      <c r="D4040" s="2">
        <f>IFERROR(__xludf.DUMMYFUNCTION("""COMPUTED_VALUE"""),3060.0)</f>
        <v>3060</v>
      </c>
      <c r="E4040" s="2">
        <f>IFERROR(__xludf.DUMMYFUNCTION("""COMPUTED_VALUE"""),3120.9)</f>
        <v>3120.9</v>
      </c>
      <c r="F4040" s="2">
        <f>IFERROR(__xludf.DUMMYFUNCTION("""COMPUTED_VALUE"""),5879039.0)</f>
        <v>5879039</v>
      </c>
    </row>
    <row r="4041">
      <c r="A4041" s="3">
        <f>IFERROR(__xludf.DUMMYFUNCTION("""COMPUTED_VALUE"""),44207.64583333333)</f>
        <v>44207.64583</v>
      </c>
      <c r="B4041" s="2">
        <f>IFERROR(__xludf.DUMMYFUNCTION("""COMPUTED_VALUE"""),3230.0)</f>
        <v>3230</v>
      </c>
      <c r="C4041" s="2">
        <f>IFERROR(__xludf.DUMMYFUNCTION("""COMPUTED_VALUE"""),3230.0)</f>
        <v>3230</v>
      </c>
      <c r="D4041" s="2">
        <f>IFERROR(__xludf.DUMMYFUNCTION("""COMPUTED_VALUE"""),3146.55)</f>
        <v>3146.55</v>
      </c>
      <c r="E4041" s="2">
        <f>IFERROR(__xludf.DUMMYFUNCTION("""COMPUTED_VALUE"""),3176.45)</f>
        <v>3176.45</v>
      </c>
      <c r="F4041" s="2">
        <f>IFERROR(__xludf.DUMMYFUNCTION("""COMPUTED_VALUE"""),9508039.0)</f>
        <v>9508039</v>
      </c>
    </row>
    <row r="4042">
      <c r="A4042" s="3">
        <f>IFERROR(__xludf.DUMMYFUNCTION("""COMPUTED_VALUE"""),44208.64583333333)</f>
        <v>44208.64583</v>
      </c>
      <c r="B4042" s="2">
        <f>IFERROR(__xludf.DUMMYFUNCTION("""COMPUTED_VALUE"""),3176.45)</f>
        <v>3176.45</v>
      </c>
      <c r="C4042" s="2">
        <f>IFERROR(__xludf.DUMMYFUNCTION("""COMPUTED_VALUE"""),3210.0)</f>
        <v>3210</v>
      </c>
      <c r="D4042" s="2">
        <f>IFERROR(__xludf.DUMMYFUNCTION("""COMPUTED_VALUE"""),3150.0)</f>
        <v>3150</v>
      </c>
      <c r="E4042" s="2">
        <f>IFERROR(__xludf.DUMMYFUNCTION("""COMPUTED_VALUE"""),3174.85)</f>
        <v>3174.85</v>
      </c>
      <c r="F4042" s="2">
        <f>IFERROR(__xludf.DUMMYFUNCTION("""COMPUTED_VALUE"""),3611458.0)</f>
        <v>3611458</v>
      </c>
    </row>
    <row r="4043">
      <c r="A4043" s="3">
        <f>IFERROR(__xludf.DUMMYFUNCTION("""COMPUTED_VALUE"""),44209.64583333333)</f>
        <v>44209.64583</v>
      </c>
      <c r="B4043" s="2">
        <f>IFERROR(__xludf.DUMMYFUNCTION("""COMPUTED_VALUE"""),3175.0)</f>
        <v>3175</v>
      </c>
      <c r="C4043" s="2">
        <f>IFERROR(__xludf.DUMMYFUNCTION("""COMPUTED_VALUE"""),3177.0)</f>
        <v>3177</v>
      </c>
      <c r="D4043" s="2">
        <f>IFERROR(__xludf.DUMMYFUNCTION("""COMPUTED_VALUE"""),3126.25)</f>
        <v>3126.25</v>
      </c>
      <c r="E4043" s="2">
        <f>IFERROR(__xludf.DUMMYFUNCTION("""COMPUTED_VALUE"""),3158.95)</f>
        <v>3158.95</v>
      </c>
      <c r="F4043" s="2">
        <f>IFERROR(__xludf.DUMMYFUNCTION("""COMPUTED_VALUE"""),3572801.0)</f>
        <v>3572801</v>
      </c>
    </row>
    <row r="4044">
      <c r="A4044" s="3">
        <f>IFERROR(__xludf.DUMMYFUNCTION("""COMPUTED_VALUE"""),44210.64583333333)</f>
        <v>44210.64583</v>
      </c>
      <c r="B4044" s="2">
        <f>IFERROR(__xludf.DUMMYFUNCTION("""COMPUTED_VALUE"""),3155.0)</f>
        <v>3155</v>
      </c>
      <c r="C4044" s="2">
        <f>IFERROR(__xludf.DUMMYFUNCTION("""COMPUTED_VALUE"""),3266.5)</f>
        <v>3266.5</v>
      </c>
      <c r="D4044" s="2">
        <f>IFERROR(__xludf.DUMMYFUNCTION("""COMPUTED_VALUE"""),3120.4)</f>
        <v>3120.4</v>
      </c>
      <c r="E4044" s="2">
        <f>IFERROR(__xludf.DUMMYFUNCTION("""COMPUTED_VALUE"""),3250.7)</f>
        <v>3250.7</v>
      </c>
      <c r="F4044" s="2">
        <f>IFERROR(__xludf.DUMMYFUNCTION("""COMPUTED_VALUE"""),6931542.0)</f>
        <v>6931542</v>
      </c>
    </row>
    <row r="4045">
      <c r="A4045" s="3">
        <f>IFERROR(__xludf.DUMMYFUNCTION("""COMPUTED_VALUE"""),44211.64583333333)</f>
        <v>44211.64583</v>
      </c>
      <c r="B4045" s="2">
        <f>IFERROR(__xludf.DUMMYFUNCTION("""COMPUTED_VALUE"""),3235.0)</f>
        <v>3235</v>
      </c>
      <c r="C4045" s="2">
        <f>IFERROR(__xludf.DUMMYFUNCTION("""COMPUTED_VALUE"""),3274.0)</f>
        <v>3274</v>
      </c>
      <c r="D4045" s="2">
        <f>IFERROR(__xludf.DUMMYFUNCTION("""COMPUTED_VALUE"""),3210.0)</f>
        <v>3210</v>
      </c>
      <c r="E4045" s="2">
        <f>IFERROR(__xludf.DUMMYFUNCTION("""COMPUTED_VALUE"""),3233.35)</f>
        <v>3233.35</v>
      </c>
      <c r="F4045" s="2">
        <f>IFERROR(__xludf.DUMMYFUNCTION("""COMPUTED_VALUE"""),4131692.0)</f>
        <v>4131692</v>
      </c>
    </row>
    <row r="4046">
      <c r="A4046" s="3">
        <f>IFERROR(__xludf.DUMMYFUNCTION("""COMPUTED_VALUE"""),44214.64583333333)</f>
        <v>44214.64583</v>
      </c>
      <c r="B4046" s="2">
        <f>IFERROR(__xludf.DUMMYFUNCTION("""COMPUTED_VALUE"""),3250.0)</f>
        <v>3250</v>
      </c>
      <c r="C4046" s="2">
        <f>IFERROR(__xludf.DUMMYFUNCTION("""COMPUTED_VALUE"""),3256.75)</f>
        <v>3256.75</v>
      </c>
      <c r="D4046" s="2">
        <f>IFERROR(__xludf.DUMMYFUNCTION("""COMPUTED_VALUE"""),3187.4)</f>
        <v>3187.4</v>
      </c>
      <c r="E4046" s="2">
        <f>IFERROR(__xludf.DUMMYFUNCTION("""COMPUTED_VALUE"""),3221.75)</f>
        <v>3221.75</v>
      </c>
      <c r="F4046" s="2">
        <f>IFERROR(__xludf.DUMMYFUNCTION("""COMPUTED_VALUE"""),4160906.0)</f>
        <v>4160906</v>
      </c>
    </row>
    <row r="4047">
      <c r="A4047" s="3">
        <f>IFERROR(__xludf.DUMMYFUNCTION("""COMPUTED_VALUE"""),44215.64583333333)</f>
        <v>44215.64583</v>
      </c>
      <c r="B4047" s="2">
        <f>IFERROR(__xludf.DUMMYFUNCTION("""COMPUTED_VALUE"""),3233.0)</f>
        <v>3233</v>
      </c>
      <c r="C4047" s="2">
        <f>IFERROR(__xludf.DUMMYFUNCTION("""COMPUTED_VALUE"""),3279.0)</f>
        <v>3279</v>
      </c>
      <c r="D4047" s="2">
        <f>IFERROR(__xludf.DUMMYFUNCTION("""COMPUTED_VALUE"""),3232.0)</f>
        <v>3232</v>
      </c>
      <c r="E4047" s="2">
        <f>IFERROR(__xludf.DUMMYFUNCTION("""COMPUTED_VALUE"""),3260.7)</f>
        <v>3260.7</v>
      </c>
      <c r="F4047" s="2">
        <f>IFERROR(__xludf.DUMMYFUNCTION("""COMPUTED_VALUE"""),2975735.0)</f>
        <v>2975735</v>
      </c>
    </row>
    <row r="4048">
      <c r="A4048" s="3">
        <f>IFERROR(__xludf.DUMMYFUNCTION("""COMPUTED_VALUE"""),44216.64583333333)</f>
        <v>44216.64583</v>
      </c>
      <c r="B4048" s="2">
        <f>IFERROR(__xludf.DUMMYFUNCTION("""COMPUTED_VALUE"""),3270.0)</f>
        <v>3270</v>
      </c>
      <c r="C4048" s="2">
        <f>IFERROR(__xludf.DUMMYFUNCTION("""COMPUTED_VALUE"""),3327.95)</f>
        <v>3327.95</v>
      </c>
      <c r="D4048" s="2">
        <f>IFERROR(__xludf.DUMMYFUNCTION("""COMPUTED_VALUE"""),3267.1)</f>
        <v>3267.1</v>
      </c>
      <c r="E4048" s="2">
        <f>IFERROR(__xludf.DUMMYFUNCTION("""COMPUTED_VALUE"""),3308.8)</f>
        <v>3308.8</v>
      </c>
      <c r="F4048" s="2">
        <f>IFERROR(__xludf.DUMMYFUNCTION("""COMPUTED_VALUE"""),3453446.0)</f>
        <v>3453446</v>
      </c>
    </row>
    <row r="4049">
      <c r="A4049" s="3">
        <f>IFERROR(__xludf.DUMMYFUNCTION("""COMPUTED_VALUE"""),44217.64583333333)</f>
        <v>44217.64583</v>
      </c>
      <c r="B4049" s="2">
        <f>IFERROR(__xludf.DUMMYFUNCTION("""COMPUTED_VALUE"""),3305.0)</f>
        <v>3305</v>
      </c>
      <c r="C4049" s="2">
        <f>IFERROR(__xludf.DUMMYFUNCTION("""COMPUTED_VALUE"""),3309.15)</f>
        <v>3309.15</v>
      </c>
      <c r="D4049" s="2">
        <f>IFERROR(__xludf.DUMMYFUNCTION("""COMPUTED_VALUE"""),3262.1)</f>
        <v>3262.1</v>
      </c>
      <c r="E4049" s="2">
        <f>IFERROR(__xludf.DUMMYFUNCTION("""COMPUTED_VALUE"""),3273.85)</f>
        <v>3273.85</v>
      </c>
      <c r="F4049" s="2">
        <f>IFERROR(__xludf.DUMMYFUNCTION("""COMPUTED_VALUE"""),2778546.0)</f>
        <v>2778546</v>
      </c>
    </row>
    <row r="4050">
      <c r="A4050" s="3">
        <f>IFERROR(__xludf.DUMMYFUNCTION("""COMPUTED_VALUE"""),44218.64583333333)</f>
        <v>44218.64583</v>
      </c>
      <c r="B4050" s="2">
        <f>IFERROR(__xludf.DUMMYFUNCTION("""COMPUTED_VALUE"""),3241.9)</f>
        <v>3241.9</v>
      </c>
      <c r="C4050" s="2">
        <f>IFERROR(__xludf.DUMMYFUNCTION("""COMPUTED_VALUE"""),3325.0)</f>
        <v>3325</v>
      </c>
      <c r="D4050" s="2">
        <f>IFERROR(__xludf.DUMMYFUNCTION("""COMPUTED_VALUE"""),3241.9)</f>
        <v>3241.9</v>
      </c>
      <c r="E4050" s="2">
        <f>IFERROR(__xludf.DUMMYFUNCTION("""COMPUTED_VALUE"""),3303.1)</f>
        <v>3303.1</v>
      </c>
      <c r="F4050" s="2">
        <f>IFERROR(__xludf.DUMMYFUNCTION("""COMPUTED_VALUE"""),3052459.0)</f>
        <v>3052459</v>
      </c>
    </row>
    <row r="4051">
      <c r="A4051" s="3">
        <f>IFERROR(__xludf.DUMMYFUNCTION("""COMPUTED_VALUE"""),44221.64583333333)</f>
        <v>44221.64583</v>
      </c>
      <c r="B4051" s="2">
        <f>IFERROR(__xludf.DUMMYFUNCTION("""COMPUTED_VALUE"""),3308.95)</f>
        <v>3308.95</v>
      </c>
      <c r="C4051" s="2">
        <f>IFERROR(__xludf.DUMMYFUNCTION("""COMPUTED_VALUE"""),3339.8)</f>
        <v>3339.8</v>
      </c>
      <c r="D4051" s="2">
        <f>IFERROR(__xludf.DUMMYFUNCTION("""COMPUTED_VALUE"""),3278.65)</f>
        <v>3278.65</v>
      </c>
      <c r="E4051" s="2">
        <f>IFERROR(__xludf.DUMMYFUNCTION("""COMPUTED_VALUE"""),3291.3)</f>
        <v>3291.3</v>
      </c>
      <c r="F4051" s="2">
        <f>IFERROR(__xludf.DUMMYFUNCTION("""COMPUTED_VALUE"""),2272887.0)</f>
        <v>2272887</v>
      </c>
    </row>
  </sheetData>
  <drawing r:id="rId1"/>
</worksheet>
</file>