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gajud\OneDrive\Desktop\"/>
    </mc:Choice>
  </mc:AlternateContent>
  <xr:revisionPtr revIDLastSave="0" documentId="13_ncr:1_{3CBC2AF6-8482-4BF5-B6D0-D4303A8730A5}" xr6:coauthVersionLast="47" xr6:coauthVersionMax="47" xr10:uidLastSave="{00000000-0000-0000-0000-000000000000}"/>
  <bookViews>
    <workbookView xWindow="-108" yWindow="-108" windowWidth="23256" windowHeight="12456" tabRatio="907" activeTab="1" xr2:uid="{7CE9269B-3B4A-4421-B385-80C3EA831979}"/>
  </bookViews>
  <sheets>
    <sheet name="Dashboard" sheetId="12" r:id="rId1"/>
    <sheet name="IS" sheetId="1" r:id="rId2"/>
    <sheet name="BS" sheetId="6" r:id="rId3"/>
    <sheet name="CFS" sheetId="8" r:id="rId4"/>
    <sheet name="DCF" sheetId="13" r:id="rId5"/>
    <sheet name="Ratios" sheetId="16" r:id="rId6"/>
    <sheet name="Scenario" sheetId="11" r:id="rId7"/>
    <sheet name="Revenue Model" sheetId="5" r:id="rId8"/>
    <sheet name="DEBT" sheetId="9" r:id="rId9"/>
    <sheet name="Operating Model" sheetId="2" r:id="rId10"/>
    <sheet name="BS Schedules" sheetId="7" r:id="rId11"/>
    <sheet name="Sheet1" sheetId="17" r:id="rId12"/>
  </sheets>
  <definedNames>
    <definedName name="_xlchart.v1.0" hidden="1">IS!$B$44:$B$45</definedName>
    <definedName name="_xlchart.v1.1" hidden="1">IS!$C$44:$C$45</definedName>
    <definedName name="WACC">DCF!$F$56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6" l="1"/>
  <c r="E39" i="6"/>
  <c r="D39" i="6"/>
  <c r="D38" i="6"/>
  <c r="E27" i="16"/>
  <c r="E26" i="16"/>
  <c r="C48" i="1" l="1"/>
  <c r="C49" i="1" s="1"/>
  <c r="C50" i="1" s="1"/>
  <c r="C51" i="1" s="1"/>
  <c r="C52" i="1" s="1"/>
  <c r="C53" i="1" s="1"/>
  <c r="C54" i="1" s="1"/>
  <c r="B45" i="1"/>
  <c r="B44" i="1"/>
  <c r="E38" i="6"/>
  <c r="F38" i="16"/>
  <c r="F39" i="16" s="1"/>
  <c r="G38" i="16"/>
  <c r="G39" i="16" s="1"/>
  <c r="E38" i="16"/>
  <c r="E39" i="16" s="1"/>
  <c r="E8" i="16" l="1"/>
  <c r="E37" i="16" l="1"/>
  <c r="E36" i="16"/>
  <c r="E35" i="16"/>
  <c r="E34" i="16"/>
  <c r="E33" i="16"/>
  <c r="E25" i="16"/>
  <c r="E7" i="16"/>
  <c r="E9" i="16"/>
  <c r="D2" i="16"/>
  <c r="E2" i="16" s="1"/>
  <c r="F2" i="16" s="1"/>
  <c r="G2" i="16" s="1"/>
  <c r="H2" i="16" s="1"/>
  <c r="I2" i="16" s="1"/>
  <c r="J2" i="16" s="1"/>
  <c r="C5" i="11" l="1" a="1"/>
  <c r="C5" i="11" s="1"/>
  <c r="C39" i="1" l="1"/>
  <c r="C40" i="1" s="1"/>
  <c r="D26" i="1"/>
  <c r="E26" i="1"/>
  <c r="C26" i="1"/>
  <c r="D39" i="1"/>
  <c r="E39" i="1"/>
  <c r="E40" i="1" s="1"/>
  <c r="D40" i="1"/>
  <c r="H42" i="13" l="1"/>
  <c r="H41" i="13"/>
  <c r="H40" i="13"/>
  <c r="H43" i="13" s="1"/>
  <c r="H39" i="13"/>
  <c r="H38" i="13"/>
  <c r="C57" i="13"/>
  <c r="C58" i="13" s="1"/>
  <c r="D28" i="13" s="1"/>
  <c r="C56" i="13"/>
  <c r="C52" i="13"/>
  <c r="D30" i="13" s="1"/>
  <c r="C47" i="13"/>
  <c r="C44" i="13"/>
  <c r="C42" i="13"/>
  <c r="G21" i="13"/>
  <c r="H21" i="13" s="1"/>
  <c r="I21" i="13" s="1"/>
  <c r="J21" i="13" s="1"/>
  <c r="D2" i="13"/>
  <c r="E2" i="13" s="1"/>
  <c r="F2" i="13" s="1"/>
  <c r="G2" i="13" s="1"/>
  <c r="H2" i="13" s="1"/>
  <c r="I2" i="13" s="1"/>
  <c r="J2" i="13" s="1"/>
  <c r="G6" i="13"/>
  <c r="H6" i="13"/>
  <c r="I6" i="13"/>
  <c r="J6" i="13"/>
  <c r="C54" i="13" l="1"/>
  <c r="F6" i="13"/>
  <c r="C48" i="13" s="1"/>
  <c r="D20" i="11"/>
  <c r="D2" i="8"/>
  <c r="E2" i="8" s="1"/>
  <c r="F2" i="8" s="1"/>
  <c r="G2" i="8" s="1"/>
  <c r="H2" i="8" s="1"/>
  <c r="I2" i="8" s="1"/>
  <c r="J2" i="8" s="1"/>
  <c r="D48" i="6"/>
  <c r="D47" i="6"/>
  <c r="D6" i="5"/>
  <c r="D8" i="11" s="1"/>
  <c r="E8" i="11"/>
  <c r="D2" i="11"/>
  <c r="E2" i="11" s="1"/>
  <c r="F2" i="11" s="1"/>
  <c r="G2" i="11" s="1"/>
  <c r="H2" i="11" s="1"/>
  <c r="I2" i="11" s="1"/>
  <c r="J2" i="11" s="1"/>
  <c r="F29" i="8"/>
  <c r="F34" i="6"/>
  <c r="G34" i="6" s="1"/>
  <c r="H34" i="6" s="1"/>
  <c r="I34" i="6" s="1"/>
  <c r="J34" i="6" s="1"/>
  <c r="J78" i="9"/>
  <c r="J28" i="6" s="1"/>
  <c r="E78" i="9"/>
  <c r="E79" i="9" s="1"/>
  <c r="F17" i="9"/>
  <c r="F18" i="9"/>
  <c r="F19" i="9"/>
  <c r="F20" i="9"/>
  <c r="F21" i="9"/>
  <c r="F22" i="9"/>
  <c r="F23" i="9"/>
  <c r="F24" i="9"/>
  <c r="F25" i="9"/>
  <c r="F26" i="9"/>
  <c r="F27" i="9"/>
  <c r="F28" i="9"/>
  <c r="F29" i="9"/>
  <c r="F30" i="9"/>
  <c r="F16" i="9"/>
  <c r="F14" i="9"/>
  <c r="E75" i="9"/>
  <c r="E77" i="9" s="1"/>
  <c r="C75" i="9"/>
  <c r="C53" i="9"/>
  <c r="C31" i="9"/>
  <c r="F6" i="9"/>
  <c r="D2" i="9"/>
  <c r="E2" i="9" s="1"/>
  <c r="F2" i="9" s="1"/>
  <c r="G2" i="9" s="1"/>
  <c r="H2" i="9" s="1"/>
  <c r="I2" i="9" s="1"/>
  <c r="J2" i="9" s="1"/>
  <c r="G12" i="8"/>
  <c r="G14" i="13" s="1"/>
  <c r="H12" i="8"/>
  <c r="H14" i="13" s="1"/>
  <c r="I12" i="8"/>
  <c r="I14" i="13" s="1"/>
  <c r="F12" i="8"/>
  <c r="F14" i="13" s="1"/>
  <c r="D96" i="2"/>
  <c r="D100" i="2" s="1"/>
  <c r="E96" i="2"/>
  <c r="E100" i="2" s="1"/>
  <c r="C96" i="2"/>
  <c r="C100" i="2" s="1"/>
  <c r="G40" i="6"/>
  <c r="H40" i="6" s="1"/>
  <c r="I40" i="6" s="1"/>
  <c r="J40" i="6" s="1"/>
  <c r="G44" i="6"/>
  <c r="H44" i="6" s="1"/>
  <c r="I44" i="6" s="1"/>
  <c r="J44" i="6" s="1"/>
  <c r="F43" i="6"/>
  <c r="G43" i="6" s="1"/>
  <c r="H43" i="6" s="1"/>
  <c r="I43" i="6" s="1"/>
  <c r="J43" i="6" s="1"/>
  <c r="F44" i="6"/>
  <c r="F40" i="6"/>
  <c r="F36" i="6"/>
  <c r="G36" i="6" s="1"/>
  <c r="H36" i="6" s="1"/>
  <c r="I36" i="6" s="1"/>
  <c r="J36" i="6" s="1"/>
  <c r="F37" i="6"/>
  <c r="G37" i="6" s="1"/>
  <c r="H37" i="6" s="1"/>
  <c r="I37" i="6" s="1"/>
  <c r="J37" i="6" s="1"/>
  <c r="F29" i="6"/>
  <c r="F14" i="8" s="1"/>
  <c r="F16" i="13" s="1"/>
  <c r="G20" i="6"/>
  <c r="H20" i="6" s="1"/>
  <c r="I20" i="6" s="1"/>
  <c r="J20" i="6" s="1"/>
  <c r="G22" i="6"/>
  <c r="H22" i="6" s="1"/>
  <c r="I22" i="6" s="1"/>
  <c r="J22" i="6" s="1"/>
  <c r="F20" i="6"/>
  <c r="F21" i="6"/>
  <c r="G21" i="6" s="1"/>
  <c r="H21" i="6" s="1"/>
  <c r="I21" i="6" s="1"/>
  <c r="J21" i="6" s="1"/>
  <c r="F22" i="6"/>
  <c r="F23" i="6"/>
  <c r="G23" i="6" s="1"/>
  <c r="H23" i="6" s="1"/>
  <c r="I23" i="6" s="1"/>
  <c r="J23" i="6" s="1"/>
  <c r="E26" i="7"/>
  <c r="F24" i="7" s="1"/>
  <c r="E31" i="7"/>
  <c r="F28" i="7" s="1"/>
  <c r="D31" i="7"/>
  <c r="D26" i="7"/>
  <c r="E13" i="7"/>
  <c r="D13" i="7"/>
  <c r="E11" i="7"/>
  <c r="E12" i="7"/>
  <c r="D12" i="7"/>
  <c r="D11" i="7"/>
  <c r="D6" i="7"/>
  <c r="E6" i="7"/>
  <c r="D7" i="7"/>
  <c r="E7" i="7"/>
  <c r="C6" i="7"/>
  <c r="C7" i="7"/>
  <c r="D2" i="7"/>
  <c r="E2" i="7" s="1"/>
  <c r="F2" i="7" s="1"/>
  <c r="G2" i="7" s="1"/>
  <c r="H2" i="7" s="1"/>
  <c r="I2" i="7" s="1"/>
  <c r="J2" i="7" s="1"/>
  <c r="E9" i="6"/>
  <c r="F9" i="6" s="1"/>
  <c r="G9" i="6" s="1"/>
  <c r="H9" i="6" s="1"/>
  <c r="I9" i="6" s="1"/>
  <c r="D9" i="6"/>
  <c r="D10" i="6" s="1"/>
  <c r="E45" i="6"/>
  <c r="E47" i="6" s="1"/>
  <c r="D45" i="6"/>
  <c r="E30" i="6"/>
  <c r="D30" i="6"/>
  <c r="D17" i="6"/>
  <c r="E10" i="6"/>
  <c r="E24" i="6" s="1"/>
  <c r="D2" i="6"/>
  <c r="E2" i="6" s="1"/>
  <c r="F2" i="6" s="1"/>
  <c r="G2" i="6" s="1"/>
  <c r="H2" i="6" s="1"/>
  <c r="I2" i="6" s="1"/>
  <c r="J2" i="6" s="1"/>
  <c r="F31" i="1"/>
  <c r="G31" i="1" s="1"/>
  <c r="H31" i="1" s="1"/>
  <c r="C84" i="2"/>
  <c r="C83" i="2"/>
  <c r="D83" i="2"/>
  <c r="E83" i="2"/>
  <c r="D84" i="2"/>
  <c r="E84" i="2"/>
  <c r="F17" i="1"/>
  <c r="G17" i="1" s="1"/>
  <c r="H17" i="1" s="1"/>
  <c r="I17" i="1" s="1"/>
  <c r="J17" i="1" s="1"/>
  <c r="J6" i="7" s="1"/>
  <c r="C73" i="2"/>
  <c r="D73" i="2"/>
  <c r="E73" i="2"/>
  <c r="C74" i="2"/>
  <c r="D74" i="2"/>
  <c r="E74" i="2"/>
  <c r="C72" i="2"/>
  <c r="D72" i="2"/>
  <c r="E72" i="2"/>
  <c r="C70" i="2"/>
  <c r="D70" i="2"/>
  <c r="E70" i="2"/>
  <c r="C71" i="2"/>
  <c r="D71" i="2"/>
  <c r="E71" i="2"/>
  <c r="F6" i="1"/>
  <c r="G6" i="1" s="1"/>
  <c r="H6" i="1" s="1"/>
  <c r="I6" i="1" s="1"/>
  <c r="J6" i="1" s="1"/>
  <c r="C60" i="2"/>
  <c r="D24" i="2"/>
  <c r="E24" i="2"/>
  <c r="D25" i="2"/>
  <c r="E25" i="2"/>
  <c r="D26" i="2"/>
  <c r="E26" i="2"/>
  <c r="C25" i="2"/>
  <c r="C26" i="2"/>
  <c r="C24" i="2"/>
  <c r="F31" i="2"/>
  <c r="F32" i="2"/>
  <c r="F30" i="2"/>
  <c r="D36" i="5"/>
  <c r="E36" i="5"/>
  <c r="F36" i="5" s="1"/>
  <c r="G36" i="5" s="1"/>
  <c r="H36" i="5" s="1"/>
  <c r="I36" i="5" s="1"/>
  <c r="J36" i="5" s="1"/>
  <c r="D37" i="5"/>
  <c r="E37" i="5"/>
  <c r="F37" i="5" s="1"/>
  <c r="G37" i="5" s="1"/>
  <c r="H37" i="5" s="1"/>
  <c r="I37" i="5" s="1"/>
  <c r="J37" i="5" s="1"/>
  <c r="D38" i="5"/>
  <c r="E38" i="5"/>
  <c r="F38" i="5" s="1"/>
  <c r="G38" i="5" s="1"/>
  <c r="H38" i="5" s="1"/>
  <c r="I38" i="5" s="1"/>
  <c r="J38" i="5" s="1"/>
  <c r="C37" i="5"/>
  <c r="C38" i="5"/>
  <c r="C36" i="5"/>
  <c r="D30" i="5"/>
  <c r="E30" i="5"/>
  <c r="F30" i="5" s="1"/>
  <c r="G30" i="5" s="1"/>
  <c r="H30" i="5" s="1"/>
  <c r="I30" i="5" s="1"/>
  <c r="J30" i="5" s="1"/>
  <c r="D31" i="5"/>
  <c r="E31" i="5"/>
  <c r="F31" i="5" s="1"/>
  <c r="D32" i="5"/>
  <c r="E32" i="5"/>
  <c r="F32" i="5" s="1"/>
  <c r="G32" i="5" s="1"/>
  <c r="H32" i="5" s="1"/>
  <c r="I32" i="5" s="1"/>
  <c r="J32" i="5" s="1"/>
  <c r="C31" i="5"/>
  <c r="C32" i="5"/>
  <c r="C30" i="5"/>
  <c r="D26" i="5"/>
  <c r="D25" i="5"/>
  <c r="D24" i="5"/>
  <c r="E25" i="5"/>
  <c r="E26" i="5"/>
  <c r="E24" i="5"/>
  <c r="F13" i="2"/>
  <c r="G13" i="2" s="1"/>
  <c r="H13" i="2" s="1"/>
  <c r="I13" i="2" s="1"/>
  <c r="J13" i="2" s="1"/>
  <c r="E20" i="5"/>
  <c r="D20" i="5"/>
  <c r="E19" i="5"/>
  <c r="D19" i="5"/>
  <c r="E18" i="5"/>
  <c r="D18" i="5"/>
  <c r="E14" i="5"/>
  <c r="D14" i="5"/>
  <c r="E13" i="5"/>
  <c r="D13" i="5"/>
  <c r="E12" i="5"/>
  <c r="D12" i="5"/>
  <c r="E6" i="5"/>
  <c r="E7" i="5"/>
  <c r="E14" i="11" s="1"/>
  <c r="E8" i="5"/>
  <c r="E20" i="11" s="1"/>
  <c r="D7" i="5"/>
  <c r="D14" i="11" s="1"/>
  <c r="D8" i="5"/>
  <c r="D2" i="5"/>
  <c r="E2" i="5" s="1"/>
  <c r="F2" i="5" s="1"/>
  <c r="G2" i="5" s="1"/>
  <c r="H2" i="5" s="1"/>
  <c r="I2" i="5" s="1"/>
  <c r="J2" i="5" s="1"/>
  <c r="E62" i="2"/>
  <c r="D62" i="2"/>
  <c r="C62" i="2"/>
  <c r="E61" i="2"/>
  <c r="D61" i="2"/>
  <c r="C61" i="2"/>
  <c r="E60" i="2"/>
  <c r="D60" i="2"/>
  <c r="E56" i="2"/>
  <c r="D56" i="2"/>
  <c r="C56" i="2"/>
  <c r="E55" i="2"/>
  <c r="D55" i="2"/>
  <c r="C55" i="2"/>
  <c r="E54" i="2"/>
  <c r="D54" i="2"/>
  <c r="C54" i="2"/>
  <c r="D48" i="2"/>
  <c r="E48" i="2"/>
  <c r="D49" i="2"/>
  <c r="E49" i="2"/>
  <c r="D50" i="2"/>
  <c r="E50" i="2"/>
  <c r="C49" i="2"/>
  <c r="C50" i="2"/>
  <c r="C48" i="2"/>
  <c r="D21" i="2"/>
  <c r="E21" i="2"/>
  <c r="C21" i="2"/>
  <c r="D15" i="2"/>
  <c r="E15" i="2"/>
  <c r="C15" i="2"/>
  <c r="D9" i="2"/>
  <c r="E9" i="2"/>
  <c r="C9" i="2"/>
  <c r="D2" i="2"/>
  <c r="E2" i="2" s="1"/>
  <c r="F2" i="2" s="1"/>
  <c r="G2" i="2" s="1"/>
  <c r="H2" i="2" s="1"/>
  <c r="I2" i="2" s="1"/>
  <c r="J2" i="2" s="1"/>
  <c r="D7" i="1"/>
  <c r="D12" i="1" s="1"/>
  <c r="E7" i="1"/>
  <c r="E5" i="7" s="1"/>
  <c r="C7" i="1"/>
  <c r="C12" i="1" s="1"/>
  <c r="D2" i="1"/>
  <c r="E2" i="1" s="1"/>
  <c r="F2" i="1" s="1"/>
  <c r="G2" i="1" s="1"/>
  <c r="H2" i="1" s="1"/>
  <c r="I2" i="1" s="1"/>
  <c r="J2" i="1" s="1"/>
  <c r="C61" i="13" l="1"/>
  <c r="C62" i="13"/>
  <c r="F18" i="5"/>
  <c r="I23" i="11"/>
  <c r="E19" i="16"/>
  <c r="E20" i="16"/>
  <c r="E15" i="16"/>
  <c r="E16" i="16" s="1"/>
  <c r="E21" i="16"/>
  <c r="E41" i="1"/>
  <c r="E32" i="16" s="1"/>
  <c r="E17" i="16"/>
  <c r="E18" i="16" s="1"/>
  <c r="E13" i="16"/>
  <c r="E14" i="16" s="1"/>
  <c r="F22" i="11"/>
  <c r="J24" i="11"/>
  <c r="J20" i="11" s="1"/>
  <c r="H23" i="11"/>
  <c r="J23" i="11"/>
  <c r="G22" i="11"/>
  <c r="H22" i="11"/>
  <c r="F24" i="11"/>
  <c r="F20" i="11" s="1"/>
  <c r="I22" i="11"/>
  <c r="G24" i="11"/>
  <c r="G20" i="11" s="1"/>
  <c r="J22" i="11"/>
  <c r="H24" i="11"/>
  <c r="H20" i="11" s="1"/>
  <c r="I24" i="11"/>
  <c r="I20" i="11" s="1"/>
  <c r="F23" i="11"/>
  <c r="G23" i="11"/>
  <c r="F96" i="2"/>
  <c r="D5" i="7"/>
  <c r="D27" i="1"/>
  <c r="D90" i="2" s="1"/>
  <c r="F100" i="2"/>
  <c r="G100" i="2" s="1"/>
  <c r="H100" i="2" s="1"/>
  <c r="I100" i="2" s="1"/>
  <c r="J100" i="2" s="1"/>
  <c r="C27" i="1"/>
  <c r="E16" i="7"/>
  <c r="E37" i="7"/>
  <c r="I10" i="11"/>
  <c r="I12" i="11"/>
  <c r="I8" i="11" s="1"/>
  <c r="I6" i="5" s="1"/>
  <c r="J10" i="11"/>
  <c r="J8" i="11" s="1"/>
  <c r="J6" i="5" s="1"/>
  <c r="J12" i="11"/>
  <c r="H11" i="11"/>
  <c r="G11" i="11"/>
  <c r="F12" i="11"/>
  <c r="I11" i="11"/>
  <c r="F10" i="11"/>
  <c r="F8" i="11" s="1"/>
  <c r="F6" i="5" s="1"/>
  <c r="F6" i="2" s="1"/>
  <c r="J11" i="11"/>
  <c r="G10" i="11"/>
  <c r="G8" i="11" s="1"/>
  <c r="G6" i="5" s="1"/>
  <c r="G12" i="11"/>
  <c r="H10" i="11"/>
  <c r="H8" i="11" s="1"/>
  <c r="H6" i="5" s="1"/>
  <c r="H12" i="11"/>
  <c r="F11" i="11"/>
  <c r="I31" i="1"/>
  <c r="H96" i="2"/>
  <c r="F17" i="11"/>
  <c r="H17" i="11"/>
  <c r="I16" i="11"/>
  <c r="F16" i="11"/>
  <c r="F14" i="11" s="1"/>
  <c r="F7" i="5" s="1"/>
  <c r="G17" i="11"/>
  <c r="J18" i="11"/>
  <c r="J16" i="11"/>
  <c r="I18" i="11"/>
  <c r="H18" i="11"/>
  <c r="H16" i="11"/>
  <c r="G18" i="11"/>
  <c r="G16" i="11"/>
  <c r="G14" i="11" s="1"/>
  <c r="G7" i="5" s="1"/>
  <c r="J17" i="11"/>
  <c r="F18" i="11"/>
  <c r="I17" i="11"/>
  <c r="D30" i="1"/>
  <c r="D34" i="1" s="1"/>
  <c r="G6" i="7"/>
  <c r="E12" i="1"/>
  <c r="C5" i="7"/>
  <c r="F6" i="7"/>
  <c r="G96" i="2"/>
  <c r="F20" i="5"/>
  <c r="D33" i="7"/>
  <c r="G29" i="6"/>
  <c r="I6" i="7"/>
  <c r="H6" i="7"/>
  <c r="F31" i="9"/>
  <c r="D24" i="6"/>
  <c r="E17" i="7"/>
  <c r="D18" i="7"/>
  <c r="E18" i="7"/>
  <c r="E33" i="7"/>
  <c r="E48" i="6"/>
  <c r="E49" i="6" s="1"/>
  <c r="D17" i="7"/>
  <c r="J9" i="6"/>
  <c r="J12" i="8" s="1"/>
  <c r="J14" i="13" s="1"/>
  <c r="E27" i="2"/>
  <c r="E80" i="2" s="1"/>
  <c r="F12" i="5"/>
  <c r="G12" i="5" s="1"/>
  <c r="H12" i="5" s="1"/>
  <c r="I12" i="5" s="1"/>
  <c r="J12" i="5" s="1"/>
  <c r="F14" i="5"/>
  <c r="G14" i="5" s="1"/>
  <c r="H14" i="5" s="1"/>
  <c r="I14" i="5" s="1"/>
  <c r="J14" i="5" s="1"/>
  <c r="F19" i="5"/>
  <c r="G19" i="5" s="1"/>
  <c r="H19" i="5" s="1"/>
  <c r="I19" i="5" s="1"/>
  <c r="J19" i="5" s="1"/>
  <c r="C27" i="2"/>
  <c r="C78" i="2" s="1"/>
  <c r="D27" i="2"/>
  <c r="D78" i="2" s="1"/>
  <c r="E51" i="2"/>
  <c r="F43" i="2"/>
  <c r="D63" i="2"/>
  <c r="F36" i="2"/>
  <c r="E57" i="2"/>
  <c r="D51" i="2"/>
  <c r="C51" i="2"/>
  <c r="E63" i="2"/>
  <c r="F8" i="5"/>
  <c r="G8" i="5" s="1"/>
  <c r="H8" i="5" s="1"/>
  <c r="I8" i="5" s="1"/>
  <c r="J8" i="5" s="1"/>
  <c r="G31" i="2"/>
  <c r="H31" i="2" s="1"/>
  <c r="I31" i="2" s="1"/>
  <c r="J31" i="2" s="1"/>
  <c r="J43" i="2" s="1"/>
  <c r="F38" i="2"/>
  <c r="G20" i="5"/>
  <c r="H20" i="5" s="1"/>
  <c r="I20" i="5" s="1"/>
  <c r="J20" i="5" s="1"/>
  <c r="F20" i="2"/>
  <c r="G18" i="5"/>
  <c r="H18" i="5" s="1"/>
  <c r="I18" i="5" s="1"/>
  <c r="J18" i="5" s="1"/>
  <c r="F18" i="2"/>
  <c r="G31" i="5"/>
  <c r="H31" i="5" s="1"/>
  <c r="I31" i="5" s="1"/>
  <c r="J31" i="5" s="1"/>
  <c r="F37" i="2"/>
  <c r="F55" i="2" s="1"/>
  <c r="C57" i="2"/>
  <c r="G30" i="2"/>
  <c r="F42" i="2"/>
  <c r="D57" i="2"/>
  <c r="C63" i="2"/>
  <c r="F44" i="2"/>
  <c r="G32" i="2"/>
  <c r="G43" i="2"/>
  <c r="F56" i="13" l="1"/>
  <c r="J14" i="11"/>
  <c r="J7" i="5" s="1"/>
  <c r="I14" i="11"/>
  <c r="I7" i="5" s="1"/>
  <c r="H14" i="11"/>
  <c r="H7" i="5" s="1"/>
  <c r="C37" i="7"/>
  <c r="F37" i="7" s="1"/>
  <c r="G37" i="7" s="1"/>
  <c r="H37" i="7" s="1"/>
  <c r="I37" i="7" s="1"/>
  <c r="J37" i="7" s="1"/>
  <c r="C41" i="1"/>
  <c r="D37" i="7"/>
  <c r="D41" i="1"/>
  <c r="F98" i="2"/>
  <c r="F22" i="8" s="1"/>
  <c r="D16" i="7"/>
  <c r="F16" i="7" s="1"/>
  <c r="G16" i="7" s="1"/>
  <c r="H16" i="7" s="1"/>
  <c r="I16" i="7" s="1"/>
  <c r="J16" i="7" s="1"/>
  <c r="H98" i="2"/>
  <c r="H22" i="8" s="1"/>
  <c r="D80" i="2"/>
  <c r="G98" i="2"/>
  <c r="G22" i="8" s="1"/>
  <c r="I96" i="2"/>
  <c r="I98" i="2" s="1"/>
  <c r="I22" i="8" s="1"/>
  <c r="J31" i="1"/>
  <c r="J96" i="2" s="1"/>
  <c r="J98" i="2" s="1"/>
  <c r="J22" i="8" s="1"/>
  <c r="D93" i="2"/>
  <c r="D38" i="1"/>
  <c r="F18" i="7"/>
  <c r="G18" i="7" s="1"/>
  <c r="H18" i="7" s="1"/>
  <c r="I18" i="7" s="1"/>
  <c r="J18" i="7" s="1"/>
  <c r="E27" i="1"/>
  <c r="G14" i="8"/>
  <c r="G16" i="13" s="1"/>
  <c r="H29" i="6"/>
  <c r="F17" i="7"/>
  <c r="G17" i="7" s="1"/>
  <c r="H17" i="7" s="1"/>
  <c r="C30" i="1"/>
  <c r="C34" i="1" s="1"/>
  <c r="C90" i="2"/>
  <c r="C80" i="2"/>
  <c r="D81" i="2"/>
  <c r="E81" i="2"/>
  <c r="D77" i="2"/>
  <c r="D79" i="2"/>
  <c r="C77" i="2"/>
  <c r="E79" i="2"/>
  <c r="E78" i="2"/>
  <c r="F78" i="2" s="1"/>
  <c r="G78" i="2" s="1"/>
  <c r="H78" i="2" s="1"/>
  <c r="I78" i="2" s="1"/>
  <c r="J78" i="2" s="1"/>
  <c r="E77" i="2"/>
  <c r="C79" i="2"/>
  <c r="C81" i="2"/>
  <c r="H43" i="2"/>
  <c r="I43" i="2"/>
  <c r="F7" i="2"/>
  <c r="F49" i="2" s="1"/>
  <c r="J37" i="2"/>
  <c r="J55" i="2" s="1"/>
  <c r="G37" i="2"/>
  <c r="G55" i="2" s="1"/>
  <c r="F19" i="2"/>
  <c r="G19" i="2" s="1"/>
  <c r="F8" i="2"/>
  <c r="G8" i="2" s="1"/>
  <c r="F14" i="2"/>
  <c r="G14" i="2" s="1"/>
  <c r="F12" i="2"/>
  <c r="G12" i="2" s="1"/>
  <c r="H12" i="2" s="1"/>
  <c r="C66" i="2"/>
  <c r="E66" i="2"/>
  <c r="D66" i="2"/>
  <c r="F48" i="2"/>
  <c r="G6" i="2"/>
  <c r="H32" i="2"/>
  <c r="G44" i="2"/>
  <c r="G38" i="2"/>
  <c r="H30" i="2"/>
  <c r="G42" i="2"/>
  <c r="G36" i="2"/>
  <c r="G20" i="2"/>
  <c r="F62" i="2"/>
  <c r="I37" i="2"/>
  <c r="I55" i="2" s="1"/>
  <c r="G18" i="2"/>
  <c r="H18" i="2" s="1"/>
  <c r="H37" i="2"/>
  <c r="H55" i="2" s="1"/>
  <c r="F60" i="2"/>
  <c r="F54" i="2" l="1"/>
  <c r="F57" i="2" s="1"/>
  <c r="F46" i="6"/>
  <c r="G46" i="6" s="1"/>
  <c r="H46" i="6" s="1"/>
  <c r="I46" i="6" s="1"/>
  <c r="J46" i="6" s="1"/>
  <c r="F80" i="2"/>
  <c r="G80" i="2" s="1"/>
  <c r="H80" i="2" s="1"/>
  <c r="I80" i="2" s="1"/>
  <c r="J80" i="2" s="1"/>
  <c r="F12" i="7"/>
  <c r="F81" i="2"/>
  <c r="G81" i="2" s="1"/>
  <c r="H81" i="2" s="1"/>
  <c r="I81" i="2" s="1"/>
  <c r="J81" i="2" s="1"/>
  <c r="C38" i="1"/>
  <c r="C93" i="2"/>
  <c r="I17" i="7"/>
  <c r="H12" i="7"/>
  <c r="G12" i="7"/>
  <c r="H14" i="8"/>
  <c r="H16" i="13" s="1"/>
  <c r="I29" i="6"/>
  <c r="F77" i="2"/>
  <c r="G77" i="2" s="1"/>
  <c r="H77" i="2" s="1"/>
  <c r="I77" i="2" s="1"/>
  <c r="J77" i="2" s="1"/>
  <c r="E90" i="2"/>
  <c r="E30" i="1"/>
  <c r="E34" i="1" s="1"/>
  <c r="G7" i="2"/>
  <c r="G25" i="2" s="1"/>
  <c r="E88" i="2"/>
  <c r="E87" i="2"/>
  <c r="C88" i="2"/>
  <c r="C87" i="2"/>
  <c r="F79" i="2"/>
  <c r="G79" i="2" s="1"/>
  <c r="H79" i="2" s="1"/>
  <c r="I79" i="2" s="1"/>
  <c r="J79" i="2" s="1"/>
  <c r="G54" i="2"/>
  <c r="D87" i="2"/>
  <c r="D88" i="2"/>
  <c r="F56" i="2"/>
  <c r="F15" i="2"/>
  <c r="F24" i="2"/>
  <c r="G26" i="2"/>
  <c r="G21" i="2"/>
  <c r="G15" i="2"/>
  <c r="F25" i="2"/>
  <c r="F26" i="2"/>
  <c r="F21" i="2"/>
  <c r="F61" i="2"/>
  <c r="F63" i="2" s="1"/>
  <c r="G24" i="2"/>
  <c r="F9" i="2"/>
  <c r="F50" i="2"/>
  <c r="F51" i="2" s="1"/>
  <c r="G60" i="2"/>
  <c r="I30" i="2"/>
  <c r="H36" i="2"/>
  <c r="H54" i="2" s="1"/>
  <c r="H42" i="2"/>
  <c r="H60" i="2" s="1"/>
  <c r="H20" i="2"/>
  <c r="G62" i="2"/>
  <c r="I32" i="2"/>
  <c r="H38" i="2"/>
  <c r="H44" i="2"/>
  <c r="H19" i="2"/>
  <c r="G61" i="2"/>
  <c r="H6" i="2"/>
  <c r="H24" i="2" s="1"/>
  <c r="G48" i="2"/>
  <c r="H8" i="2"/>
  <c r="G50" i="2"/>
  <c r="H14" i="2"/>
  <c r="H15" i="2" s="1"/>
  <c r="G56" i="2"/>
  <c r="G57" i="2" s="1"/>
  <c r="I18" i="2"/>
  <c r="I12" i="2"/>
  <c r="F66" i="2" l="1"/>
  <c r="H8" i="6"/>
  <c r="G8" i="6"/>
  <c r="H11" i="8" s="1"/>
  <c r="H13" i="13" s="1"/>
  <c r="F8" i="6"/>
  <c r="F11" i="8" s="1"/>
  <c r="F13" i="13" s="1"/>
  <c r="G49" i="2"/>
  <c r="G51" i="2" s="1"/>
  <c r="H7" i="2"/>
  <c r="H9" i="2" s="1"/>
  <c r="I14" i="8"/>
  <c r="I16" i="13" s="1"/>
  <c r="J29" i="6"/>
  <c r="J14" i="8" s="1"/>
  <c r="J16" i="13" s="1"/>
  <c r="E93" i="2"/>
  <c r="F93" i="2" s="1"/>
  <c r="G93" i="2" s="1"/>
  <c r="H93" i="2" s="1"/>
  <c r="I93" i="2" s="1"/>
  <c r="J93" i="2" s="1"/>
  <c r="E38" i="1"/>
  <c r="G9" i="2"/>
  <c r="J17" i="7"/>
  <c r="J12" i="7" s="1"/>
  <c r="I12" i="7"/>
  <c r="F87" i="2"/>
  <c r="G87" i="2" s="1"/>
  <c r="H87" i="2" s="1"/>
  <c r="I87" i="2" s="1"/>
  <c r="J87" i="2" s="1"/>
  <c r="F88" i="2"/>
  <c r="G88" i="2" s="1"/>
  <c r="H88" i="2" s="1"/>
  <c r="I88" i="2" s="1"/>
  <c r="J88" i="2" s="1"/>
  <c r="F27" i="2"/>
  <c r="F74" i="2" s="1"/>
  <c r="G27" i="2"/>
  <c r="G72" i="2" s="1"/>
  <c r="H21" i="2"/>
  <c r="H26" i="2"/>
  <c r="I14" i="2"/>
  <c r="H56" i="2"/>
  <c r="H57" i="2" s="1"/>
  <c r="I19" i="2"/>
  <c r="H61" i="2"/>
  <c r="G63" i="2"/>
  <c r="I20" i="2"/>
  <c r="H62" i="2"/>
  <c r="J32" i="2"/>
  <c r="I38" i="2"/>
  <c r="I44" i="2"/>
  <c r="I8" i="2"/>
  <c r="H50" i="2"/>
  <c r="I6" i="2"/>
  <c r="I24" i="2" s="1"/>
  <c r="H48" i="2"/>
  <c r="J30" i="2"/>
  <c r="I36" i="2"/>
  <c r="I54" i="2" s="1"/>
  <c r="I42" i="2"/>
  <c r="I60" i="2" s="1"/>
  <c r="J18" i="2"/>
  <c r="J12" i="2"/>
  <c r="G11" i="8" l="1"/>
  <c r="G13" i="13" s="1"/>
  <c r="I8" i="6"/>
  <c r="I11" i="8" s="1"/>
  <c r="I13" i="13" s="1"/>
  <c r="J8" i="6"/>
  <c r="J11" i="8" s="1"/>
  <c r="J13" i="13" s="1"/>
  <c r="G18" i="1"/>
  <c r="F23" i="1"/>
  <c r="H25" i="2"/>
  <c r="H27" i="2" s="1"/>
  <c r="H49" i="2"/>
  <c r="H51" i="2" s="1"/>
  <c r="I7" i="2"/>
  <c r="I25" i="2" s="1"/>
  <c r="F73" i="2"/>
  <c r="F70" i="2"/>
  <c r="F72" i="2"/>
  <c r="F71" i="2"/>
  <c r="G70" i="2"/>
  <c r="G73" i="2"/>
  <c r="G74" i="2"/>
  <c r="G71" i="2"/>
  <c r="F5" i="1"/>
  <c r="F7" i="1" s="1"/>
  <c r="F83" i="2"/>
  <c r="F84" i="2"/>
  <c r="H63" i="2"/>
  <c r="I21" i="2"/>
  <c r="I26" i="2"/>
  <c r="G66" i="2"/>
  <c r="J36" i="2"/>
  <c r="J54" i="2" s="1"/>
  <c r="J42" i="2"/>
  <c r="J60" i="2" s="1"/>
  <c r="I48" i="2"/>
  <c r="J6" i="2"/>
  <c r="J24" i="2" s="1"/>
  <c r="J14" i="2"/>
  <c r="J15" i="2" s="1"/>
  <c r="I56" i="2"/>
  <c r="I57" i="2" s="1"/>
  <c r="J38" i="2"/>
  <c r="J44" i="2"/>
  <c r="J20" i="2"/>
  <c r="I62" i="2"/>
  <c r="I15" i="2"/>
  <c r="J8" i="2"/>
  <c r="I50" i="2"/>
  <c r="J19" i="2"/>
  <c r="J61" i="2" s="1"/>
  <c r="I61" i="2"/>
  <c r="F7" i="8" l="1"/>
  <c r="E6" i="17"/>
  <c r="F35" i="6"/>
  <c r="F38" i="6" s="1"/>
  <c r="F20" i="1"/>
  <c r="F19" i="1"/>
  <c r="F30" i="7" s="1"/>
  <c r="F9" i="8" s="1"/>
  <c r="F11" i="13" s="1"/>
  <c r="F18" i="1"/>
  <c r="F15" i="1"/>
  <c r="G16" i="1"/>
  <c r="G23" i="1"/>
  <c r="F22" i="1"/>
  <c r="F29" i="7" s="1"/>
  <c r="G22" i="1"/>
  <c r="G6" i="8" s="1"/>
  <c r="G8" i="13" s="1"/>
  <c r="F9" i="13"/>
  <c r="G15" i="1"/>
  <c r="F16" i="1"/>
  <c r="I49" i="2"/>
  <c r="I51" i="2" s="1"/>
  <c r="J7" i="2"/>
  <c r="J49" i="2" s="1"/>
  <c r="I9" i="2"/>
  <c r="I27" i="2"/>
  <c r="I73" i="2" s="1"/>
  <c r="H66" i="2"/>
  <c r="F12" i="1"/>
  <c r="F7" i="9"/>
  <c r="F8" i="8"/>
  <c r="F5" i="7"/>
  <c r="I63" i="2"/>
  <c r="E7" i="17" s="1"/>
  <c r="G5" i="1"/>
  <c r="G7" i="1" s="1"/>
  <c r="G83" i="2"/>
  <c r="G84" i="2"/>
  <c r="H71" i="2"/>
  <c r="H70" i="2"/>
  <c r="H73" i="2"/>
  <c r="H72" i="2"/>
  <c r="H74" i="2"/>
  <c r="J62" i="2"/>
  <c r="J63" i="2" s="1"/>
  <c r="J50" i="2"/>
  <c r="J26" i="2"/>
  <c r="J56" i="2"/>
  <c r="J57" i="2" s="1"/>
  <c r="J48" i="2"/>
  <c r="J21" i="2"/>
  <c r="H38" i="16" l="1"/>
  <c r="H39" i="16" s="1"/>
  <c r="I38" i="16"/>
  <c r="I39" i="16" s="1"/>
  <c r="G7" i="7"/>
  <c r="G13" i="7" s="1"/>
  <c r="G35" i="6"/>
  <c r="G38" i="6" s="1"/>
  <c r="G7" i="8"/>
  <c r="G29" i="7"/>
  <c r="F6" i="8"/>
  <c r="F8" i="13" s="1"/>
  <c r="F7" i="7"/>
  <c r="F41" i="1" s="1"/>
  <c r="F32" i="16" s="1"/>
  <c r="F39" i="1"/>
  <c r="F40" i="1" s="1"/>
  <c r="G20" i="1"/>
  <c r="G19" i="1"/>
  <c r="G30" i="7" s="1"/>
  <c r="G9" i="8" s="1"/>
  <c r="G11" i="13" s="1"/>
  <c r="G9" i="13"/>
  <c r="H23" i="1"/>
  <c r="H7" i="8" s="1"/>
  <c r="H22" i="1"/>
  <c r="H6" i="8" s="1"/>
  <c r="H8" i="13" s="1"/>
  <c r="H83" i="2"/>
  <c r="H15" i="1"/>
  <c r="H16" i="1"/>
  <c r="H18" i="1"/>
  <c r="F10" i="13"/>
  <c r="I22" i="1"/>
  <c r="I29" i="7" s="1"/>
  <c r="J25" i="2"/>
  <c r="J27" i="2" s="1"/>
  <c r="J9" i="2"/>
  <c r="F31" i="7"/>
  <c r="I71" i="2"/>
  <c r="I70" i="2"/>
  <c r="I72" i="2"/>
  <c r="I74" i="2"/>
  <c r="I66" i="2"/>
  <c r="H84" i="2"/>
  <c r="H5" i="1"/>
  <c r="H7" i="1" s="1"/>
  <c r="G8" i="8"/>
  <c r="G10" i="13" s="1"/>
  <c r="F41" i="6"/>
  <c r="G12" i="1"/>
  <c r="G5" i="7"/>
  <c r="G7" i="9"/>
  <c r="F35" i="7"/>
  <c r="F25" i="7" s="1"/>
  <c r="F11" i="7"/>
  <c r="J51" i="2"/>
  <c r="E5" i="17" s="1"/>
  <c r="H5" i="7" l="1"/>
  <c r="H11" i="7" s="1"/>
  <c r="J38" i="16"/>
  <c r="J39" i="16" s="1"/>
  <c r="G27" i="6"/>
  <c r="G13" i="16"/>
  <c r="G14" i="16" s="1"/>
  <c r="F7" i="17"/>
  <c r="F6" i="17"/>
  <c r="F5" i="17"/>
  <c r="J66" i="2"/>
  <c r="J84" i="2" s="1"/>
  <c r="H35" i="6"/>
  <c r="H38" i="6" s="1"/>
  <c r="H29" i="7"/>
  <c r="H7" i="7"/>
  <c r="I6" i="8"/>
  <c r="I8" i="13" s="1"/>
  <c r="G41" i="1"/>
  <c r="G32" i="16" s="1"/>
  <c r="G39" i="1"/>
  <c r="G40" i="1" s="1"/>
  <c r="F13" i="7"/>
  <c r="F13" i="16"/>
  <c r="F14" i="16" s="1"/>
  <c r="H9" i="13"/>
  <c r="I16" i="1"/>
  <c r="H20" i="1"/>
  <c r="H19" i="1"/>
  <c r="H30" i="7" s="1"/>
  <c r="H9" i="8" s="1"/>
  <c r="H11" i="13" s="1"/>
  <c r="I5" i="1"/>
  <c r="I7" i="1" s="1"/>
  <c r="I5" i="7" s="1"/>
  <c r="G28" i="7"/>
  <c r="G31" i="7" s="1"/>
  <c r="I23" i="1"/>
  <c r="I7" i="8" s="1"/>
  <c r="F7" i="6"/>
  <c r="F10" i="8" s="1"/>
  <c r="F12" i="13" s="1"/>
  <c r="I18" i="1"/>
  <c r="I15" i="1"/>
  <c r="F16" i="6"/>
  <c r="H8" i="8"/>
  <c r="I83" i="2"/>
  <c r="I84" i="2"/>
  <c r="H12" i="1"/>
  <c r="H7" i="9"/>
  <c r="H35" i="7"/>
  <c r="H25" i="7" s="1"/>
  <c r="H17" i="8" s="1"/>
  <c r="F17" i="8"/>
  <c r="F26" i="7"/>
  <c r="G41" i="6"/>
  <c r="G35" i="7"/>
  <c r="G25" i="7" s="1"/>
  <c r="G17" i="8" s="1"/>
  <c r="G11" i="7"/>
  <c r="J70" i="2"/>
  <c r="J71" i="2"/>
  <c r="J72" i="2"/>
  <c r="J73" i="2"/>
  <c r="J74" i="2"/>
  <c r="H41" i="1" l="1"/>
  <c r="H32" i="16" s="1"/>
  <c r="J5" i="1"/>
  <c r="J7" i="1" s="1"/>
  <c r="G15" i="16"/>
  <c r="G16" i="16" s="1"/>
  <c r="J83" i="2"/>
  <c r="I35" i="6"/>
  <c r="I38" i="6" s="1"/>
  <c r="G16" i="6"/>
  <c r="F27" i="6"/>
  <c r="G17" i="16"/>
  <c r="G18" i="16" s="1"/>
  <c r="F15" i="16"/>
  <c r="F16" i="16" s="1"/>
  <c r="H13" i="7"/>
  <c r="H13" i="16"/>
  <c r="H14" i="16" s="1"/>
  <c r="F17" i="16"/>
  <c r="F18" i="16" s="1"/>
  <c r="H39" i="1"/>
  <c r="H40" i="1" s="1"/>
  <c r="I7" i="9"/>
  <c r="I9" i="13"/>
  <c r="I7" i="7"/>
  <c r="J16" i="1"/>
  <c r="H28" i="7"/>
  <c r="H31" i="7" s="1"/>
  <c r="I12" i="1"/>
  <c r="J19" i="1"/>
  <c r="J30" i="7" s="1"/>
  <c r="J9" i="8" s="1"/>
  <c r="J11" i="13" s="1"/>
  <c r="J18" i="1"/>
  <c r="J15" i="1"/>
  <c r="H7" i="6"/>
  <c r="J20" i="1"/>
  <c r="G7" i="6"/>
  <c r="G10" i="8" s="1"/>
  <c r="G12" i="13" s="1"/>
  <c r="J23" i="1"/>
  <c r="J7" i="8" s="1"/>
  <c r="I20" i="1"/>
  <c r="J22" i="1"/>
  <c r="J6" i="8" s="1"/>
  <c r="J8" i="13" s="1"/>
  <c r="I19" i="1"/>
  <c r="G19" i="8"/>
  <c r="G17" i="13"/>
  <c r="I8" i="8"/>
  <c r="I10" i="13" s="1"/>
  <c r="H10" i="13"/>
  <c r="F19" i="8"/>
  <c r="F17" i="13"/>
  <c r="H19" i="8"/>
  <c r="H17" i="13"/>
  <c r="H41" i="6"/>
  <c r="G24" i="7"/>
  <c r="G26" i="7" s="1"/>
  <c r="F33" i="7"/>
  <c r="I35" i="7"/>
  <c r="I25" i="7" s="1"/>
  <c r="I17" i="8" s="1"/>
  <c r="I11" i="7"/>
  <c r="J12" i="1" l="1"/>
  <c r="C44" i="1" a="1"/>
  <c r="C44" i="1" s="1"/>
  <c r="J5" i="7"/>
  <c r="J35" i="7" s="1"/>
  <c r="J25" i="7" s="1"/>
  <c r="J17" i="8" s="1"/>
  <c r="J7" i="9"/>
  <c r="H17" i="16"/>
  <c r="H18" i="16" s="1"/>
  <c r="I28" i="7"/>
  <c r="H16" i="6"/>
  <c r="I39" i="1"/>
  <c r="I40" i="1" s="1"/>
  <c r="J35" i="6"/>
  <c r="J38" i="6" s="1"/>
  <c r="J9" i="13"/>
  <c r="J7" i="7"/>
  <c r="J13" i="7" s="1"/>
  <c r="H15" i="16"/>
  <c r="H16" i="16" s="1"/>
  <c r="H27" i="6"/>
  <c r="H13" i="8" s="1"/>
  <c r="H15" i="13" s="1"/>
  <c r="I13" i="7"/>
  <c r="I13" i="16"/>
  <c r="I14" i="16" s="1"/>
  <c r="I30" i="7"/>
  <c r="I9" i="8" s="1"/>
  <c r="I11" i="13" s="1"/>
  <c r="H10" i="8"/>
  <c r="H12" i="13" s="1"/>
  <c r="I41" i="1"/>
  <c r="I32" i="16" s="1"/>
  <c r="F13" i="8"/>
  <c r="F15" i="13" s="1"/>
  <c r="G13" i="8"/>
  <c r="G15" i="13" s="1"/>
  <c r="J29" i="7"/>
  <c r="J39" i="1"/>
  <c r="J40" i="1" s="1"/>
  <c r="I7" i="6"/>
  <c r="I10" i="8" s="1"/>
  <c r="I12" i="13" s="1"/>
  <c r="F17" i="6"/>
  <c r="J8" i="8"/>
  <c r="J10" i="13" s="1"/>
  <c r="I19" i="8"/>
  <c r="I17" i="13"/>
  <c r="H24" i="7"/>
  <c r="H26" i="7" s="1"/>
  <c r="G33" i="7"/>
  <c r="I41" i="6"/>
  <c r="J11" i="7" l="1"/>
  <c r="I27" i="6"/>
  <c r="I13" i="8" s="1"/>
  <c r="I15" i="13" s="1"/>
  <c r="I31" i="7"/>
  <c r="J28" i="7" s="1"/>
  <c r="J31" i="7" s="1"/>
  <c r="J13" i="16"/>
  <c r="J14" i="16" s="1"/>
  <c r="J41" i="1"/>
  <c r="J32" i="16" s="1"/>
  <c r="J27" i="6"/>
  <c r="J30" i="6" s="1"/>
  <c r="I15" i="16"/>
  <c r="I16" i="16" s="1"/>
  <c r="F21" i="16"/>
  <c r="J15" i="16"/>
  <c r="J16" i="16" s="1"/>
  <c r="J17" i="16"/>
  <c r="J18" i="16" s="1"/>
  <c r="I17" i="16"/>
  <c r="I18" i="16" s="1"/>
  <c r="G17" i="6"/>
  <c r="G21" i="16" s="1"/>
  <c r="J19" i="8"/>
  <c r="J17" i="13"/>
  <c r="J41" i="6"/>
  <c r="I24" i="7"/>
  <c r="I26" i="7" s="1"/>
  <c r="H33" i="7"/>
  <c r="J7" i="6" l="1"/>
  <c r="J10" i="8" s="1"/>
  <c r="J12" i="13" s="1"/>
  <c r="I16" i="6"/>
  <c r="J13" i="8"/>
  <c r="J15" i="13" s="1"/>
  <c r="H17" i="6"/>
  <c r="J16" i="6"/>
  <c r="J24" i="7"/>
  <c r="J26" i="7" s="1"/>
  <c r="J33" i="7" s="1"/>
  <c r="I33" i="7"/>
  <c r="H21" i="16" l="1"/>
  <c r="J17" i="6"/>
  <c r="I17" i="6"/>
  <c r="J21" i="16" l="1"/>
  <c r="I21" i="16"/>
  <c r="F6" i="6"/>
  <c r="G6" i="6"/>
  <c r="H6" i="6"/>
  <c r="I6" i="6"/>
  <c r="J6" i="6"/>
  <c r="F10" i="6"/>
  <c r="G10" i="6"/>
  <c r="H10" i="6"/>
  <c r="I10" i="6"/>
  <c r="J10" i="6"/>
  <c r="F24" i="6"/>
  <c r="G24" i="6"/>
  <c r="H24" i="6"/>
  <c r="I24" i="6"/>
  <c r="J24" i="6"/>
  <c r="F28" i="6"/>
  <c r="G28" i="6"/>
  <c r="H28" i="6"/>
  <c r="I28" i="6"/>
  <c r="F30" i="6"/>
  <c r="G30" i="6"/>
  <c r="H30" i="6"/>
  <c r="I30" i="6"/>
  <c r="F32" i="6"/>
  <c r="G32" i="6"/>
  <c r="H32" i="6"/>
  <c r="I32" i="6"/>
  <c r="J32" i="6"/>
  <c r="F39" i="6"/>
  <c r="G39" i="6"/>
  <c r="H39" i="6"/>
  <c r="I39" i="6"/>
  <c r="J39" i="6"/>
  <c r="F42" i="6"/>
  <c r="G42" i="6"/>
  <c r="H42" i="6"/>
  <c r="I42" i="6"/>
  <c r="J42" i="6"/>
  <c r="F45" i="6"/>
  <c r="G45" i="6"/>
  <c r="H45" i="6"/>
  <c r="I45" i="6"/>
  <c r="J45" i="6"/>
  <c r="F47" i="6"/>
  <c r="G47" i="6"/>
  <c r="H47" i="6"/>
  <c r="I47" i="6"/>
  <c r="J47" i="6"/>
  <c r="F48" i="6"/>
  <c r="G48" i="6"/>
  <c r="H48" i="6"/>
  <c r="I48" i="6"/>
  <c r="J48" i="6"/>
  <c r="F49" i="6"/>
  <c r="G49" i="6"/>
  <c r="H49" i="6"/>
  <c r="I49" i="6"/>
  <c r="J49" i="6"/>
  <c r="F5" i="8"/>
  <c r="G5" i="8"/>
  <c r="H5" i="8"/>
  <c r="I5" i="8"/>
  <c r="J5" i="8"/>
  <c r="F15" i="8"/>
  <c r="G15" i="8"/>
  <c r="H15" i="8"/>
  <c r="I15" i="8"/>
  <c r="J15" i="8"/>
  <c r="F21" i="8"/>
  <c r="G21" i="8"/>
  <c r="H21" i="8"/>
  <c r="I21" i="8"/>
  <c r="J21" i="8"/>
  <c r="F25" i="8"/>
  <c r="G25" i="8"/>
  <c r="H25" i="8"/>
  <c r="I25" i="8"/>
  <c r="J25" i="8"/>
  <c r="F26" i="8"/>
  <c r="G26" i="8"/>
  <c r="H26" i="8"/>
  <c r="I26" i="8"/>
  <c r="J26" i="8"/>
  <c r="F28" i="8"/>
  <c r="G28" i="8"/>
  <c r="H28" i="8"/>
  <c r="I28" i="8"/>
  <c r="J28" i="8"/>
  <c r="G29" i="8"/>
  <c r="H29" i="8"/>
  <c r="I29" i="8"/>
  <c r="J29" i="8"/>
  <c r="F31" i="8"/>
  <c r="G31" i="8"/>
  <c r="H31" i="8"/>
  <c r="I31" i="8"/>
  <c r="J31" i="8"/>
  <c r="F5" i="13"/>
  <c r="G5" i="13"/>
  <c r="H5" i="13"/>
  <c r="I5" i="13"/>
  <c r="J5" i="13"/>
  <c r="F7" i="13"/>
  <c r="G7" i="13"/>
  <c r="H7" i="13"/>
  <c r="I7" i="13"/>
  <c r="J7" i="13"/>
  <c r="F19" i="13"/>
  <c r="G19" i="13"/>
  <c r="H19" i="13"/>
  <c r="I19" i="13"/>
  <c r="J19" i="13"/>
  <c r="F23" i="13"/>
  <c r="G23" i="13"/>
  <c r="H23" i="13"/>
  <c r="I23" i="13"/>
  <c r="J23" i="13"/>
  <c r="D25" i="13"/>
  <c r="D26" i="13"/>
  <c r="D27" i="13"/>
  <c r="D29" i="13"/>
  <c r="D31" i="13"/>
  <c r="C71" i="13"/>
  <c r="C73" i="13"/>
  <c r="C77" i="13"/>
  <c r="C80" i="13"/>
  <c r="C82" i="13"/>
  <c r="C86" i="13"/>
  <c r="F5" i="9"/>
  <c r="G5" i="9"/>
  <c r="H5" i="9"/>
  <c r="I5" i="9"/>
  <c r="J5" i="9"/>
  <c r="G6" i="9"/>
  <c r="H6" i="9"/>
  <c r="I6" i="9"/>
  <c r="J6" i="9"/>
  <c r="F9" i="9"/>
  <c r="G9" i="9"/>
  <c r="H9" i="9"/>
  <c r="I9" i="9"/>
  <c r="J9" i="9"/>
  <c r="G14" i="9"/>
  <c r="H14" i="9"/>
  <c r="I14" i="9"/>
  <c r="J14" i="9"/>
  <c r="G16" i="9"/>
  <c r="H16" i="9"/>
  <c r="I16" i="9"/>
  <c r="J16" i="9"/>
  <c r="G17" i="9"/>
  <c r="H17" i="9"/>
  <c r="I17" i="9"/>
  <c r="J17" i="9"/>
  <c r="G18" i="9"/>
  <c r="H18" i="9"/>
  <c r="I18" i="9"/>
  <c r="J18" i="9"/>
  <c r="G19" i="9"/>
  <c r="H19" i="9"/>
  <c r="I19" i="9"/>
  <c r="J19" i="9"/>
  <c r="G20" i="9"/>
  <c r="H20" i="9"/>
  <c r="I20" i="9"/>
  <c r="J20" i="9"/>
  <c r="G21" i="9"/>
  <c r="H21" i="9"/>
  <c r="I21" i="9"/>
  <c r="J21" i="9"/>
  <c r="G22" i="9"/>
  <c r="H22" i="9"/>
  <c r="I22" i="9"/>
  <c r="J22" i="9"/>
  <c r="G23" i="9"/>
  <c r="H23" i="9"/>
  <c r="I23" i="9"/>
  <c r="J23" i="9"/>
  <c r="G24" i="9"/>
  <c r="H24" i="9"/>
  <c r="I24" i="9"/>
  <c r="J24" i="9"/>
  <c r="G25" i="9"/>
  <c r="H25" i="9"/>
  <c r="I25" i="9"/>
  <c r="J25" i="9"/>
  <c r="G26" i="9"/>
  <c r="H26" i="9"/>
  <c r="I26" i="9"/>
  <c r="J26" i="9"/>
  <c r="G27" i="9"/>
  <c r="H27" i="9"/>
  <c r="I27" i="9"/>
  <c r="J27" i="9"/>
  <c r="G28" i="9"/>
  <c r="H28" i="9"/>
  <c r="I28" i="9"/>
  <c r="J28" i="9"/>
  <c r="G29" i="9"/>
  <c r="H29" i="9"/>
  <c r="I29" i="9"/>
  <c r="J29" i="9"/>
  <c r="G30" i="9"/>
  <c r="H30" i="9"/>
  <c r="I30" i="9"/>
  <c r="J30" i="9"/>
  <c r="G31" i="9"/>
  <c r="H31" i="9"/>
  <c r="I31" i="9"/>
  <c r="J31" i="9"/>
  <c r="F36" i="9"/>
  <c r="G36" i="9"/>
  <c r="H36" i="9"/>
  <c r="I36" i="9"/>
  <c r="J36" i="9"/>
  <c r="F38" i="9"/>
  <c r="G38" i="9"/>
  <c r="H38" i="9"/>
  <c r="I38" i="9"/>
  <c r="J38" i="9"/>
  <c r="F39" i="9"/>
  <c r="G39" i="9"/>
  <c r="H39" i="9"/>
  <c r="I39" i="9"/>
  <c r="J39" i="9"/>
  <c r="F40" i="9"/>
  <c r="G40" i="9"/>
  <c r="H40" i="9"/>
  <c r="I40" i="9"/>
  <c r="J40" i="9"/>
  <c r="F41" i="9"/>
  <c r="G41" i="9"/>
  <c r="H41" i="9"/>
  <c r="I41" i="9"/>
  <c r="J41" i="9"/>
  <c r="F42" i="9"/>
  <c r="G42" i="9"/>
  <c r="H42" i="9"/>
  <c r="I42" i="9"/>
  <c r="J42" i="9"/>
  <c r="F43" i="9"/>
  <c r="G43" i="9"/>
  <c r="H43" i="9"/>
  <c r="I43" i="9"/>
  <c r="J43" i="9"/>
  <c r="F44" i="9"/>
  <c r="G44" i="9"/>
  <c r="H44" i="9"/>
  <c r="I44" i="9"/>
  <c r="J44" i="9"/>
  <c r="F45" i="9"/>
  <c r="G45" i="9"/>
  <c r="H45" i="9"/>
  <c r="I45" i="9"/>
  <c r="J45" i="9"/>
  <c r="F46" i="9"/>
  <c r="G46" i="9"/>
  <c r="H46" i="9"/>
  <c r="I46" i="9"/>
  <c r="J46" i="9"/>
  <c r="F47" i="9"/>
  <c r="G47" i="9"/>
  <c r="H47" i="9"/>
  <c r="I47" i="9"/>
  <c r="J47" i="9"/>
  <c r="F48" i="9"/>
  <c r="G48" i="9"/>
  <c r="H48" i="9"/>
  <c r="I48" i="9"/>
  <c r="J48" i="9"/>
  <c r="F49" i="9"/>
  <c r="G49" i="9"/>
  <c r="H49" i="9"/>
  <c r="I49" i="9"/>
  <c r="J49" i="9"/>
  <c r="F50" i="9"/>
  <c r="G50" i="9"/>
  <c r="H50" i="9"/>
  <c r="I50" i="9"/>
  <c r="J50" i="9"/>
  <c r="F51" i="9"/>
  <c r="G51" i="9"/>
  <c r="H51" i="9"/>
  <c r="I51" i="9"/>
  <c r="J51" i="9"/>
  <c r="F52" i="9"/>
  <c r="G52" i="9"/>
  <c r="H52" i="9"/>
  <c r="I52" i="9"/>
  <c r="J52" i="9"/>
  <c r="F53" i="9"/>
  <c r="G53" i="9"/>
  <c r="H53" i="9"/>
  <c r="I53" i="9"/>
  <c r="J53" i="9"/>
  <c r="F58" i="9"/>
  <c r="G58" i="9"/>
  <c r="H58" i="9"/>
  <c r="I58" i="9"/>
  <c r="J58" i="9"/>
  <c r="F60" i="9"/>
  <c r="G60" i="9"/>
  <c r="H60" i="9"/>
  <c r="I60" i="9"/>
  <c r="J60" i="9"/>
  <c r="F61" i="9"/>
  <c r="G61" i="9"/>
  <c r="H61" i="9"/>
  <c r="I61" i="9"/>
  <c r="J61" i="9"/>
  <c r="F62" i="9"/>
  <c r="G62" i="9"/>
  <c r="H62" i="9"/>
  <c r="I62" i="9"/>
  <c r="J62" i="9"/>
  <c r="F63" i="9"/>
  <c r="G63" i="9"/>
  <c r="H63" i="9"/>
  <c r="I63" i="9"/>
  <c r="J63" i="9"/>
  <c r="F64" i="9"/>
  <c r="G64" i="9"/>
  <c r="H64" i="9"/>
  <c r="I64" i="9"/>
  <c r="J64" i="9"/>
  <c r="F65" i="9"/>
  <c r="G65" i="9"/>
  <c r="H65" i="9"/>
  <c r="I65" i="9"/>
  <c r="J65" i="9"/>
  <c r="F66" i="9"/>
  <c r="G66" i="9"/>
  <c r="H66" i="9"/>
  <c r="I66" i="9"/>
  <c r="J66" i="9"/>
  <c r="F67" i="9"/>
  <c r="G67" i="9"/>
  <c r="H67" i="9"/>
  <c r="I67" i="9"/>
  <c r="J67" i="9"/>
  <c r="F68" i="9"/>
  <c r="G68" i="9"/>
  <c r="H68" i="9"/>
  <c r="I68" i="9"/>
  <c r="J68" i="9"/>
  <c r="F69" i="9"/>
  <c r="G69" i="9"/>
  <c r="H69" i="9"/>
  <c r="I69" i="9"/>
  <c r="J69" i="9"/>
  <c r="F70" i="9"/>
  <c r="G70" i="9"/>
  <c r="H70" i="9"/>
  <c r="I70" i="9"/>
  <c r="J70" i="9"/>
  <c r="F71" i="9"/>
  <c r="G71" i="9"/>
  <c r="H71" i="9"/>
  <c r="I71" i="9"/>
  <c r="J71" i="9"/>
  <c r="F72" i="9"/>
  <c r="G72" i="9"/>
  <c r="H72" i="9"/>
  <c r="I72" i="9"/>
  <c r="J72" i="9"/>
  <c r="F73" i="9"/>
  <c r="G73" i="9"/>
  <c r="H73" i="9"/>
  <c r="I73" i="9"/>
  <c r="J73" i="9"/>
  <c r="F74" i="9"/>
  <c r="G74" i="9"/>
  <c r="H74" i="9"/>
  <c r="I74" i="9"/>
  <c r="J74" i="9"/>
  <c r="F75" i="9"/>
  <c r="G75" i="9"/>
  <c r="H75" i="9"/>
  <c r="I75" i="9"/>
  <c r="J75" i="9"/>
  <c r="F77" i="9"/>
  <c r="G77" i="9"/>
  <c r="H77" i="9"/>
  <c r="I77" i="9"/>
  <c r="J77" i="9"/>
  <c r="F78" i="9"/>
  <c r="G78" i="9"/>
  <c r="H78" i="9"/>
  <c r="I78" i="9"/>
  <c r="F79" i="9"/>
  <c r="G79" i="9"/>
  <c r="H79" i="9"/>
  <c r="I79" i="9"/>
  <c r="J79" i="9"/>
  <c r="F83" i="9"/>
  <c r="G83" i="9"/>
  <c r="H83" i="9"/>
  <c r="I83" i="9"/>
  <c r="J83" i="9"/>
  <c r="F85" i="9"/>
  <c r="G85" i="9"/>
  <c r="H85" i="9"/>
  <c r="I85" i="9"/>
  <c r="J85" i="9"/>
  <c r="F86" i="9"/>
  <c r="G86" i="9"/>
  <c r="H86" i="9"/>
  <c r="I86" i="9"/>
  <c r="J86" i="9"/>
  <c r="F87" i="9"/>
  <c r="G87" i="9"/>
  <c r="H87" i="9"/>
  <c r="I87" i="9"/>
  <c r="J87" i="9"/>
  <c r="F88" i="9"/>
  <c r="G88" i="9"/>
  <c r="H88" i="9"/>
  <c r="I88" i="9"/>
  <c r="J88" i="9"/>
  <c r="F89" i="9"/>
  <c r="G89" i="9"/>
  <c r="H89" i="9"/>
  <c r="I89" i="9"/>
  <c r="J89" i="9"/>
  <c r="F90" i="9"/>
  <c r="G90" i="9"/>
  <c r="H90" i="9"/>
  <c r="I90" i="9"/>
  <c r="J90" i="9"/>
  <c r="F91" i="9"/>
  <c r="G91" i="9"/>
  <c r="H91" i="9"/>
  <c r="I91" i="9"/>
  <c r="J91" i="9"/>
  <c r="F92" i="9"/>
  <c r="G92" i="9"/>
  <c r="H92" i="9"/>
  <c r="I92" i="9"/>
  <c r="J92" i="9"/>
  <c r="F93" i="9"/>
  <c r="G93" i="9"/>
  <c r="H93" i="9"/>
  <c r="I93" i="9"/>
  <c r="J93" i="9"/>
  <c r="F94" i="9"/>
  <c r="G94" i="9"/>
  <c r="H94" i="9"/>
  <c r="I94" i="9"/>
  <c r="J94" i="9"/>
  <c r="F95" i="9"/>
  <c r="G95" i="9"/>
  <c r="H95" i="9"/>
  <c r="I95" i="9"/>
  <c r="J95" i="9"/>
  <c r="F96" i="9"/>
  <c r="G96" i="9"/>
  <c r="H96" i="9"/>
  <c r="I96" i="9"/>
  <c r="J96" i="9"/>
  <c r="F97" i="9"/>
  <c r="G97" i="9"/>
  <c r="H97" i="9"/>
  <c r="I97" i="9"/>
  <c r="J97" i="9"/>
  <c r="F98" i="9"/>
  <c r="G98" i="9"/>
  <c r="H98" i="9"/>
  <c r="I98" i="9"/>
  <c r="J98" i="9"/>
  <c r="F99" i="9"/>
  <c r="G99" i="9"/>
  <c r="H99" i="9"/>
  <c r="I99" i="9"/>
  <c r="J99" i="9"/>
  <c r="F100" i="9"/>
  <c r="G100" i="9"/>
  <c r="H100" i="9"/>
  <c r="I100" i="9"/>
  <c r="J100" i="9"/>
  <c r="F102" i="9"/>
  <c r="G102" i="9"/>
  <c r="H102" i="9"/>
  <c r="I102" i="9"/>
  <c r="J102" i="9"/>
  <c r="F25" i="1"/>
  <c r="G25" i="1"/>
  <c r="H25" i="1"/>
  <c r="I25" i="1"/>
  <c r="J25" i="1"/>
  <c r="F26" i="1"/>
  <c r="G26" i="1"/>
  <c r="H26" i="1"/>
  <c r="I26" i="1"/>
  <c r="J26" i="1"/>
  <c r="F27" i="1"/>
  <c r="G27" i="1"/>
  <c r="H27" i="1"/>
  <c r="I27" i="1"/>
  <c r="J27" i="1"/>
  <c r="F28" i="1"/>
  <c r="G28" i="1"/>
  <c r="H28" i="1"/>
  <c r="I28" i="1"/>
  <c r="J28" i="1"/>
  <c r="F30" i="1"/>
  <c r="G30" i="1"/>
  <c r="H30" i="1"/>
  <c r="I30" i="1"/>
  <c r="J30" i="1"/>
  <c r="F34" i="1"/>
  <c r="G34" i="1"/>
  <c r="H34" i="1"/>
  <c r="I34" i="1"/>
  <c r="J34" i="1"/>
  <c r="F36" i="1"/>
  <c r="G36" i="1"/>
  <c r="H36" i="1"/>
  <c r="I36" i="1"/>
  <c r="J36" i="1"/>
  <c r="F38" i="1"/>
  <c r="G38" i="1"/>
  <c r="H38" i="1"/>
  <c r="I38" i="1"/>
  <c r="J38" i="1"/>
  <c r="C45" i="1" a="1"/>
  <c r="C45" i="1"/>
  <c r="F7" i="16"/>
  <c r="G7" i="16"/>
  <c r="H7" i="16"/>
  <c r="I7" i="16"/>
  <c r="J7" i="16"/>
  <c r="F8" i="16"/>
  <c r="G8" i="16"/>
  <c r="H8" i="16"/>
  <c r="I8" i="16"/>
  <c r="J8" i="16"/>
  <c r="F9" i="16"/>
  <c r="G9" i="16"/>
  <c r="H9" i="16"/>
  <c r="I9" i="16"/>
  <c r="J9" i="16"/>
  <c r="F19" i="16"/>
  <c r="G19" i="16"/>
  <c r="H19" i="16"/>
  <c r="I19" i="16"/>
  <c r="J19" i="16"/>
  <c r="F20" i="16"/>
  <c r="G20" i="16"/>
  <c r="H20" i="16"/>
  <c r="I20" i="16"/>
  <c r="J20" i="16"/>
  <c r="F25" i="16"/>
  <c r="G25" i="16"/>
  <c r="F26" i="16"/>
  <c r="G26" i="16"/>
  <c r="H26" i="16"/>
  <c r="I26" i="16"/>
  <c r="J26" i="16"/>
  <c r="F27" i="16"/>
  <c r="G27" i="16"/>
  <c r="H27" i="16"/>
  <c r="I27" i="16"/>
  <c r="J27" i="16"/>
  <c r="F28" i="16"/>
  <c r="G28" i="16"/>
  <c r="H28" i="16"/>
  <c r="I28" i="16"/>
  <c r="J28" i="16"/>
  <c r="F33" i="16"/>
  <c r="G33" i="16"/>
  <c r="H33" i="16"/>
  <c r="I33" i="16"/>
  <c r="J33" i="16"/>
  <c r="F34" i="16"/>
  <c r="G34" i="16"/>
  <c r="H34" i="16"/>
  <c r="I34" i="16"/>
  <c r="J34" i="16"/>
  <c r="F35" i="16"/>
  <c r="G35" i="16"/>
  <c r="H35" i="16"/>
  <c r="I35" i="16"/>
  <c r="J35" i="16"/>
  <c r="F36" i="16"/>
  <c r="G36" i="16"/>
  <c r="H36" i="16"/>
  <c r="I36" i="16"/>
  <c r="J36" i="16"/>
  <c r="F37" i="16"/>
  <c r="G37" i="16"/>
  <c r="H37" i="16"/>
  <c r="I37" i="16"/>
  <c r="J37"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<sst xmlns="http://schemas.openxmlformats.org/spreadsheetml/2006/main" count="463" uniqueCount="254">
  <si>
    <t>Income Statement</t>
  </si>
  <si>
    <t>Oil, natural gas, and natural gas liquids production revenues</t>
  </si>
  <si>
    <t>Purchased oil and gas sales</t>
  </si>
  <si>
    <t>Derivative instrument gains (losses), net</t>
  </si>
  <si>
    <t>Gain on divestitures, net</t>
  </si>
  <si>
    <t>Losses on previously sold Gulf of Mexico properties</t>
  </si>
  <si>
    <t>Other, net</t>
  </si>
  <si>
    <t>OPERATING EXPENSES:</t>
  </si>
  <si>
    <t>Lease operating expenses</t>
  </si>
  <si>
    <t>Gathering, processing, and transmission</t>
  </si>
  <si>
    <t>Purchased oil and gas costs</t>
  </si>
  <si>
    <t>Taxes other than income</t>
  </si>
  <si>
    <t>Exploration</t>
  </si>
  <si>
    <t>General and administrative</t>
  </si>
  <si>
    <t>Transaction, reorganization, and separation</t>
  </si>
  <si>
    <t>Depreciation, depletion, and amortization</t>
  </si>
  <si>
    <t>Asset retirement obligation accretion</t>
  </si>
  <si>
    <t>Impairments</t>
  </si>
  <si>
    <t>Financing costs, net</t>
  </si>
  <si>
    <t xml:space="preserve">Total </t>
  </si>
  <si>
    <t>Current income tax provision</t>
  </si>
  <si>
    <t>Deferred income tax provision (benefit)</t>
  </si>
  <si>
    <t>NET INCOME INCLUDING NONCONTROLLING INTERESTS</t>
  </si>
  <si>
    <t>Net income attributable to noncontrolling interest – Egypt</t>
  </si>
  <si>
    <t>Net income attributable to noncontrolling interest – Altus</t>
  </si>
  <si>
    <t>Net income (loss) attributable to Altus Preferred Unit limited partners</t>
  </si>
  <si>
    <t>NET INCOME ATTRIBUTABLE TO COMMON STOCK</t>
  </si>
  <si>
    <t>Revenue Model</t>
  </si>
  <si>
    <t>United States</t>
  </si>
  <si>
    <t>Egypt</t>
  </si>
  <si>
    <t>North Sea</t>
  </si>
  <si>
    <t>Oil Productions : MMbbls</t>
  </si>
  <si>
    <t>Total Productions : MMbbls</t>
  </si>
  <si>
    <t>NGL Productions : MMbbls</t>
  </si>
  <si>
    <t>Gas Productions : Bcf</t>
  </si>
  <si>
    <t>Total Productions : Bcf</t>
  </si>
  <si>
    <t>Oil Prices : Per bbl</t>
  </si>
  <si>
    <t>NGL Prices : Per bbl</t>
  </si>
  <si>
    <t>Gas Price : Per mcf</t>
  </si>
  <si>
    <t>Total</t>
  </si>
  <si>
    <t>Oil Productions : Growth Rate</t>
  </si>
  <si>
    <t>NGL Productions : Growth Rate</t>
  </si>
  <si>
    <t>Gas Productions : Growth Rate</t>
  </si>
  <si>
    <t>Oil Prices : Growth Rate</t>
  </si>
  <si>
    <t>Forecast</t>
  </si>
  <si>
    <t>Total Production</t>
  </si>
  <si>
    <t>Expenses</t>
  </si>
  <si>
    <t>Per Barrel</t>
  </si>
  <si>
    <t>As a % of Revenue</t>
  </si>
  <si>
    <t>Effective Tax Rate</t>
  </si>
  <si>
    <t>Common dividend</t>
  </si>
  <si>
    <t>Retained Earnings</t>
  </si>
  <si>
    <t>Dividend Payout Ratio</t>
  </si>
  <si>
    <t>CURRENT ASSETS:</t>
  </si>
  <si>
    <t>Cash and cash equivalents</t>
  </si>
  <si>
    <t>Receivables, net of allowance of $114 and $117</t>
  </si>
  <si>
    <t xml:space="preserve">Other current assets </t>
  </si>
  <si>
    <t>Total CA</t>
  </si>
  <si>
    <t>PROPERTY AND EQUIPMENT:</t>
  </si>
  <si>
    <t>Oil and gas properties, on the basis of successful efforts accounting:</t>
  </si>
  <si>
    <t>Gathering, processing, and transmission facilities</t>
  </si>
  <si>
    <t>Other</t>
  </si>
  <si>
    <t>Less: Accumulated depreciation, depletion, and amortization</t>
  </si>
  <si>
    <t>Net PP&amp;E</t>
  </si>
  <si>
    <t>OTHER ASSETS:</t>
  </si>
  <si>
    <t>Deferred charges and other</t>
  </si>
  <si>
    <t xml:space="preserve">Equity method interests </t>
  </si>
  <si>
    <t xml:space="preserve">Decommissioning security for sold Gulf of Mexico properties </t>
  </si>
  <si>
    <t xml:space="preserve">Deferred tax asset </t>
  </si>
  <si>
    <t>Total Assets</t>
  </si>
  <si>
    <t>Balance Sheet</t>
  </si>
  <si>
    <t>CURRENT LIABILITIES:</t>
  </si>
  <si>
    <t>Accounts payable</t>
  </si>
  <si>
    <t>Current debt</t>
  </si>
  <si>
    <t xml:space="preserve">Other current liabilities </t>
  </si>
  <si>
    <t>DEFERRED CREDITS AND OTHER NONCURRENT LIABILITIES:</t>
  </si>
  <si>
    <t xml:space="preserve">Decommissioning contingency for sold Gulf of Mexico properties </t>
  </si>
  <si>
    <t xml:space="preserve">Asset retirement obligation </t>
  </si>
  <si>
    <t xml:space="preserve">Deferred tax liability </t>
  </si>
  <si>
    <t xml:space="preserve">LONG-TERM DEBT </t>
  </si>
  <si>
    <t>Total CL</t>
  </si>
  <si>
    <t>Paid-in capital</t>
  </si>
  <si>
    <t>Accumulated deficit</t>
  </si>
  <si>
    <t>Accumulated other comprehensive income</t>
  </si>
  <si>
    <t>APA SHAREHOLDERS’ EQUITY</t>
  </si>
  <si>
    <t>Noncontrolling interest – Egypt</t>
  </si>
  <si>
    <t>TOTAL EQUITY</t>
  </si>
  <si>
    <t>Common stock,</t>
  </si>
  <si>
    <t xml:space="preserve">Treasury stock, at cost, </t>
  </si>
  <si>
    <t>TL &amp; Equity</t>
  </si>
  <si>
    <t>Inventory</t>
  </si>
  <si>
    <t>Balance Sheet Schedules</t>
  </si>
  <si>
    <t>Receivables</t>
  </si>
  <si>
    <t>Cost of Sales</t>
  </si>
  <si>
    <t>Total Sales</t>
  </si>
  <si>
    <t>AR as a % of Total Sales</t>
  </si>
  <si>
    <t>Inventory as a % of Purchased Oil and Gas</t>
  </si>
  <si>
    <t>AP as a % of Cost of Sales</t>
  </si>
  <si>
    <t>Asset Schedule:</t>
  </si>
  <si>
    <t>Working Capital Schedule</t>
  </si>
  <si>
    <t>Opening Gross PP&amp;E</t>
  </si>
  <si>
    <t>Additions During the Year</t>
  </si>
  <si>
    <t>Closing Gross PP&amp;E</t>
  </si>
  <si>
    <t>Opening Accum DD&amp;A</t>
  </si>
  <si>
    <t>DD&amp;A of the Year</t>
  </si>
  <si>
    <t>Explorations</t>
  </si>
  <si>
    <t>Closing DD&amp;A</t>
  </si>
  <si>
    <t>CapEx of the Year</t>
  </si>
  <si>
    <t>CapEx as a % of Total Sales</t>
  </si>
  <si>
    <t>UnSuccessful Efforts</t>
  </si>
  <si>
    <t>Minority Interest</t>
  </si>
  <si>
    <t>Minority Dividend</t>
  </si>
  <si>
    <t>Div as a % of Min Int</t>
  </si>
  <si>
    <t>Cash Flow Statement</t>
  </si>
  <si>
    <t>PAT</t>
  </si>
  <si>
    <t>DD&amp;A</t>
  </si>
  <si>
    <t>Asset Retirements Obligation</t>
  </si>
  <si>
    <t>SBC</t>
  </si>
  <si>
    <t>Change in AR</t>
  </si>
  <si>
    <t>Change in Inventory</t>
  </si>
  <si>
    <t>Change in Others</t>
  </si>
  <si>
    <t>Change in AP</t>
  </si>
  <si>
    <t>Cash From Operations :</t>
  </si>
  <si>
    <t>CapEx on PP&amp;E</t>
  </si>
  <si>
    <t>Others</t>
  </si>
  <si>
    <t>Cash From Investments :</t>
  </si>
  <si>
    <t>Dividend Paid</t>
  </si>
  <si>
    <t>Options Proceeds</t>
  </si>
  <si>
    <t>Treasury Stock</t>
  </si>
  <si>
    <t>Change in Debt</t>
  </si>
  <si>
    <t>Cash From Financing:</t>
  </si>
  <si>
    <t>Debt Schedule:</t>
  </si>
  <si>
    <t>Free Cash For Debt:</t>
  </si>
  <si>
    <t>Free Cash Before Debt:</t>
  </si>
  <si>
    <t>Add: Opening Cash Balance</t>
  </si>
  <si>
    <t>Less: Minimum Cash Balance</t>
  </si>
  <si>
    <t>Closing Debt:</t>
  </si>
  <si>
    <t>Debt Type</t>
  </si>
  <si>
    <t>Rate</t>
  </si>
  <si>
    <t>Maturity</t>
  </si>
  <si>
    <t>Amount</t>
  </si>
  <si>
    <t>notes</t>
  </si>
  <si>
    <t>debentures</t>
  </si>
  <si>
    <t>Total Debt</t>
  </si>
  <si>
    <t>Bank Borrowing</t>
  </si>
  <si>
    <t>Opening Debt:</t>
  </si>
  <si>
    <t>Change in Debt:</t>
  </si>
  <si>
    <t>ST Debt</t>
  </si>
  <si>
    <t>LT Debt</t>
  </si>
  <si>
    <t>Surplus / Deficit</t>
  </si>
  <si>
    <t>Opening Cash Balance</t>
  </si>
  <si>
    <t>Closing Cash Balance</t>
  </si>
  <si>
    <t>Best</t>
  </si>
  <si>
    <t>Base</t>
  </si>
  <si>
    <t>Weak</t>
  </si>
  <si>
    <t>Scenario</t>
  </si>
  <si>
    <t>EBITDAX</t>
  </si>
  <si>
    <t>Int Exp</t>
  </si>
  <si>
    <t xml:space="preserve">APA Corporation </t>
  </si>
  <si>
    <t>Historical</t>
  </si>
  <si>
    <t>Prep Payment</t>
  </si>
  <si>
    <t>EBIT</t>
  </si>
  <si>
    <t>Tax Rate</t>
  </si>
  <si>
    <t>NOPAT</t>
  </si>
  <si>
    <t>CapEx</t>
  </si>
  <si>
    <t>FCFF | UnLevered FCF</t>
  </si>
  <si>
    <t xml:space="preserve">DCF Analysis </t>
  </si>
  <si>
    <t>Discount Period</t>
  </si>
  <si>
    <t>PV of FCFF</t>
  </si>
  <si>
    <t>Sum of PV of FCFF</t>
  </si>
  <si>
    <t>PV Of TV</t>
  </si>
  <si>
    <t>Emplied Enterprise Value</t>
  </si>
  <si>
    <t>Less: NEC</t>
  </si>
  <si>
    <t>Emplied Equity Value</t>
  </si>
  <si>
    <t>Diluted Shares</t>
  </si>
  <si>
    <t>Emplied Share Price</t>
  </si>
  <si>
    <t>WACC Analysis:</t>
  </si>
  <si>
    <t>Risk Free Rate</t>
  </si>
  <si>
    <t>Beta</t>
  </si>
  <si>
    <t>Risk Premium</t>
  </si>
  <si>
    <t>Cost of Equity : Ke</t>
  </si>
  <si>
    <t>Credit Spread</t>
  </si>
  <si>
    <t>Pretax Cost of Debt</t>
  </si>
  <si>
    <t>Post tax Cost of Debt</t>
  </si>
  <si>
    <t>Basic Shares Outs</t>
  </si>
  <si>
    <t>Dilutions</t>
  </si>
  <si>
    <t>Total Diluted Shares</t>
  </si>
  <si>
    <t>Market Price</t>
  </si>
  <si>
    <t>Market Cap</t>
  </si>
  <si>
    <t xml:space="preserve">ST Debt </t>
  </si>
  <si>
    <t>Equity %</t>
  </si>
  <si>
    <t>Debt %</t>
  </si>
  <si>
    <t>Options</t>
  </si>
  <si>
    <t>Strike Price</t>
  </si>
  <si>
    <t>Traunch 1</t>
  </si>
  <si>
    <t>Traunch 2</t>
  </si>
  <si>
    <t>Traunch 3</t>
  </si>
  <si>
    <t>Traunch 4</t>
  </si>
  <si>
    <t>Traunch 5</t>
  </si>
  <si>
    <t>Terminal Value:</t>
  </si>
  <si>
    <t>1. Perpetual Method</t>
  </si>
  <si>
    <t>Growth Rate</t>
  </si>
  <si>
    <t>Terminal value</t>
  </si>
  <si>
    <t>PV of Terminal Value</t>
  </si>
  <si>
    <t>2. Multiple Method</t>
  </si>
  <si>
    <t>Assumed Multiple</t>
  </si>
  <si>
    <t>Select Method</t>
  </si>
  <si>
    <t>PV of TV</t>
  </si>
  <si>
    <t>WACC</t>
  </si>
  <si>
    <t>Operating Profit</t>
  </si>
  <si>
    <t>Oil Revenue</t>
  </si>
  <si>
    <t>NGL Revenue</t>
  </si>
  <si>
    <t>Gas Revenue</t>
  </si>
  <si>
    <t xml:space="preserve"> Oil Revenue</t>
  </si>
  <si>
    <t xml:space="preserve"> NGL Revenue</t>
  </si>
  <si>
    <t>Revenue Gas Revenue</t>
  </si>
  <si>
    <t>Liquitity Ratios:</t>
  </si>
  <si>
    <t>Current Ratio</t>
  </si>
  <si>
    <t>Quick Ratio</t>
  </si>
  <si>
    <t>Cash Ratio</t>
  </si>
  <si>
    <t>Activity Ratios:</t>
  </si>
  <si>
    <t>Inventory Turnover Ratio</t>
  </si>
  <si>
    <t>Inventory Processing Period</t>
  </si>
  <si>
    <t>Account Receivable Turnover Ratio</t>
  </si>
  <si>
    <t>Collection Period</t>
  </si>
  <si>
    <t>Accounts Payable Turnover Ratio</t>
  </si>
  <si>
    <t>Payment Period</t>
  </si>
  <si>
    <t>Total Assets Turnover Ratio</t>
  </si>
  <si>
    <t>Equity Turnover Ratio</t>
  </si>
  <si>
    <t>PP&amp;E Turnover Ratio</t>
  </si>
  <si>
    <t>Solvency Ratios:</t>
  </si>
  <si>
    <t>Interest Coverage Ratio</t>
  </si>
  <si>
    <t>Fixed Charge Coverage Ratio</t>
  </si>
  <si>
    <t>Debt to Asset Ratio</t>
  </si>
  <si>
    <t>Debt to Equity Ratio</t>
  </si>
  <si>
    <t>Profitability Ratios:</t>
  </si>
  <si>
    <t>Operating Profit Margin</t>
  </si>
  <si>
    <t>Net Profit Margin</t>
  </si>
  <si>
    <t>Pretax Margin</t>
  </si>
  <si>
    <t>Return on Assets</t>
  </si>
  <si>
    <t>Return on Capital Employed</t>
  </si>
  <si>
    <t>Return on Equity</t>
  </si>
  <si>
    <t xml:space="preserve"> Gas Revenue</t>
  </si>
  <si>
    <t>BEFORE INCOME TAXES</t>
  </si>
  <si>
    <t>Total Revenues</t>
  </si>
  <si>
    <t>Net Revenue</t>
  </si>
  <si>
    <t>Gross Profit Margin</t>
  </si>
  <si>
    <t xml:space="preserve">Gross Profit </t>
  </si>
  <si>
    <t>Total Expense</t>
  </si>
  <si>
    <t>Total Liabilities</t>
  </si>
  <si>
    <t>Ratio Analysis</t>
  </si>
  <si>
    <t>Particulars in Millions</t>
  </si>
  <si>
    <t>S</t>
  </si>
  <si>
    <t>Operating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</si>
</sst>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0.000"/>
    <numFmt numFmtId="165" formatCode="0\x"/>
    <numFmt numFmtId="166" formatCode=".0\2\X"/>
    <numFmt numFmtId="167" formatCode="0.0&quot; Times&quot;"/>
    <numFmt numFmtId="168" formatCode="0&quot; Days&quot;"/>
    <numFmt numFmtId="169" formatCode="0.00&quot;X&quot;"/>
    <numFmt numFmtId="170" formatCode="0.0&quot;X&quot;"/>
    <numFmt numFmtId="171" formatCode="0.0"/>
  </numFmts>
  <fonts count="10" x14ac:knownFonts="1">
    <font>
      <sz val="11"/>
      <color theme="1"/>
      <name val="Calibri"/>
      <family val="2"/>
      <scheme val="minor"/>
    </font>
    <font>
      <b/>
      <sz val="11"/>
      <color theme="1"/>
      <name val="Calibri"/>
      <family val="2"/>
      <scheme val="minor"/>
    </font>
    <font>
      <sz val="14"/>
      <color theme="0"/>
      <name val="Calibri"/>
      <family val="2"/>
      <scheme val="minor"/>
    </font>
    <font>
      <b/>
      <sz val="11"/>
      <color rgb="FF0070C0"/>
      <name val="Calibri"/>
      <family val="2"/>
      <scheme val="minor"/>
    </font>
    <font>
      <b/>
      <sz val="11"/>
      <color theme="4"/>
      <name val="Calibri"/>
      <family val="2"/>
      <scheme val="minor"/>
    </font>
    <font>
      <sz val="11"/>
      <color theme="0"/>
      <name val="Calibri"/>
      <family val="2"/>
      <scheme val="minor"/>
    </font>
    <font>
      <sz val="20"/>
      <color theme="0"/>
      <name val="Calibri"/>
      <family val="2"/>
      <scheme val="minor"/>
    </font>
    <font>
      <b/>
      <sz val="11"/>
      <name val="Calibri"/>
      <family val="2"/>
      <scheme val="minor"/>
    </font>
    <font>
      <sz val="11"/>
      <color theme="1"/>
      <name val="Calibri"/>
      <family val="2"/>
      <scheme val="minor"/>
    </font>
    <font>
      <sz val="11"/>
      <color theme="1"/>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9" tint="-0.499984740745262"/>
        <bgColor indexed="64"/>
      </patternFill>
    </fill>
    <fill>
      <patternFill patternType="solid">
        <fgColor theme="0" tint="-0.14999847407452621"/>
        <bgColor indexed="64"/>
      </patternFill>
    </fill>
  </fills>
  <borders count="32">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theme="0"/>
      </right>
      <top/>
      <bottom/>
      <diagonal/>
    </border>
    <border>
      <left/>
      <right style="thick">
        <color theme="0"/>
      </right>
      <top/>
      <bottom style="thick">
        <color theme="0"/>
      </bottom>
      <diagonal/>
    </border>
    <border>
      <left/>
      <right/>
      <top/>
      <bottom style="thick">
        <color theme="0"/>
      </bottom>
      <diagonal/>
    </border>
    <border>
      <left style="thick">
        <color theme="0"/>
      </left>
      <right/>
      <top/>
      <bottom style="thick">
        <color theme="0"/>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171">
    <xf numFmtId="0" fontId="0" fillId="0" borderId="0" xfId="0"/>
    <xf numFmtId="0" fontId="1" fillId="0" borderId="0" xfId="0" applyFont="1"/>
    <xf numFmtId="0" fontId="1" fillId="2" borderId="1" xfId="0" applyFont="1" applyFill="1" applyBorder="1"/>
    <xf numFmtId="3" fontId="1" fillId="2" borderId="1" xfId="0" applyNumberFormat="1" applyFont="1" applyFill="1" applyBorder="1"/>
    <xf numFmtId="0" fontId="0" fillId="2" borderId="0" xfId="0" applyFill="1"/>
    <xf numFmtId="3" fontId="0" fillId="2" borderId="1" xfId="0" applyNumberFormat="1" applyFill="1" applyBorder="1"/>
    <xf numFmtId="1" fontId="1" fillId="2" borderId="1" xfId="0" applyNumberFormat="1" applyFont="1" applyFill="1" applyBorder="1"/>
    <xf numFmtId="0" fontId="5" fillId="3" borderId="0" xfId="0" applyFont="1" applyFill="1"/>
    <xf numFmtId="0" fontId="0" fillId="2" borderId="0" xfId="0" applyFill="1" applyBorder="1"/>
    <xf numFmtId="3" fontId="3" fillId="0" borderId="0" xfId="0" applyNumberFormat="1" applyFont="1" applyBorder="1"/>
    <xf numFmtId="0" fontId="3" fillId="0" borderId="0" xfId="0" applyFont="1" applyBorder="1"/>
    <xf numFmtId="0" fontId="0" fillId="0" borderId="0" xfId="0" applyBorder="1"/>
    <xf numFmtId="3" fontId="0" fillId="0" borderId="0" xfId="0" applyNumberFormat="1" applyBorder="1"/>
    <xf numFmtId="1" fontId="0" fillId="0" borderId="0" xfId="0" applyNumberFormat="1" applyBorder="1"/>
    <xf numFmtId="4" fontId="0" fillId="0" borderId="0" xfId="0" applyNumberFormat="1" applyBorder="1"/>
    <xf numFmtId="3" fontId="1" fillId="0" borderId="0" xfId="0" applyNumberFormat="1" applyFont="1" applyBorder="1"/>
    <xf numFmtId="0" fontId="0" fillId="0" borderId="9" xfId="0" applyBorder="1"/>
    <xf numFmtId="3" fontId="0" fillId="0" borderId="10" xfId="0" applyNumberFormat="1" applyBorder="1"/>
    <xf numFmtId="3" fontId="0" fillId="0" borderId="11" xfId="0" applyNumberFormat="1" applyBorder="1"/>
    <xf numFmtId="0" fontId="0" fillId="0" borderId="12" xfId="0" applyBorder="1"/>
    <xf numFmtId="0" fontId="0" fillId="0" borderId="13" xfId="0" applyBorder="1"/>
    <xf numFmtId="0" fontId="1" fillId="2" borderId="14" xfId="0" applyFont="1" applyFill="1" applyBorder="1"/>
    <xf numFmtId="1" fontId="1" fillId="2" borderId="15" xfId="0" applyNumberFormat="1" applyFont="1" applyFill="1" applyBorder="1"/>
    <xf numFmtId="3" fontId="1" fillId="2" borderId="15" xfId="0" applyNumberFormat="1" applyFont="1" applyFill="1" applyBorder="1"/>
    <xf numFmtId="3" fontId="0" fillId="0" borderId="13" xfId="0" applyNumberFormat="1" applyBorder="1"/>
    <xf numFmtId="1" fontId="0" fillId="0" borderId="13" xfId="0" applyNumberFormat="1" applyBorder="1"/>
    <xf numFmtId="4" fontId="0" fillId="0" borderId="13" xfId="0" applyNumberFormat="1" applyBorder="1"/>
    <xf numFmtId="0" fontId="1" fillId="0" borderId="12" xfId="0" applyFont="1" applyBorder="1"/>
    <xf numFmtId="0" fontId="0" fillId="0" borderId="16" xfId="0" applyBorder="1"/>
    <xf numFmtId="0" fontId="1" fillId="2" borderId="23" xfId="0" applyFont="1" applyFill="1" applyBorder="1"/>
    <xf numFmtId="0" fontId="1" fillId="2" borderId="24" xfId="0" applyFont="1" applyFill="1" applyBorder="1"/>
    <xf numFmtId="1" fontId="1" fillId="2" borderId="24" xfId="0" applyNumberFormat="1" applyFont="1" applyFill="1" applyBorder="1"/>
    <xf numFmtId="1" fontId="1" fillId="2" borderId="25" xfId="0" applyNumberFormat="1" applyFont="1" applyFill="1" applyBorder="1"/>
    <xf numFmtId="0" fontId="2" fillId="4" borderId="0" xfId="0" applyFont="1" applyFill="1"/>
    <xf numFmtId="0" fontId="6" fillId="4" borderId="0" xfId="0" applyFont="1" applyFill="1" applyAlignment="1">
      <alignment horizontal="center"/>
    </xf>
    <xf numFmtId="0" fontId="6" fillId="4" borderId="0" xfId="0" applyFont="1" applyFill="1" applyAlignment="1">
      <alignment horizontal="centerContinuous"/>
    </xf>
    <xf numFmtId="0" fontId="6" fillId="4" borderId="19" xfId="0" applyFont="1" applyFill="1" applyBorder="1" applyAlignment="1">
      <alignment horizontal="centerContinuous" vertical="center"/>
    </xf>
    <xf numFmtId="0" fontId="6" fillId="4" borderId="0" xfId="0" applyFont="1" applyFill="1" applyAlignment="1">
      <alignment horizontal="centerContinuous" vertical="center"/>
    </xf>
    <xf numFmtId="0" fontId="6" fillId="4" borderId="0" xfId="0" applyFont="1" applyFill="1"/>
    <xf numFmtId="0" fontId="6" fillId="4" borderId="21" xfId="0" applyFont="1" applyFill="1" applyBorder="1" applyAlignment="1">
      <alignment horizontal="right"/>
    </xf>
    <xf numFmtId="0" fontId="6" fillId="4" borderId="20" xfId="0" applyFont="1" applyFill="1" applyBorder="1" applyAlignment="1">
      <alignment horizontal="right"/>
    </xf>
    <xf numFmtId="0" fontId="6" fillId="4" borderId="22" xfId="0" applyFont="1" applyFill="1" applyBorder="1" applyAlignment="1">
      <alignment horizontal="right"/>
    </xf>
    <xf numFmtId="0" fontId="6" fillId="4" borderId="0" xfId="0" applyFont="1" applyFill="1" applyBorder="1"/>
    <xf numFmtId="0" fontId="0" fillId="0" borderId="17" xfId="0" applyBorder="1"/>
    <xf numFmtId="2" fontId="1" fillId="2" borderId="1" xfId="0" applyNumberFormat="1" applyFont="1" applyFill="1" applyBorder="1"/>
    <xf numFmtId="0" fontId="0" fillId="0" borderId="10" xfId="0" applyBorder="1"/>
    <xf numFmtId="0" fontId="0" fillId="0" borderId="11" xfId="0" applyBorder="1"/>
    <xf numFmtId="0" fontId="1" fillId="0" borderId="0" xfId="0" applyFont="1" applyBorder="1" applyAlignment="1">
      <alignment horizontal="right"/>
    </xf>
    <xf numFmtId="0" fontId="1" fillId="0" borderId="0" xfId="0" applyFont="1" applyBorder="1"/>
    <xf numFmtId="0" fontId="1" fillId="0" borderId="13" xfId="0" applyFont="1" applyBorder="1"/>
    <xf numFmtId="4" fontId="0" fillId="0" borderId="17" xfId="0" applyNumberFormat="1" applyBorder="1"/>
    <xf numFmtId="4" fontId="0" fillId="0" borderId="18" xfId="0" applyNumberFormat="1" applyBorder="1"/>
    <xf numFmtId="0" fontId="7" fillId="0" borderId="0" xfId="0" applyFont="1" applyFill="1" applyAlignment="1">
      <alignment horizontal="center"/>
    </xf>
    <xf numFmtId="0" fontId="0" fillId="2" borderId="12" xfId="0" applyFill="1" applyBorder="1"/>
    <xf numFmtId="9" fontId="0" fillId="0" borderId="0" xfId="0" applyNumberFormat="1" applyBorder="1"/>
    <xf numFmtId="9" fontId="0" fillId="0" borderId="13" xfId="0" applyNumberFormat="1" applyBorder="1"/>
    <xf numFmtId="9" fontId="3" fillId="0" borderId="0" xfId="0" applyNumberFormat="1" applyFont="1" applyBorder="1"/>
    <xf numFmtId="9" fontId="3" fillId="0" borderId="13" xfId="0" applyNumberFormat="1" applyFont="1" applyBorder="1"/>
    <xf numFmtId="9" fontId="0" fillId="0" borderId="17" xfId="0" applyNumberFormat="1" applyBorder="1"/>
    <xf numFmtId="9" fontId="3" fillId="0" borderId="17" xfId="0" applyNumberFormat="1" applyFont="1" applyBorder="1"/>
    <xf numFmtId="9" fontId="3" fillId="0" borderId="18" xfId="0" applyNumberFormat="1" applyFont="1" applyBorder="1"/>
    <xf numFmtId="9" fontId="4" fillId="0" borderId="0" xfId="0" applyNumberFormat="1" applyFont="1" applyBorder="1"/>
    <xf numFmtId="9" fontId="4" fillId="0" borderId="13" xfId="0" applyNumberFormat="1" applyFont="1" applyBorder="1"/>
    <xf numFmtId="9" fontId="4" fillId="0" borderId="17" xfId="0" applyNumberFormat="1" applyFont="1" applyBorder="1"/>
    <xf numFmtId="9" fontId="4" fillId="0" borderId="18" xfId="0" applyNumberFormat="1" applyFont="1" applyBorder="1"/>
    <xf numFmtId="0" fontId="4" fillId="0" borderId="0" xfId="0" applyFont="1" applyBorder="1"/>
    <xf numFmtId="3" fontId="4" fillId="0" borderId="0" xfId="0" applyNumberFormat="1" applyFont="1" applyBorder="1"/>
    <xf numFmtId="0" fontId="1" fillId="2" borderId="15" xfId="0" applyFont="1" applyFill="1" applyBorder="1"/>
    <xf numFmtId="1" fontId="1" fillId="0" borderId="0" xfId="0" applyNumberFormat="1" applyFont="1" applyBorder="1"/>
    <xf numFmtId="2" fontId="3" fillId="0" borderId="0" xfId="0" applyNumberFormat="1" applyFont="1" applyBorder="1"/>
    <xf numFmtId="2" fontId="0" fillId="0" borderId="0" xfId="0" applyNumberFormat="1" applyBorder="1"/>
    <xf numFmtId="2" fontId="0" fillId="0" borderId="13" xfId="0" applyNumberFormat="1" applyBorder="1"/>
    <xf numFmtId="2" fontId="1" fillId="2" borderId="15" xfId="0" applyNumberFormat="1" applyFont="1" applyFill="1" applyBorder="1"/>
    <xf numFmtId="0" fontId="0" fillId="2" borderId="14" xfId="0" applyFill="1" applyBorder="1"/>
    <xf numFmtId="3" fontId="0" fillId="2" borderId="15" xfId="0" applyNumberFormat="1" applyFill="1" applyBorder="1"/>
    <xf numFmtId="4" fontId="3" fillId="0" borderId="0" xfId="0" applyNumberFormat="1" applyFont="1" applyBorder="1"/>
    <xf numFmtId="4" fontId="3" fillId="0" borderId="13" xfId="0" applyNumberFormat="1" applyFont="1" applyBorder="1"/>
    <xf numFmtId="3" fontId="4" fillId="0" borderId="13" xfId="0" applyNumberFormat="1" applyFont="1" applyBorder="1"/>
    <xf numFmtId="9" fontId="0" fillId="0" borderId="18" xfId="0" applyNumberFormat="1" applyBorder="1"/>
    <xf numFmtId="0" fontId="6" fillId="4" borderId="0" xfId="0" applyFont="1" applyFill="1" applyAlignment="1">
      <alignment horizontal="left"/>
    </xf>
    <xf numFmtId="9" fontId="0" fillId="0" borderId="0" xfId="0" applyNumberFormat="1"/>
    <xf numFmtId="3" fontId="0" fillId="0" borderId="0" xfId="0" applyNumberFormat="1"/>
    <xf numFmtId="1" fontId="0" fillId="0" borderId="0" xfId="0" applyNumberFormat="1"/>
    <xf numFmtId="0" fontId="0" fillId="0" borderId="0" xfId="0" applyAlignment="1">
      <alignment horizontal="center"/>
    </xf>
    <xf numFmtId="0" fontId="1" fillId="2" borderId="2" xfId="0" applyFont="1" applyFill="1" applyBorder="1"/>
    <xf numFmtId="3" fontId="1" fillId="2" borderId="3" xfId="0" applyNumberFormat="1" applyFont="1" applyFill="1" applyBorder="1"/>
    <xf numFmtId="3" fontId="1" fillId="2" borderId="4" xfId="0" applyNumberFormat="1" applyFont="1" applyFill="1" applyBorder="1"/>
    <xf numFmtId="0" fontId="0" fillId="0" borderId="5" xfId="0" applyBorder="1"/>
    <xf numFmtId="0" fontId="0" fillId="0" borderId="6" xfId="0" applyBorder="1"/>
    <xf numFmtId="0" fontId="1" fillId="0" borderId="5" xfId="0" applyFont="1" applyBorder="1"/>
    <xf numFmtId="3" fontId="0" fillId="0" borderId="6" xfId="0" applyNumberFormat="1" applyBorder="1"/>
    <xf numFmtId="1" fontId="0" fillId="0" borderId="6" xfId="0" applyNumberFormat="1" applyBorder="1"/>
    <xf numFmtId="0" fontId="3" fillId="0" borderId="6" xfId="0" applyFont="1" applyBorder="1"/>
    <xf numFmtId="4" fontId="0" fillId="0" borderId="6" xfId="0" applyNumberFormat="1" applyBorder="1"/>
    <xf numFmtId="3" fontId="1" fillId="0" borderId="6" xfId="0" applyNumberFormat="1" applyFont="1" applyBorder="1"/>
    <xf numFmtId="0" fontId="0" fillId="0" borderId="7" xfId="0" applyBorder="1"/>
    <xf numFmtId="3" fontId="0" fillId="0" borderId="8" xfId="0" applyNumberFormat="1" applyBorder="1"/>
    <xf numFmtId="0" fontId="0" fillId="0" borderId="2" xfId="0" applyBorder="1"/>
    <xf numFmtId="3" fontId="3" fillId="0" borderId="3" xfId="0" applyNumberFormat="1" applyFont="1" applyBorder="1"/>
    <xf numFmtId="3" fontId="0" fillId="0" borderId="3" xfId="0" applyNumberFormat="1" applyBorder="1"/>
    <xf numFmtId="3" fontId="0" fillId="0" borderId="4" xfId="0" applyNumberFormat="1" applyBorder="1"/>
    <xf numFmtId="0" fontId="1" fillId="2" borderId="26" xfId="0" applyFont="1" applyFill="1" applyBorder="1"/>
    <xf numFmtId="1" fontId="1" fillId="2" borderId="27" xfId="0" applyNumberFormat="1" applyFont="1" applyFill="1" applyBorder="1"/>
    <xf numFmtId="3" fontId="1" fillId="2" borderId="27" xfId="0" applyNumberFormat="1" applyFont="1" applyFill="1" applyBorder="1"/>
    <xf numFmtId="0" fontId="0" fillId="0" borderId="3" xfId="0" applyBorder="1"/>
    <xf numFmtId="0" fontId="0" fillId="0" borderId="4" xfId="0" applyBorder="1"/>
    <xf numFmtId="1" fontId="0" fillId="0" borderId="0" xfId="0" applyNumberFormat="1" applyBorder="1" applyAlignment="1">
      <alignment horizontal="right"/>
    </xf>
    <xf numFmtId="1" fontId="0" fillId="0" borderId="13" xfId="0" applyNumberFormat="1" applyBorder="1" applyAlignment="1">
      <alignment horizontal="right"/>
    </xf>
    <xf numFmtId="9" fontId="0" fillId="5" borderId="0" xfId="0" applyNumberFormat="1" applyFill="1" applyBorder="1"/>
    <xf numFmtId="0" fontId="0" fillId="5" borderId="0" xfId="0" applyFill="1" applyBorder="1"/>
    <xf numFmtId="10" fontId="1" fillId="0" borderId="0" xfId="0" applyNumberFormat="1" applyFont="1" applyBorder="1"/>
    <xf numFmtId="4" fontId="1" fillId="0" borderId="0" xfId="0" applyNumberFormat="1" applyFont="1" applyBorder="1"/>
    <xf numFmtId="9" fontId="0" fillId="0" borderId="0" xfId="1" applyFont="1" applyBorder="1"/>
    <xf numFmtId="10" fontId="0" fillId="0" borderId="0" xfId="0" applyNumberFormat="1" applyBorder="1"/>
    <xf numFmtId="9" fontId="0" fillId="5" borderId="0" xfId="1" applyFont="1" applyFill="1" applyBorder="1"/>
    <xf numFmtId="0" fontId="0" fillId="0" borderId="18" xfId="0" applyBorder="1"/>
    <xf numFmtId="0" fontId="6" fillId="4" borderId="0" xfId="0" applyFont="1" applyFill="1" applyBorder="1" applyAlignment="1">
      <alignment horizontal="right"/>
    </xf>
    <xf numFmtId="0" fontId="2" fillId="4" borderId="0" xfId="0" applyFont="1" applyFill="1" applyBorder="1"/>
    <xf numFmtId="0" fontId="9" fillId="2" borderId="0" xfId="0" applyFont="1" applyFill="1"/>
    <xf numFmtId="0" fontId="6" fillId="3" borderId="0" xfId="0" applyFont="1" applyFill="1" applyAlignment="1">
      <alignment horizontal="center"/>
    </xf>
    <xf numFmtId="0" fontId="6" fillId="3" borderId="0" xfId="0" applyFont="1" applyFill="1" applyAlignment="1">
      <alignment horizontal="centerContinuous"/>
    </xf>
    <xf numFmtId="0" fontId="6" fillId="3" borderId="0" xfId="0" applyFont="1" applyFill="1" applyBorder="1" applyAlignment="1">
      <alignment horizontal="centerContinuous" vertical="center"/>
    </xf>
    <xf numFmtId="0" fontId="6" fillId="3" borderId="0" xfId="0" applyFont="1" applyFill="1" applyAlignment="1">
      <alignment horizontal="centerContinuous" vertical="center"/>
    </xf>
    <xf numFmtId="0" fontId="2" fillId="3" borderId="0" xfId="0" applyFont="1" applyFill="1"/>
    <xf numFmtId="0" fontId="0" fillId="0" borderId="0" xfId="0" applyFill="1"/>
    <xf numFmtId="0" fontId="1" fillId="2" borderId="14" xfId="0" applyFont="1" applyFill="1" applyBorder="1" applyAlignment="1">
      <alignment horizontal="left"/>
    </xf>
    <xf numFmtId="9" fontId="0" fillId="0" borderId="0" xfId="1" applyFont="1"/>
    <xf numFmtId="0" fontId="0" fillId="0" borderId="0" xfId="0" applyFill="1" applyBorder="1"/>
    <xf numFmtId="166" fontId="0" fillId="0" borderId="0" xfId="0" applyNumberFormat="1" applyFill="1" applyBorder="1"/>
    <xf numFmtId="169" fontId="0" fillId="0" borderId="0" xfId="0" applyNumberFormat="1" applyFill="1" applyBorder="1"/>
    <xf numFmtId="167" fontId="0" fillId="0" borderId="0" xfId="0" applyNumberFormat="1" applyFill="1" applyBorder="1"/>
    <xf numFmtId="168" fontId="0" fillId="0" borderId="0" xfId="0" applyNumberFormat="1" applyFill="1" applyBorder="1"/>
    <xf numFmtId="171" fontId="0" fillId="0" borderId="0" xfId="0" applyNumberFormat="1" applyFill="1" applyBorder="1"/>
    <xf numFmtId="170" fontId="0" fillId="0" borderId="0" xfId="0" applyNumberFormat="1" applyFill="1" applyBorder="1"/>
    <xf numFmtId="9" fontId="0" fillId="0" borderId="0" xfId="0" applyNumberFormat="1" applyFill="1" applyBorder="1"/>
    <xf numFmtId="9" fontId="0" fillId="0" borderId="0" xfId="1" applyFont="1" applyFill="1" applyBorder="1"/>
    <xf numFmtId="3" fontId="0" fillId="0" borderId="0" xfId="0" applyNumberFormat="1" applyFill="1" applyBorder="1"/>
    <xf numFmtId="0" fontId="0" fillId="0" borderId="6" xfId="0" applyFill="1" applyBorder="1"/>
    <xf numFmtId="0" fontId="0" fillId="0" borderId="8" xfId="0" applyFill="1" applyBorder="1"/>
    <xf numFmtId="9" fontId="0" fillId="0" borderId="8" xfId="1" applyFont="1" applyFill="1" applyBorder="1"/>
    <xf numFmtId="0" fontId="0" fillId="0" borderId="28" xfId="0" applyBorder="1"/>
    <xf numFmtId="0" fontId="2" fillId="4" borderId="0" xfId="0" applyFont="1" applyFill="1" applyAlignment="1">
      <alignment vertical="center"/>
    </xf>
    <xf numFmtId="0" fontId="6" fillId="4" borderId="0" xfId="0" applyFont="1" applyFill="1" applyAlignment="1">
      <alignment horizontal="left" vertical="center"/>
    </xf>
    <xf numFmtId="165" fontId="0" fillId="5" borderId="0" xfId="0" applyNumberFormat="1" applyFill="1" applyBorder="1"/>
    <xf numFmtId="0" fontId="0" fillId="5" borderId="23" xfId="0" applyFill="1" applyBorder="1"/>
    <xf numFmtId="1" fontId="0" fillId="5" borderId="24" xfId="0" applyNumberFormat="1" applyFill="1" applyBorder="1"/>
    <xf numFmtId="0" fontId="0" fillId="5" borderId="14" xfId="0" applyFill="1" applyBorder="1"/>
    <xf numFmtId="0" fontId="0" fillId="5" borderId="1" xfId="0" applyFill="1" applyBorder="1"/>
    <xf numFmtId="164" fontId="0" fillId="5" borderId="0" xfId="0" applyNumberFormat="1" applyFill="1" applyBorder="1"/>
    <xf numFmtId="3" fontId="0" fillId="5" borderId="1" xfId="0" applyNumberFormat="1" applyFill="1" applyBorder="1"/>
    <xf numFmtId="3" fontId="0" fillId="5" borderId="15" xfId="0" applyNumberFormat="1" applyFill="1" applyBorder="1"/>
    <xf numFmtId="0" fontId="0" fillId="5" borderId="15" xfId="0" applyFill="1" applyBorder="1"/>
    <xf numFmtId="10" fontId="0" fillId="5" borderId="0" xfId="0" applyNumberFormat="1" applyFill="1" applyBorder="1"/>
    <xf numFmtId="3" fontId="0" fillId="5" borderId="0" xfId="0" applyNumberFormat="1" applyFill="1" applyBorder="1"/>
    <xf numFmtId="0" fontId="1" fillId="5" borderId="14" xfId="0" applyFont="1" applyFill="1" applyBorder="1"/>
    <xf numFmtId="0" fontId="1" fillId="5" borderId="1" xfId="0" applyFont="1" applyFill="1" applyBorder="1"/>
    <xf numFmtId="1" fontId="1" fillId="5" borderId="1" xfId="0" applyNumberFormat="1" applyFont="1" applyFill="1" applyBorder="1"/>
    <xf numFmtId="0" fontId="1" fillId="5" borderId="15" xfId="0" applyFont="1" applyFill="1" applyBorder="1"/>
    <xf numFmtId="0" fontId="1" fillId="0" borderId="14" xfId="0" applyFont="1" applyFill="1" applyBorder="1"/>
    <xf numFmtId="0" fontId="1" fillId="0" borderId="1" xfId="0" applyFont="1" applyFill="1" applyBorder="1"/>
    <xf numFmtId="1" fontId="1" fillId="0" borderId="1" xfId="0" applyNumberFormat="1" applyFont="1" applyFill="1" applyBorder="1"/>
    <xf numFmtId="0" fontId="1" fillId="0" borderId="15" xfId="0" applyFont="1" applyFill="1" applyBorder="1"/>
    <xf numFmtId="3" fontId="0" fillId="0" borderId="28" xfId="0" applyNumberFormat="1" applyBorder="1"/>
    <xf numFmtId="0" fontId="1" fillId="2" borderId="27" xfId="0" applyFont="1" applyFill="1" applyBorder="1"/>
    <xf numFmtId="1" fontId="1" fillId="0" borderId="6" xfId="0" applyNumberFormat="1" applyFont="1" applyBorder="1"/>
    <xf numFmtId="0" fontId="1" fillId="2" borderId="3" xfId="0" applyFont="1" applyFill="1" applyBorder="1"/>
    <xf numFmtId="0" fontId="0" fillId="0" borderId="29" xfId="0" applyBorder="1"/>
    <xf numFmtId="0" fontId="0" fillId="0" borderId="31" xfId="0" applyBorder="1"/>
    <xf numFmtId="3" fontId="0" fillId="0" borderId="31" xfId="0" applyNumberFormat="1" applyBorder="1"/>
    <xf numFmtId="3" fontId="0" fillId="0" borderId="30" xfId="0" applyNumberFormat="1" applyBorder="1"/>
    <xf numFmtId="0" fontId="1" fillId="2" borderId="12" xfId="0" applyFont="1" applyFill="1" applyBorder="1"/>
  </cellXfs>
  <cellStyles count="2">
    <cellStyle name="Normal" xfId="0" builtinId="0"/>
    <cellStyle name="Percent" xfId="1" builtinId="5"/>
  </cellStyles>
  <dxfs count="7">
    <dxf>
      <fill>
        <patternFill patternType="solid">
          <fgColor theme="0" tint="-0.14999847407452621"/>
          <bgColor theme="0" tint="-0.14999847407452621"/>
        </patternFill>
      </fill>
    </dxf>
    <dxf>
      <fill>
        <patternFill patternType="solid">
          <fgColor theme="0" tint="-0.14996795556505021"/>
          <bgColor theme="0" tint="-4.9989318521683403E-2"/>
        </patternFill>
      </fill>
    </dxf>
    <dxf>
      <font>
        <b/>
        <color theme="1"/>
      </font>
    </dxf>
    <dxf>
      <font>
        <b/>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TableStyleMedium2" defaultPivotStyle="PivotStyleLight16">
    <tableStyle name="Calculator" pivot="0" count="7" xr9:uid="{96638862-0BF9-4C84-993B-66554C7F7EDF}">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E8D21D"/>
      <color rgb="FF36454F"/>
      <color rgb="FFBAB86C"/>
      <color rgb="FF039FBE"/>
      <color rgb="FFB20238"/>
      <color rgb="FFCF15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0314810804186982"/>
          <c:y val="0.1118055428380169"/>
          <c:w val="0.82432153607625147"/>
          <c:h val="0.79093997865651411"/>
        </c:manualLayout>
      </c:layout>
      <c:bar3DChart>
        <c:barDir val="col"/>
        <c:grouping val="clustered"/>
        <c:varyColors val="0"/>
        <c:ser>
          <c:idx val="0"/>
          <c:order val="0"/>
          <c:tx>
            <c:strRef>
              <c:f>IS!$B$39</c:f>
              <c:strCache>
                <c:ptCount val="1"/>
                <c:pt idx="0">
                  <c:v>EBIT</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numRef>
              <c:f>IS!$C$2:$J$2</c:f>
              <c:numCache>
                <c:formatCode>General</c:formatCode>
                <c:ptCount val="8"/>
                <c:pt idx="0">
                  <c:v>2021</c:v>
                </c:pt>
                <c:pt idx="1">
                  <c:v>2022</c:v>
                </c:pt>
                <c:pt idx="2">
                  <c:v>2023</c:v>
                </c:pt>
                <c:pt idx="3">
                  <c:v>2024</c:v>
                </c:pt>
                <c:pt idx="4">
                  <c:v>2025</c:v>
                </c:pt>
                <c:pt idx="5">
                  <c:v>2026</c:v>
                </c:pt>
                <c:pt idx="6">
                  <c:v>2027</c:v>
                </c:pt>
                <c:pt idx="7">
                  <c:v>2028</c:v>
                </c:pt>
              </c:numCache>
            </c:numRef>
          </c:cat>
          <c:val>
            <c:numRef>
              <c:f>IS!$C$39:$J$39</c:f>
              <c:numCache>
                <c:formatCode>#,##0</c:formatCode>
                <c:ptCount val="8"/>
                <c:pt idx="0">
                  <c:v>2405</c:v>
                </c:pt>
                <c:pt idx="1">
                  <c:v>6113</c:v>
                </c:pt>
                <c:pt idx="2">
                  <c:v>3195</c:v>
                </c:pt>
                <c:pt idx="3">
                  <c:v>4730.0014831208955</c:v>
                </c:pt>
                <c:pt idx="4">
                  <c:v>6404.2141560981318</c:v>
                </c:pt>
                <c:pt idx="5">
                  <c:v>8565.2325722558016</c:v>
                </c:pt>
                <c:pt idx="6">
                  <c:v>11366.104521150119</c:v>
                </c:pt>
                <c:pt idx="7">
                  <c:v>15007.940384797359</c:v>
                </c:pt>
              </c:numCache>
            </c:numRef>
          </c:val>
          <c:extLst>
            <c:ext xmlns:c16="http://schemas.microsoft.com/office/drawing/2014/chart" uri="{C3380CC4-5D6E-409C-BE32-E72D297353CC}">
              <c16:uniqueId val="{00000000-3FC2-4389-9B26-5BB0058F1E49}"/>
            </c:ext>
          </c:extLst>
        </c:ser>
        <c:ser>
          <c:idx val="1"/>
          <c:order val="1"/>
          <c:tx>
            <c:strRef>
              <c:f>IS!$B$40</c:f>
              <c:strCache>
                <c:ptCount val="1"/>
                <c:pt idx="0">
                  <c:v>EBITDAX</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numRef>
              <c:f>IS!$C$2:$J$2</c:f>
              <c:numCache>
                <c:formatCode>General</c:formatCode>
                <c:ptCount val="8"/>
                <c:pt idx="0">
                  <c:v>2021</c:v>
                </c:pt>
                <c:pt idx="1">
                  <c:v>2022</c:v>
                </c:pt>
                <c:pt idx="2">
                  <c:v>2023</c:v>
                </c:pt>
                <c:pt idx="3">
                  <c:v>2024</c:v>
                </c:pt>
                <c:pt idx="4">
                  <c:v>2025</c:v>
                </c:pt>
                <c:pt idx="5">
                  <c:v>2026</c:v>
                </c:pt>
                <c:pt idx="6">
                  <c:v>2027</c:v>
                </c:pt>
                <c:pt idx="7">
                  <c:v>2028</c:v>
                </c:pt>
              </c:numCache>
            </c:numRef>
          </c:cat>
          <c:val>
            <c:numRef>
              <c:f>IS!$C$40:$J$40</c:f>
              <c:numCache>
                <c:formatCode>#,##0</c:formatCode>
                <c:ptCount val="8"/>
                <c:pt idx="0">
                  <c:v>4128</c:v>
                </c:pt>
                <c:pt idx="1">
                  <c:v>7651</c:v>
                </c:pt>
                <c:pt idx="2">
                  <c:v>4991</c:v>
                </c:pt>
                <c:pt idx="3">
                  <c:v>6490.2042048498051</c:v>
                </c:pt>
                <c:pt idx="4">
                  <c:v>8349.5132972224237</c:v>
                </c:pt>
                <c:pt idx="5">
                  <c:v>10739.645096268752</c:v>
                </c:pt>
                <c:pt idx="6">
                  <c:v>13823.209507178786</c:v>
                </c:pt>
                <c:pt idx="7">
                  <c:v>17813.299599127291</c:v>
                </c:pt>
              </c:numCache>
            </c:numRef>
          </c:val>
          <c:extLst>
            <c:ext xmlns:c16="http://schemas.microsoft.com/office/drawing/2014/chart" uri="{C3380CC4-5D6E-409C-BE32-E72D297353CC}">
              <c16:uniqueId val="{00000001-3FC2-4389-9B26-5BB0058F1E49}"/>
            </c:ext>
          </c:extLst>
        </c:ser>
        <c:dLbls>
          <c:showLegendKey val="0"/>
          <c:showVal val="0"/>
          <c:showCatName val="0"/>
          <c:showSerName val="0"/>
          <c:showPercent val="0"/>
          <c:showBubbleSize val="0"/>
        </c:dLbls>
        <c:gapWidth val="150"/>
        <c:shape val="box"/>
        <c:axId val="1712577232"/>
        <c:axId val="1712579632"/>
        <c:axId val="0"/>
      </c:bar3DChart>
      <c:catAx>
        <c:axId val="17125772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12579632"/>
        <c:crosses val="autoZero"/>
        <c:auto val="1"/>
        <c:lblAlgn val="ctr"/>
        <c:lblOffset val="100"/>
        <c:noMultiLvlLbl val="0"/>
      </c:catAx>
      <c:valAx>
        <c:axId val="17125796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12577232"/>
        <c:crosses val="autoZero"/>
        <c:crossBetween val="between"/>
        <c:majorUnit val="2500"/>
      </c:valAx>
      <c:spPr>
        <a:noFill/>
        <a:ln>
          <a:noFill/>
        </a:ln>
        <a:effectLst/>
      </c:spPr>
    </c:plotArea>
    <c:legend>
      <c:legendPos val="b"/>
      <c:layout>
        <c:manualLayout>
          <c:xMode val="edge"/>
          <c:yMode val="edge"/>
          <c:x val="0.36153800659252655"/>
          <c:y val="0.12473781847043793"/>
          <c:w val="0.26401925144379423"/>
          <c:h val="8.828672068985429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Product-wise</a:t>
            </a:r>
            <a:r>
              <a:rPr lang="en-US" sz="1050" b="1" baseline="0"/>
              <a:t> Revenue</a:t>
            </a:r>
            <a:endParaRPr lang="en-US" sz="1050" b="1"/>
          </a:p>
        </c:rich>
      </c:tx>
      <c:layout>
        <c:manualLayout>
          <c:xMode val="edge"/>
          <c:yMode val="edge"/>
          <c:x val="2.7036898589515618E-3"/>
          <c:y val="0.1295484519181326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948236627183632"/>
          <c:y val="0.12679491909668092"/>
          <c:w val="0.56103573801533269"/>
          <c:h val="0.6602420513729258"/>
        </c:manualLayout>
      </c:layout>
      <c:pieChart>
        <c:varyColors val="1"/>
        <c:dLbls>
          <c:dLblPos val="inEnd"/>
          <c:showLegendKey val="0"/>
          <c:showVal val="0"/>
          <c:showCatName val="0"/>
          <c:showSerName val="0"/>
          <c:showPercent val="1"/>
          <c:showBubbleSize val="0"/>
          <c:showLeaderLines val="0"/>
        </c:dLbls>
        <c:firstSliceAng val="0"/>
      </c:pieChart>
      <c:spPr>
        <a:noFill/>
        <a:ln>
          <a:noFill/>
        </a:ln>
        <a:effectLst/>
      </c:spPr>
    </c:plotArea>
    <c:legend>
      <c:legendPos val="b"/>
      <c:layout>
        <c:manualLayout>
          <c:xMode val="edge"/>
          <c:yMode val="edge"/>
          <c:x val="4.5328007860217616E-2"/>
          <c:y val="0.79611873071255057"/>
          <c:w val="0.90934398427956464"/>
          <c:h val="0.16168400893167525"/>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0763045699905006"/>
          <c:y val="0.15447154471544716"/>
          <c:w val="0.86092300212044681"/>
          <c:h val="0.76060975609756099"/>
        </c:manualLayout>
      </c:layout>
      <c:bar3DChart>
        <c:barDir val="col"/>
        <c:grouping val="clustered"/>
        <c:varyColors val="0"/>
        <c:ser>
          <c:idx val="0"/>
          <c:order val="0"/>
          <c:tx>
            <c:strRef>
              <c:f>'Operating Model'!$B$51</c:f>
              <c:strCache>
                <c:ptCount val="1"/>
                <c:pt idx="0">
                  <c:v> Oil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numRef>
              <c:f>'Operating Model'!$C$2:$J$2</c:f>
              <c:numCache>
                <c:formatCode>General</c:formatCode>
                <c:ptCount val="8"/>
                <c:pt idx="0">
                  <c:v>2021</c:v>
                </c:pt>
                <c:pt idx="1">
                  <c:v>2022</c:v>
                </c:pt>
                <c:pt idx="2">
                  <c:v>2023</c:v>
                </c:pt>
                <c:pt idx="3">
                  <c:v>2024</c:v>
                </c:pt>
                <c:pt idx="4">
                  <c:v>2025</c:v>
                </c:pt>
                <c:pt idx="5">
                  <c:v>2026</c:v>
                </c:pt>
                <c:pt idx="6">
                  <c:v>2027</c:v>
                </c:pt>
                <c:pt idx="7">
                  <c:v>2028</c:v>
                </c:pt>
              </c:numCache>
            </c:numRef>
          </c:cat>
          <c:val>
            <c:numRef>
              <c:f>'Operating Model'!$C$51:$J$51</c:f>
              <c:numCache>
                <c:formatCode>0</c:formatCode>
                <c:ptCount val="8"/>
                <c:pt idx="0">
                  <c:v>4573.0630000000001</c:v>
                </c:pt>
                <c:pt idx="1">
                  <c:v>6808.2040000000006</c:v>
                </c:pt>
                <c:pt idx="2">
                  <c:v>5972.9920000000011</c:v>
                </c:pt>
                <c:pt idx="3">
                  <c:v>7469.1632907390012</c:v>
                </c:pt>
                <c:pt idx="4">
                  <c:v>9387.7980691948069</c:v>
                </c:pt>
                <c:pt idx="5">
                  <c:v>11855.047854088869</c:v>
                </c:pt>
                <c:pt idx="6">
                  <c:v>15035.908061300361</c:v>
                </c:pt>
                <c:pt idx="7">
                  <c:v>19146.421124163022</c:v>
                </c:pt>
              </c:numCache>
            </c:numRef>
          </c:val>
          <c:extLst>
            <c:ext xmlns:c16="http://schemas.microsoft.com/office/drawing/2014/chart" uri="{C3380CC4-5D6E-409C-BE32-E72D297353CC}">
              <c16:uniqueId val="{00000000-1032-44FE-A628-2495F2569882}"/>
            </c:ext>
          </c:extLst>
        </c:ser>
        <c:ser>
          <c:idx val="1"/>
          <c:order val="1"/>
          <c:tx>
            <c:strRef>
              <c:f>'Operating Model'!$B$57</c:f>
              <c:strCache>
                <c:ptCount val="1"/>
                <c:pt idx="0">
                  <c:v> NGL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numRef>
              <c:f>'Operating Model'!$C$2:$J$2</c:f>
              <c:numCache>
                <c:formatCode>General</c:formatCode>
                <c:ptCount val="8"/>
                <c:pt idx="0">
                  <c:v>2021</c:v>
                </c:pt>
                <c:pt idx="1">
                  <c:v>2022</c:v>
                </c:pt>
                <c:pt idx="2">
                  <c:v>2023</c:v>
                </c:pt>
                <c:pt idx="3">
                  <c:v>2024</c:v>
                </c:pt>
                <c:pt idx="4">
                  <c:v>2025</c:v>
                </c:pt>
                <c:pt idx="5">
                  <c:v>2026</c:v>
                </c:pt>
                <c:pt idx="6">
                  <c:v>2027</c:v>
                </c:pt>
                <c:pt idx="7">
                  <c:v>2028</c:v>
                </c:pt>
              </c:numCache>
            </c:numRef>
          </c:cat>
          <c:val>
            <c:numRef>
              <c:f>'Operating Model'!$C$57:$J$57</c:f>
              <c:numCache>
                <c:formatCode>0</c:formatCode>
                <c:ptCount val="8"/>
                <c:pt idx="0">
                  <c:v>705.45800000000008</c:v>
                </c:pt>
                <c:pt idx="1">
                  <c:v>796.25599999999986</c:v>
                </c:pt>
                <c:pt idx="2">
                  <c:v>498.65800000000002</c:v>
                </c:pt>
                <c:pt idx="3">
                  <c:v>535.57900933014366</c:v>
                </c:pt>
                <c:pt idx="4">
                  <c:v>575.24706729200545</c:v>
                </c:pt>
                <c:pt idx="5">
                  <c:v>617.86788390172092</c:v>
                </c:pt>
                <c:pt idx="6">
                  <c:v>663.66270311304675</c:v>
                </c:pt>
                <c:pt idx="7">
                  <c:v>712.86948847331769</c:v>
                </c:pt>
              </c:numCache>
            </c:numRef>
          </c:val>
          <c:extLst>
            <c:ext xmlns:c16="http://schemas.microsoft.com/office/drawing/2014/chart" uri="{C3380CC4-5D6E-409C-BE32-E72D297353CC}">
              <c16:uniqueId val="{00000001-1032-44FE-A628-2495F2569882}"/>
            </c:ext>
          </c:extLst>
        </c:ser>
        <c:ser>
          <c:idx val="2"/>
          <c:order val="2"/>
          <c:tx>
            <c:strRef>
              <c:f>'Operating Model'!$B$63</c:f>
              <c:strCache>
                <c:ptCount val="1"/>
                <c:pt idx="0">
                  <c:v>Revenue Gas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numRef>
              <c:f>'Operating Model'!$C$2:$J$2</c:f>
              <c:numCache>
                <c:formatCode>General</c:formatCode>
                <c:ptCount val="8"/>
                <c:pt idx="0">
                  <c:v>2021</c:v>
                </c:pt>
                <c:pt idx="1">
                  <c:v>2022</c:v>
                </c:pt>
                <c:pt idx="2">
                  <c:v>2023</c:v>
                </c:pt>
                <c:pt idx="3">
                  <c:v>2024</c:v>
                </c:pt>
                <c:pt idx="4">
                  <c:v>2025</c:v>
                </c:pt>
                <c:pt idx="5">
                  <c:v>2026</c:v>
                </c:pt>
                <c:pt idx="6">
                  <c:v>2027</c:v>
                </c:pt>
                <c:pt idx="7">
                  <c:v>2028</c:v>
                </c:pt>
              </c:numCache>
            </c:numRef>
          </c:cat>
          <c:val>
            <c:numRef>
              <c:f>'Operating Model'!$C$63:$J$63</c:f>
              <c:numCache>
                <c:formatCode>0</c:formatCode>
                <c:ptCount val="8"/>
                <c:pt idx="0">
                  <c:v>1207.6580000000001</c:v>
                </c:pt>
                <c:pt idx="1">
                  <c:v>1587.3610000000001</c:v>
                </c:pt>
                <c:pt idx="2">
                  <c:v>881.44500000000005</c:v>
                </c:pt>
                <c:pt idx="3">
                  <c:v>1040.4832254967528</c:v>
                </c:pt>
                <c:pt idx="4">
                  <c:v>1240.0863863368495</c:v>
                </c:pt>
                <c:pt idx="5">
                  <c:v>1490.988490086603</c:v>
                </c:pt>
                <c:pt idx="6">
                  <c:v>1806.7860014036539</c:v>
                </c:pt>
                <c:pt idx="7">
                  <c:v>2204.7054153537288</c:v>
                </c:pt>
              </c:numCache>
            </c:numRef>
          </c:val>
          <c:extLst>
            <c:ext xmlns:c16="http://schemas.microsoft.com/office/drawing/2014/chart" uri="{C3380CC4-5D6E-409C-BE32-E72D297353CC}">
              <c16:uniqueId val="{00000002-1032-44FE-A628-2495F2569882}"/>
            </c:ext>
          </c:extLst>
        </c:ser>
        <c:dLbls>
          <c:showLegendKey val="0"/>
          <c:showVal val="0"/>
          <c:showCatName val="0"/>
          <c:showSerName val="0"/>
          <c:showPercent val="0"/>
          <c:showBubbleSize val="0"/>
        </c:dLbls>
        <c:gapWidth val="150"/>
        <c:shape val="box"/>
        <c:axId val="67342751"/>
        <c:axId val="67340351"/>
        <c:axId val="0"/>
      </c:bar3DChart>
      <c:catAx>
        <c:axId val="673427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7340351"/>
        <c:crosses val="autoZero"/>
        <c:auto val="1"/>
        <c:lblAlgn val="ctr"/>
        <c:lblOffset val="100"/>
        <c:noMultiLvlLbl val="0"/>
      </c:catAx>
      <c:valAx>
        <c:axId val="673403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7342751"/>
        <c:crosses val="autoZero"/>
        <c:crossBetween val="between"/>
        <c:minorUnit val="500"/>
      </c:valAx>
      <c:spPr>
        <a:noFill/>
        <a:ln>
          <a:noFill/>
        </a:ln>
        <a:effectLst/>
      </c:spPr>
    </c:plotArea>
    <c:legend>
      <c:legendPos val="b"/>
      <c:layout>
        <c:manualLayout>
          <c:xMode val="edge"/>
          <c:yMode val="edge"/>
          <c:x val="8.5611878935839839E-2"/>
          <c:y val="4.830910042724218E-2"/>
          <c:w val="0.77740298213355541"/>
          <c:h val="8.3101096536386088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baseline="0">
                <a:solidFill>
                  <a:sysClr val="windowText" lastClr="000000">
                    <a:lumMod val="65000"/>
                    <a:lumOff val="35000"/>
                  </a:sysClr>
                </a:solidFill>
                <a:latin typeface="Times New Roman" panose="02020603050405020304" pitchFamily="18" charset="0"/>
                <a:cs typeface="Times New Roman" panose="02020603050405020304" pitchFamily="18" charset="0"/>
              </a:rPr>
              <a:t>Product-wise Revenue</a:t>
            </a:r>
          </a:p>
        </c:rich>
      </c:tx>
      <c:layout>
        <c:manualLayout>
          <c:xMode val="edge"/>
          <c:yMode val="edge"/>
          <c:x val="0.26869514094844377"/>
          <c:y val="8.69611719378213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211997201145219"/>
          <c:y val="0.21762376793487781"/>
          <c:w val="0.51615413173447688"/>
          <c:h val="0.6856928541910734"/>
        </c:manualLayout>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510-4343-B511-1113A85A59FA}"/>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510-4343-B511-1113A85A59FA}"/>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510-4343-B511-1113A85A59F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Sheet1!$D$5:$D$7</c:f>
              <c:strCache>
                <c:ptCount val="3"/>
                <c:pt idx="0">
                  <c:v> Oil Revenue</c:v>
                </c:pt>
                <c:pt idx="1">
                  <c:v> NGL Revenue</c:v>
                </c:pt>
                <c:pt idx="2">
                  <c:v> Gas Revenue</c:v>
                </c:pt>
              </c:strCache>
            </c:strRef>
          </c:cat>
          <c:val>
            <c:numRef>
              <c:f>Sheet1!$F$5:$F$7</c:f>
              <c:numCache>
                <c:formatCode>0%</c:formatCode>
                <c:ptCount val="3"/>
                <c:pt idx="0">
                  <c:v>0.8288970453681952</c:v>
                </c:pt>
                <c:pt idx="1">
                  <c:v>5.2736313907819063E-2</c:v>
                </c:pt>
                <c:pt idx="2">
                  <c:v>0.11836664072398573</c:v>
                </c:pt>
              </c:numCache>
            </c:numRef>
          </c:val>
          <c:extLst>
            <c:ext xmlns:c16="http://schemas.microsoft.com/office/drawing/2014/chart" uri="{C3380CC4-5D6E-409C-BE32-E72D297353CC}">
              <c16:uniqueId val="{00000006-4510-4343-B511-1113A85A59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2.9440228177385175E-2"/>
          <c:y val="0.91866779380055719"/>
          <c:w val="0.83954706291563008"/>
          <c:h val="7.75313978696619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a:schemeClr val="accent1">
          <a:alpha val="42000"/>
        </a:schemeClr>
      </a:glo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2"/>
          <c:order val="2"/>
          <c:tx>
            <c:strRef>
              <c:f>Ratios!$B$9</c:f>
              <c:strCache>
                <c:ptCount val="1"/>
                <c:pt idx="0">
                  <c:v>Cash Ratio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val>
            <c:numRef>
              <c:f>Ratios!$E$9:$J$9</c:f>
              <c:numCache>
                <c:formatCode>0.00"X"</c:formatCode>
                <c:ptCount val="6"/>
                <c:pt idx="0">
                  <c:v>3.6189683860232948E-2</c:v>
                </c:pt>
                <c:pt idx="1">
                  <c:v>8.299817907768213E-2</c:v>
                </c:pt>
                <c:pt idx="2">
                  <c:v>0.75764243249169483</c:v>
                </c:pt>
                <c:pt idx="3">
                  <c:v>2.651740713177932</c:v>
                </c:pt>
                <c:pt idx="4">
                  <c:v>5.0267253675674173</c:v>
                </c:pt>
                <c:pt idx="5">
                  <c:v>7.9796967170890678</c:v>
                </c:pt>
              </c:numCache>
            </c:numRef>
          </c:val>
          <c:extLst>
            <c:ext xmlns:c16="http://schemas.microsoft.com/office/drawing/2014/chart" uri="{C3380CC4-5D6E-409C-BE32-E72D297353CC}">
              <c16:uniqueId val="{00000000-4F47-4418-9D62-10A984CC94E4}"/>
            </c:ext>
          </c:extLst>
        </c:ser>
        <c:dLbls>
          <c:showLegendKey val="0"/>
          <c:showVal val="0"/>
          <c:showCatName val="0"/>
          <c:showSerName val="0"/>
          <c:showPercent val="0"/>
          <c:showBubbleSize val="0"/>
        </c:dLbls>
        <c:axId val="299606368"/>
        <c:axId val="299619328"/>
      </c:areaChart>
      <c:barChart>
        <c:barDir val="col"/>
        <c:grouping val="clustered"/>
        <c:varyColors val="0"/>
        <c:ser>
          <c:idx val="0"/>
          <c:order val="0"/>
          <c:tx>
            <c:strRef>
              <c:f>Ratios!$B$7</c:f>
              <c:strCache>
                <c:ptCount val="1"/>
                <c:pt idx="0">
                  <c:v>Current Ratio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Ratios!$E$2:$J$2</c:f>
              <c:numCache>
                <c:formatCode>General</c:formatCode>
                <c:ptCount val="6"/>
                <c:pt idx="0">
                  <c:v>2023</c:v>
                </c:pt>
                <c:pt idx="1">
                  <c:v>2024</c:v>
                </c:pt>
                <c:pt idx="2">
                  <c:v>2025</c:v>
                </c:pt>
                <c:pt idx="3">
                  <c:v>2026</c:v>
                </c:pt>
                <c:pt idx="4">
                  <c:v>2027</c:v>
                </c:pt>
                <c:pt idx="5">
                  <c:v>2028</c:v>
                </c:pt>
              </c:numCache>
            </c:numRef>
          </c:cat>
          <c:val>
            <c:numRef>
              <c:f>Ratios!$E$7:$J$7</c:f>
              <c:numCache>
                <c:formatCode>.0\2\X</c:formatCode>
                <c:ptCount val="6"/>
                <c:pt idx="0">
                  <c:v>1.0241264559068219</c:v>
                </c:pt>
                <c:pt idx="1">
                  <c:v>0.99775658421069169</c:v>
                </c:pt>
                <c:pt idx="2">
                  <c:v>1.7969521912578135</c:v>
                </c:pt>
                <c:pt idx="3">
                  <c:v>3.8457512983459905</c:v>
                </c:pt>
                <c:pt idx="4">
                  <c:v>6.4125545233477865</c:v>
                </c:pt>
                <c:pt idx="5">
                  <c:v>9.6027161859323744</c:v>
                </c:pt>
              </c:numCache>
            </c:numRef>
          </c:val>
          <c:extLst>
            <c:ext xmlns:c16="http://schemas.microsoft.com/office/drawing/2014/chart" uri="{C3380CC4-5D6E-409C-BE32-E72D297353CC}">
              <c16:uniqueId val="{00000001-4F47-4418-9D62-10A984CC94E4}"/>
            </c:ext>
          </c:extLst>
        </c:ser>
        <c:ser>
          <c:idx val="1"/>
          <c:order val="1"/>
          <c:tx>
            <c:strRef>
              <c:f>Ratios!$B$8</c:f>
              <c:strCache>
                <c:ptCount val="1"/>
                <c:pt idx="0">
                  <c:v>Quick Ratio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Ratios!$E$2:$J$2</c:f>
              <c:numCache>
                <c:formatCode>General</c:formatCode>
                <c:ptCount val="6"/>
                <c:pt idx="0">
                  <c:v>2023</c:v>
                </c:pt>
                <c:pt idx="1">
                  <c:v>2024</c:v>
                </c:pt>
                <c:pt idx="2">
                  <c:v>2025</c:v>
                </c:pt>
                <c:pt idx="3">
                  <c:v>2026</c:v>
                </c:pt>
                <c:pt idx="4">
                  <c:v>2027</c:v>
                </c:pt>
                <c:pt idx="5">
                  <c:v>2028</c:v>
                </c:pt>
              </c:numCache>
            </c:numRef>
          </c:cat>
          <c:val>
            <c:numRef>
              <c:f>Ratios!$E$8:$J$8</c:f>
              <c:numCache>
                <c:formatCode>0.00"X"</c:formatCode>
                <c:ptCount val="6"/>
                <c:pt idx="0">
                  <c:v>0.70590682196339438</c:v>
                </c:pt>
                <c:pt idx="1">
                  <c:v>0.73638239379596881</c:v>
                </c:pt>
                <c:pt idx="2">
                  <c:v>1.5398587147365639</c:v>
                </c:pt>
                <c:pt idx="3">
                  <c:v>3.5936852355036168</c:v>
                </c:pt>
                <c:pt idx="4">
                  <c:v>6.1663098285208022</c:v>
                </c:pt>
                <c:pt idx="5">
                  <c:v>9.363125731588287</c:v>
                </c:pt>
              </c:numCache>
            </c:numRef>
          </c:val>
          <c:extLst>
            <c:ext xmlns:c16="http://schemas.microsoft.com/office/drawing/2014/chart" uri="{C3380CC4-5D6E-409C-BE32-E72D297353CC}">
              <c16:uniqueId val="{00000002-4F47-4418-9D62-10A984CC94E4}"/>
            </c:ext>
          </c:extLst>
        </c:ser>
        <c:dLbls>
          <c:showLegendKey val="0"/>
          <c:showVal val="0"/>
          <c:showCatName val="0"/>
          <c:showSerName val="0"/>
          <c:showPercent val="0"/>
          <c:showBubbleSize val="0"/>
        </c:dLbls>
        <c:gapWidth val="219"/>
        <c:axId val="299606368"/>
        <c:axId val="299619328"/>
      </c:barChart>
      <c:catAx>
        <c:axId val="299606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619328"/>
        <c:crosses val="autoZero"/>
        <c:auto val="1"/>
        <c:lblAlgn val="ctr"/>
        <c:lblOffset val="100"/>
        <c:noMultiLvlLbl val="0"/>
      </c:catAx>
      <c:valAx>
        <c:axId val="299619328"/>
        <c:scaling>
          <c:orientation val="minMax"/>
          <c:max val="10"/>
        </c:scaling>
        <c:delete val="0"/>
        <c:axPos val="l"/>
        <c:numFmt formatCode="0.00&quot;X&quot;"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99606368"/>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692038495188101E-2"/>
          <c:y val="0.16245370370370371"/>
          <c:w val="0.86486351706036746"/>
          <c:h val="0.61498432487605714"/>
        </c:manualLayout>
      </c:layout>
      <c:scatterChart>
        <c:scatterStyle val="smoothMarker"/>
        <c:varyColors val="0"/>
        <c:ser>
          <c:idx val="0"/>
          <c:order val="0"/>
          <c:tx>
            <c:strRef>
              <c:f>IS!$B$7</c:f>
              <c:strCache>
                <c:ptCount val="1"/>
                <c:pt idx="0">
                  <c:v>Total Revenues</c:v>
                </c:pt>
              </c:strCache>
            </c:strRef>
          </c:tx>
          <c:spPr>
            <a:ln w="38100" cap="rnd">
              <a:solidFill>
                <a:schemeClr val="accent1"/>
              </a:solidFill>
              <a:round/>
            </a:ln>
            <a:effectLst/>
          </c:spPr>
          <c:marker>
            <c:symbol val="circle"/>
            <c:size val="5"/>
            <c:spPr>
              <a:solidFill>
                <a:schemeClr val="accent1"/>
              </a:solidFill>
              <a:ln w="38100">
                <a:solidFill>
                  <a:schemeClr val="tx1"/>
                </a:solidFill>
              </a:ln>
              <a:effectLst/>
            </c:spPr>
          </c:marker>
          <c:xVal>
            <c:numRef>
              <c:f>IS!$C$2:$J$2</c:f>
              <c:numCache>
                <c:formatCode>General</c:formatCode>
                <c:ptCount val="8"/>
                <c:pt idx="0">
                  <c:v>2021</c:v>
                </c:pt>
                <c:pt idx="1">
                  <c:v>2022</c:v>
                </c:pt>
                <c:pt idx="2">
                  <c:v>2023</c:v>
                </c:pt>
                <c:pt idx="3">
                  <c:v>2024</c:v>
                </c:pt>
                <c:pt idx="4">
                  <c:v>2025</c:v>
                </c:pt>
                <c:pt idx="5">
                  <c:v>2026</c:v>
                </c:pt>
                <c:pt idx="6">
                  <c:v>2027</c:v>
                </c:pt>
                <c:pt idx="7">
                  <c:v>2028</c:v>
                </c:pt>
              </c:numCache>
            </c:numRef>
          </c:xVal>
          <c:yVal>
            <c:numRef>
              <c:f>IS!$C$7:$J$7</c:f>
              <c:numCache>
                <c:formatCode>General</c:formatCode>
                <c:ptCount val="8"/>
                <c:pt idx="0">
                  <c:v>7985</c:v>
                </c:pt>
                <c:pt idx="1">
                  <c:v>11075</c:v>
                </c:pt>
                <c:pt idx="2" formatCode="0">
                  <c:v>8279</c:v>
                </c:pt>
                <c:pt idx="3" formatCode="0">
                  <c:v>9939.2255255658984</c:v>
                </c:pt>
                <c:pt idx="4" formatCode="0">
                  <c:v>12097.131522823664</c:v>
                </c:pt>
                <c:pt idx="5" formatCode="0">
                  <c:v>14857.904228077194</c:v>
                </c:pt>
                <c:pt idx="6" formatCode="0">
                  <c:v>18400.356765817061</c:v>
                </c:pt>
                <c:pt idx="7" formatCode="0">
                  <c:v>22957.996027990066</c:v>
                </c:pt>
              </c:numCache>
            </c:numRef>
          </c:yVal>
          <c:smooth val="1"/>
          <c:extLst>
            <c:ext xmlns:c16="http://schemas.microsoft.com/office/drawing/2014/chart" uri="{C3380CC4-5D6E-409C-BE32-E72D297353CC}">
              <c16:uniqueId val="{00000000-28B5-4F8B-AC3A-DB05E09B1F35}"/>
            </c:ext>
          </c:extLst>
        </c:ser>
        <c:ser>
          <c:idx val="1"/>
          <c:order val="1"/>
          <c:tx>
            <c:strRef>
              <c:f>IS!$B$27</c:f>
              <c:strCache>
                <c:ptCount val="1"/>
                <c:pt idx="0">
                  <c:v>Net Revenue</c:v>
                </c:pt>
              </c:strCache>
            </c:strRef>
          </c:tx>
          <c:spPr>
            <a:ln w="28575" cap="rnd">
              <a:solidFill>
                <a:schemeClr val="accent2"/>
              </a:solidFill>
              <a:round/>
            </a:ln>
            <a:effectLst/>
          </c:spPr>
          <c:marker>
            <c:symbol val="circle"/>
            <c:size val="5"/>
            <c:spPr>
              <a:solidFill>
                <a:schemeClr val="accent2"/>
              </a:solidFill>
              <a:ln w="50800">
                <a:solidFill>
                  <a:schemeClr val="bg1">
                    <a:lumMod val="95000"/>
                    <a:alpha val="93000"/>
                  </a:schemeClr>
                </a:solidFill>
                <a:miter lim="800000"/>
              </a:ln>
              <a:effectLst/>
            </c:spPr>
          </c:marker>
          <c:xVal>
            <c:numRef>
              <c:f>IS!$C$2:$J$2</c:f>
              <c:numCache>
                <c:formatCode>General</c:formatCode>
                <c:ptCount val="8"/>
                <c:pt idx="0">
                  <c:v>2021</c:v>
                </c:pt>
                <c:pt idx="1">
                  <c:v>2022</c:v>
                </c:pt>
                <c:pt idx="2">
                  <c:v>2023</c:v>
                </c:pt>
                <c:pt idx="3">
                  <c:v>2024</c:v>
                </c:pt>
                <c:pt idx="4">
                  <c:v>2025</c:v>
                </c:pt>
                <c:pt idx="5">
                  <c:v>2026</c:v>
                </c:pt>
                <c:pt idx="6">
                  <c:v>2027</c:v>
                </c:pt>
                <c:pt idx="7">
                  <c:v>2028</c:v>
                </c:pt>
              </c:numCache>
            </c:numRef>
          </c:xVal>
          <c:yVal>
            <c:numRef>
              <c:f>IS!$C$27:$J$27</c:f>
              <c:numCache>
                <c:formatCode>#,##0</c:formatCode>
                <c:ptCount val="8"/>
                <c:pt idx="0">
                  <c:v>1891</c:v>
                </c:pt>
                <c:pt idx="1">
                  <c:v>5734</c:v>
                </c:pt>
                <c:pt idx="2">
                  <c:v>2883</c:v>
                </c:pt>
                <c:pt idx="3">
                  <c:v>4529.8903090375088</c:v>
                </c:pt>
                <c:pt idx="4">
                  <c:v>6333.1198570147453</c:v>
                </c:pt>
                <c:pt idx="5">
                  <c:v>8544.7056222558022</c:v>
                </c:pt>
                <c:pt idx="6">
                  <c:v>11345.577571150117</c:v>
                </c:pt>
                <c:pt idx="7">
                  <c:v>14987.41343479736</c:v>
                </c:pt>
              </c:numCache>
            </c:numRef>
          </c:yVal>
          <c:smooth val="1"/>
          <c:extLst>
            <c:ext xmlns:c16="http://schemas.microsoft.com/office/drawing/2014/chart" uri="{C3380CC4-5D6E-409C-BE32-E72D297353CC}">
              <c16:uniqueId val="{00000001-28B5-4F8B-AC3A-DB05E09B1F35}"/>
            </c:ext>
          </c:extLst>
        </c:ser>
        <c:dLbls>
          <c:showLegendKey val="0"/>
          <c:showVal val="0"/>
          <c:showCatName val="0"/>
          <c:showSerName val="0"/>
          <c:showPercent val="0"/>
          <c:showBubbleSize val="0"/>
        </c:dLbls>
        <c:axId val="295220528"/>
        <c:axId val="295222448"/>
      </c:scatterChart>
      <c:valAx>
        <c:axId val="295220528"/>
        <c:scaling>
          <c:orientation val="minMax"/>
          <c:max val="2028"/>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95222448"/>
        <c:crosses val="autoZero"/>
        <c:crossBetween val="midCat"/>
      </c:valAx>
      <c:valAx>
        <c:axId val="295222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95220528"/>
        <c:crosses val="autoZero"/>
        <c:crossBetween val="midCat"/>
        <c:majorUnit val="5000"/>
      </c:valAx>
      <c:spPr>
        <a:noFill/>
        <a:ln>
          <a:noFill/>
        </a:ln>
        <a:effectLst>
          <a:outerShdw blurRad="50800" dist="38100" dir="2700000" algn="tl" rotWithShape="0">
            <a:prstClr val="black">
              <a:alpha val="40000"/>
            </a:prstClr>
          </a:outerShdw>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Margin Ratio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72194683599891E-2"/>
          <c:y val="0.16644820839344046"/>
          <c:w val="0.92943285214348204"/>
          <c:h val="0.61498432487605714"/>
        </c:manualLayout>
      </c:layout>
      <c:barChart>
        <c:barDir val="col"/>
        <c:grouping val="clustered"/>
        <c:varyColors val="0"/>
        <c:ser>
          <c:idx val="0"/>
          <c:order val="0"/>
          <c:tx>
            <c:strRef>
              <c:f>Ratios!$B$32</c:f>
              <c:strCache>
                <c:ptCount val="1"/>
                <c:pt idx="0">
                  <c:v>Operating Profit Margin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xmlns:c15="http://schemas.microsoft.com/office/drawing/2012/chart" uri="{02D57815-91ED-43cb-92C2-25804820EDAC}">
                  <c15:fullRef>
                    <c15:sqref>Ratios!$E$2:$J$2</c15:sqref>
                  </c15:fullRef>
                </c:ext>
              </c:extLst>
              <c:f>Ratios!$E$2:$J$2</c:f>
              <c:numCache>
                <c:formatCode>General</c:formatCode>
                <c:ptCount val="6"/>
                <c:pt idx="0">
                  <c:v>2023</c:v>
                </c:pt>
                <c:pt idx="1">
                  <c:v>2024</c:v>
                </c:pt>
                <c:pt idx="2">
                  <c:v>2025</c:v>
                </c:pt>
                <c:pt idx="3">
                  <c:v>2026</c:v>
                </c:pt>
                <c:pt idx="4">
                  <c:v>2027</c:v>
                </c:pt>
                <c:pt idx="5">
                  <c:v>2028</c:v>
                </c:pt>
              </c:numCache>
            </c:numRef>
          </c:cat>
          <c:val>
            <c:numRef>
              <c:extLst>
                <c:ext xmlns:c15="http://schemas.microsoft.com/office/drawing/2012/chart" uri="{02D57815-91ED-43cb-92C2-25804820EDAC}">
                  <c15:fullRef>
                    <c15:sqref>Ratios!$E$32:$L$32</c15:sqref>
                  </c15:fullRef>
                </c:ext>
              </c:extLst>
              <c:f>Ratios!$E$32:$J$32</c:f>
              <c:numCache>
                <c:formatCode>0%</c:formatCode>
                <c:ptCount val="6"/>
                <c:pt idx="0">
                  <c:v>0.6715786930788743</c:v>
                </c:pt>
                <c:pt idx="1">
                  <c:v>0.71370696260963584</c:v>
                </c:pt>
                <c:pt idx="2">
                  <c:v>0.75036823948362619</c:v>
                </c:pt>
                <c:pt idx="3">
                  <c:v>0.7824667822402207</c:v>
                </c:pt>
                <c:pt idx="4">
                  <c:v>0.81040059987452107</c:v>
                </c:pt>
                <c:pt idx="5">
                  <c:v>0.83459826404625137</c:v>
                </c:pt>
              </c:numCache>
            </c:numRef>
          </c:val>
          <c:extLst>
            <c:ext xmlns:c16="http://schemas.microsoft.com/office/drawing/2014/chart" uri="{C3380CC4-5D6E-409C-BE32-E72D297353CC}">
              <c16:uniqueId val="{00000000-7926-4900-B35D-C0FEB435E8BC}"/>
            </c:ext>
          </c:extLst>
        </c:ser>
        <c:ser>
          <c:idx val="1"/>
          <c:order val="1"/>
          <c:tx>
            <c:strRef>
              <c:f>Ratios!$B$33</c:f>
              <c:strCache>
                <c:ptCount val="1"/>
                <c:pt idx="0">
                  <c:v>Net Profit Margin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xmlns:c15="http://schemas.microsoft.com/office/drawing/2012/chart" uri="{02D57815-91ED-43cb-92C2-25804820EDAC}">
                  <c15:fullRef>
                    <c15:sqref>Ratios!$E$2:$J$2</c15:sqref>
                  </c15:fullRef>
                </c:ext>
              </c:extLst>
              <c:f>Ratios!$E$2:$J$2</c:f>
              <c:numCache>
                <c:formatCode>General</c:formatCode>
                <c:ptCount val="6"/>
                <c:pt idx="0">
                  <c:v>2023</c:v>
                </c:pt>
                <c:pt idx="1">
                  <c:v>2024</c:v>
                </c:pt>
                <c:pt idx="2">
                  <c:v>2025</c:v>
                </c:pt>
                <c:pt idx="3">
                  <c:v>2026</c:v>
                </c:pt>
                <c:pt idx="4">
                  <c:v>2027</c:v>
                </c:pt>
                <c:pt idx="5">
                  <c:v>2028</c:v>
                </c:pt>
              </c:numCache>
            </c:numRef>
          </c:cat>
          <c:val>
            <c:numRef>
              <c:extLst>
                <c:ext xmlns:c15="http://schemas.microsoft.com/office/drawing/2012/chart" uri="{02D57815-91ED-43cb-92C2-25804820EDAC}">
                  <c15:fullRef>
                    <c15:sqref>Ratios!$E$33:$L$33</c15:sqref>
                  </c15:fullRef>
                </c:ext>
              </c:extLst>
              <c:f>Ratios!$E$33:$J$33</c:f>
              <c:numCache>
                <c:formatCode>0%</c:formatCode>
                <c:ptCount val="6"/>
                <c:pt idx="0">
                  <c:v>0.34484841164391833</c:v>
                </c:pt>
                <c:pt idx="1">
                  <c:v>0.32463428220237733</c:v>
                </c:pt>
                <c:pt idx="2">
                  <c:v>0.38448492341066925</c:v>
                </c:pt>
                <c:pt idx="3">
                  <c:v>0.43063391332749962</c:v>
                </c:pt>
                <c:pt idx="4">
                  <c:v>0.46798039792388907</c:v>
                </c:pt>
                <c:pt idx="5">
                  <c:v>0.50039457274423416</c:v>
                </c:pt>
              </c:numCache>
            </c:numRef>
          </c:val>
          <c:extLst>
            <c:ext xmlns:c16="http://schemas.microsoft.com/office/drawing/2014/chart" uri="{C3380CC4-5D6E-409C-BE32-E72D297353CC}">
              <c16:uniqueId val="{00000001-7926-4900-B35D-C0FEB435E8BC}"/>
            </c:ext>
          </c:extLst>
        </c:ser>
        <c:ser>
          <c:idx val="2"/>
          <c:order val="2"/>
          <c:tx>
            <c:strRef>
              <c:f>Ratios!$B$34</c:f>
              <c:strCache>
                <c:ptCount val="1"/>
                <c:pt idx="0">
                  <c:v>Pretax Margin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xmlns:c15="http://schemas.microsoft.com/office/drawing/2012/chart" uri="{02D57815-91ED-43cb-92C2-25804820EDAC}">
                  <c15:fullRef>
                    <c15:sqref>Ratios!$E$2:$J$2</c15:sqref>
                  </c15:fullRef>
                </c:ext>
              </c:extLst>
              <c:f>Ratios!$E$2:$J$2</c:f>
              <c:numCache>
                <c:formatCode>General</c:formatCode>
                <c:ptCount val="6"/>
                <c:pt idx="0">
                  <c:v>2023</c:v>
                </c:pt>
                <c:pt idx="1">
                  <c:v>2024</c:v>
                </c:pt>
                <c:pt idx="2">
                  <c:v>2025</c:v>
                </c:pt>
                <c:pt idx="3">
                  <c:v>2026</c:v>
                </c:pt>
                <c:pt idx="4">
                  <c:v>2027</c:v>
                </c:pt>
                <c:pt idx="5">
                  <c:v>2028</c:v>
                </c:pt>
              </c:numCache>
            </c:numRef>
          </c:cat>
          <c:val>
            <c:numRef>
              <c:extLst>
                <c:ext xmlns:c15="http://schemas.microsoft.com/office/drawing/2012/chart" uri="{02D57815-91ED-43cb-92C2-25804820EDAC}">
                  <c15:fullRef>
                    <c15:sqref>Ratios!$E$34:$L$34</c15:sqref>
                  </c15:fullRef>
                </c:ext>
              </c:extLst>
              <c:f>Ratios!$E$34:$J$34</c:f>
              <c:numCache>
                <c:formatCode>0%</c:formatCode>
                <c:ptCount val="6"/>
                <c:pt idx="0">
                  <c:v>0.34823046261625801</c:v>
                </c:pt>
                <c:pt idx="1">
                  <c:v>0.45575888155325822</c:v>
                </c:pt>
                <c:pt idx="2">
                  <c:v>0.5235224437351983</c:v>
                </c:pt>
                <c:pt idx="3">
                  <c:v>0.57509494549767992</c:v>
                </c:pt>
                <c:pt idx="4">
                  <c:v>0.61659552124702088</c:v>
                </c:pt>
                <c:pt idx="5">
                  <c:v>0.65281888787352849</c:v>
                </c:pt>
              </c:numCache>
            </c:numRef>
          </c:val>
          <c:extLst>
            <c:ext xmlns:c16="http://schemas.microsoft.com/office/drawing/2014/chart" uri="{C3380CC4-5D6E-409C-BE32-E72D297353CC}">
              <c16:uniqueId val="{00000002-7926-4900-B35D-C0FEB435E8BC}"/>
            </c:ext>
          </c:extLst>
        </c:ser>
        <c:ser>
          <c:idx val="3"/>
          <c:order val="3"/>
          <c:tx>
            <c:strRef>
              <c:f>Ratios!$B$39</c:f>
              <c:strCache>
                <c:ptCount val="1"/>
                <c:pt idx="0">
                  <c:v>Gross Profit Margin</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xmlns:c15="http://schemas.microsoft.com/office/drawing/2012/chart" uri="{02D57815-91ED-43cb-92C2-25804820EDAC}">
                  <c15:fullRef>
                    <c15:sqref>Ratios!$E$2:$J$2</c15:sqref>
                  </c15:fullRef>
                </c:ext>
              </c:extLst>
              <c:f>Ratios!$E$2:$J$2</c:f>
              <c:numCache>
                <c:formatCode>General</c:formatCode>
                <c:ptCount val="6"/>
                <c:pt idx="0">
                  <c:v>2023</c:v>
                </c:pt>
                <c:pt idx="1">
                  <c:v>2024</c:v>
                </c:pt>
                <c:pt idx="2">
                  <c:v>2025</c:v>
                </c:pt>
                <c:pt idx="3">
                  <c:v>2026</c:v>
                </c:pt>
                <c:pt idx="4">
                  <c:v>2027</c:v>
                </c:pt>
                <c:pt idx="5">
                  <c:v>2028</c:v>
                </c:pt>
              </c:numCache>
            </c:numRef>
          </c:cat>
          <c:val>
            <c:numRef>
              <c:extLst>
                <c:ext xmlns:c15="http://schemas.microsoft.com/office/drawing/2012/chart" uri="{02D57815-91ED-43cb-92C2-25804820EDAC}">
                  <c15:fullRef>
                    <c15:sqref>Ratios!$E$39:$J$39</c15:sqref>
                  </c15:fullRef>
                </c:ext>
              </c:extLst>
              <c:f>Ratios!$E$39:$J$39</c:f>
              <c:numCache>
                <c:formatCode>0%</c:formatCode>
                <c:ptCount val="6"/>
                <c:pt idx="0">
                  <c:v>0.61365059486537255</c:v>
                </c:pt>
                <c:pt idx="1">
                  <c:v>0.67611738148984202</c:v>
                </c:pt>
                <c:pt idx="2">
                  <c:v>0.69658171276724246</c:v>
                </c:pt>
                <c:pt idx="3">
                  <c:v>0.73865628440765085</c:v>
                </c:pt>
                <c:pt idx="4">
                  <c:v>0.77256557926426328</c:v>
                </c:pt>
                <c:pt idx="5">
                  <c:v>0.80222371177089902</c:v>
                </c:pt>
              </c:numCache>
            </c:numRef>
          </c:val>
          <c:extLst>
            <c:ext xmlns:c16="http://schemas.microsoft.com/office/drawing/2014/chart" uri="{C3380CC4-5D6E-409C-BE32-E72D297353CC}">
              <c16:uniqueId val="{00000003-7926-4900-B35D-C0FEB435E8BC}"/>
            </c:ext>
          </c:extLst>
        </c:ser>
        <c:dLbls>
          <c:showLegendKey val="0"/>
          <c:showVal val="0"/>
          <c:showCatName val="0"/>
          <c:showSerName val="0"/>
          <c:showPercent val="0"/>
          <c:showBubbleSize val="0"/>
        </c:dLbls>
        <c:gapWidth val="100"/>
        <c:overlap val="-24"/>
        <c:axId val="685096960"/>
        <c:axId val="685095520"/>
      </c:barChart>
      <c:catAx>
        <c:axId val="6850969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95520"/>
        <c:crosses val="autoZero"/>
        <c:auto val="1"/>
        <c:lblAlgn val="ctr"/>
        <c:lblOffset val="100"/>
        <c:noMultiLvlLbl val="0"/>
      </c:catAx>
      <c:valAx>
        <c:axId val="6850955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96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CFS!$B$15</c:f>
              <c:strCache>
                <c:ptCount val="1"/>
                <c:pt idx="0">
                  <c:v>Cash From Operations :</c:v>
                </c:pt>
              </c:strCache>
            </c:strRef>
          </c:tx>
          <c:spPr>
            <a:ln w="28575" cap="rnd">
              <a:solidFill>
                <a:schemeClr val="accent1"/>
              </a:solidFill>
              <a:round/>
            </a:ln>
            <a:effectLst/>
          </c:spPr>
          <c:marker>
            <c:symbol val="none"/>
          </c:marker>
          <c:cat>
            <c:numRef>
              <c:f>CFS!$F$2:$J$2</c:f>
              <c:numCache>
                <c:formatCode>General</c:formatCode>
                <c:ptCount val="5"/>
                <c:pt idx="0">
                  <c:v>2024</c:v>
                </c:pt>
                <c:pt idx="1">
                  <c:v>2025</c:v>
                </c:pt>
                <c:pt idx="2">
                  <c:v>2026</c:v>
                </c:pt>
                <c:pt idx="3">
                  <c:v>2027</c:v>
                </c:pt>
                <c:pt idx="4">
                  <c:v>2028</c:v>
                </c:pt>
              </c:numCache>
            </c:numRef>
          </c:cat>
          <c:val>
            <c:numRef>
              <c:f>CFS!$F$15:$J$15</c:f>
              <c:numCache>
                <c:formatCode>#,##0</c:formatCode>
                <c:ptCount val="5"/>
                <c:pt idx="0">
                  <c:v>5468.2935475541926</c:v>
                </c:pt>
                <c:pt idx="1">
                  <c:v>6569.2682641794963</c:v>
                </c:pt>
                <c:pt idx="2">
                  <c:v>8418.1753729890752</c:v>
                </c:pt>
                <c:pt idx="3">
                  <c:v>10746.915330185033</c:v>
                </c:pt>
                <c:pt idx="4">
                  <c:v>13753.872965191185</c:v>
                </c:pt>
              </c:numCache>
            </c:numRef>
          </c:val>
          <c:smooth val="0"/>
          <c:extLst>
            <c:ext xmlns:c16="http://schemas.microsoft.com/office/drawing/2014/chart" uri="{C3380CC4-5D6E-409C-BE32-E72D297353CC}">
              <c16:uniqueId val="{00000000-F88F-4179-B07C-791492426E8A}"/>
            </c:ext>
          </c:extLst>
        </c:ser>
        <c:ser>
          <c:idx val="1"/>
          <c:order val="1"/>
          <c:tx>
            <c:strRef>
              <c:f>CFS!$B$19</c:f>
              <c:strCache>
                <c:ptCount val="1"/>
                <c:pt idx="0">
                  <c:v>Cash From Investments :</c:v>
                </c:pt>
              </c:strCache>
            </c:strRef>
          </c:tx>
          <c:spPr>
            <a:ln w="28575" cap="rnd">
              <a:solidFill>
                <a:schemeClr val="accent2"/>
              </a:solidFill>
              <a:round/>
            </a:ln>
            <a:effectLst/>
          </c:spPr>
          <c:marker>
            <c:symbol val="none"/>
          </c:marker>
          <c:cat>
            <c:numRef>
              <c:f>CFS!$F$2:$J$2</c:f>
              <c:numCache>
                <c:formatCode>General</c:formatCode>
                <c:ptCount val="5"/>
                <c:pt idx="0">
                  <c:v>2024</c:v>
                </c:pt>
                <c:pt idx="1">
                  <c:v>2025</c:v>
                </c:pt>
                <c:pt idx="2">
                  <c:v>2026</c:v>
                </c:pt>
                <c:pt idx="3">
                  <c:v>2027</c:v>
                </c:pt>
                <c:pt idx="4">
                  <c:v>2028</c:v>
                </c:pt>
              </c:numCache>
            </c:numRef>
          </c:cat>
          <c:val>
            <c:numRef>
              <c:f>CFS!$F$19:$J$19</c:f>
              <c:numCache>
                <c:formatCode>0</c:formatCode>
                <c:ptCount val="5"/>
                <c:pt idx="0">
                  <c:v>-1911.9243724706521</c:v>
                </c:pt>
                <c:pt idx="1">
                  <c:v>-2327.0224159797117</c:v>
                </c:pt>
                <c:pt idx="2">
                  <c:v>-2858.0888062581867</c:v>
                </c:pt>
                <c:pt idx="3">
                  <c:v>-3539.5203049000033</c:v>
                </c:pt>
                <c:pt idx="4">
                  <c:v>-4416.234648876175</c:v>
                </c:pt>
              </c:numCache>
            </c:numRef>
          </c:val>
          <c:smooth val="0"/>
          <c:extLst>
            <c:ext xmlns:c16="http://schemas.microsoft.com/office/drawing/2014/chart" uri="{C3380CC4-5D6E-409C-BE32-E72D297353CC}">
              <c16:uniqueId val="{00000001-F88F-4179-B07C-791492426E8A}"/>
            </c:ext>
          </c:extLst>
        </c:ser>
        <c:ser>
          <c:idx val="2"/>
          <c:order val="2"/>
          <c:tx>
            <c:strRef>
              <c:f>CFS!$B$26</c:f>
              <c:strCache>
                <c:ptCount val="1"/>
                <c:pt idx="0">
                  <c:v>Cash From Financing:</c:v>
                </c:pt>
              </c:strCache>
            </c:strRef>
          </c:tx>
          <c:spPr>
            <a:ln w="28575" cap="rnd">
              <a:solidFill>
                <a:schemeClr val="accent3"/>
              </a:solidFill>
              <a:round/>
            </a:ln>
            <a:effectLst/>
          </c:spPr>
          <c:marker>
            <c:symbol val="none"/>
          </c:marker>
          <c:cat>
            <c:numRef>
              <c:f>CFS!$F$2:$J$2</c:f>
              <c:numCache>
                <c:formatCode>General</c:formatCode>
                <c:ptCount val="5"/>
                <c:pt idx="0">
                  <c:v>2024</c:v>
                </c:pt>
                <c:pt idx="1">
                  <c:v>2025</c:v>
                </c:pt>
                <c:pt idx="2">
                  <c:v>2026</c:v>
                </c:pt>
                <c:pt idx="3">
                  <c:v>2027</c:v>
                </c:pt>
                <c:pt idx="4">
                  <c:v>2028</c:v>
                </c:pt>
              </c:numCache>
            </c:numRef>
          </c:cat>
          <c:val>
            <c:numRef>
              <c:f>CFS!$F$26:$J$26</c:f>
              <c:numCache>
                <c:formatCode>0</c:formatCode>
                <c:ptCount val="5"/>
                <c:pt idx="0">
                  <c:v>-3444.5846645722227</c:v>
                </c:pt>
                <c:pt idx="1">
                  <c:v>-2596.2277259869234</c:v>
                </c:pt>
                <c:pt idx="2">
                  <c:v>-819.31942336451664</c:v>
                </c:pt>
                <c:pt idx="3">
                  <c:v>-1014.0212205262148</c:v>
                </c:pt>
                <c:pt idx="4">
                  <c:v>-1267.1823791075487</c:v>
                </c:pt>
              </c:numCache>
            </c:numRef>
          </c:val>
          <c:smooth val="0"/>
          <c:extLst>
            <c:ext xmlns:c16="http://schemas.microsoft.com/office/drawing/2014/chart" uri="{C3380CC4-5D6E-409C-BE32-E72D297353CC}">
              <c16:uniqueId val="{00000002-F88F-4179-B07C-791492426E8A}"/>
            </c:ext>
          </c:extLst>
        </c:ser>
        <c:dLbls>
          <c:showLegendKey val="0"/>
          <c:showVal val="0"/>
          <c:showCatName val="0"/>
          <c:showSerName val="0"/>
          <c:showPercent val="0"/>
          <c:showBubbleSize val="0"/>
        </c:dLbls>
        <c:smooth val="0"/>
        <c:axId val="700550960"/>
        <c:axId val="700535120"/>
      </c:lineChart>
      <c:catAx>
        <c:axId val="7005509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00535120"/>
        <c:crosses val="autoZero"/>
        <c:auto val="1"/>
        <c:lblAlgn val="ctr"/>
        <c:lblOffset val="100"/>
        <c:noMultiLvlLbl val="0"/>
      </c:catAx>
      <c:valAx>
        <c:axId val="700535120"/>
        <c:scaling>
          <c:orientation val="minMax"/>
          <c:max val="1400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00550960"/>
        <c:crosses val="autoZero"/>
        <c:crossBetween val="between"/>
      </c:valAx>
      <c:spPr>
        <a:noFill/>
        <a:ln>
          <a:noFill/>
        </a:ln>
        <a:effectLst/>
      </c:spPr>
    </c:plotArea>
    <c:legend>
      <c:legendPos val="b"/>
      <c:layout>
        <c:manualLayout>
          <c:xMode val="edge"/>
          <c:yMode val="edge"/>
          <c:x val="0.1580546806649169"/>
          <c:y val="1.7360017497812772E-2"/>
          <c:w val="0.5422239720034997"/>
          <c:h val="0.1493066491688538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title>
    <cx:plotArea>
      <cx:plotAreaRegion>
        <cx:series layoutId="treemap" uniqueId="{60735F5C-17BC-4F87-AF80-5AA2A17C5051}">
          <cx:dataLabels>
            <cx:txPr>
              <a:bodyPr spcFirstLastPara="1" vertOverflow="ellipsis" horzOverflow="overflow" wrap="square" lIns="0" tIns="0" rIns="0" bIns="0" anchor="ctr" anchorCtr="1"/>
              <a:lstStyle/>
              <a:p>
                <a:pPr algn="ctr" rtl="0">
                  <a:defRPr sz="500">
                    <a:latin typeface="Times New Roman" panose="02020603050405020304" pitchFamily="18" charset="0"/>
                    <a:ea typeface="Times New Roman" panose="02020603050405020304" pitchFamily="18" charset="0"/>
                    <a:cs typeface="Times New Roman" panose="02020603050405020304" pitchFamily="18" charset="0"/>
                  </a:defRPr>
                </a:pPr>
                <a:endParaRPr lang="en-US" sz="500" b="0"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sz="900"/>
                  </a:pPr>
                  <a:r>
                    <a:rPr lang="en-US" sz="900" b="0" i="0" u="none" strike="noStrike" baseline="0">
                      <a:solidFill>
                        <a:sysClr val="window" lastClr="FFFFFF"/>
                      </a:solidFill>
                      <a:latin typeface="Times New Roman" panose="02020603050405020304" pitchFamily="18" charset="0"/>
                      <a:cs typeface="Times New Roman" panose="02020603050405020304" pitchFamily="18" charset="0"/>
                    </a:rPr>
                    <a:t>Total Revenues, 22958</a:t>
                  </a:r>
                </a:p>
              </cx:txPr>
            </cx:dataLabel>
            <cx:dataLabel idx="1">
              <cx:txPr>
                <a:bodyPr spcFirstLastPara="1" vertOverflow="ellipsis" horzOverflow="overflow" wrap="square" lIns="0" tIns="0" rIns="0" bIns="0" anchor="ctr" anchorCtr="1"/>
                <a:lstStyle/>
                <a:p>
                  <a:pPr algn="ctr" rtl="0">
                    <a:defRPr sz="900"/>
                  </a:pPr>
                  <a:r>
                    <a:rPr lang="en-US" sz="900" b="0" i="0" u="none" strike="noStrike" baseline="0">
                      <a:solidFill>
                        <a:sysClr val="window" lastClr="FFFFFF"/>
                      </a:solidFill>
                      <a:latin typeface="Times New Roman" panose="02020603050405020304" pitchFamily="18" charset="0"/>
                      <a:cs typeface="Times New Roman" panose="02020603050405020304" pitchFamily="18" charset="0"/>
                    </a:rPr>
                    <a:t>Total Expense, 7971</a:t>
                  </a:r>
                </a:p>
              </cx:txPr>
            </cx:dataLabel>
          </cx:dataLabels>
          <cx:dataId val="0"/>
          <cx:layoutPr>
            <cx:parentLabelLayout val="overlapping"/>
          </cx:layoutPr>
        </cx:series>
      </cx:plotAreaRegion>
    </cx:plotArea>
    <cx:legend pos="t" align="ctr" overlay="0"/>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Drop" dropLines="3" dropStyle="combo" dx="26" fmlaLink="Scenario!$D$5" fmlaRange="Scenario!$B$10:$B$12" noThreeD="1" sel="1" val="0"/>
</file>

<file path=xl/ctrlProps/ctrlProp2.xml><?xml version="1.0" encoding="utf-8"?>
<formControlPr xmlns="http://schemas.microsoft.com/office/spreadsheetml/2009/9/main" objectType="Drop" dropStyle="combo" dx="26" fmlaLink="IS!$C$43" fmlaRange="IS!$C$47:$C$54" noThreeD="1" sel="8" val="0"/>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11" Type="http://schemas.microsoft.com/office/2014/relationships/chartEx" Target="../charts/chartEx1.xml"/><Relationship Id="rId5" Type="http://schemas.microsoft.com/office/2007/relationships/hdphoto" Target="../media/hdphoto1.wdp"/><Relationship Id="rId10" Type="http://schemas.openxmlformats.org/officeDocument/2006/relationships/chart" Target="../charts/chart8.xml"/><Relationship Id="rId4" Type="http://schemas.openxmlformats.org/officeDocument/2006/relationships/image" Target="../media/image1.pn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134471</xdr:rowOff>
    </xdr:from>
    <xdr:to>
      <xdr:col>22</xdr:col>
      <xdr:colOff>0</xdr:colOff>
      <xdr:row>64</xdr:row>
      <xdr:rowOff>20199</xdr:rowOff>
    </xdr:to>
    <xdr:sp macro="" textlink="">
      <xdr:nvSpPr>
        <xdr:cNvPr id="28" name="Rectangle 27">
          <a:extLst>
            <a:ext uri="{FF2B5EF4-FFF2-40B4-BE49-F238E27FC236}">
              <a16:creationId xmlns:a16="http://schemas.microsoft.com/office/drawing/2014/main" id="{00000000-0008-0000-0000-00001C000000}"/>
            </a:ext>
          </a:extLst>
        </xdr:cNvPr>
        <xdr:cNvSpPr/>
      </xdr:nvSpPr>
      <xdr:spPr>
        <a:xfrm>
          <a:off x="0" y="642471"/>
          <a:ext cx="15608300" cy="11214128"/>
        </a:xfrm>
        <a:prstGeom prst="rect">
          <a:avLst/>
        </a:prstGeom>
        <a:pattFill prst="pct5">
          <a:fgClr>
            <a:schemeClr val="accent1"/>
          </a:fgClr>
          <a:bgClr>
            <a:srgbClr val="E8D21D"/>
          </a:bgClr>
        </a:patt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t>
          </a:r>
        </a:p>
      </xdr:txBody>
    </xdr:sp>
    <xdr:clientData/>
  </xdr:twoCellAnchor>
  <xdr:twoCellAnchor>
    <xdr:from>
      <xdr:col>0</xdr:col>
      <xdr:colOff>0</xdr:colOff>
      <xdr:row>24</xdr:row>
      <xdr:rowOff>155601</xdr:rowOff>
    </xdr:from>
    <xdr:to>
      <xdr:col>8</xdr:col>
      <xdr:colOff>165149</xdr:colOff>
      <xdr:row>39</xdr:row>
      <xdr:rowOff>31822</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489857</xdr:colOff>
      <xdr:row>25</xdr:row>
      <xdr:rowOff>141514</xdr:rowOff>
    </xdr:from>
    <xdr:to>
      <xdr:col>20</xdr:col>
      <xdr:colOff>82422</xdr:colOff>
      <xdr:row>36</xdr:row>
      <xdr:rowOff>28483</xdr:rowOff>
    </xdr:to>
    <xdr:graphicFrame macro="">
      <xdr:nvGraphicFramePr>
        <xdr:cNvPr id="24" name="Chart 23">
          <a:extLst>
            <a:ext uri="{FF2B5EF4-FFF2-40B4-BE49-F238E27FC236}">
              <a16:creationId xmlns:a16="http://schemas.microsoft.com/office/drawing/2014/main" id="{00000000-0008-0000-00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53787</xdr:colOff>
      <xdr:row>11</xdr:row>
      <xdr:rowOff>87203</xdr:rowOff>
    </xdr:from>
    <xdr:to>
      <xdr:col>7</xdr:col>
      <xdr:colOff>304800</xdr:colOff>
      <xdr:row>26</xdr:row>
      <xdr:rowOff>41564</xdr:rowOff>
    </xdr:to>
    <xdr:graphicFrame macro="">
      <xdr:nvGraphicFramePr>
        <xdr:cNvPr id="27" name="Chart 26">
          <a:extLst>
            <a:ext uri="{FF2B5EF4-FFF2-40B4-BE49-F238E27FC236}">
              <a16:creationId xmlns:a16="http://schemas.microsoft.com/office/drawing/2014/main" id="{00000000-0008-0000-00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0</xdr:row>
      <xdr:rowOff>166255</xdr:rowOff>
    </xdr:from>
    <xdr:to>
      <xdr:col>21</xdr:col>
      <xdr:colOff>845127</xdr:colOff>
      <xdr:row>2</xdr:row>
      <xdr:rowOff>318654</xdr:rowOff>
    </xdr:to>
    <xdr:sp macro="" textlink="">
      <xdr:nvSpPr>
        <xdr:cNvPr id="31" name="Rectangle 30">
          <a:extLst>
            <a:ext uri="{FF2B5EF4-FFF2-40B4-BE49-F238E27FC236}">
              <a16:creationId xmlns:a16="http://schemas.microsoft.com/office/drawing/2014/main" id="{00000000-0008-0000-0000-00001F000000}"/>
            </a:ext>
          </a:extLst>
        </xdr:cNvPr>
        <xdr:cNvSpPr/>
      </xdr:nvSpPr>
      <xdr:spPr>
        <a:xfrm>
          <a:off x="1" y="166255"/>
          <a:ext cx="18440399" cy="665017"/>
        </a:xfrm>
        <a:prstGeom prst="rect">
          <a:avLst/>
        </a:prstGeom>
        <a:solidFill>
          <a:srgbClr val="FFC000"/>
        </a:solidFill>
        <a:ln>
          <a:solidFill>
            <a:schemeClr val="accent1">
              <a:shade val="15000"/>
            </a:schemeClr>
          </a:solidFill>
        </a:ln>
        <a:effectLst>
          <a:glow rad="63500">
            <a:schemeClr val="accent3">
              <a:satMod val="175000"/>
              <a:alpha val="40000"/>
            </a:schemeClr>
          </a:glow>
          <a:outerShdw blurRad="76200" dist="12700" dir="8100000" sy="-23000" kx="800400" algn="br" rotWithShape="0">
            <a:prstClr val="black">
              <a:alpha val="20000"/>
            </a:prstClr>
          </a:outerShdw>
        </a:effectLst>
        <a:scene3d>
          <a:camera prst="perspectiveBelow"/>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oneCell">
    <xdr:from>
      <xdr:col>0</xdr:col>
      <xdr:colOff>110839</xdr:colOff>
      <xdr:row>1</xdr:row>
      <xdr:rowOff>27709</xdr:rowOff>
    </xdr:from>
    <xdr:to>
      <xdr:col>2</xdr:col>
      <xdr:colOff>96983</xdr:colOff>
      <xdr:row>2</xdr:row>
      <xdr:rowOff>229889</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110839" y="207818"/>
          <a:ext cx="997526" cy="534689"/>
        </a:xfrm>
        <a:prstGeom prst="rect">
          <a:avLst/>
        </a:prstGeom>
        <a:ln>
          <a:noFill/>
        </a:ln>
      </xdr:spPr>
    </xdr:pic>
    <xdr:clientData/>
  </xdr:twoCellAnchor>
  <xdr:twoCellAnchor>
    <xdr:from>
      <xdr:col>6</xdr:col>
      <xdr:colOff>119743</xdr:colOff>
      <xdr:row>1</xdr:row>
      <xdr:rowOff>104901</xdr:rowOff>
    </xdr:from>
    <xdr:to>
      <xdr:col>15</xdr:col>
      <xdr:colOff>304802</xdr:colOff>
      <xdr:row>2</xdr:row>
      <xdr:rowOff>322615</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4622470" y="285010"/>
          <a:ext cx="8040587" cy="550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400" b="1">
              <a:solidFill>
                <a:schemeClr val="tx1"/>
              </a:solidFill>
              <a:effectLst/>
              <a:latin typeface="Times New Roman" panose="02020603050405020304" pitchFamily="18" charset="0"/>
              <a:ea typeface="+mn-ea"/>
              <a:cs typeface="Times New Roman" panose="02020603050405020304" pitchFamily="18" charset="0"/>
            </a:rPr>
            <a:t>APA</a:t>
          </a:r>
          <a:r>
            <a:rPr lang="en-IN" sz="2400" b="1" baseline="0">
              <a:solidFill>
                <a:schemeClr val="tx1"/>
              </a:solidFill>
              <a:effectLst/>
              <a:latin typeface="Times New Roman" panose="02020603050405020304" pitchFamily="18" charset="0"/>
              <a:ea typeface="+mn-ea"/>
              <a:cs typeface="Times New Roman" panose="02020603050405020304" pitchFamily="18" charset="0"/>
            </a:rPr>
            <a:t> CORPORATION</a:t>
          </a:r>
          <a:endParaRPr lang="en-IN" sz="2400">
            <a:solidFill>
              <a:schemeClr val="tx1"/>
            </a:solidFill>
            <a:effectLst/>
            <a:latin typeface="Times New Roman" panose="02020603050405020304" pitchFamily="18" charset="0"/>
            <a:cs typeface="Times New Roman" panose="02020603050405020304" pitchFamily="18" charset="0"/>
          </a:endParaRPr>
        </a:p>
        <a:p>
          <a:endParaRPr lang="en-IN" sz="1000"/>
        </a:p>
      </xdr:txBody>
    </xdr:sp>
    <xdr:clientData/>
  </xdr:twoCellAnchor>
  <xdr:twoCellAnchor>
    <xdr:from>
      <xdr:col>2</xdr:col>
      <xdr:colOff>206828</xdr:colOff>
      <xdr:row>3</xdr:row>
      <xdr:rowOff>62113</xdr:rowOff>
    </xdr:from>
    <xdr:to>
      <xdr:col>21</xdr:col>
      <xdr:colOff>322729</xdr:colOff>
      <xdr:row>7</xdr:row>
      <xdr:rowOff>18570</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968828" y="725501"/>
          <a:ext cx="12038960" cy="826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latin typeface="Times New Roman" panose="02020603050405020304" pitchFamily="18" charset="0"/>
              <a:cs typeface="Times New Roman" panose="02020603050405020304" pitchFamily="18" charset="0"/>
            </a:rPr>
            <a:t>APA corporations, Established in 1954, is an Independent Energy Company, Headquarter in Houston, Texas. It explores, develops, and produce Natural Gas, Crude oil, and NGL in the United States, Egypt and in North Sea. The Company also conducts Exploration and appraisal activities in Suriname and holds interest in projects internationally.</a:t>
          </a:r>
        </a:p>
      </xdr:txBody>
    </xdr:sp>
    <xdr:clientData/>
  </xdr:twoCellAnchor>
  <xdr:twoCellAnchor>
    <xdr:from>
      <xdr:col>0</xdr:col>
      <xdr:colOff>32657</xdr:colOff>
      <xdr:row>7</xdr:row>
      <xdr:rowOff>76200</xdr:rowOff>
    </xdr:from>
    <xdr:to>
      <xdr:col>22</xdr:col>
      <xdr:colOff>0</xdr:colOff>
      <xdr:row>7</xdr:row>
      <xdr:rowOff>97971</xdr:rowOff>
    </xdr:to>
    <xdr:cxnSp macro="">
      <xdr:nvCxnSpPr>
        <xdr:cNvPr id="58" name="Straight Connector 57">
          <a:extLst>
            <a:ext uri="{FF2B5EF4-FFF2-40B4-BE49-F238E27FC236}">
              <a16:creationId xmlns:a16="http://schemas.microsoft.com/office/drawing/2014/main" id="{00000000-0008-0000-0000-00003A000000}"/>
            </a:ext>
          </a:extLst>
        </xdr:cNvPr>
        <xdr:cNvCxnSpPr/>
      </xdr:nvCxnSpPr>
      <xdr:spPr>
        <a:xfrm flipV="1">
          <a:off x="32657" y="1611086"/>
          <a:ext cx="13139057" cy="21771"/>
        </a:xfrm>
        <a:prstGeom prst="line">
          <a:avLst/>
        </a:prstGeom>
        <a:ln>
          <a:solidFill>
            <a:schemeClr val="tx1"/>
          </a:solidFill>
        </a:ln>
        <a:effectLst>
          <a:glow rad="63500">
            <a:schemeClr val="accent2">
              <a:satMod val="175000"/>
              <a:alpha val="40000"/>
            </a:schemeClr>
          </a:glow>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143333</xdr:colOff>
      <xdr:row>7</xdr:row>
      <xdr:rowOff>76201</xdr:rowOff>
    </xdr:from>
    <xdr:to>
      <xdr:col>9</xdr:col>
      <xdr:colOff>35031</xdr:colOff>
      <xdr:row>11</xdr:row>
      <xdr:rowOff>10887</xdr:rowOff>
    </xdr:to>
    <xdr:sp macro="" textlink="">
      <xdr:nvSpPr>
        <xdr:cNvPr id="63" name="Left Bracket 62">
          <a:extLst>
            <a:ext uri="{FF2B5EF4-FFF2-40B4-BE49-F238E27FC236}">
              <a16:creationId xmlns:a16="http://schemas.microsoft.com/office/drawing/2014/main" id="{00000000-0008-0000-0000-00003F000000}"/>
            </a:ext>
          </a:extLst>
        </xdr:cNvPr>
        <xdr:cNvSpPr/>
      </xdr:nvSpPr>
      <xdr:spPr>
        <a:xfrm rot="16200000">
          <a:off x="4693839" y="1050195"/>
          <a:ext cx="645886" cy="2101498"/>
        </a:xfrm>
        <a:prstGeom prst="leftBracket">
          <a:avLst/>
        </a:prstGeom>
        <a:noFill/>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xdr:col>
      <xdr:colOff>79563</xdr:colOff>
      <xdr:row>7</xdr:row>
      <xdr:rowOff>97971</xdr:rowOff>
    </xdr:from>
    <xdr:to>
      <xdr:col>4</xdr:col>
      <xdr:colOff>707861</xdr:colOff>
      <xdr:row>11</xdr:row>
      <xdr:rowOff>119745</xdr:rowOff>
    </xdr:to>
    <xdr:grpSp>
      <xdr:nvGrpSpPr>
        <xdr:cNvPr id="71" name="Group 70">
          <a:extLst>
            <a:ext uri="{FF2B5EF4-FFF2-40B4-BE49-F238E27FC236}">
              <a16:creationId xmlns:a16="http://schemas.microsoft.com/office/drawing/2014/main" id="{00000000-0008-0000-0000-000047000000}"/>
            </a:ext>
          </a:extLst>
        </xdr:cNvPr>
        <xdr:cNvGrpSpPr/>
      </xdr:nvGrpSpPr>
      <xdr:grpSpPr>
        <a:xfrm>
          <a:off x="1132508" y="1815935"/>
          <a:ext cx="2457098" cy="742210"/>
          <a:chOff x="1001207" y="1621971"/>
          <a:chExt cx="1753155" cy="762002"/>
        </a:xfrm>
      </xdr:grpSpPr>
      <xdr:sp macro="" textlink="">
        <xdr:nvSpPr>
          <xdr:cNvPr id="52" name="Left Bracket 51">
            <a:extLst>
              <a:ext uri="{FF2B5EF4-FFF2-40B4-BE49-F238E27FC236}">
                <a16:creationId xmlns:a16="http://schemas.microsoft.com/office/drawing/2014/main" id="{00000000-0008-0000-0000-000034000000}"/>
              </a:ext>
            </a:extLst>
          </xdr:cNvPr>
          <xdr:cNvSpPr/>
        </xdr:nvSpPr>
        <xdr:spPr>
          <a:xfrm rot="16200000">
            <a:off x="1540328" y="1082850"/>
            <a:ext cx="674914" cy="1753155"/>
          </a:xfrm>
          <a:prstGeom prst="leftBracket">
            <a:avLst/>
          </a:prstGeom>
          <a:noFill/>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1382487" y="1654630"/>
            <a:ext cx="1317172" cy="729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dk1"/>
                </a:solidFill>
                <a:effectLst/>
                <a:latin typeface="Times New Roman" panose="02020603050405020304" pitchFamily="18" charset="0"/>
                <a:ea typeface="+mn-ea"/>
                <a:cs typeface="Times New Roman" panose="02020603050405020304" pitchFamily="18" charset="0"/>
              </a:rPr>
              <a:t>Sector(s):</a:t>
            </a:r>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endParaRPr lang="en-IN" sz="1800">
              <a:effectLst/>
              <a:latin typeface="Times New Roman" panose="02020603050405020304" pitchFamily="18" charset="0"/>
              <a:cs typeface="Times New Roman" panose="02020603050405020304" pitchFamily="18" charset="0"/>
            </a:endParaRPr>
          </a:p>
          <a:p>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r>
              <a:rPr lang="en-US" sz="1800" b="1" baseline="0">
                <a:solidFill>
                  <a:schemeClr val="bg2">
                    <a:lumMod val="50000"/>
                  </a:schemeClr>
                </a:solidFill>
                <a:effectLst/>
                <a:latin typeface="Times New Roman" panose="02020603050405020304" pitchFamily="18" charset="0"/>
                <a:ea typeface="+mn-ea"/>
                <a:cs typeface="Times New Roman" panose="02020603050405020304" pitchFamily="18" charset="0"/>
              </a:rPr>
              <a:t>Energy</a:t>
            </a:r>
            <a:endParaRPr lang="en-IN" sz="1800">
              <a:solidFill>
                <a:schemeClr val="bg2">
                  <a:lumMod val="50000"/>
                </a:schemeClr>
              </a:solidFill>
              <a:effectLst/>
              <a:latin typeface="Times New Roman" panose="02020603050405020304" pitchFamily="18" charset="0"/>
              <a:cs typeface="Times New Roman" panose="02020603050405020304" pitchFamily="18" charset="0"/>
            </a:endParaRPr>
          </a:p>
          <a:p>
            <a:endParaRPr lang="en-IN" sz="1800">
              <a:latin typeface="Times New Roman" panose="02020603050405020304" pitchFamily="18" charset="0"/>
              <a:cs typeface="Times New Roman" panose="02020603050405020304" pitchFamily="18" charset="0"/>
            </a:endParaRPr>
          </a:p>
        </xdr:txBody>
      </xdr:sp>
    </xdr:grpSp>
    <xdr:clientData/>
  </xdr:twoCellAnchor>
  <xdr:twoCellAnchor>
    <xdr:from>
      <xdr:col>6</xdr:col>
      <xdr:colOff>70760</xdr:colOff>
      <xdr:row>7</xdr:row>
      <xdr:rowOff>108858</xdr:rowOff>
    </xdr:from>
    <xdr:to>
      <xdr:col>9</xdr:col>
      <xdr:colOff>92533</xdr:colOff>
      <xdr:row>11</xdr:row>
      <xdr:rowOff>174172</xdr:rowOff>
    </xdr:to>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3893460" y="1810658"/>
          <a:ext cx="2231573" cy="776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dk1"/>
              </a:solidFill>
              <a:effectLst/>
              <a:latin typeface="Times New Roman" panose="02020603050405020304" pitchFamily="18" charset="0"/>
              <a:ea typeface="+mn-ea"/>
              <a:cs typeface="Times New Roman" panose="02020603050405020304" pitchFamily="18" charset="0"/>
            </a:rPr>
            <a:t>Industry:</a:t>
          </a:r>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endParaRPr lang="en-IN" sz="1800">
            <a:effectLst/>
            <a:latin typeface="Times New Roman" panose="02020603050405020304" pitchFamily="18" charset="0"/>
            <a:cs typeface="Times New Roman" panose="02020603050405020304" pitchFamily="18" charset="0"/>
          </a:endParaRPr>
        </a:p>
        <a:p>
          <a:pPr algn="ctr"/>
          <a:r>
            <a:rPr lang="en-US" sz="1800" b="1" baseline="0">
              <a:solidFill>
                <a:schemeClr val="bg2">
                  <a:lumMod val="50000"/>
                </a:schemeClr>
              </a:solidFill>
              <a:effectLst/>
              <a:latin typeface="Times New Roman" panose="02020603050405020304" pitchFamily="18" charset="0"/>
              <a:ea typeface="+mn-ea"/>
              <a:cs typeface="Times New Roman" panose="02020603050405020304" pitchFamily="18" charset="0"/>
            </a:rPr>
            <a:t> Oil &amp; Gas E&amp;P</a:t>
          </a:r>
          <a:endParaRPr lang="en-IN" sz="1800">
            <a:solidFill>
              <a:schemeClr val="bg2">
                <a:lumMod val="50000"/>
              </a:schemeClr>
            </a:solidFill>
            <a:effectLst/>
            <a:latin typeface="Times New Roman" panose="02020603050405020304" pitchFamily="18" charset="0"/>
            <a:cs typeface="Times New Roman" panose="02020603050405020304" pitchFamily="18" charset="0"/>
          </a:endParaRPr>
        </a:p>
        <a:p>
          <a:endParaRPr lang="en-IN" sz="1100"/>
        </a:p>
      </xdr:txBody>
    </xdr:sp>
    <xdr:clientData/>
  </xdr:twoCellAnchor>
  <xdr:twoCellAnchor>
    <xdr:from>
      <xdr:col>10</xdr:col>
      <xdr:colOff>114307</xdr:colOff>
      <xdr:row>7</xdr:row>
      <xdr:rowOff>88900</xdr:rowOff>
    </xdr:from>
    <xdr:to>
      <xdr:col>13</xdr:col>
      <xdr:colOff>6004</xdr:colOff>
      <xdr:row>11</xdr:row>
      <xdr:rowOff>78015</xdr:rowOff>
    </xdr:to>
    <xdr:grpSp>
      <xdr:nvGrpSpPr>
        <xdr:cNvPr id="72" name="Group 71">
          <a:extLst>
            <a:ext uri="{FF2B5EF4-FFF2-40B4-BE49-F238E27FC236}">
              <a16:creationId xmlns:a16="http://schemas.microsoft.com/office/drawing/2014/main" id="{00000000-0008-0000-0000-000048000000}"/>
            </a:ext>
          </a:extLst>
        </xdr:cNvPr>
        <xdr:cNvGrpSpPr/>
      </xdr:nvGrpSpPr>
      <xdr:grpSpPr>
        <a:xfrm>
          <a:off x="8482452" y="1806864"/>
          <a:ext cx="2634897" cy="709551"/>
          <a:chOff x="5998031" y="1632858"/>
          <a:chExt cx="1753155" cy="729343"/>
        </a:xfrm>
      </xdr:grpSpPr>
      <xdr:sp macro="" textlink="">
        <xdr:nvSpPr>
          <xdr:cNvPr id="62" name="Left Bracket 61">
            <a:extLst>
              <a:ext uri="{FF2B5EF4-FFF2-40B4-BE49-F238E27FC236}">
                <a16:creationId xmlns:a16="http://schemas.microsoft.com/office/drawing/2014/main" id="{00000000-0008-0000-0000-00003E000000}"/>
              </a:ext>
            </a:extLst>
          </xdr:cNvPr>
          <xdr:cNvSpPr/>
        </xdr:nvSpPr>
        <xdr:spPr>
          <a:xfrm rot="16200000">
            <a:off x="6537152" y="1093737"/>
            <a:ext cx="674914" cy="1753155"/>
          </a:xfrm>
          <a:prstGeom prst="leftBracket">
            <a:avLst/>
          </a:prstGeom>
          <a:noFill/>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6150430" y="1676401"/>
            <a:ext cx="1491343"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dk1"/>
                </a:solidFill>
                <a:effectLst/>
                <a:latin typeface="Times New Roman" panose="02020603050405020304" pitchFamily="18" charset="0"/>
                <a:ea typeface="+mn-ea"/>
                <a:cs typeface="Times New Roman" panose="02020603050405020304" pitchFamily="18" charset="0"/>
              </a:rPr>
              <a:t>Market</a:t>
            </a:r>
            <a:r>
              <a:rPr lang="en-US" sz="1800" b="1" baseline="0">
                <a:solidFill>
                  <a:schemeClr val="dk1"/>
                </a:solidFill>
                <a:effectLst/>
                <a:latin typeface="Times New Roman" panose="02020603050405020304" pitchFamily="18" charset="0"/>
                <a:ea typeface="+mn-ea"/>
                <a:cs typeface="Times New Roman" panose="02020603050405020304" pitchFamily="18" charset="0"/>
              </a:rPr>
              <a:t> Cap</a:t>
            </a:r>
            <a:r>
              <a:rPr lang="en-US" sz="1800" b="1">
                <a:solidFill>
                  <a:schemeClr val="dk1"/>
                </a:solidFill>
                <a:effectLst/>
                <a:latin typeface="Times New Roman" panose="02020603050405020304" pitchFamily="18" charset="0"/>
                <a:ea typeface="+mn-ea"/>
                <a:cs typeface="Times New Roman" panose="02020603050405020304" pitchFamily="18" charset="0"/>
              </a:rPr>
              <a:t>:</a:t>
            </a:r>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endParaRPr lang="en-IN" sz="1800">
              <a:effectLst/>
              <a:latin typeface="Times New Roman" panose="02020603050405020304" pitchFamily="18" charset="0"/>
              <a:cs typeface="Times New Roman" panose="02020603050405020304" pitchFamily="18" charset="0"/>
            </a:endParaRPr>
          </a:p>
          <a:p>
            <a:pPr algn="ctr"/>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r>
              <a:rPr lang="en-US" sz="1800" b="1" baseline="0">
                <a:solidFill>
                  <a:schemeClr val="bg2">
                    <a:lumMod val="50000"/>
                  </a:schemeClr>
                </a:solidFill>
                <a:effectLst/>
                <a:latin typeface="Times New Roman" panose="02020603050405020304" pitchFamily="18" charset="0"/>
                <a:ea typeface="+mn-ea"/>
                <a:cs typeface="Times New Roman" panose="02020603050405020304" pitchFamily="18" charset="0"/>
              </a:rPr>
              <a:t>$ </a:t>
            </a:r>
            <a:r>
              <a:rPr lang="en-IN" sz="1800" b="1" i="0">
                <a:solidFill>
                  <a:schemeClr val="bg2">
                    <a:lumMod val="50000"/>
                  </a:schemeClr>
                </a:solidFill>
                <a:effectLst/>
                <a:latin typeface="Times New Roman" panose="02020603050405020304" pitchFamily="18" charset="0"/>
                <a:ea typeface="+mn-ea"/>
                <a:cs typeface="Times New Roman" panose="02020603050405020304" pitchFamily="18" charset="0"/>
              </a:rPr>
              <a:t>11.58 </a:t>
            </a:r>
            <a:r>
              <a:rPr lang="en-US" sz="1800" b="1" baseline="0">
                <a:solidFill>
                  <a:schemeClr val="bg2">
                    <a:lumMod val="50000"/>
                  </a:schemeClr>
                </a:solidFill>
                <a:effectLst/>
                <a:latin typeface="Times New Roman" panose="02020603050405020304" pitchFamily="18" charset="0"/>
                <a:ea typeface="+mn-ea"/>
                <a:cs typeface="Times New Roman" panose="02020603050405020304" pitchFamily="18" charset="0"/>
              </a:rPr>
              <a:t>B</a:t>
            </a:r>
            <a:endParaRPr lang="en-IN" sz="1800" b="1">
              <a:solidFill>
                <a:schemeClr val="bg2">
                  <a:lumMod val="50000"/>
                </a:schemeClr>
              </a:solidFill>
              <a:effectLst/>
              <a:latin typeface="Times New Roman" panose="02020603050405020304" pitchFamily="18" charset="0"/>
              <a:cs typeface="Times New Roman" panose="02020603050405020304" pitchFamily="18" charset="0"/>
            </a:endParaRPr>
          </a:p>
          <a:p>
            <a:endParaRPr lang="en-IN" sz="1200">
              <a:latin typeface="Times New Roman" panose="02020603050405020304" pitchFamily="18" charset="0"/>
              <a:cs typeface="Times New Roman" panose="02020603050405020304" pitchFamily="18" charset="0"/>
            </a:endParaRPr>
          </a:p>
        </xdr:txBody>
      </xdr:sp>
    </xdr:grpSp>
    <xdr:clientData/>
  </xdr:twoCellAnchor>
  <xdr:twoCellAnchor>
    <xdr:from>
      <xdr:col>14</xdr:col>
      <xdr:colOff>36286</xdr:colOff>
      <xdr:row>7</xdr:row>
      <xdr:rowOff>90715</xdr:rowOff>
    </xdr:from>
    <xdr:to>
      <xdr:col>16</xdr:col>
      <xdr:colOff>686357</xdr:colOff>
      <xdr:row>12</xdr:row>
      <xdr:rowOff>47171</xdr:rowOff>
    </xdr:to>
    <xdr:grpSp>
      <xdr:nvGrpSpPr>
        <xdr:cNvPr id="74" name="Group 73">
          <a:extLst>
            <a:ext uri="{FF2B5EF4-FFF2-40B4-BE49-F238E27FC236}">
              <a16:creationId xmlns:a16="http://schemas.microsoft.com/office/drawing/2014/main" id="{00000000-0008-0000-0000-00004A000000}"/>
            </a:ext>
          </a:extLst>
        </xdr:cNvPr>
        <xdr:cNvGrpSpPr/>
      </xdr:nvGrpSpPr>
      <xdr:grpSpPr>
        <a:xfrm>
          <a:off x="12062031" y="1808679"/>
          <a:ext cx="2478871" cy="857001"/>
          <a:chOff x="8610600" y="1600201"/>
          <a:chExt cx="1774928" cy="881741"/>
        </a:xfrm>
      </xdr:grpSpPr>
      <xdr:sp macro="" textlink="">
        <xdr:nvSpPr>
          <xdr:cNvPr id="64" name="Left Bracket 63">
            <a:extLst>
              <a:ext uri="{FF2B5EF4-FFF2-40B4-BE49-F238E27FC236}">
                <a16:creationId xmlns:a16="http://schemas.microsoft.com/office/drawing/2014/main" id="{00000000-0008-0000-0000-000040000000}"/>
              </a:ext>
            </a:extLst>
          </xdr:cNvPr>
          <xdr:cNvSpPr/>
        </xdr:nvSpPr>
        <xdr:spPr>
          <a:xfrm rot="16200000">
            <a:off x="9171494" y="1061080"/>
            <a:ext cx="674914" cy="1753155"/>
          </a:xfrm>
          <a:prstGeom prst="leftBracket">
            <a:avLst/>
          </a:prstGeom>
          <a:noFill/>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8610600" y="1632857"/>
            <a:ext cx="1730829" cy="849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baseline="0">
                <a:solidFill>
                  <a:schemeClr val="dk1"/>
                </a:solidFill>
                <a:effectLst/>
                <a:latin typeface="Times New Roman" panose="02020603050405020304" pitchFamily="18" charset="0"/>
                <a:ea typeface="+mn-ea"/>
                <a:cs typeface="Times New Roman" panose="02020603050405020304" pitchFamily="18" charset="0"/>
              </a:rPr>
              <a:t>Share Price: </a:t>
            </a:r>
            <a:endParaRPr lang="en-IN" sz="1800">
              <a:effectLst/>
              <a:latin typeface="Times New Roman" panose="02020603050405020304" pitchFamily="18" charset="0"/>
              <a:cs typeface="Times New Roman" panose="02020603050405020304" pitchFamily="18" charset="0"/>
            </a:endParaRPr>
          </a:p>
          <a:p>
            <a:pPr algn="ctr"/>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r>
              <a:rPr lang="en-US" sz="1800" b="1" baseline="0">
                <a:solidFill>
                  <a:schemeClr val="bg2">
                    <a:lumMod val="50000"/>
                  </a:schemeClr>
                </a:solidFill>
                <a:effectLst/>
                <a:latin typeface="Times New Roman" panose="02020603050405020304" pitchFamily="18" charset="0"/>
                <a:ea typeface="+mn-ea"/>
                <a:cs typeface="Times New Roman" panose="02020603050405020304" pitchFamily="18" charset="0"/>
              </a:rPr>
              <a:t>$ 31.21</a:t>
            </a:r>
            <a:endParaRPr lang="en-IN" sz="1800">
              <a:solidFill>
                <a:schemeClr val="bg2">
                  <a:lumMod val="50000"/>
                </a:schemeClr>
              </a:solidFill>
              <a:effectLst/>
              <a:latin typeface="Times New Roman" panose="02020603050405020304" pitchFamily="18" charset="0"/>
              <a:cs typeface="Times New Roman" panose="02020603050405020304" pitchFamily="18" charset="0"/>
            </a:endParaRPr>
          </a:p>
          <a:p>
            <a:endParaRPr lang="en-IN" sz="1100"/>
          </a:p>
        </xdr:txBody>
      </xdr:sp>
    </xdr:grpSp>
    <xdr:clientData/>
  </xdr:twoCellAnchor>
  <xdr:twoCellAnchor>
    <xdr:from>
      <xdr:col>9</xdr:col>
      <xdr:colOff>365222</xdr:colOff>
      <xdr:row>13</xdr:row>
      <xdr:rowOff>54604</xdr:rowOff>
    </xdr:from>
    <xdr:to>
      <xdr:col>12</xdr:col>
      <xdr:colOff>93721</xdr:colOff>
      <xdr:row>24</xdr:row>
      <xdr:rowOff>21131</xdr:rowOff>
    </xdr:to>
    <xdr:grpSp>
      <xdr:nvGrpSpPr>
        <xdr:cNvPr id="90" name="Group 89">
          <a:extLst>
            <a:ext uri="{FF2B5EF4-FFF2-40B4-BE49-F238E27FC236}">
              <a16:creationId xmlns:a16="http://schemas.microsoft.com/office/drawing/2014/main" id="{00000000-0008-0000-0000-00005A000000}"/>
            </a:ext>
          </a:extLst>
        </xdr:cNvPr>
        <xdr:cNvGrpSpPr/>
      </xdr:nvGrpSpPr>
      <xdr:grpSpPr>
        <a:xfrm>
          <a:off x="7818967" y="2853222"/>
          <a:ext cx="2471699" cy="1947727"/>
          <a:chOff x="5921828" y="2950027"/>
          <a:chExt cx="2590800" cy="2002971"/>
        </a:xfrm>
      </xdr:grpSpPr>
      <xdr:sp macro="" textlink="">
        <xdr:nvSpPr>
          <xdr:cNvPr id="87" name="Flowchart: Off-page Connector 86">
            <a:extLst>
              <a:ext uri="{FF2B5EF4-FFF2-40B4-BE49-F238E27FC236}">
                <a16:creationId xmlns:a16="http://schemas.microsoft.com/office/drawing/2014/main" id="{00000000-0008-0000-0000-000057000000}"/>
              </a:ext>
            </a:extLst>
          </xdr:cNvPr>
          <xdr:cNvSpPr/>
        </xdr:nvSpPr>
        <xdr:spPr>
          <a:xfrm>
            <a:off x="6422571" y="3428998"/>
            <a:ext cx="1589314" cy="1524000"/>
          </a:xfrm>
          <a:prstGeom prst="flowChartOffpage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0" name="Group 79">
            <a:extLst>
              <a:ext uri="{FF2B5EF4-FFF2-40B4-BE49-F238E27FC236}">
                <a16:creationId xmlns:a16="http://schemas.microsoft.com/office/drawing/2014/main" id="{00000000-0008-0000-0000-000050000000}"/>
              </a:ext>
            </a:extLst>
          </xdr:cNvPr>
          <xdr:cNvGrpSpPr/>
        </xdr:nvGrpSpPr>
        <xdr:grpSpPr>
          <a:xfrm>
            <a:off x="5921828" y="2950027"/>
            <a:ext cx="2590800" cy="1083154"/>
            <a:chOff x="6183086" y="3058886"/>
            <a:chExt cx="2590800" cy="1083154"/>
          </a:xfrm>
        </xdr:grpSpPr>
        <xdr:sp macro="" textlink="">
          <xdr:nvSpPr>
            <xdr:cNvPr id="81" name="Oval 80">
              <a:extLst>
                <a:ext uri="{FF2B5EF4-FFF2-40B4-BE49-F238E27FC236}">
                  <a16:creationId xmlns:a16="http://schemas.microsoft.com/office/drawing/2014/main" id="{00000000-0008-0000-0000-000051000000}"/>
                </a:ext>
              </a:extLst>
            </xdr:cNvPr>
            <xdr:cNvSpPr/>
          </xdr:nvSpPr>
          <xdr:spPr>
            <a:xfrm>
              <a:off x="6662057" y="3058886"/>
              <a:ext cx="1632857" cy="102325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2" name="Rectangle 81">
              <a:extLst>
                <a:ext uri="{FF2B5EF4-FFF2-40B4-BE49-F238E27FC236}">
                  <a16:creationId xmlns:a16="http://schemas.microsoft.com/office/drawing/2014/main" id="{00000000-0008-0000-0000-000052000000}"/>
                </a:ext>
              </a:extLst>
            </xdr:cNvPr>
            <xdr:cNvSpPr/>
          </xdr:nvSpPr>
          <xdr:spPr>
            <a:xfrm>
              <a:off x="6183086" y="3186771"/>
              <a:ext cx="2590800" cy="955269"/>
            </a:xfrm>
            <a:prstGeom prst="rect">
              <a:avLst/>
            </a:prstGeom>
            <a:no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600" b="1">
                  <a:solidFill>
                    <a:sysClr val="windowText" lastClr="000000"/>
                  </a:solidFill>
                  <a:effectLst/>
                  <a:latin typeface="Times New Roman" panose="02020603050405020304" pitchFamily="18" charset="0"/>
                  <a:ea typeface="+mn-ea"/>
                  <a:cs typeface="Times New Roman" panose="02020603050405020304" pitchFamily="18" charset="0"/>
                </a:rPr>
                <a:t>Emplied</a:t>
              </a:r>
              <a:r>
                <a:rPr lang="en-US" sz="1600" b="1" baseline="0">
                  <a:solidFill>
                    <a:sysClr val="windowText" lastClr="000000"/>
                  </a:solidFill>
                  <a:effectLst/>
                  <a:latin typeface="Times New Roman" panose="02020603050405020304" pitchFamily="18" charset="0"/>
                  <a:ea typeface="+mn-ea"/>
                  <a:cs typeface="Times New Roman" panose="02020603050405020304" pitchFamily="18" charset="0"/>
                </a:rPr>
                <a:t> </a:t>
              </a:r>
            </a:p>
            <a:p>
              <a:pPr algn="ctr"/>
              <a:r>
                <a:rPr lang="en-US" sz="1600" b="1" baseline="0">
                  <a:solidFill>
                    <a:srgbClr val="36454F"/>
                  </a:solidFill>
                  <a:effectLst/>
                  <a:latin typeface="Times New Roman" panose="02020603050405020304" pitchFamily="18" charset="0"/>
                  <a:ea typeface="+mn-ea"/>
                  <a:cs typeface="Times New Roman" panose="02020603050405020304" pitchFamily="18" charset="0"/>
                </a:rPr>
                <a:t>Share </a:t>
              </a:r>
            </a:p>
            <a:p>
              <a:pPr algn="ctr"/>
              <a:r>
                <a:rPr lang="en-US" sz="1600" b="1" baseline="0">
                  <a:solidFill>
                    <a:srgbClr val="36454F"/>
                  </a:solidFill>
                  <a:effectLst/>
                  <a:latin typeface="Times New Roman" panose="02020603050405020304" pitchFamily="18" charset="0"/>
                  <a:ea typeface="+mn-ea"/>
                  <a:cs typeface="Times New Roman" panose="02020603050405020304" pitchFamily="18" charset="0"/>
                </a:rPr>
                <a:t>Price</a:t>
              </a:r>
              <a:endParaRPr lang="en-IN" sz="3200">
                <a:solidFill>
                  <a:srgbClr val="36454F"/>
                </a:solidFill>
                <a:effectLst/>
                <a:latin typeface="Times New Roman" panose="02020603050405020304" pitchFamily="18" charset="0"/>
                <a:cs typeface="Times New Roman" panose="02020603050405020304" pitchFamily="18" charset="0"/>
              </a:endParaRPr>
            </a:p>
          </xdr:txBody>
        </xdr:sp>
      </xdr:grpSp>
    </xdr:grpSp>
    <xdr:clientData/>
  </xdr:twoCellAnchor>
  <xdr:twoCellAnchor>
    <xdr:from>
      <xdr:col>11</xdr:col>
      <xdr:colOff>447523</xdr:colOff>
      <xdr:row>13</xdr:row>
      <xdr:rowOff>75560</xdr:rowOff>
    </xdr:from>
    <xdr:to>
      <xdr:col>14</xdr:col>
      <xdr:colOff>83941</xdr:colOff>
      <xdr:row>24</xdr:row>
      <xdr:rowOff>21131</xdr:rowOff>
    </xdr:to>
    <xdr:grpSp>
      <xdr:nvGrpSpPr>
        <xdr:cNvPr id="92" name="Group 91">
          <a:extLst>
            <a:ext uri="{FF2B5EF4-FFF2-40B4-BE49-F238E27FC236}">
              <a16:creationId xmlns:a16="http://schemas.microsoft.com/office/drawing/2014/main" id="{00000000-0008-0000-0000-00005C000000}"/>
            </a:ext>
          </a:extLst>
        </xdr:cNvPr>
        <xdr:cNvGrpSpPr/>
      </xdr:nvGrpSpPr>
      <xdr:grpSpPr>
        <a:xfrm>
          <a:off x="9730068" y="2874178"/>
          <a:ext cx="2379618" cy="1926771"/>
          <a:chOff x="8044543" y="2971799"/>
          <a:chExt cx="2590800" cy="1981200"/>
        </a:xfrm>
      </xdr:grpSpPr>
      <xdr:sp macro="" textlink="">
        <xdr:nvSpPr>
          <xdr:cNvPr id="88" name="Flowchart: Off-page Connector 87">
            <a:extLst>
              <a:ext uri="{FF2B5EF4-FFF2-40B4-BE49-F238E27FC236}">
                <a16:creationId xmlns:a16="http://schemas.microsoft.com/office/drawing/2014/main" id="{00000000-0008-0000-0000-000058000000}"/>
              </a:ext>
            </a:extLst>
          </xdr:cNvPr>
          <xdr:cNvSpPr/>
        </xdr:nvSpPr>
        <xdr:spPr>
          <a:xfrm>
            <a:off x="8545286" y="3428999"/>
            <a:ext cx="1589314" cy="1524000"/>
          </a:xfrm>
          <a:prstGeom prst="flowChartOffpage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3" name="Group 82">
            <a:extLst>
              <a:ext uri="{FF2B5EF4-FFF2-40B4-BE49-F238E27FC236}">
                <a16:creationId xmlns:a16="http://schemas.microsoft.com/office/drawing/2014/main" id="{00000000-0008-0000-0000-000053000000}"/>
              </a:ext>
            </a:extLst>
          </xdr:cNvPr>
          <xdr:cNvGrpSpPr/>
        </xdr:nvGrpSpPr>
        <xdr:grpSpPr>
          <a:xfrm>
            <a:off x="8044543" y="2971799"/>
            <a:ext cx="2590800" cy="1023257"/>
            <a:chOff x="6204858" y="3058886"/>
            <a:chExt cx="2590800" cy="1023257"/>
          </a:xfrm>
        </xdr:grpSpPr>
        <xdr:sp macro="" textlink="">
          <xdr:nvSpPr>
            <xdr:cNvPr id="84" name="Oval 83">
              <a:extLst>
                <a:ext uri="{FF2B5EF4-FFF2-40B4-BE49-F238E27FC236}">
                  <a16:creationId xmlns:a16="http://schemas.microsoft.com/office/drawing/2014/main" id="{00000000-0008-0000-0000-000054000000}"/>
                </a:ext>
              </a:extLst>
            </xdr:cNvPr>
            <xdr:cNvSpPr/>
          </xdr:nvSpPr>
          <xdr:spPr>
            <a:xfrm>
              <a:off x="6662057" y="3058886"/>
              <a:ext cx="1632857" cy="102325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50"/>
            </a:p>
          </xdr:txBody>
        </xdr:sp>
        <xdr:sp macro="" textlink="">
          <xdr:nvSpPr>
            <xdr:cNvPr id="85" name="Rectangle 84">
              <a:extLst>
                <a:ext uri="{FF2B5EF4-FFF2-40B4-BE49-F238E27FC236}">
                  <a16:creationId xmlns:a16="http://schemas.microsoft.com/office/drawing/2014/main" id="{00000000-0008-0000-0000-000055000000}"/>
                </a:ext>
              </a:extLst>
            </xdr:cNvPr>
            <xdr:cNvSpPr/>
          </xdr:nvSpPr>
          <xdr:spPr>
            <a:xfrm>
              <a:off x="6204858" y="3233059"/>
              <a:ext cx="2590800" cy="772885"/>
            </a:xfrm>
            <a:prstGeom prst="rect">
              <a:avLst/>
            </a:prstGeom>
            <a:no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600" b="1">
                  <a:solidFill>
                    <a:sysClr val="windowText" lastClr="000000"/>
                  </a:solidFill>
                  <a:effectLst/>
                  <a:latin typeface="Times New Roman" panose="02020603050405020304" pitchFamily="18" charset="0"/>
                  <a:ea typeface="+mn-ea"/>
                  <a:cs typeface="Times New Roman" panose="02020603050405020304" pitchFamily="18" charset="0"/>
                </a:rPr>
                <a:t>Return</a:t>
              </a:r>
              <a:r>
                <a:rPr lang="en-US" sz="1600" b="1" baseline="0">
                  <a:solidFill>
                    <a:sysClr val="windowText" lastClr="000000"/>
                  </a:solidFill>
                  <a:effectLst/>
                  <a:latin typeface="Times New Roman" panose="02020603050405020304" pitchFamily="18" charset="0"/>
                  <a:ea typeface="+mn-ea"/>
                  <a:cs typeface="Times New Roman" panose="02020603050405020304" pitchFamily="18" charset="0"/>
                </a:rPr>
                <a:t> on </a:t>
              </a:r>
            </a:p>
            <a:p>
              <a:pPr algn="ctr"/>
              <a:r>
                <a:rPr lang="en-US" sz="1600" b="1" baseline="0">
                  <a:solidFill>
                    <a:srgbClr val="36454F"/>
                  </a:solidFill>
                  <a:effectLst/>
                  <a:latin typeface="Times New Roman" panose="02020603050405020304" pitchFamily="18" charset="0"/>
                  <a:ea typeface="+mn-ea"/>
                  <a:cs typeface="Times New Roman" panose="02020603050405020304" pitchFamily="18" charset="0"/>
                </a:rPr>
                <a:t>Investment</a:t>
              </a:r>
              <a:endParaRPr lang="en-IN" sz="2800">
                <a:solidFill>
                  <a:srgbClr val="36454F"/>
                </a:solidFill>
                <a:effectLst/>
                <a:latin typeface="Times New Roman" panose="02020603050405020304" pitchFamily="18" charset="0"/>
                <a:cs typeface="Times New Roman" panose="02020603050405020304" pitchFamily="18" charset="0"/>
              </a:endParaRPr>
            </a:p>
          </xdr:txBody>
        </xdr:sp>
      </xdr:grpSp>
    </xdr:grpSp>
    <xdr:clientData/>
  </xdr:twoCellAnchor>
  <xdr:twoCellAnchor>
    <xdr:from>
      <xdr:col>9</xdr:col>
      <xdr:colOff>533401</xdr:colOff>
      <xdr:row>19</xdr:row>
      <xdr:rowOff>50586</xdr:rowOff>
    </xdr:from>
    <xdr:to>
      <xdr:col>12</xdr:col>
      <xdr:colOff>25614</xdr:colOff>
      <xdr:row>21</xdr:row>
      <xdr:rowOff>115900</xdr:rowOff>
    </xdr:to>
    <xdr:sp macro="" textlink="DCF!D31">
      <xdr:nvSpPr>
        <xdr:cNvPr id="89" name="TextBox 88">
          <a:extLst>
            <a:ext uri="{FF2B5EF4-FFF2-40B4-BE49-F238E27FC236}">
              <a16:creationId xmlns:a16="http://schemas.microsoft.com/office/drawing/2014/main" id="{00000000-0008-0000-0000-000059000000}"/>
            </a:ext>
          </a:extLst>
        </xdr:cNvPr>
        <xdr:cNvSpPr txBox="1"/>
      </xdr:nvSpPr>
      <xdr:spPr>
        <a:xfrm>
          <a:off x="5688107" y="3735080"/>
          <a:ext cx="1374801" cy="423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85EFB33-55E7-4417-9605-6F00E2946EFB}"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236.24</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7</xdr:col>
      <xdr:colOff>84667</xdr:colOff>
      <xdr:row>13</xdr:row>
      <xdr:rowOff>48666</xdr:rowOff>
    </xdr:from>
    <xdr:to>
      <xdr:col>9</xdr:col>
      <xdr:colOff>689427</xdr:colOff>
      <xdr:row>23</xdr:row>
      <xdr:rowOff>151760</xdr:rowOff>
    </xdr:to>
    <xdr:grpSp>
      <xdr:nvGrpSpPr>
        <xdr:cNvPr id="96" name="Group 95">
          <a:extLst>
            <a:ext uri="{FF2B5EF4-FFF2-40B4-BE49-F238E27FC236}">
              <a16:creationId xmlns:a16="http://schemas.microsoft.com/office/drawing/2014/main" id="{00000000-0008-0000-0000-000060000000}"/>
            </a:ext>
          </a:extLst>
        </xdr:cNvPr>
        <xdr:cNvGrpSpPr/>
      </xdr:nvGrpSpPr>
      <xdr:grpSpPr>
        <a:xfrm>
          <a:off x="5709612" y="2847284"/>
          <a:ext cx="2433560" cy="1904185"/>
          <a:chOff x="3799115" y="2971800"/>
          <a:chExt cx="2590800" cy="1959429"/>
        </a:xfrm>
      </xdr:grpSpPr>
      <xdr:grpSp>
        <xdr:nvGrpSpPr>
          <xdr:cNvPr id="91" name="Group 90">
            <a:extLst>
              <a:ext uri="{FF2B5EF4-FFF2-40B4-BE49-F238E27FC236}">
                <a16:creationId xmlns:a16="http://schemas.microsoft.com/office/drawing/2014/main" id="{00000000-0008-0000-0000-00005B000000}"/>
              </a:ext>
            </a:extLst>
          </xdr:cNvPr>
          <xdr:cNvGrpSpPr/>
        </xdr:nvGrpSpPr>
        <xdr:grpSpPr>
          <a:xfrm>
            <a:off x="3799115" y="2971800"/>
            <a:ext cx="2590800" cy="1959429"/>
            <a:chOff x="3799115" y="2971800"/>
            <a:chExt cx="2590800" cy="1959429"/>
          </a:xfrm>
        </xdr:grpSpPr>
        <xdr:sp macro="" textlink="">
          <xdr:nvSpPr>
            <xdr:cNvPr id="86" name="Flowchart: Off-page Connector 85">
              <a:extLst>
                <a:ext uri="{FF2B5EF4-FFF2-40B4-BE49-F238E27FC236}">
                  <a16:creationId xmlns:a16="http://schemas.microsoft.com/office/drawing/2014/main" id="{00000000-0008-0000-0000-000056000000}"/>
                </a:ext>
              </a:extLst>
            </xdr:cNvPr>
            <xdr:cNvSpPr/>
          </xdr:nvSpPr>
          <xdr:spPr>
            <a:xfrm>
              <a:off x="4299858" y="3407229"/>
              <a:ext cx="1589314" cy="1524000"/>
            </a:xfrm>
            <a:prstGeom prst="flowChartOffpage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79" name="Group 78">
              <a:extLst>
                <a:ext uri="{FF2B5EF4-FFF2-40B4-BE49-F238E27FC236}">
                  <a16:creationId xmlns:a16="http://schemas.microsoft.com/office/drawing/2014/main" id="{00000000-0008-0000-0000-00004F000000}"/>
                </a:ext>
              </a:extLst>
            </xdr:cNvPr>
            <xdr:cNvGrpSpPr/>
          </xdr:nvGrpSpPr>
          <xdr:grpSpPr>
            <a:xfrm>
              <a:off x="3799115" y="2971800"/>
              <a:ext cx="2590800" cy="1023257"/>
              <a:chOff x="6183086" y="3058886"/>
              <a:chExt cx="2590800" cy="1023257"/>
            </a:xfrm>
          </xdr:grpSpPr>
          <xdr:sp macro="" textlink="">
            <xdr:nvSpPr>
              <xdr:cNvPr id="78" name="Oval 77">
                <a:extLst>
                  <a:ext uri="{FF2B5EF4-FFF2-40B4-BE49-F238E27FC236}">
                    <a16:creationId xmlns:a16="http://schemas.microsoft.com/office/drawing/2014/main" id="{00000000-0008-0000-0000-00004E000000}"/>
                  </a:ext>
                </a:extLst>
              </xdr:cNvPr>
              <xdr:cNvSpPr/>
            </xdr:nvSpPr>
            <xdr:spPr>
              <a:xfrm>
                <a:off x="6662057" y="3058886"/>
                <a:ext cx="1632857" cy="102325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6" name="Rectangle 75">
                <a:extLst>
                  <a:ext uri="{FF2B5EF4-FFF2-40B4-BE49-F238E27FC236}">
                    <a16:creationId xmlns:a16="http://schemas.microsoft.com/office/drawing/2014/main" id="{00000000-0008-0000-0000-00004C000000}"/>
                  </a:ext>
                </a:extLst>
              </xdr:cNvPr>
              <xdr:cNvSpPr/>
            </xdr:nvSpPr>
            <xdr:spPr>
              <a:xfrm>
                <a:off x="6183086" y="3233059"/>
                <a:ext cx="2590800" cy="772885"/>
              </a:xfrm>
              <a:prstGeom prst="rect">
                <a:avLst/>
              </a:prstGeom>
              <a:no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600" b="1">
                    <a:solidFill>
                      <a:sysClr val="windowText" lastClr="000000"/>
                    </a:solidFill>
                    <a:latin typeface="Times New Roman" panose="02020603050405020304" pitchFamily="18" charset="0"/>
                    <a:cs typeface="Times New Roman" panose="02020603050405020304" pitchFamily="18" charset="0"/>
                  </a:rPr>
                  <a:t>Scenerio</a:t>
                </a:r>
              </a:p>
              <a:p>
                <a:pPr algn="ctr"/>
                <a:r>
                  <a:rPr lang="en-US" sz="1600" b="1">
                    <a:solidFill>
                      <a:srgbClr val="36454F"/>
                    </a:solidFill>
                    <a:latin typeface="Times New Roman" panose="02020603050405020304" pitchFamily="18" charset="0"/>
                    <a:cs typeface="Times New Roman" panose="02020603050405020304" pitchFamily="18" charset="0"/>
                  </a:rPr>
                  <a:t>Analysis</a:t>
                </a:r>
              </a:p>
            </xdr:txBody>
          </xdr:sp>
        </xdr:grpSp>
      </xdr:grpSp>
      <xdr:sp macro="" textlink="Scenario!C5">
        <xdr:nvSpPr>
          <xdr:cNvPr id="95" name="TextBox 94">
            <a:extLst>
              <a:ext uri="{FF2B5EF4-FFF2-40B4-BE49-F238E27FC236}">
                <a16:creationId xmlns:a16="http://schemas.microsoft.com/office/drawing/2014/main" id="{00000000-0008-0000-0000-00005F000000}"/>
              </a:ext>
            </a:extLst>
          </xdr:cNvPr>
          <xdr:cNvSpPr txBox="1"/>
        </xdr:nvSpPr>
        <xdr:spPr>
          <a:xfrm>
            <a:off x="4433351" y="4093028"/>
            <a:ext cx="1868563" cy="522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49866C-897B-492E-BEF4-8E887F64B832}"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t>Best</a:t>
            </a:fld>
            <a:endParaRPr lang="en-IN" sz="2400" b="1">
              <a:latin typeface="Times New Roman" panose="02020603050405020304" pitchFamily="18" charset="0"/>
              <a:cs typeface="Times New Roman" panose="02020603050405020304" pitchFamily="18" charset="0"/>
            </a:endParaRPr>
          </a:p>
        </xdr:txBody>
      </xdr:sp>
    </xdr:grpSp>
    <xdr:clientData/>
  </xdr:twoCellAnchor>
  <mc:AlternateContent xmlns:mc="http://schemas.openxmlformats.org/markup-compatibility/2006">
    <mc:Choice xmlns:a14="http://schemas.microsoft.com/office/drawing/2010/main" Requires="a14">
      <xdr:twoCellAnchor editAs="oneCell">
        <xdr:from>
          <xdr:col>8</xdr:col>
          <xdr:colOff>685800</xdr:colOff>
          <xdr:row>18</xdr:row>
          <xdr:rowOff>160020</xdr:rowOff>
        </xdr:from>
        <xdr:to>
          <xdr:col>9</xdr:col>
          <xdr:colOff>167640</xdr:colOff>
          <xdr:row>22</xdr:row>
          <xdr:rowOff>7620</xdr:rowOff>
        </xdr:to>
        <xdr:sp macro="" textlink="">
          <xdr:nvSpPr>
            <xdr:cNvPr id="1036" name="Drop Down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12</xdr:col>
      <xdr:colOff>304733</xdr:colOff>
      <xdr:row>19</xdr:row>
      <xdr:rowOff>50587</xdr:rowOff>
    </xdr:from>
    <xdr:to>
      <xdr:col>14</xdr:col>
      <xdr:colOff>221489</xdr:colOff>
      <xdr:row>22</xdr:row>
      <xdr:rowOff>126786</xdr:rowOff>
    </xdr:to>
    <xdr:sp macro="" textlink="Ratios!E37">
      <xdr:nvSpPr>
        <xdr:cNvPr id="97" name="TextBox 96">
          <a:extLst>
            <a:ext uri="{FF2B5EF4-FFF2-40B4-BE49-F238E27FC236}">
              <a16:creationId xmlns:a16="http://schemas.microsoft.com/office/drawing/2014/main" id="{00000000-0008-0000-0000-000061000000}"/>
            </a:ext>
          </a:extLst>
        </xdr:cNvPr>
        <xdr:cNvSpPr txBox="1"/>
      </xdr:nvSpPr>
      <xdr:spPr>
        <a:xfrm>
          <a:off x="10017209" y="3933158"/>
          <a:ext cx="1658470"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A6E35B-6E0D-49BF-BEFE-DCD53E8E4CA2}"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t>127%</a:t>
          </a:fld>
          <a:endParaRPr lang="en-IN" sz="1100" b="1">
            <a:latin typeface="Times New Roman" panose="02020603050405020304" pitchFamily="18" charset="0"/>
            <a:cs typeface="Times New Roman" panose="02020603050405020304" pitchFamily="18" charset="0"/>
          </a:endParaRPr>
        </a:p>
      </xdr:txBody>
    </xdr:sp>
    <xdr:clientData/>
  </xdr:twoCellAnchor>
  <xdr:twoCellAnchor>
    <xdr:from>
      <xdr:col>8</xdr:col>
      <xdr:colOff>247857</xdr:colOff>
      <xdr:row>38</xdr:row>
      <xdr:rowOff>13167</xdr:rowOff>
    </xdr:from>
    <xdr:to>
      <xdr:col>14</xdr:col>
      <xdr:colOff>221352</xdr:colOff>
      <xdr:row>53</xdr:row>
      <xdr:rowOff>138849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179293</xdr:colOff>
      <xdr:row>37</xdr:row>
      <xdr:rowOff>116542</xdr:rowOff>
    </xdr:from>
    <xdr:to>
      <xdr:col>21</xdr:col>
      <xdr:colOff>448235</xdr:colOff>
      <xdr:row>54</xdr:row>
      <xdr:rowOff>101174</xdr:rowOff>
    </xdr:to>
    <xdr:graphicFrame macro="">
      <xdr:nvGraphicFramePr>
        <xdr:cNvPr id="21" name="Chart 20">
          <a:extLst>
            <a:ext uri="{FF2B5EF4-FFF2-40B4-BE49-F238E27FC236}">
              <a16:creationId xmlns:a16="http://schemas.microsoft.com/office/drawing/2014/main" id="{00000000-0008-0000-0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351294</xdr:colOff>
      <xdr:row>11</xdr:row>
      <xdr:rowOff>152401</xdr:rowOff>
    </xdr:from>
    <xdr:to>
      <xdr:col>21</xdr:col>
      <xdr:colOff>315436</xdr:colOff>
      <xdr:row>26</xdr:row>
      <xdr:rowOff>133779</xdr:rowOff>
    </xdr:to>
    <xdr:graphicFrame macro="">
      <xdr:nvGraphicFramePr>
        <xdr:cNvPr id="22" name="Chart 21">
          <a:extLst>
            <a:ext uri="{FF2B5EF4-FFF2-40B4-BE49-F238E27FC236}">
              <a16:creationId xmlns:a16="http://schemas.microsoft.com/office/drawing/2014/main" id="{00000000-0008-0000-0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600635</xdr:colOff>
      <xdr:row>24</xdr:row>
      <xdr:rowOff>116541</xdr:rowOff>
    </xdr:from>
    <xdr:to>
      <xdr:col>21</xdr:col>
      <xdr:colOff>510988</xdr:colOff>
      <xdr:row>37</xdr:row>
      <xdr:rowOff>170329</xdr:rowOff>
    </xdr:to>
    <xdr:graphicFrame macro="">
      <xdr:nvGraphicFramePr>
        <xdr:cNvPr id="29" name="Chart 28">
          <a:extLst>
            <a:ext uri="{FF2B5EF4-FFF2-40B4-BE49-F238E27FC236}">
              <a16:creationId xmlns:a16="http://schemas.microsoft.com/office/drawing/2014/main" id="{00000000-0008-0000-00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180110</xdr:colOff>
      <xdr:row>40</xdr:row>
      <xdr:rowOff>178479</xdr:rowOff>
    </xdr:from>
    <xdr:to>
      <xdr:col>8</xdr:col>
      <xdr:colOff>363479</xdr:colOff>
      <xdr:row>56</xdr:row>
      <xdr:rowOff>52158</xdr:rowOff>
    </xdr:to>
    <xdr:graphicFrame macro="">
      <xdr:nvGraphicFramePr>
        <xdr:cNvPr id="30" name="Chart 29">
          <a:extLst>
            <a:ext uri="{FF2B5EF4-FFF2-40B4-BE49-F238E27FC236}">
              <a16:creationId xmlns:a16="http://schemas.microsoft.com/office/drawing/2014/main" id="{00000000-0008-0000-00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533400</xdr:colOff>
          <xdr:row>25</xdr:row>
          <xdr:rowOff>99060</xdr:rowOff>
        </xdr:from>
        <xdr:to>
          <xdr:col>11</xdr:col>
          <xdr:colOff>373380</xdr:colOff>
          <xdr:row>26</xdr:row>
          <xdr:rowOff>175260</xdr:rowOff>
        </xdr:to>
        <xdr:sp macro="" textlink="">
          <xdr:nvSpPr>
            <xdr:cNvPr id="1052" name="Drop Down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8</xdr:col>
      <xdr:colOff>215153</xdr:colOff>
      <xdr:row>27</xdr:row>
      <xdr:rowOff>89646</xdr:rowOff>
    </xdr:from>
    <xdr:to>
      <xdr:col>13</xdr:col>
      <xdr:colOff>457199</xdr:colOff>
      <xdr:row>38</xdr:row>
      <xdr:rowOff>143434</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00000000-0008-0000-0000-00002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486413" y="5461746"/>
              <a:ext cx="4623546" cy="20654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711198</xdr:colOff>
      <xdr:row>7</xdr:row>
      <xdr:rowOff>86659</xdr:rowOff>
    </xdr:from>
    <xdr:to>
      <xdr:col>20</xdr:col>
      <xdr:colOff>624667</xdr:colOff>
      <xdr:row>12</xdr:row>
      <xdr:rowOff>43115</xdr:rowOff>
    </xdr:to>
    <xdr:grpSp>
      <xdr:nvGrpSpPr>
        <xdr:cNvPr id="33" name="Group 32">
          <a:extLst>
            <a:ext uri="{FF2B5EF4-FFF2-40B4-BE49-F238E27FC236}">
              <a16:creationId xmlns:a16="http://schemas.microsoft.com/office/drawing/2014/main" id="{00000000-0008-0000-0000-000021000000}"/>
            </a:ext>
          </a:extLst>
        </xdr:cNvPr>
        <xdr:cNvGrpSpPr/>
      </xdr:nvGrpSpPr>
      <xdr:grpSpPr>
        <a:xfrm>
          <a:off x="15480143" y="1804623"/>
          <a:ext cx="2656669" cy="857001"/>
          <a:chOff x="8610601" y="1600201"/>
          <a:chExt cx="1774927" cy="881741"/>
        </a:xfrm>
      </xdr:grpSpPr>
      <xdr:sp macro="" textlink="">
        <xdr:nvSpPr>
          <xdr:cNvPr id="34" name="Left Bracket 33">
            <a:extLst>
              <a:ext uri="{FF2B5EF4-FFF2-40B4-BE49-F238E27FC236}">
                <a16:creationId xmlns:a16="http://schemas.microsoft.com/office/drawing/2014/main" id="{00000000-0008-0000-0000-000022000000}"/>
              </a:ext>
            </a:extLst>
          </xdr:cNvPr>
          <xdr:cNvSpPr/>
        </xdr:nvSpPr>
        <xdr:spPr>
          <a:xfrm rot="16200000">
            <a:off x="9171494" y="1061080"/>
            <a:ext cx="674914" cy="1753155"/>
          </a:xfrm>
          <a:prstGeom prst="leftBracket">
            <a:avLst/>
          </a:prstGeom>
          <a:noFill/>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8610601" y="1632857"/>
            <a:ext cx="1730829" cy="849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Times New Roman" panose="02020603050405020304" pitchFamily="18" charset="0"/>
                <a:ea typeface="+mn-ea"/>
                <a:cs typeface="Times New Roman" panose="02020603050405020304" pitchFamily="18" charset="0"/>
              </a:rPr>
              <a:t>WACC</a:t>
            </a:r>
            <a:r>
              <a:rPr lang="en-US" sz="1800" b="1" baseline="0">
                <a:solidFill>
                  <a:schemeClr val="dk1"/>
                </a:solidFill>
                <a:effectLst/>
                <a:latin typeface="Times New Roman" panose="02020603050405020304" pitchFamily="18" charset="0"/>
                <a:ea typeface="+mn-ea"/>
                <a:cs typeface="Times New Roman" panose="02020603050405020304" pitchFamily="18" charset="0"/>
              </a:rPr>
              <a:t>: </a:t>
            </a:r>
            <a:endParaRPr lang="en-IN" sz="1800">
              <a:effectLst/>
              <a:latin typeface="Times New Roman" panose="02020603050405020304" pitchFamily="18" charset="0"/>
              <a:cs typeface="Times New Roman" panose="02020603050405020304" pitchFamily="18" charset="0"/>
            </a:endParaRPr>
          </a:p>
          <a:p>
            <a:endParaRPr lang="en-IN" sz="1100"/>
          </a:p>
        </xdr:txBody>
      </xdr:sp>
    </xdr:grpSp>
    <xdr:clientData/>
  </xdr:twoCellAnchor>
  <xdr:twoCellAnchor>
    <xdr:from>
      <xdr:col>18</xdr:col>
      <xdr:colOff>168125</xdr:colOff>
      <xdr:row>9</xdr:row>
      <xdr:rowOff>12700</xdr:rowOff>
    </xdr:from>
    <xdr:to>
      <xdr:col>20</xdr:col>
      <xdr:colOff>396725</xdr:colOff>
      <xdr:row>11</xdr:row>
      <xdr:rowOff>165100</xdr:rowOff>
    </xdr:to>
    <xdr:sp macro="" textlink="WACC">
      <xdr:nvSpPr>
        <xdr:cNvPr id="36" name="TextBox 35">
          <a:extLst>
            <a:ext uri="{FF2B5EF4-FFF2-40B4-BE49-F238E27FC236}">
              <a16:creationId xmlns:a16="http://schemas.microsoft.com/office/drawing/2014/main" id="{00000000-0008-0000-0000-000024000000}"/>
            </a:ext>
          </a:extLst>
        </xdr:cNvPr>
        <xdr:cNvSpPr txBox="1"/>
      </xdr:nvSpPr>
      <xdr:spPr>
        <a:xfrm>
          <a:off x="15105744" y="2080986"/>
          <a:ext cx="1970314" cy="515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499629-70A0-4461-918F-C4E174A1290D}" type="TxLink">
            <a:rPr lang="en-US" sz="1800" b="1" i="0" u="none" strike="noStrike">
              <a:solidFill>
                <a:srgbClr val="C00000"/>
              </a:solidFill>
              <a:latin typeface="Times New Roman" panose="02020603050405020304" pitchFamily="18" charset="0"/>
              <a:ea typeface="Calibri"/>
              <a:cs typeface="Times New Roman" panose="02020603050405020304" pitchFamily="18" charset="0"/>
            </a:rPr>
            <a:pPr algn="ctr"/>
            <a:t>17%</a:t>
          </a:fld>
          <a:endParaRPr lang="en-IN" sz="1800" b="1">
            <a:solidFill>
              <a:srgbClr val="C00000"/>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10</xdr:row>
      <xdr:rowOff>83820</xdr:rowOff>
    </xdr:from>
    <xdr:to>
      <xdr:col>9</xdr:col>
      <xdr:colOff>1080897</xdr:colOff>
      <xdr:row>10</xdr:row>
      <xdr:rowOff>106680</xdr:rowOff>
    </xdr:to>
    <xdr:cxnSp macro="">
      <xdr:nvCxnSpPr>
        <xdr:cNvPr id="3" name="Straight Connector 2">
          <a:extLst>
            <a:ext uri="{FF2B5EF4-FFF2-40B4-BE49-F238E27FC236}">
              <a16:creationId xmlns:a16="http://schemas.microsoft.com/office/drawing/2014/main" id="{00000000-0008-0000-0700-000003000000}"/>
            </a:ext>
          </a:extLst>
        </xdr:cNvPr>
        <xdr:cNvCxnSpPr/>
      </xdr:nvCxnSpPr>
      <xdr:spPr>
        <a:xfrm>
          <a:off x="3992880" y="2369820"/>
          <a:ext cx="8708517" cy="2286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xdr:row>
      <xdr:rowOff>99060</xdr:rowOff>
    </xdr:from>
    <xdr:to>
      <xdr:col>9</xdr:col>
      <xdr:colOff>1080897</xdr:colOff>
      <xdr:row>4</xdr:row>
      <xdr:rowOff>121920</xdr:rowOff>
    </xdr:to>
    <xdr:cxnSp macro="">
      <xdr:nvCxnSpPr>
        <xdr:cNvPr id="7" name="Straight Connector 6">
          <a:extLst>
            <a:ext uri="{FF2B5EF4-FFF2-40B4-BE49-F238E27FC236}">
              <a16:creationId xmlns:a16="http://schemas.microsoft.com/office/drawing/2014/main" id="{00000000-0008-0000-0700-000007000000}"/>
            </a:ext>
          </a:extLst>
        </xdr:cNvPr>
        <xdr:cNvCxnSpPr/>
      </xdr:nvCxnSpPr>
      <xdr:spPr>
        <a:xfrm>
          <a:off x="3992880" y="1287780"/>
          <a:ext cx="8708517" cy="2286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xdr:row>
      <xdr:rowOff>99060</xdr:rowOff>
    </xdr:from>
    <xdr:to>
      <xdr:col>9</xdr:col>
      <xdr:colOff>1080897</xdr:colOff>
      <xdr:row>16</xdr:row>
      <xdr:rowOff>121920</xdr:rowOff>
    </xdr:to>
    <xdr:cxnSp macro="">
      <xdr:nvCxnSpPr>
        <xdr:cNvPr id="8" name="Straight Connector 7">
          <a:extLst>
            <a:ext uri="{FF2B5EF4-FFF2-40B4-BE49-F238E27FC236}">
              <a16:creationId xmlns:a16="http://schemas.microsoft.com/office/drawing/2014/main" id="{00000000-0008-0000-0700-000008000000}"/>
            </a:ext>
          </a:extLst>
        </xdr:cNvPr>
        <xdr:cNvCxnSpPr/>
      </xdr:nvCxnSpPr>
      <xdr:spPr>
        <a:xfrm>
          <a:off x="3992880" y="3482340"/>
          <a:ext cx="8708517" cy="2286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xdr:row>
      <xdr:rowOff>91440</xdr:rowOff>
    </xdr:from>
    <xdr:to>
      <xdr:col>9</xdr:col>
      <xdr:colOff>1080897</xdr:colOff>
      <xdr:row>22</xdr:row>
      <xdr:rowOff>114300</xdr:rowOff>
    </xdr:to>
    <xdr:cxnSp macro="">
      <xdr:nvCxnSpPr>
        <xdr:cNvPr id="9" name="Straight Connector 8">
          <a:extLst>
            <a:ext uri="{FF2B5EF4-FFF2-40B4-BE49-F238E27FC236}">
              <a16:creationId xmlns:a16="http://schemas.microsoft.com/office/drawing/2014/main" id="{00000000-0008-0000-0700-000009000000}"/>
            </a:ext>
          </a:extLst>
        </xdr:cNvPr>
        <xdr:cNvCxnSpPr/>
      </xdr:nvCxnSpPr>
      <xdr:spPr>
        <a:xfrm>
          <a:off x="3992880" y="4572000"/>
          <a:ext cx="8708517" cy="2286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28</xdr:row>
      <xdr:rowOff>83820</xdr:rowOff>
    </xdr:from>
    <xdr:to>
      <xdr:col>9</xdr:col>
      <xdr:colOff>1080897</xdr:colOff>
      <xdr:row>28</xdr:row>
      <xdr:rowOff>106680</xdr:rowOff>
    </xdr:to>
    <xdr:cxnSp macro="">
      <xdr:nvCxnSpPr>
        <xdr:cNvPr id="10" name="Straight Connector 9">
          <a:extLst>
            <a:ext uri="{FF2B5EF4-FFF2-40B4-BE49-F238E27FC236}">
              <a16:creationId xmlns:a16="http://schemas.microsoft.com/office/drawing/2014/main" id="{00000000-0008-0000-0700-00000A000000}"/>
            </a:ext>
          </a:extLst>
        </xdr:cNvPr>
        <xdr:cNvCxnSpPr/>
      </xdr:nvCxnSpPr>
      <xdr:spPr>
        <a:xfrm>
          <a:off x="3992880" y="5661660"/>
          <a:ext cx="8708517" cy="2286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91440</xdr:rowOff>
    </xdr:from>
    <xdr:to>
      <xdr:col>9</xdr:col>
      <xdr:colOff>1080897</xdr:colOff>
      <xdr:row>34</xdr:row>
      <xdr:rowOff>114300</xdr:rowOff>
    </xdr:to>
    <xdr:cxnSp macro="">
      <xdr:nvCxnSpPr>
        <xdr:cNvPr id="11" name="Straight Connector 10">
          <a:extLst>
            <a:ext uri="{FF2B5EF4-FFF2-40B4-BE49-F238E27FC236}">
              <a16:creationId xmlns:a16="http://schemas.microsoft.com/office/drawing/2014/main" id="{00000000-0008-0000-0700-00000B000000}"/>
            </a:ext>
          </a:extLst>
        </xdr:cNvPr>
        <xdr:cNvCxnSpPr/>
      </xdr:nvCxnSpPr>
      <xdr:spPr>
        <a:xfrm>
          <a:off x="3992880" y="6766560"/>
          <a:ext cx="8708517" cy="2286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44249-FC37-49BA-8992-B07ABD85A084}">
  <sheetPr codeName="Sheet11">
    <tabColor rgb="FFFFFF00"/>
    <pageSetUpPr fitToPage="1"/>
  </sheetPr>
  <dimension ref="A2:V91"/>
  <sheetViews>
    <sheetView view="pageLayout" zoomScale="55" zoomScaleNormal="70" zoomScaleSheetLayoutView="45" zoomScalePageLayoutView="55" workbookViewId="0">
      <selection activeCell="B1" sqref="B1:V1048576"/>
    </sheetView>
  </sheetViews>
  <sheetFormatPr defaultColWidth="0" defaultRowHeight="14.4" x14ac:dyDescent="0.3"/>
  <cols>
    <col min="1" max="1" width="2" customWidth="1"/>
    <col min="2" max="22" width="12.77734375" customWidth="1"/>
    <col min="23" max="16384" width="9.109375" hidden="1"/>
  </cols>
  <sheetData>
    <row r="2" spans="2:22" s="123" customFormat="1" ht="25.8" customHeight="1" x14ac:dyDescent="0.5">
      <c r="B2" s="119"/>
      <c r="C2" s="120"/>
      <c r="D2" s="120"/>
      <c r="E2" s="121"/>
      <c r="F2" s="121"/>
      <c r="G2" s="121"/>
      <c r="H2" s="122"/>
      <c r="I2" s="120"/>
      <c r="J2" s="120"/>
    </row>
    <row r="3" spans="2:22" s="33" customFormat="1" ht="25.8" x14ac:dyDescent="0.5">
      <c r="B3" s="79"/>
      <c r="C3" s="116"/>
      <c r="D3" s="116"/>
      <c r="E3" s="116"/>
      <c r="F3" s="116"/>
      <c r="G3" s="116"/>
      <c r="H3" s="116"/>
      <c r="I3" s="116"/>
      <c r="J3" s="116"/>
    </row>
    <row r="4" spans="2:22" s="33" customFormat="1" ht="25.8" x14ac:dyDescent="0.5">
      <c r="B4" s="38"/>
      <c r="C4" s="38"/>
      <c r="D4" s="38"/>
      <c r="E4" s="42"/>
      <c r="F4" s="42"/>
      <c r="G4" s="42"/>
      <c r="H4" s="42"/>
      <c r="I4" s="42"/>
      <c r="J4" s="42"/>
      <c r="K4" s="117"/>
    </row>
    <row r="5" spans="2:22" x14ac:dyDescent="0.3">
      <c r="B5" s="4"/>
      <c r="C5" s="8"/>
      <c r="D5" s="8"/>
      <c r="E5" s="8"/>
      <c r="F5" s="8"/>
      <c r="G5" s="8"/>
      <c r="H5" s="8"/>
      <c r="I5" s="8"/>
      <c r="J5" s="8"/>
      <c r="K5" s="8"/>
      <c r="L5" s="8"/>
      <c r="M5" s="8"/>
      <c r="N5" s="8"/>
      <c r="O5" s="8"/>
      <c r="P5" s="8"/>
      <c r="Q5" s="8"/>
      <c r="R5" s="8"/>
      <c r="S5" s="8"/>
      <c r="T5" s="8"/>
      <c r="U5" s="8"/>
      <c r="V5" s="4"/>
    </row>
    <row r="6" spans="2:22" x14ac:dyDescent="0.3">
      <c r="B6" s="4"/>
      <c r="C6" s="8"/>
      <c r="D6" s="8"/>
      <c r="E6" s="8"/>
      <c r="F6" s="8"/>
      <c r="G6" s="8"/>
      <c r="H6" s="8"/>
      <c r="I6" s="8"/>
      <c r="J6" s="8"/>
      <c r="K6" s="8"/>
      <c r="L6" s="8"/>
      <c r="M6" s="8"/>
      <c r="N6" s="8"/>
      <c r="O6" s="8"/>
      <c r="P6" s="8"/>
      <c r="Q6" s="8"/>
      <c r="R6" s="8"/>
      <c r="S6" s="8"/>
      <c r="T6" s="8"/>
      <c r="U6" s="8"/>
      <c r="V6" s="4"/>
    </row>
    <row r="7" spans="2:22" x14ac:dyDescent="0.3">
      <c r="B7" s="4"/>
      <c r="C7" s="8"/>
      <c r="D7" s="8"/>
      <c r="E7" s="8"/>
      <c r="F7" s="8"/>
      <c r="G7" s="8"/>
      <c r="H7" s="8"/>
      <c r="I7" s="8"/>
      <c r="J7" s="8"/>
      <c r="K7" s="8"/>
      <c r="L7" s="8"/>
      <c r="M7" s="8"/>
      <c r="N7" s="8"/>
      <c r="O7" s="8"/>
      <c r="P7" s="8"/>
      <c r="Q7" s="8"/>
      <c r="R7" s="8"/>
      <c r="S7" s="8"/>
      <c r="T7" s="8"/>
      <c r="U7" s="8"/>
      <c r="V7" s="4"/>
    </row>
    <row r="8" spans="2:22" x14ac:dyDescent="0.3">
      <c r="B8" s="4"/>
      <c r="C8" s="8"/>
      <c r="D8" s="8"/>
      <c r="E8" s="8"/>
      <c r="F8" s="8"/>
      <c r="G8" s="8"/>
      <c r="H8" s="8"/>
      <c r="I8" s="8"/>
      <c r="J8" s="8"/>
      <c r="K8" s="8"/>
      <c r="L8" s="8"/>
      <c r="M8" s="8"/>
      <c r="N8" s="8"/>
      <c r="O8" s="8"/>
      <c r="P8" s="8"/>
      <c r="Q8" s="8"/>
      <c r="R8" s="8"/>
      <c r="S8" s="8"/>
      <c r="T8" s="8"/>
      <c r="U8" s="8"/>
      <c r="V8" s="4"/>
    </row>
    <row r="9" spans="2:22" x14ac:dyDescent="0.3">
      <c r="B9" s="4"/>
      <c r="C9" s="8"/>
      <c r="D9" s="8"/>
      <c r="E9" s="8"/>
      <c r="F9" s="8"/>
      <c r="G9" s="8"/>
      <c r="H9" s="8"/>
      <c r="I9" s="8"/>
      <c r="J9" s="8"/>
      <c r="K9" s="8"/>
      <c r="L9" s="8"/>
      <c r="M9" s="8"/>
      <c r="N9" s="8"/>
      <c r="O9" s="8"/>
      <c r="P9" s="8"/>
      <c r="Q9" s="8"/>
      <c r="R9" s="8"/>
      <c r="S9" s="8"/>
      <c r="T9" s="8"/>
      <c r="U9" s="8"/>
      <c r="V9" s="4"/>
    </row>
    <row r="10" spans="2:22" x14ac:dyDescent="0.3">
      <c r="B10" s="4"/>
      <c r="C10" s="4"/>
      <c r="D10" s="4"/>
      <c r="E10" s="4"/>
      <c r="F10" s="4"/>
      <c r="G10" s="4"/>
      <c r="H10" s="4"/>
      <c r="I10" s="4"/>
      <c r="J10" s="4"/>
      <c r="K10" s="4"/>
      <c r="L10" s="4"/>
      <c r="M10" s="4"/>
      <c r="N10" s="4"/>
      <c r="O10" s="4"/>
      <c r="P10" s="4"/>
      <c r="Q10" s="4"/>
      <c r="R10" s="4"/>
      <c r="S10" s="4"/>
      <c r="T10" s="4"/>
      <c r="U10" s="4"/>
      <c r="V10" s="4"/>
    </row>
    <row r="11" spans="2:22" x14ac:dyDescent="0.3">
      <c r="B11" s="4"/>
      <c r="C11" s="4"/>
      <c r="D11" s="4"/>
      <c r="E11" s="4"/>
      <c r="F11" s="4"/>
      <c r="G11" s="4"/>
      <c r="H11" s="4"/>
      <c r="I11" s="4"/>
      <c r="J11" s="4"/>
      <c r="K11" s="4"/>
      <c r="L11" s="4"/>
      <c r="M11" s="4"/>
      <c r="N11" s="4"/>
      <c r="O11" s="4"/>
      <c r="P11" s="4"/>
      <c r="Q11" s="4"/>
      <c r="R11" s="4"/>
      <c r="S11" s="4"/>
      <c r="T11" s="4"/>
      <c r="U11" s="4"/>
      <c r="V11" s="4"/>
    </row>
    <row r="12" spans="2:22" x14ac:dyDescent="0.3">
      <c r="B12" s="4"/>
      <c r="C12" s="4"/>
      <c r="D12" s="4"/>
      <c r="E12" s="4"/>
      <c r="F12" s="4"/>
      <c r="G12" s="4"/>
      <c r="H12" s="4"/>
      <c r="I12" s="4"/>
      <c r="J12" s="4"/>
      <c r="K12" s="4"/>
      <c r="L12" s="4"/>
      <c r="M12" s="4"/>
      <c r="N12" s="4"/>
      <c r="O12" s="4"/>
      <c r="P12" s="4"/>
      <c r="Q12" s="4"/>
      <c r="R12" s="4"/>
      <c r="S12" s="4"/>
      <c r="T12" s="4"/>
      <c r="U12" s="4"/>
      <c r="V12" s="4"/>
    </row>
    <row r="13" spans="2:22" x14ac:dyDescent="0.3">
      <c r="B13" s="4"/>
      <c r="C13" s="4"/>
      <c r="D13" s="4"/>
      <c r="E13" s="4"/>
      <c r="F13" s="4"/>
      <c r="G13" s="4"/>
      <c r="H13" s="4"/>
      <c r="I13" s="4"/>
      <c r="J13" s="4"/>
      <c r="K13" s="4"/>
      <c r="L13" s="4"/>
      <c r="M13" s="4"/>
      <c r="N13" s="4"/>
      <c r="O13" s="4"/>
      <c r="P13" s="4"/>
      <c r="Q13" s="4"/>
      <c r="R13" s="4"/>
      <c r="S13" s="4"/>
      <c r="T13" s="4"/>
      <c r="U13" s="4"/>
      <c r="V13" s="4"/>
    </row>
    <row r="14" spans="2:22" x14ac:dyDescent="0.3">
      <c r="B14" s="4"/>
      <c r="C14" s="4"/>
      <c r="D14" s="4"/>
      <c r="E14" s="4"/>
      <c r="F14" s="4"/>
      <c r="G14" s="4"/>
      <c r="H14" s="4"/>
      <c r="I14" s="4"/>
      <c r="J14" s="4"/>
      <c r="K14" s="4"/>
      <c r="L14" s="4"/>
      <c r="M14" s="4"/>
      <c r="N14" s="4"/>
      <c r="O14" s="4"/>
      <c r="P14" s="4"/>
      <c r="Q14" s="4"/>
      <c r="R14" s="4"/>
      <c r="S14" s="4"/>
      <c r="T14" s="4"/>
      <c r="U14" s="4"/>
      <c r="V14" s="4"/>
    </row>
    <row r="15" spans="2:22" x14ac:dyDescent="0.3">
      <c r="B15" s="4"/>
      <c r="C15" s="4"/>
      <c r="D15" s="4"/>
      <c r="E15" s="4"/>
      <c r="F15" s="4"/>
      <c r="G15" s="4"/>
      <c r="H15" s="4"/>
      <c r="I15" s="4"/>
      <c r="J15" s="4"/>
      <c r="K15" s="4"/>
      <c r="L15" s="4"/>
      <c r="M15" s="4"/>
      <c r="N15" s="4"/>
      <c r="O15" s="4"/>
      <c r="P15" s="4"/>
      <c r="Q15" s="4"/>
      <c r="R15" s="4"/>
      <c r="S15" s="118"/>
      <c r="T15" s="4"/>
      <c r="U15" s="4"/>
      <c r="V15" s="4"/>
    </row>
    <row r="16" spans="2:22" x14ac:dyDescent="0.3">
      <c r="B16" s="4"/>
      <c r="C16" s="4"/>
      <c r="D16" s="4"/>
      <c r="E16" s="4"/>
      <c r="F16" s="4"/>
      <c r="G16" s="4"/>
      <c r="H16" s="4"/>
      <c r="I16" s="4"/>
      <c r="J16" s="4"/>
      <c r="K16" s="4"/>
      <c r="L16" s="4"/>
      <c r="M16" s="4"/>
      <c r="N16" s="4"/>
      <c r="O16" s="4"/>
      <c r="P16" s="4"/>
      <c r="Q16" s="4"/>
      <c r="R16" s="4"/>
      <c r="S16" s="4"/>
      <c r="T16" s="4"/>
      <c r="U16" s="4"/>
      <c r="V16" s="4"/>
    </row>
    <row r="17" spans="2:22" x14ac:dyDescent="0.3">
      <c r="B17" s="4"/>
      <c r="C17" s="4"/>
      <c r="D17" s="4"/>
      <c r="E17" s="4"/>
      <c r="F17" s="4"/>
      <c r="G17" s="4">
        <v>1</v>
      </c>
      <c r="H17" s="4"/>
      <c r="I17" s="4"/>
      <c r="J17" s="4"/>
      <c r="K17" s="4"/>
      <c r="L17" s="4"/>
      <c r="M17" s="4"/>
      <c r="N17" s="4"/>
      <c r="O17" s="4"/>
      <c r="P17" s="4"/>
      <c r="Q17" s="4"/>
      <c r="R17" s="4"/>
      <c r="S17" s="4"/>
      <c r="T17" s="4"/>
      <c r="U17" s="4"/>
      <c r="V17" s="4"/>
    </row>
    <row r="18" spans="2:22" x14ac:dyDescent="0.3">
      <c r="B18" s="4"/>
      <c r="C18" s="4"/>
      <c r="D18" s="4"/>
      <c r="E18" s="4"/>
      <c r="F18" s="4"/>
      <c r="G18" s="4"/>
      <c r="H18" s="4"/>
      <c r="I18" s="4"/>
      <c r="J18" s="4"/>
      <c r="K18" s="4"/>
      <c r="L18" s="4"/>
      <c r="M18" s="4"/>
      <c r="N18" s="4"/>
      <c r="O18" s="4"/>
      <c r="P18" s="4"/>
      <c r="Q18" s="4"/>
      <c r="R18" s="4"/>
      <c r="S18" s="4"/>
      <c r="T18" s="4"/>
      <c r="U18" s="4"/>
      <c r="V18" s="4"/>
    </row>
    <row r="19" spans="2:22" x14ac:dyDescent="0.3">
      <c r="B19" s="4"/>
      <c r="C19" s="4"/>
      <c r="D19" s="4"/>
      <c r="E19" s="4"/>
      <c r="F19" s="4"/>
      <c r="G19" s="4"/>
      <c r="H19" s="4"/>
      <c r="I19" s="4"/>
      <c r="J19" s="4"/>
      <c r="K19" s="4"/>
      <c r="L19" s="4"/>
      <c r="M19" s="4"/>
      <c r="N19" s="4"/>
      <c r="O19" s="4"/>
      <c r="P19" s="4"/>
      <c r="Q19" s="4"/>
      <c r="R19" s="4"/>
      <c r="S19" s="4"/>
      <c r="T19" s="4"/>
      <c r="U19" s="4"/>
      <c r="V19" s="4"/>
    </row>
    <row r="20" spans="2:22" x14ac:dyDescent="0.3">
      <c r="B20" s="4"/>
      <c r="C20" s="4"/>
      <c r="D20" s="4"/>
      <c r="E20" s="4"/>
      <c r="F20" s="4"/>
      <c r="G20" s="4"/>
      <c r="H20" s="4"/>
      <c r="I20" s="4"/>
      <c r="J20" s="4"/>
      <c r="K20" s="4"/>
      <c r="L20" s="4"/>
      <c r="M20" s="4"/>
      <c r="N20" s="4"/>
      <c r="O20" s="4"/>
      <c r="P20" s="4"/>
      <c r="Q20" s="4"/>
      <c r="R20" s="4"/>
      <c r="S20" s="4"/>
      <c r="T20" s="4"/>
      <c r="U20" s="4"/>
      <c r="V20" s="4"/>
    </row>
    <row r="21" spans="2:22" x14ac:dyDescent="0.3">
      <c r="B21" s="4"/>
      <c r="C21" s="4"/>
      <c r="D21" s="4"/>
      <c r="E21" s="4"/>
      <c r="F21" s="4"/>
      <c r="G21" s="4"/>
      <c r="H21" s="4"/>
      <c r="I21" s="4"/>
      <c r="J21" s="4"/>
      <c r="K21" s="4"/>
      <c r="L21" s="4"/>
      <c r="M21" s="4"/>
      <c r="N21" s="4"/>
      <c r="O21" s="4"/>
      <c r="P21" s="4"/>
      <c r="Q21" s="4"/>
      <c r="R21" s="4"/>
      <c r="S21" s="4"/>
      <c r="T21" s="4"/>
      <c r="U21" s="4"/>
      <c r="V21" s="4"/>
    </row>
    <row r="22" spans="2:22" x14ac:dyDescent="0.3">
      <c r="B22" s="4"/>
      <c r="C22" s="4"/>
      <c r="D22" s="4"/>
      <c r="E22" s="4"/>
      <c r="F22" s="4"/>
      <c r="G22" s="4"/>
      <c r="H22" s="4"/>
      <c r="I22" s="4"/>
      <c r="J22" s="4"/>
      <c r="K22" s="4"/>
      <c r="L22" s="4"/>
      <c r="M22" s="4"/>
      <c r="N22" s="4"/>
      <c r="O22" s="4"/>
      <c r="P22" s="4"/>
      <c r="Q22" s="4"/>
      <c r="R22" s="4"/>
      <c r="S22" s="4"/>
      <c r="T22" s="4"/>
      <c r="U22" s="4"/>
      <c r="V22" s="4"/>
    </row>
    <row r="23" spans="2:22" x14ac:dyDescent="0.3">
      <c r="B23" s="4"/>
      <c r="C23" s="4"/>
      <c r="D23" s="4"/>
      <c r="E23" s="4"/>
      <c r="F23" s="4"/>
      <c r="G23" s="4"/>
      <c r="H23" s="4"/>
      <c r="I23" s="4"/>
      <c r="J23" s="4"/>
      <c r="K23" s="4"/>
      <c r="L23" s="4"/>
      <c r="M23" s="4"/>
      <c r="N23" s="4"/>
      <c r="O23" s="4"/>
      <c r="P23" s="4"/>
      <c r="Q23" s="4"/>
      <c r="R23" s="4"/>
      <c r="S23" s="4"/>
      <c r="T23" s="4"/>
      <c r="U23" s="4"/>
      <c r="V23" s="4"/>
    </row>
    <row r="24" spans="2:22" x14ac:dyDescent="0.3">
      <c r="B24" s="4"/>
      <c r="C24" s="4"/>
      <c r="D24" s="4"/>
      <c r="E24" s="4"/>
      <c r="F24" s="4"/>
      <c r="G24" s="4"/>
      <c r="H24" s="4"/>
      <c r="I24" s="4"/>
      <c r="J24" s="4"/>
      <c r="K24" s="4"/>
      <c r="L24" s="4"/>
      <c r="M24" s="4"/>
      <c r="N24" s="4"/>
      <c r="O24" s="4"/>
      <c r="P24" s="4"/>
      <c r="Q24" s="4"/>
      <c r="R24" s="4"/>
      <c r="S24" s="4"/>
      <c r="T24" s="4"/>
      <c r="U24" s="4"/>
      <c r="V24" s="4"/>
    </row>
    <row r="25" spans="2:22" x14ac:dyDescent="0.3">
      <c r="B25" s="4"/>
      <c r="C25" s="4"/>
      <c r="D25" s="4"/>
      <c r="E25" s="4"/>
      <c r="F25" s="4"/>
      <c r="G25" s="4"/>
      <c r="H25" s="4"/>
      <c r="I25" s="4"/>
      <c r="J25" s="4"/>
      <c r="K25" s="4"/>
      <c r="L25" s="4"/>
      <c r="M25" s="4"/>
      <c r="N25" s="4"/>
      <c r="O25" s="4"/>
      <c r="P25" s="4"/>
      <c r="Q25" s="4"/>
      <c r="R25" s="4"/>
      <c r="S25" s="4"/>
      <c r="T25" s="4"/>
      <c r="U25" s="4"/>
      <c r="V25" s="4"/>
    </row>
    <row r="26" spans="2:22" x14ac:dyDescent="0.3">
      <c r="B26" s="4"/>
      <c r="C26" s="4"/>
      <c r="D26" s="4"/>
      <c r="E26" s="4"/>
      <c r="F26" s="4"/>
      <c r="G26" s="4"/>
      <c r="H26" s="4"/>
      <c r="I26" s="4"/>
      <c r="J26" s="4"/>
      <c r="K26" s="4"/>
      <c r="L26" s="4"/>
      <c r="M26" s="4"/>
      <c r="N26" s="4"/>
      <c r="O26" s="4"/>
      <c r="P26" s="4"/>
      <c r="Q26" s="4"/>
      <c r="R26" s="4"/>
      <c r="S26" s="4"/>
      <c r="T26" s="4"/>
      <c r="U26" s="4"/>
      <c r="V26" s="4"/>
    </row>
    <row r="27" spans="2:22" x14ac:dyDescent="0.3">
      <c r="B27" s="4"/>
      <c r="C27" s="4"/>
      <c r="D27" s="4"/>
      <c r="E27" s="4"/>
      <c r="F27" s="4"/>
      <c r="G27" s="4"/>
      <c r="H27" s="4"/>
      <c r="I27" s="4"/>
      <c r="J27" s="4"/>
      <c r="K27" s="4"/>
      <c r="L27" s="4"/>
      <c r="M27" s="4"/>
      <c r="N27" s="4"/>
      <c r="O27" s="4"/>
      <c r="P27" s="4"/>
      <c r="Q27" s="4"/>
      <c r="R27" s="4"/>
      <c r="S27" s="4"/>
      <c r="T27" s="4"/>
      <c r="U27" s="4"/>
      <c r="V27" s="4"/>
    </row>
    <row r="28" spans="2:22" x14ac:dyDescent="0.3">
      <c r="B28" s="4"/>
      <c r="C28" s="4"/>
      <c r="D28" s="4"/>
      <c r="E28" s="4"/>
      <c r="F28" s="4"/>
      <c r="G28" s="4"/>
      <c r="H28" s="4"/>
      <c r="I28" s="4"/>
      <c r="J28" s="4"/>
      <c r="K28" s="4"/>
      <c r="L28" s="4"/>
      <c r="M28" s="4"/>
      <c r="N28" s="4"/>
      <c r="O28" s="4"/>
      <c r="P28" s="4"/>
      <c r="Q28" s="4"/>
      <c r="R28" s="4"/>
      <c r="S28" s="4"/>
      <c r="T28" s="4"/>
      <c r="U28" s="4"/>
      <c r="V28" s="4"/>
    </row>
    <row r="29" spans="2:22" x14ac:dyDescent="0.3">
      <c r="B29" s="4"/>
      <c r="C29" s="4"/>
      <c r="D29" s="4"/>
      <c r="E29" s="4"/>
      <c r="F29" s="4"/>
      <c r="G29" s="4"/>
      <c r="H29" s="4"/>
      <c r="I29" s="4"/>
      <c r="J29" s="4"/>
      <c r="K29" s="4"/>
      <c r="L29" s="4"/>
      <c r="M29" s="4"/>
      <c r="N29" s="4"/>
      <c r="O29" s="4"/>
      <c r="P29" s="4"/>
      <c r="Q29" s="4"/>
      <c r="R29" s="4"/>
      <c r="S29" s="4"/>
      <c r="T29" s="4"/>
      <c r="U29" s="4"/>
      <c r="V29" s="4"/>
    </row>
    <row r="30" spans="2:22" x14ac:dyDescent="0.3">
      <c r="B30" s="4"/>
      <c r="C30" s="4"/>
      <c r="D30" s="4"/>
      <c r="E30" s="4"/>
      <c r="F30" s="4"/>
      <c r="G30" s="4"/>
      <c r="H30" s="4"/>
      <c r="I30" s="4"/>
      <c r="J30" s="4"/>
      <c r="K30" s="4"/>
      <c r="L30" s="4"/>
      <c r="M30" s="4"/>
      <c r="N30" s="4"/>
      <c r="O30" s="4"/>
      <c r="P30" s="4"/>
      <c r="Q30" s="4"/>
      <c r="R30" s="4"/>
      <c r="S30" s="4"/>
      <c r="T30" s="4"/>
      <c r="U30" s="4"/>
      <c r="V30" s="4"/>
    </row>
    <row r="31" spans="2:22" x14ac:dyDescent="0.3">
      <c r="B31" s="4"/>
      <c r="C31" s="4"/>
      <c r="D31" s="4"/>
      <c r="E31" s="4"/>
      <c r="F31" s="4"/>
      <c r="G31" s="4"/>
      <c r="H31" s="4"/>
      <c r="I31" s="4"/>
      <c r="J31" s="4"/>
      <c r="K31" s="4"/>
      <c r="L31" s="4"/>
      <c r="M31" s="4"/>
      <c r="N31" s="4"/>
      <c r="O31" s="4"/>
      <c r="P31" s="4"/>
      <c r="Q31" s="4"/>
      <c r="R31" s="4"/>
      <c r="S31" s="4"/>
      <c r="T31" s="4"/>
      <c r="U31" s="4"/>
      <c r="V31" s="4"/>
    </row>
    <row r="32" spans="2:22" x14ac:dyDescent="0.3">
      <c r="B32" s="4"/>
      <c r="C32" s="4"/>
      <c r="D32" s="4"/>
      <c r="E32" s="4"/>
      <c r="F32" s="4"/>
      <c r="G32" s="4"/>
      <c r="H32" s="4"/>
      <c r="I32" s="4"/>
      <c r="J32" s="4"/>
      <c r="K32" s="4"/>
      <c r="L32" s="4"/>
      <c r="M32" s="4"/>
      <c r="N32" s="4"/>
      <c r="O32" s="4"/>
      <c r="P32" s="4"/>
      <c r="Q32" s="4"/>
      <c r="R32" s="4"/>
      <c r="S32" s="4"/>
      <c r="T32" s="4"/>
      <c r="U32" s="4"/>
      <c r="V32" s="4"/>
    </row>
    <row r="33" spans="2:22" x14ac:dyDescent="0.3">
      <c r="B33" s="4"/>
      <c r="C33" s="4"/>
      <c r="D33" s="4"/>
      <c r="E33" s="4"/>
      <c r="F33" s="4"/>
      <c r="G33" s="4"/>
      <c r="H33" s="4"/>
      <c r="I33" s="4"/>
      <c r="J33" s="4"/>
      <c r="K33" s="4"/>
      <c r="L33" s="4"/>
      <c r="M33" s="4"/>
      <c r="N33" s="4"/>
      <c r="O33" s="4"/>
      <c r="P33" s="4"/>
      <c r="Q33" s="4"/>
      <c r="R33" s="4"/>
      <c r="S33" s="4"/>
      <c r="T33" s="4"/>
      <c r="U33" s="4"/>
      <c r="V33" s="4"/>
    </row>
    <row r="34" spans="2:22" x14ac:dyDescent="0.3">
      <c r="B34" s="4"/>
      <c r="C34" s="4"/>
      <c r="D34" s="4"/>
      <c r="E34" s="4"/>
      <c r="F34" s="4"/>
      <c r="G34" s="4"/>
      <c r="H34" s="4"/>
      <c r="I34" s="4"/>
      <c r="J34" s="4"/>
      <c r="K34" s="4"/>
      <c r="L34" s="4"/>
      <c r="M34" s="4"/>
      <c r="N34" s="4"/>
      <c r="O34" s="4"/>
      <c r="P34" s="4"/>
      <c r="Q34" s="4"/>
      <c r="R34" s="4"/>
      <c r="S34" s="4"/>
      <c r="T34" s="4"/>
      <c r="U34" s="4"/>
      <c r="V34" s="4"/>
    </row>
    <row r="35" spans="2:22" x14ac:dyDescent="0.3">
      <c r="B35" s="4"/>
      <c r="C35" s="4"/>
      <c r="D35" s="4"/>
      <c r="E35" s="4"/>
      <c r="F35" s="4"/>
      <c r="G35" s="4"/>
      <c r="H35" s="4"/>
      <c r="I35" s="4"/>
      <c r="J35" s="4"/>
      <c r="K35" s="4"/>
      <c r="L35" s="4"/>
      <c r="M35" s="4"/>
      <c r="N35" s="4"/>
      <c r="O35" s="4"/>
      <c r="P35" s="4"/>
      <c r="Q35" s="4"/>
      <c r="R35" s="4"/>
      <c r="S35" s="4"/>
      <c r="T35" s="4"/>
      <c r="U35" s="4"/>
      <c r="V35" s="4"/>
    </row>
    <row r="36" spans="2:22" x14ac:dyDescent="0.3">
      <c r="B36" s="4"/>
      <c r="C36" s="4"/>
      <c r="D36" s="4"/>
      <c r="E36" s="4"/>
      <c r="F36" s="4"/>
      <c r="G36" s="4"/>
      <c r="H36" s="4"/>
      <c r="I36" s="4"/>
      <c r="J36" s="4"/>
      <c r="K36" s="4"/>
      <c r="L36" s="4"/>
      <c r="M36" s="4"/>
      <c r="N36" s="4"/>
      <c r="O36" s="4"/>
      <c r="P36" s="4"/>
      <c r="Q36" s="4"/>
      <c r="R36" s="4"/>
      <c r="S36" s="4"/>
      <c r="T36" s="4"/>
      <c r="U36" s="4"/>
      <c r="V36" s="4"/>
    </row>
    <row r="37" spans="2:22" x14ac:dyDescent="0.3">
      <c r="B37" s="4"/>
      <c r="C37" s="4"/>
      <c r="D37" s="4"/>
      <c r="E37" s="4"/>
      <c r="F37" s="4"/>
      <c r="G37" s="4"/>
      <c r="H37" s="4"/>
      <c r="I37" s="4"/>
      <c r="J37" s="4"/>
      <c r="K37" s="4"/>
      <c r="L37" s="4"/>
      <c r="M37" s="4"/>
      <c r="N37" s="4"/>
      <c r="O37" s="4"/>
      <c r="P37" s="4"/>
      <c r="Q37" s="4"/>
      <c r="R37" s="4"/>
      <c r="S37" s="4"/>
      <c r="T37" s="4"/>
      <c r="U37" s="4"/>
      <c r="V37" s="4"/>
    </row>
    <row r="38" spans="2:22" x14ac:dyDescent="0.3">
      <c r="B38" s="4"/>
      <c r="C38" s="4"/>
      <c r="D38" s="4"/>
      <c r="E38" s="4"/>
      <c r="F38" s="4"/>
      <c r="G38" s="4"/>
      <c r="H38" s="4"/>
      <c r="I38" s="4"/>
      <c r="J38" s="4"/>
      <c r="K38" s="4"/>
      <c r="L38" s="4"/>
      <c r="M38" s="4"/>
      <c r="N38" s="4"/>
      <c r="O38" s="4"/>
      <c r="P38" s="4"/>
      <c r="Q38" s="4"/>
      <c r="R38" s="4"/>
      <c r="S38" s="4"/>
      <c r="T38" s="4"/>
    </row>
    <row r="39" spans="2:22" x14ac:dyDescent="0.3">
      <c r="B39" s="4"/>
      <c r="C39" s="4"/>
      <c r="D39" s="4"/>
      <c r="E39" s="4"/>
      <c r="F39" s="4"/>
      <c r="G39" s="4"/>
      <c r="H39" s="4"/>
      <c r="I39" s="4"/>
      <c r="J39" s="4"/>
      <c r="K39" s="4"/>
      <c r="L39" s="4"/>
      <c r="M39" s="4"/>
      <c r="N39" s="4"/>
      <c r="O39" s="4"/>
      <c r="P39" s="4"/>
      <c r="Q39" s="4"/>
      <c r="R39" s="4"/>
      <c r="S39" s="4"/>
      <c r="T39" s="4"/>
    </row>
    <row r="40" spans="2:22" x14ac:dyDescent="0.3">
      <c r="B40" s="4"/>
      <c r="C40" s="4"/>
      <c r="D40" s="4"/>
      <c r="E40" s="4"/>
      <c r="F40" s="4"/>
      <c r="G40" s="4"/>
      <c r="H40" s="4"/>
      <c r="I40" s="4"/>
      <c r="J40" s="4"/>
      <c r="K40" s="4"/>
      <c r="L40" s="4"/>
      <c r="M40" s="4"/>
      <c r="N40" s="4"/>
      <c r="O40" s="4"/>
      <c r="P40" s="4"/>
      <c r="Q40" s="4"/>
      <c r="R40" s="4"/>
      <c r="S40" s="4"/>
      <c r="T40" s="4"/>
    </row>
    <row r="41" spans="2:22" x14ac:dyDescent="0.3">
      <c r="B41" s="4"/>
      <c r="C41" s="4"/>
      <c r="D41" s="4"/>
      <c r="E41" s="4"/>
      <c r="F41" s="4"/>
      <c r="G41" s="4"/>
      <c r="H41" s="4"/>
      <c r="I41" s="4"/>
      <c r="J41" s="4"/>
      <c r="K41" s="4"/>
      <c r="L41" s="4"/>
      <c r="M41" s="4"/>
      <c r="N41" s="4"/>
      <c r="O41" s="4"/>
      <c r="P41" s="4"/>
      <c r="Q41" s="4"/>
      <c r="R41" s="4"/>
      <c r="S41" s="4"/>
      <c r="T41" s="4"/>
    </row>
    <row r="42" spans="2:22" x14ac:dyDescent="0.3">
      <c r="B42" s="4"/>
      <c r="C42" s="4"/>
      <c r="D42" s="4"/>
      <c r="E42" s="4"/>
      <c r="F42" s="4"/>
      <c r="G42" s="4"/>
      <c r="H42" s="4"/>
      <c r="I42" s="4"/>
      <c r="J42" s="4"/>
      <c r="K42" s="4"/>
      <c r="L42" s="4"/>
      <c r="M42" s="4"/>
      <c r="N42" s="4"/>
      <c r="O42" s="4"/>
      <c r="P42" s="4"/>
      <c r="Q42" s="4"/>
      <c r="R42" s="4"/>
      <c r="S42" s="4"/>
      <c r="T42" s="4"/>
    </row>
    <row r="43" spans="2:22" x14ac:dyDescent="0.3">
      <c r="B43" s="4"/>
      <c r="C43" s="4">
        <v>2</v>
      </c>
      <c r="D43" s="4"/>
      <c r="E43" s="4"/>
      <c r="F43" s="4"/>
      <c r="G43" s="4"/>
      <c r="H43" s="4"/>
      <c r="I43" s="4"/>
      <c r="J43" s="4"/>
      <c r="K43" s="4"/>
      <c r="L43" s="4"/>
      <c r="M43" s="4"/>
      <c r="N43" s="4"/>
      <c r="O43" s="4"/>
      <c r="P43" s="4"/>
      <c r="Q43" s="4"/>
      <c r="R43" s="4"/>
      <c r="S43" s="4"/>
      <c r="T43" s="4"/>
    </row>
    <row r="44" spans="2:22" x14ac:dyDescent="0.3">
      <c r="B44" s="4"/>
      <c r="C44" s="4"/>
      <c r="D44" s="4"/>
      <c r="E44" s="4"/>
      <c r="F44" s="4"/>
      <c r="G44" s="4"/>
      <c r="H44" s="4"/>
      <c r="I44" s="4"/>
      <c r="J44" s="4"/>
      <c r="K44" s="4"/>
      <c r="L44" s="4"/>
      <c r="M44" s="4"/>
      <c r="N44" s="4"/>
      <c r="O44" s="4"/>
      <c r="P44" s="4"/>
      <c r="Q44" s="4"/>
      <c r="R44" s="4"/>
      <c r="S44" s="4"/>
      <c r="T44" s="4"/>
    </row>
    <row r="45" spans="2:22" x14ac:dyDescent="0.3">
      <c r="B45" s="4"/>
      <c r="C45" s="4"/>
      <c r="D45" s="4"/>
      <c r="E45" s="4"/>
      <c r="F45" s="4"/>
      <c r="G45" s="4"/>
      <c r="H45" s="4"/>
      <c r="I45" s="4"/>
      <c r="J45" s="4"/>
      <c r="K45" s="4"/>
      <c r="L45" s="4"/>
      <c r="M45" s="4"/>
      <c r="N45" s="4"/>
      <c r="O45" s="4"/>
      <c r="P45" s="4"/>
      <c r="Q45" s="4"/>
      <c r="R45" s="4"/>
      <c r="S45" s="4"/>
      <c r="T45" s="4"/>
    </row>
    <row r="46" spans="2:22" x14ac:dyDescent="0.3">
      <c r="B46" s="4"/>
      <c r="C46" s="4"/>
      <c r="D46" s="4"/>
      <c r="E46" s="4"/>
      <c r="F46" s="4"/>
      <c r="G46" s="4"/>
      <c r="H46" s="4"/>
      <c r="I46" s="4"/>
      <c r="J46" s="4"/>
      <c r="K46" s="4"/>
      <c r="L46" s="4"/>
      <c r="M46" s="4"/>
      <c r="N46" s="4"/>
      <c r="O46" s="4"/>
      <c r="P46" s="4"/>
      <c r="Q46" s="4"/>
      <c r="R46" s="4"/>
      <c r="S46" s="4"/>
      <c r="T46" s="4"/>
    </row>
    <row r="47" spans="2:22" x14ac:dyDescent="0.3">
      <c r="B47" s="4"/>
      <c r="C47" s="4"/>
      <c r="D47" s="4"/>
      <c r="E47" s="4"/>
      <c r="F47" s="4"/>
      <c r="G47" s="4"/>
      <c r="H47" s="4"/>
      <c r="I47" s="4"/>
      <c r="J47" s="4"/>
      <c r="K47" s="4"/>
      <c r="L47" s="4"/>
      <c r="M47" s="4"/>
      <c r="N47" s="4"/>
      <c r="O47" s="4"/>
      <c r="P47" s="4"/>
      <c r="Q47" s="4"/>
      <c r="R47" s="4"/>
      <c r="S47" s="4"/>
      <c r="T47" s="4"/>
    </row>
    <row r="48" spans="2:22" x14ac:dyDescent="0.3">
      <c r="B48" s="4"/>
      <c r="C48" s="4"/>
      <c r="D48" s="4"/>
      <c r="E48" s="4"/>
      <c r="F48" s="4"/>
      <c r="G48" s="4"/>
      <c r="H48" s="4"/>
      <c r="I48" s="4"/>
      <c r="J48" s="4"/>
      <c r="K48" s="4"/>
      <c r="L48" s="4"/>
      <c r="M48" s="4"/>
      <c r="N48" s="4"/>
      <c r="O48" s="4"/>
      <c r="P48" s="4"/>
      <c r="Q48" s="4"/>
      <c r="R48" s="4"/>
      <c r="S48" s="4"/>
      <c r="T48" s="4"/>
    </row>
    <row r="49" spans="2:20" x14ac:dyDescent="0.3">
      <c r="B49" s="4"/>
      <c r="C49" s="4"/>
      <c r="D49" s="4"/>
      <c r="E49" s="4"/>
      <c r="F49" s="4"/>
      <c r="G49" s="4"/>
      <c r="H49" s="4"/>
      <c r="I49" s="4"/>
      <c r="J49" s="4"/>
      <c r="K49" s="4"/>
      <c r="L49" s="4"/>
      <c r="M49" s="4"/>
      <c r="N49" s="4"/>
      <c r="O49" s="4"/>
      <c r="P49" s="4"/>
      <c r="Q49" s="4"/>
      <c r="R49" s="4"/>
      <c r="S49" s="4"/>
      <c r="T49" s="4"/>
    </row>
    <row r="50" spans="2:20" x14ac:dyDescent="0.3">
      <c r="B50" s="4"/>
      <c r="C50" s="4"/>
      <c r="D50" s="4"/>
      <c r="E50" s="4"/>
      <c r="F50" s="4"/>
      <c r="G50" s="4"/>
      <c r="H50" s="4"/>
      <c r="I50" s="4"/>
      <c r="J50" s="4"/>
      <c r="K50" s="4"/>
      <c r="L50" s="4"/>
      <c r="M50" s="4"/>
      <c r="N50" s="4"/>
      <c r="O50" s="4"/>
      <c r="P50" s="4"/>
      <c r="Q50" s="4"/>
      <c r="R50" s="4"/>
      <c r="S50" s="4"/>
      <c r="T50" s="4"/>
    </row>
    <row r="51" spans="2:20" x14ac:dyDescent="0.3">
      <c r="B51" s="4"/>
      <c r="C51" s="4"/>
      <c r="D51" s="4"/>
      <c r="E51" s="4"/>
      <c r="F51" s="4"/>
      <c r="G51" s="4"/>
      <c r="H51" s="4"/>
      <c r="I51" s="4"/>
      <c r="J51" s="4"/>
      <c r="K51" s="4"/>
      <c r="L51" s="4"/>
      <c r="M51" s="4"/>
      <c r="N51" s="4"/>
      <c r="O51" s="4"/>
      <c r="P51" s="4"/>
      <c r="Q51" s="4"/>
      <c r="R51" s="4"/>
      <c r="S51" s="4"/>
      <c r="T51" s="4"/>
    </row>
    <row r="52" spans="2:20" x14ac:dyDescent="0.3">
      <c r="B52" s="4"/>
      <c r="C52" s="4"/>
      <c r="D52" s="4"/>
      <c r="E52" s="4"/>
      <c r="F52" s="4"/>
      <c r="G52" s="4"/>
      <c r="H52" s="4"/>
      <c r="I52" s="4"/>
      <c r="J52" s="4"/>
      <c r="K52" s="4"/>
      <c r="L52" s="4"/>
      <c r="M52" s="4"/>
      <c r="N52" s="4"/>
      <c r="O52" s="4"/>
      <c r="P52" s="4"/>
      <c r="Q52" s="4"/>
      <c r="R52" s="4"/>
      <c r="S52" s="4"/>
      <c r="T52" s="4"/>
    </row>
    <row r="53" spans="2:20" x14ac:dyDescent="0.3">
      <c r="B53" s="4"/>
      <c r="C53" s="4"/>
      <c r="D53" s="4"/>
      <c r="E53" s="4"/>
      <c r="F53" s="4"/>
      <c r="G53" s="4"/>
      <c r="H53" s="4"/>
      <c r="I53" s="4"/>
      <c r="J53" s="4"/>
      <c r="K53" s="4"/>
      <c r="L53" s="4"/>
      <c r="M53" s="4"/>
      <c r="N53" s="4"/>
      <c r="O53" s="4"/>
      <c r="P53" s="4"/>
      <c r="Q53" s="4"/>
      <c r="R53" s="4"/>
      <c r="S53" s="4"/>
      <c r="T53" s="4"/>
    </row>
    <row r="54" spans="2:20" x14ac:dyDescent="0.3">
      <c r="B54" s="4"/>
      <c r="C54" s="4"/>
      <c r="D54" s="4"/>
      <c r="E54" s="4"/>
      <c r="F54" s="4"/>
      <c r="G54" s="4"/>
      <c r="H54" s="4"/>
      <c r="I54" s="4"/>
      <c r="J54" s="4"/>
      <c r="K54" s="4"/>
      <c r="L54" s="4"/>
      <c r="M54" s="4"/>
      <c r="N54" s="4"/>
      <c r="O54" s="4"/>
      <c r="P54" s="4"/>
      <c r="Q54" s="4"/>
      <c r="R54" s="4"/>
      <c r="S54" s="4"/>
      <c r="T54" s="4"/>
    </row>
    <row r="55" spans="2:20" x14ac:dyDescent="0.3">
      <c r="B55" s="4"/>
      <c r="C55" s="4"/>
      <c r="D55" s="4"/>
      <c r="E55" s="4"/>
      <c r="F55" s="4"/>
      <c r="G55" s="4"/>
      <c r="H55" s="4"/>
      <c r="I55" s="4"/>
      <c r="J55" s="4"/>
      <c r="K55" s="4"/>
      <c r="L55" s="4"/>
      <c r="M55" s="4"/>
      <c r="N55" s="4"/>
      <c r="O55" s="4"/>
      <c r="P55" s="4"/>
      <c r="Q55" s="4"/>
      <c r="R55" s="4"/>
      <c r="S55" s="4"/>
      <c r="T55" s="4"/>
    </row>
    <row r="56" spans="2:20" x14ac:dyDescent="0.3">
      <c r="B56" s="4"/>
      <c r="C56" s="4"/>
      <c r="D56" s="4"/>
      <c r="E56" s="4"/>
      <c r="F56" s="4"/>
      <c r="G56" s="4"/>
      <c r="H56" s="4"/>
      <c r="I56" s="4"/>
      <c r="J56" s="4"/>
      <c r="K56" s="4"/>
      <c r="L56" s="4"/>
      <c r="M56" s="4"/>
      <c r="N56" s="4"/>
      <c r="O56" s="4"/>
      <c r="P56" s="4"/>
      <c r="Q56" s="4"/>
      <c r="R56" s="4"/>
      <c r="S56" s="4"/>
      <c r="T56" s="4"/>
    </row>
    <row r="57" spans="2:20" x14ac:dyDescent="0.3">
      <c r="B57" s="4"/>
      <c r="C57" s="4"/>
      <c r="D57" s="4"/>
      <c r="E57" s="4"/>
      <c r="F57" s="4"/>
      <c r="G57" s="4"/>
      <c r="H57" s="4"/>
      <c r="I57" s="4"/>
      <c r="J57" s="4"/>
      <c r="K57" s="4"/>
      <c r="L57" s="4"/>
      <c r="M57" s="4"/>
      <c r="N57" s="4"/>
      <c r="O57" s="4"/>
      <c r="P57" s="4"/>
      <c r="Q57" s="4"/>
      <c r="R57" s="4"/>
      <c r="S57" s="4"/>
      <c r="T57" s="4"/>
    </row>
    <row r="58" spans="2:20" x14ac:dyDescent="0.3">
      <c r="B58" s="4"/>
      <c r="C58" s="4"/>
      <c r="D58" s="4"/>
      <c r="E58" s="4"/>
      <c r="F58" s="4"/>
      <c r="G58" s="4"/>
      <c r="H58" s="4"/>
      <c r="I58" s="4"/>
      <c r="J58" s="4"/>
      <c r="K58" s="4"/>
      <c r="L58" s="4"/>
      <c r="M58" s="4"/>
      <c r="N58" s="4"/>
      <c r="O58" s="4"/>
      <c r="P58" s="4"/>
      <c r="Q58" s="4"/>
      <c r="R58" s="4"/>
      <c r="S58" s="4"/>
      <c r="T58" s="4"/>
    </row>
    <row r="59" spans="2:20" x14ac:dyDescent="0.3">
      <c r="B59" s="4"/>
      <c r="C59" s="4"/>
      <c r="D59" s="4"/>
      <c r="E59" s="4"/>
      <c r="F59" s="4"/>
      <c r="G59" s="4"/>
      <c r="H59" s="4"/>
      <c r="I59" s="4"/>
      <c r="J59" s="4"/>
      <c r="K59" s="4"/>
      <c r="L59" s="4"/>
      <c r="M59" s="4"/>
      <c r="N59" s="4"/>
      <c r="O59" s="4"/>
      <c r="P59" s="4"/>
      <c r="Q59" s="4"/>
      <c r="R59" s="4"/>
      <c r="S59" s="4"/>
      <c r="T59" s="4"/>
    </row>
    <row r="60" spans="2:20" x14ac:dyDescent="0.3">
      <c r="B60" s="4"/>
      <c r="C60" s="4"/>
      <c r="D60" s="4"/>
      <c r="E60" s="4"/>
      <c r="F60" s="4"/>
      <c r="G60" s="4"/>
      <c r="H60" s="4"/>
      <c r="I60" s="4"/>
      <c r="J60" s="4"/>
      <c r="K60" s="4"/>
      <c r="L60" s="4"/>
      <c r="M60" s="4"/>
      <c r="N60" s="4"/>
      <c r="O60" s="4"/>
      <c r="P60" s="4"/>
      <c r="Q60" s="4"/>
      <c r="R60" s="4"/>
      <c r="S60" s="4"/>
      <c r="T60" s="4"/>
    </row>
    <row r="61" spans="2:20" x14ac:dyDescent="0.3">
      <c r="B61" s="4"/>
      <c r="C61" s="4"/>
      <c r="D61" s="4"/>
      <c r="E61" s="4"/>
      <c r="F61" s="4"/>
      <c r="G61" s="4"/>
      <c r="H61" s="4"/>
      <c r="I61" s="4"/>
      <c r="J61" s="4"/>
      <c r="K61" s="4"/>
      <c r="L61" s="4"/>
      <c r="M61" s="4"/>
      <c r="N61" s="4"/>
      <c r="O61" s="4"/>
      <c r="P61" s="4"/>
      <c r="Q61" s="4"/>
      <c r="R61" s="4"/>
      <c r="S61" s="4"/>
      <c r="T61" s="4"/>
    </row>
    <row r="62" spans="2:20" x14ac:dyDescent="0.3">
      <c r="B62" s="4"/>
      <c r="C62" s="4"/>
      <c r="D62" s="4"/>
      <c r="E62" s="4"/>
      <c r="F62" s="4"/>
      <c r="G62" s="4"/>
      <c r="H62" s="4"/>
      <c r="I62" s="4"/>
      <c r="J62" s="4"/>
      <c r="K62" s="4"/>
      <c r="L62" s="4"/>
      <c r="M62" s="4"/>
      <c r="N62" s="4"/>
      <c r="O62" s="4"/>
      <c r="P62" s="4"/>
      <c r="Q62" s="4"/>
      <c r="R62" s="4"/>
      <c r="S62" s="4"/>
      <c r="T62" s="4"/>
    </row>
    <row r="63" spans="2:20" x14ac:dyDescent="0.3">
      <c r="B63" s="4"/>
      <c r="C63" s="4"/>
      <c r="D63" s="4"/>
      <c r="E63" s="4"/>
      <c r="F63" s="4"/>
      <c r="G63" s="4"/>
      <c r="H63" s="4"/>
      <c r="I63" s="4"/>
      <c r="J63" s="4"/>
      <c r="K63" s="4"/>
      <c r="L63" s="4"/>
      <c r="M63" s="4"/>
      <c r="N63" s="4"/>
      <c r="O63" s="4"/>
      <c r="P63" s="4"/>
      <c r="Q63" s="4"/>
      <c r="R63" s="4"/>
      <c r="S63" s="4"/>
      <c r="T63" s="4"/>
    </row>
    <row r="64" spans="2:20" x14ac:dyDescent="0.3">
      <c r="B64" s="4"/>
      <c r="C64" s="4"/>
      <c r="D64" s="4"/>
      <c r="E64" s="4"/>
      <c r="F64" s="4"/>
      <c r="G64" s="4"/>
      <c r="H64" s="4"/>
      <c r="I64" s="4"/>
      <c r="J64" s="4"/>
      <c r="K64" s="4"/>
      <c r="L64" s="4"/>
      <c r="M64" s="4"/>
      <c r="N64" s="4"/>
      <c r="O64" s="4"/>
      <c r="P64" s="4"/>
      <c r="Q64" s="4"/>
      <c r="R64" s="4"/>
      <c r="S64" s="4"/>
      <c r="T64" s="4"/>
    </row>
    <row r="65" spans="2:20" x14ac:dyDescent="0.3">
      <c r="B65" s="4"/>
      <c r="C65" s="4"/>
      <c r="D65" s="4"/>
      <c r="E65" s="4"/>
      <c r="F65" s="4"/>
      <c r="G65" s="4"/>
      <c r="H65" s="4"/>
      <c r="I65" s="4"/>
      <c r="J65" s="4"/>
      <c r="K65" s="4"/>
      <c r="L65" s="4"/>
      <c r="M65" s="4"/>
      <c r="N65" s="4"/>
      <c r="O65" s="4"/>
      <c r="P65" s="4"/>
      <c r="Q65" s="4"/>
      <c r="R65" s="4"/>
      <c r="S65" s="4"/>
      <c r="T65" s="4"/>
    </row>
    <row r="66" spans="2:20" x14ac:dyDescent="0.3">
      <c r="B66" s="4"/>
      <c r="C66" s="4"/>
      <c r="D66" s="4"/>
      <c r="E66" s="4"/>
      <c r="F66" s="4"/>
      <c r="G66" s="4"/>
      <c r="H66" s="4"/>
      <c r="I66" s="4"/>
      <c r="J66" s="4"/>
      <c r="K66" s="4"/>
      <c r="L66" s="4"/>
      <c r="M66" s="4"/>
      <c r="N66" s="4"/>
      <c r="O66" s="4"/>
      <c r="P66" s="4"/>
      <c r="Q66" s="4"/>
      <c r="R66" s="4"/>
      <c r="S66" s="4"/>
      <c r="T66" s="4"/>
    </row>
    <row r="67" spans="2:20" x14ac:dyDescent="0.3">
      <c r="B67" s="4"/>
      <c r="C67" s="4"/>
      <c r="D67" s="4"/>
      <c r="E67" s="4"/>
      <c r="F67" s="4"/>
      <c r="G67" s="4"/>
      <c r="H67" s="4"/>
      <c r="I67" s="4"/>
      <c r="J67" s="4"/>
      <c r="K67" s="4"/>
      <c r="L67" s="4"/>
      <c r="M67" s="4"/>
      <c r="N67" s="4"/>
      <c r="O67" s="4"/>
      <c r="P67" s="4"/>
      <c r="Q67" s="4"/>
      <c r="R67" s="4"/>
      <c r="S67" s="4"/>
      <c r="T67" s="4"/>
    </row>
    <row r="68" spans="2:20" x14ac:dyDescent="0.3">
      <c r="B68" s="4"/>
      <c r="C68" s="4"/>
      <c r="D68" s="4"/>
      <c r="E68" s="4"/>
      <c r="F68" s="4"/>
      <c r="G68" s="4"/>
      <c r="H68" s="4"/>
      <c r="I68" s="4"/>
      <c r="J68" s="4"/>
      <c r="K68" s="4"/>
      <c r="L68" s="4"/>
      <c r="M68" s="4"/>
      <c r="N68" s="4"/>
      <c r="O68" s="4"/>
      <c r="P68" s="4"/>
      <c r="Q68" s="4"/>
      <c r="R68" s="4"/>
      <c r="S68" s="4"/>
      <c r="T68" s="4"/>
    </row>
    <row r="69" spans="2:20" x14ac:dyDescent="0.3">
      <c r="B69" s="4"/>
      <c r="C69" s="4"/>
      <c r="D69" s="4"/>
      <c r="E69" s="4"/>
      <c r="F69" s="4"/>
      <c r="G69" s="4"/>
      <c r="H69" s="4"/>
      <c r="I69" s="4"/>
      <c r="J69" s="4"/>
      <c r="K69" s="4"/>
      <c r="L69" s="4"/>
      <c r="M69" s="4"/>
      <c r="N69" s="4"/>
      <c r="O69" s="4"/>
      <c r="P69" s="4"/>
      <c r="Q69" s="4"/>
      <c r="R69" s="4"/>
      <c r="S69" s="4"/>
      <c r="T69" s="4"/>
    </row>
    <row r="70" spans="2:20" x14ac:dyDescent="0.3">
      <c r="B70" s="4"/>
      <c r="C70" s="4"/>
      <c r="D70" s="4"/>
      <c r="E70" s="4"/>
      <c r="F70" s="4"/>
      <c r="G70" s="4"/>
      <c r="H70" s="4"/>
      <c r="I70" s="4"/>
      <c r="J70" s="4"/>
      <c r="K70" s="4"/>
      <c r="L70" s="4"/>
      <c r="M70" s="4"/>
      <c r="N70" s="4"/>
      <c r="O70" s="4"/>
      <c r="P70" s="4"/>
      <c r="Q70" s="4"/>
      <c r="R70" s="4"/>
      <c r="S70" s="4"/>
      <c r="T70" s="4"/>
    </row>
    <row r="71" spans="2:20" x14ac:dyDescent="0.3">
      <c r="B71" s="4"/>
      <c r="C71" s="4"/>
      <c r="D71" s="4"/>
      <c r="E71" s="4"/>
      <c r="F71" s="4"/>
      <c r="G71" s="4"/>
      <c r="H71" s="4"/>
      <c r="I71" s="4"/>
      <c r="J71" s="4"/>
      <c r="K71" s="4"/>
      <c r="L71" s="4"/>
      <c r="M71" s="4"/>
      <c r="N71" s="4"/>
      <c r="O71" s="4"/>
      <c r="P71" s="4"/>
      <c r="Q71" s="4"/>
      <c r="R71" s="4"/>
      <c r="S71" s="4"/>
      <c r="T71" s="4"/>
    </row>
    <row r="72" spans="2:20" x14ac:dyDescent="0.3">
      <c r="B72" s="4"/>
      <c r="C72" s="4"/>
      <c r="D72" s="4"/>
      <c r="E72" s="4"/>
      <c r="F72" s="4"/>
      <c r="G72" s="4"/>
      <c r="H72" s="4"/>
      <c r="I72" s="4"/>
      <c r="J72" s="4"/>
      <c r="K72" s="4"/>
      <c r="L72" s="4"/>
      <c r="M72" s="4"/>
      <c r="N72" s="4"/>
      <c r="O72" s="4"/>
      <c r="P72" s="4"/>
      <c r="Q72" s="4"/>
      <c r="R72" s="4"/>
      <c r="S72" s="4"/>
      <c r="T72" s="4"/>
    </row>
    <row r="73" spans="2:20" x14ac:dyDescent="0.3">
      <c r="B73" s="4"/>
      <c r="C73" s="4"/>
      <c r="D73" s="4"/>
      <c r="E73" s="4"/>
      <c r="F73" s="4"/>
      <c r="G73" s="4"/>
      <c r="H73" s="4"/>
      <c r="I73" s="4"/>
      <c r="J73" s="4"/>
      <c r="K73" s="4"/>
      <c r="L73" s="4"/>
      <c r="M73" s="4"/>
      <c r="N73" s="4"/>
      <c r="O73" s="4"/>
      <c r="P73" s="4"/>
      <c r="Q73" s="4"/>
      <c r="R73" s="4"/>
      <c r="S73" s="4"/>
      <c r="T73" s="4"/>
    </row>
    <row r="74" spans="2:20" x14ac:dyDescent="0.3">
      <c r="B74" s="4"/>
      <c r="C74" s="4"/>
      <c r="D74" s="4"/>
      <c r="E74" s="4"/>
      <c r="F74" s="4"/>
      <c r="G74" s="4"/>
      <c r="H74" s="4"/>
      <c r="I74" s="4"/>
      <c r="J74" s="4"/>
      <c r="K74" s="4"/>
      <c r="L74" s="4"/>
      <c r="M74" s="4"/>
      <c r="N74" s="4"/>
      <c r="O74" s="4"/>
      <c r="P74" s="4"/>
      <c r="Q74" s="4"/>
      <c r="R74" s="4"/>
      <c r="S74" s="4"/>
      <c r="T74" s="4"/>
    </row>
    <row r="75" spans="2:20" x14ac:dyDescent="0.3">
      <c r="B75" s="4"/>
      <c r="C75" s="4"/>
      <c r="D75" s="4"/>
      <c r="E75" s="4"/>
      <c r="F75" s="4"/>
      <c r="G75" s="4"/>
      <c r="H75" s="4"/>
      <c r="I75" s="4"/>
      <c r="J75" s="4"/>
      <c r="K75" s="4"/>
      <c r="L75" s="4"/>
      <c r="M75" s="4"/>
      <c r="N75" s="4"/>
      <c r="O75" s="4"/>
      <c r="P75" s="4"/>
      <c r="Q75" s="4"/>
      <c r="R75" s="4"/>
      <c r="S75" s="4"/>
      <c r="T75" s="4"/>
    </row>
    <row r="76" spans="2:20" x14ac:dyDescent="0.3">
      <c r="B76" s="4"/>
      <c r="C76" s="4"/>
      <c r="D76" s="4"/>
      <c r="E76" s="4"/>
      <c r="F76" s="4"/>
      <c r="G76" s="4"/>
      <c r="H76" s="4"/>
      <c r="I76" s="4"/>
      <c r="J76" s="4"/>
      <c r="K76" s="4"/>
      <c r="L76" s="4"/>
      <c r="M76" s="4"/>
      <c r="N76" s="4"/>
      <c r="O76" s="4"/>
      <c r="P76" s="4"/>
      <c r="Q76" s="4"/>
      <c r="R76" s="4"/>
      <c r="S76" s="4"/>
      <c r="T76" s="4"/>
    </row>
    <row r="77" spans="2:20" x14ac:dyDescent="0.3">
      <c r="B77" s="4"/>
      <c r="C77" s="4"/>
      <c r="D77" s="4"/>
      <c r="E77" s="4"/>
      <c r="F77" s="4"/>
      <c r="G77" s="4"/>
      <c r="H77" s="4"/>
      <c r="I77" s="4"/>
      <c r="J77" s="4"/>
      <c r="K77" s="4"/>
      <c r="L77" s="4"/>
      <c r="M77" s="4"/>
      <c r="N77" s="4"/>
      <c r="O77" s="4"/>
      <c r="P77" s="4"/>
      <c r="Q77" s="4"/>
      <c r="R77" s="4"/>
      <c r="S77" s="4"/>
      <c r="T77" s="4"/>
    </row>
    <row r="78" spans="2:20" x14ac:dyDescent="0.3">
      <c r="B78" s="4"/>
      <c r="C78" s="4"/>
      <c r="D78" s="4"/>
      <c r="E78" s="4"/>
      <c r="F78" s="4"/>
      <c r="G78" s="4"/>
      <c r="H78" s="4"/>
      <c r="I78" s="4"/>
      <c r="J78" s="4"/>
      <c r="K78" s="4"/>
      <c r="L78" s="4"/>
      <c r="M78" s="4"/>
      <c r="N78" s="4"/>
      <c r="O78" s="4"/>
      <c r="P78" s="4"/>
      <c r="Q78" s="4"/>
      <c r="R78" s="4"/>
      <c r="S78" s="4"/>
      <c r="T78" s="4"/>
    </row>
    <row r="79" spans="2:20" x14ac:dyDescent="0.3">
      <c r="B79" s="4"/>
      <c r="C79" s="4"/>
      <c r="D79" s="4"/>
      <c r="E79" s="4"/>
      <c r="F79" s="4"/>
      <c r="G79" s="4"/>
      <c r="H79" s="4"/>
      <c r="I79" s="4"/>
      <c r="J79" s="4"/>
      <c r="K79" s="4"/>
      <c r="L79" s="4"/>
      <c r="M79" s="4"/>
      <c r="N79" s="4"/>
      <c r="O79" s="4"/>
      <c r="P79" s="4"/>
      <c r="Q79" s="4"/>
      <c r="R79" s="4"/>
      <c r="S79" s="4"/>
      <c r="T79" s="4"/>
    </row>
    <row r="80" spans="2:20" x14ac:dyDescent="0.3">
      <c r="B80" s="4"/>
      <c r="C80" s="4"/>
      <c r="D80" s="4"/>
      <c r="E80" s="4"/>
      <c r="F80" s="4"/>
      <c r="G80" s="4"/>
      <c r="H80" s="4"/>
      <c r="I80" s="4"/>
      <c r="J80" s="4"/>
      <c r="K80" s="4"/>
      <c r="L80" s="4"/>
      <c r="M80" s="4"/>
      <c r="N80" s="4"/>
      <c r="O80" s="4"/>
      <c r="P80" s="4"/>
      <c r="Q80" s="4"/>
      <c r="R80" s="4"/>
      <c r="S80" s="4"/>
      <c r="T80" s="4"/>
    </row>
    <row r="81" spans="2:20" x14ac:dyDescent="0.3">
      <c r="B81" s="4"/>
      <c r="C81" s="4"/>
      <c r="D81" s="4"/>
      <c r="E81" s="4"/>
      <c r="F81" s="4"/>
      <c r="G81" s="4"/>
      <c r="H81" s="4"/>
      <c r="I81" s="4"/>
      <c r="J81" s="4"/>
      <c r="K81" s="4"/>
      <c r="L81" s="4"/>
      <c r="M81" s="4"/>
      <c r="N81" s="4"/>
      <c r="O81" s="4"/>
      <c r="P81" s="4"/>
      <c r="Q81" s="4"/>
      <c r="R81" s="4"/>
      <c r="S81" s="4"/>
      <c r="T81" s="4"/>
    </row>
    <row r="82" spans="2:20" x14ac:dyDescent="0.3">
      <c r="B82" s="4"/>
      <c r="C82" s="4"/>
      <c r="D82" s="4"/>
      <c r="E82" s="4"/>
      <c r="F82" s="4"/>
      <c r="G82" s="4"/>
      <c r="H82" s="4"/>
      <c r="I82" s="4"/>
      <c r="J82" s="4"/>
      <c r="K82" s="4"/>
      <c r="L82" s="4"/>
      <c r="M82" s="4"/>
      <c r="N82" s="4"/>
      <c r="O82" s="4"/>
      <c r="P82" s="4"/>
      <c r="Q82" s="4"/>
      <c r="R82" s="4"/>
      <c r="S82" s="4"/>
      <c r="T82" s="4"/>
    </row>
    <row r="83" spans="2:20" x14ac:dyDescent="0.3">
      <c r="B83" s="4"/>
      <c r="C83" s="4"/>
      <c r="D83" s="4"/>
      <c r="E83" s="4"/>
      <c r="F83" s="4"/>
      <c r="G83" s="4"/>
      <c r="H83" s="4"/>
      <c r="I83" s="4"/>
      <c r="J83" s="4"/>
      <c r="K83" s="4"/>
      <c r="L83" s="4"/>
      <c r="M83" s="4"/>
      <c r="N83" s="4"/>
      <c r="O83" s="4"/>
      <c r="P83" s="4"/>
      <c r="Q83" s="4"/>
      <c r="R83" s="4"/>
      <c r="S83" s="4"/>
      <c r="T83" s="4"/>
    </row>
    <row r="84" spans="2:20" x14ac:dyDescent="0.3">
      <c r="B84" s="4"/>
      <c r="C84" s="4"/>
      <c r="D84" s="4"/>
      <c r="E84" s="4"/>
      <c r="F84" s="4"/>
      <c r="G84" s="4"/>
      <c r="H84" s="4"/>
      <c r="I84" s="4"/>
      <c r="J84" s="4"/>
      <c r="K84" s="4"/>
      <c r="L84" s="4"/>
      <c r="M84" s="4"/>
      <c r="N84" s="4"/>
      <c r="O84" s="4"/>
      <c r="P84" s="4"/>
      <c r="Q84" s="4"/>
      <c r="R84" s="4"/>
      <c r="S84" s="4"/>
      <c r="T84" s="4"/>
    </row>
    <row r="85" spans="2:20" x14ac:dyDescent="0.3">
      <c r="B85" s="4"/>
      <c r="C85" s="4"/>
      <c r="D85" s="4"/>
      <c r="E85" s="4"/>
      <c r="F85" s="4"/>
      <c r="G85" s="4"/>
      <c r="H85" s="4"/>
      <c r="I85" s="4"/>
      <c r="J85" s="4"/>
      <c r="K85" s="4"/>
      <c r="L85" s="4"/>
      <c r="M85" s="4"/>
      <c r="N85" s="4"/>
      <c r="O85" s="4"/>
      <c r="P85" s="4"/>
      <c r="Q85" s="4"/>
      <c r="R85" s="4"/>
      <c r="S85" s="4"/>
      <c r="T85" s="4"/>
    </row>
    <row r="86" spans="2:20" x14ac:dyDescent="0.3">
      <c r="B86" s="4"/>
      <c r="C86" s="4"/>
      <c r="D86" s="4"/>
      <c r="E86" s="4"/>
      <c r="F86" s="4"/>
      <c r="G86" s="4"/>
      <c r="H86" s="4"/>
      <c r="I86" s="4"/>
      <c r="J86" s="4"/>
      <c r="K86" s="4"/>
      <c r="L86" s="4"/>
      <c r="M86" s="4"/>
      <c r="N86" s="4"/>
      <c r="O86" s="4"/>
      <c r="P86" s="4"/>
      <c r="Q86" s="4"/>
      <c r="R86" s="4"/>
      <c r="S86" s="4"/>
      <c r="T86" s="4"/>
    </row>
    <row r="87" spans="2:20" x14ac:dyDescent="0.3">
      <c r="B87" s="4"/>
      <c r="C87" s="4"/>
      <c r="D87" s="4"/>
      <c r="E87" s="4"/>
      <c r="F87" s="4"/>
      <c r="G87" s="4"/>
      <c r="H87" s="4"/>
      <c r="I87" s="4"/>
      <c r="J87" s="4"/>
      <c r="K87" s="4"/>
      <c r="L87" s="4"/>
      <c r="M87" s="4"/>
      <c r="N87" s="4"/>
      <c r="O87" s="4"/>
      <c r="P87" s="4"/>
      <c r="Q87" s="4"/>
      <c r="R87" s="4"/>
      <c r="S87" s="4"/>
      <c r="T87" s="4"/>
    </row>
    <row r="88" spans="2:20" x14ac:dyDescent="0.3">
      <c r="B88" s="4"/>
      <c r="C88" s="4"/>
      <c r="D88" s="4"/>
      <c r="E88" s="4"/>
      <c r="F88" s="4"/>
      <c r="G88" s="4"/>
      <c r="H88" s="4"/>
      <c r="I88" s="4"/>
      <c r="J88" s="4"/>
      <c r="K88" s="4"/>
      <c r="L88" s="4"/>
      <c r="M88" s="4"/>
      <c r="N88" s="4"/>
      <c r="O88" s="4"/>
      <c r="P88" s="4"/>
      <c r="Q88" s="4"/>
      <c r="R88" s="4"/>
      <c r="S88" s="4"/>
      <c r="T88" s="4"/>
    </row>
    <row r="89" spans="2:20" x14ac:dyDescent="0.3">
      <c r="B89" s="4"/>
      <c r="C89" s="4"/>
      <c r="D89" s="4"/>
      <c r="E89" s="4"/>
      <c r="F89" s="4"/>
      <c r="G89" s="4"/>
      <c r="H89" s="4"/>
      <c r="I89" s="4"/>
      <c r="J89" s="4"/>
      <c r="K89" s="4"/>
      <c r="L89" s="4"/>
      <c r="M89" s="4"/>
      <c r="N89" s="4"/>
      <c r="O89" s="4"/>
      <c r="P89" s="4"/>
      <c r="Q89" s="4"/>
      <c r="R89" s="4"/>
      <c r="S89" s="4"/>
      <c r="T89" s="4"/>
    </row>
    <row r="90" spans="2:20" x14ac:dyDescent="0.3">
      <c r="B90" s="4"/>
      <c r="C90" s="4"/>
      <c r="D90" s="4"/>
      <c r="E90" s="4"/>
      <c r="F90" s="4"/>
      <c r="G90" s="4"/>
      <c r="H90" s="4"/>
      <c r="I90" s="4"/>
      <c r="J90" s="4"/>
      <c r="K90" s="4"/>
      <c r="L90" s="4"/>
      <c r="M90" s="4"/>
      <c r="N90" s="4"/>
      <c r="O90" s="4"/>
      <c r="P90" s="4"/>
      <c r="Q90" s="4"/>
      <c r="R90" s="4"/>
      <c r="S90" s="4"/>
      <c r="T90" s="4"/>
    </row>
    <row r="91" spans="2:20" x14ac:dyDescent="0.3">
      <c r="B91" s="4"/>
      <c r="C91" s="4"/>
      <c r="D91" s="4"/>
      <c r="E91" s="4"/>
      <c r="F91" s="4"/>
      <c r="G91" s="4"/>
      <c r="H91" s="4"/>
      <c r="I91" s="4"/>
      <c r="J91" s="4"/>
      <c r="K91" s="4"/>
      <c r="L91" s="4"/>
      <c r="M91" s="4"/>
      <c r="N91" s="4"/>
      <c r="O91" s="4"/>
      <c r="P91" s="4"/>
      <c r="Q91" s="4"/>
      <c r="R91" s="4"/>
      <c r="S91" s="4"/>
      <c r="T91" s="4"/>
    </row>
  </sheetData>
  <pageMargins left="0.13" right="5.48" top="0.15" bottom="0" header="0.25" footer="3.35"/>
  <pageSetup paperSize="8" scale="51"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36" r:id="rId4" name="Drop Down 12">
              <controlPr defaultSize="0" autoLine="0" autoPict="0">
                <anchor moveWithCells="1">
                  <from>
                    <xdr:col>8</xdr:col>
                    <xdr:colOff>685800</xdr:colOff>
                    <xdr:row>18</xdr:row>
                    <xdr:rowOff>160020</xdr:rowOff>
                  </from>
                  <to>
                    <xdr:col>9</xdr:col>
                    <xdr:colOff>167640</xdr:colOff>
                    <xdr:row>22</xdr:row>
                    <xdr:rowOff>7620</xdr:rowOff>
                  </to>
                </anchor>
              </controlPr>
            </control>
          </mc:Choice>
        </mc:AlternateContent>
        <mc:AlternateContent xmlns:mc="http://schemas.openxmlformats.org/markup-compatibility/2006">
          <mc:Choice Requires="x14">
            <control shapeId="1052" r:id="rId5" name="Drop Down 28">
              <controlPr defaultSize="0" autoLine="0" autoPict="0">
                <anchor moveWithCells="1">
                  <from>
                    <xdr:col>9</xdr:col>
                    <xdr:colOff>533400</xdr:colOff>
                    <xdr:row>25</xdr:row>
                    <xdr:rowOff>99060</xdr:rowOff>
                  </from>
                  <to>
                    <xdr:col>11</xdr:col>
                    <xdr:colOff>373380</xdr:colOff>
                    <xdr:row>26</xdr:row>
                    <xdr:rowOff>175260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6336-23AB-49D5-A1C5-68DE369891F2}">
  <sheetPr codeName="Sheet1">
    <tabColor theme="5" tint="-0.249977111117893"/>
  </sheetPr>
  <dimension ref="A1:XFC54"/>
  <sheetViews>
    <sheetView showGridLines="0" tabSelected="1" zoomScale="75" zoomScaleNormal="75" workbookViewId="0">
      <pane ySplit="3" topLeftCell="A9" activePane="bottomLeft" state="frozen"/>
      <selection pane="bottomLeft" activeCell="E34" sqref="E34"/>
    </sheetView>
  </sheetViews>
  <sheetFormatPr defaultColWidth="0" defaultRowHeight="14.4" x14ac:dyDescent="0.3"/>
  <cols>
    <col min="1" max="1" width="2.88671875" customWidth="1"/>
    <col min="2" max="2" width="55.33203125" bestFit="1" customWidth="1"/>
    <col min="3" max="10" width="15.88671875" customWidth="1"/>
    <col min="11" max="11" width="9.109375" customWidth="1"/>
    <col min="12" max="16383" width="9.109375" hidden="1"/>
    <col min="16384" max="16384" width="12.109375" hidden="1" customWidth="1"/>
  </cols>
  <sheetData>
    <row r="1" spans="1:11" s="33" customFormat="1" ht="25.8" customHeight="1" x14ac:dyDescent="0.5">
      <c r="B1" s="34" t="s">
        <v>158</v>
      </c>
      <c r="C1" s="35" t="s">
        <v>159</v>
      </c>
      <c r="D1" s="35"/>
      <c r="E1" s="36"/>
      <c r="F1" s="37" t="s">
        <v>44</v>
      </c>
      <c r="G1" s="37"/>
      <c r="H1" s="37"/>
      <c r="I1" s="35"/>
      <c r="J1" s="35"/>
    </row>
    <row r="2" spans="1:11" s="33" customFormat="1" ht="26.4" thickBot="1" x14ac:dyDescent="0.55000000000000004">
      <c r="B2" s="79" t="s">
        <v>0</v>
      </c>
      <c r="C2" s="39">
        <v>2021</v>
      </c>
      <c r="D2" s="39">
        <f>C2+1</f>
        <v>2022</v>
      </c>
      <c r="E2" s="40">
        <f t="shared" ref="E2:J2" si="0">D2+1</f>
        <v>2023</v>
      </c>
      <c r="F2" s="41">
        <f t="shared" si="0"/>
        <v>2024</v>
      </c>
      <c r="G2" s="39">
        <f t="shared" si="0"/>
        <v>2025</v>
      </c>
      <c r="H2" s="39">
        <f t="shared" si="0"/>
        <v>2026</v>
      </c>
      <c r="I2" s="39">
        <f t="shared" si="0"/>
        <v>2027</v>
      </c>
      <c r="J2" s="39">
        <f t="shared" si="0"/>
        <v>2028</v>
      </c>
    </row>
    <row r="3" spans="1:11" s="33" customFormat="1" ht="26.4" thickTop="1" x14ac:dyDescent="0.5">
      <c r="B3" s="33" t="s">
        <v>251</v>
      </c>
      <c r="C3" s="38"/>
      <c r="D3" s="38"/>
      <c r="E3" s="42"/>
      <c r="F3" s="38"/>
      <c r="G3" s="38"/>
      <c r="H3" s="38"/>
      <c r="I3" s="38"/>
      <c r="J3" s="38"/>
    </row>
    <row r="5" spans="1:11" x14ac:dyDescent="0.3">
      <c r="B5" s="97" t="s">
        <v>1</v>
      </c>
      <c r="C5" s="98">
        <v>6498</v>
      </c>
      <c r="D5" s="98">
        <v>9220</v>
      </c>
      <c r="E5" s="98">
        <v>7385</v>
      </c>
      <c r="F5" s="99">
        <f>'Operating Model'!F66</f>
        <v>9045.2255255658984</v>
      </c>
      <c r="G5" s="99">
        <f>'Operating Model'!G66</f>
        <v>11203.131522823664</v>
      </c>
      <c r="H5" s="99">
        <f>'Operating Model'!H66</f>
        <v>13963.904228077194</v>
      </c>
      <c r="I5" s="99">
        <f>'Operating Model'!I66</f>
        <v>17506.356765817061</v>
      </c>
      <c r="J5" s="100">
        <f>'Operating Model'!J66</f>
        <v>22063.996027990066</v>
      </c>
    </row>
    <row r="6" spans="1:11" x14ac:dyDescent="0.3">
      <c r="B6" s="87" t="s">
        <v>2</v>
      </c>
      <c r="C6" s="9">
        <v>1487</v>
      </c>
      <c r="D6" s="9">
        <v>1855</v>
      </c>
      <c r="E6" s="10">
        <v>894</v>
      </c>
      <c r="F6" s="11">
        <f>E6</f>
        <v>894</v>
      </c>
      <c r="G6" s="11">
        <f t="shared" ref="G6:J6" si="1">F6</f>
        <v>894</v>
      </c>
      <c r="H6" s="11">
        <f t="shared" si="1"/>
        <v>894</v>
      </c>
      <c r="I6" s="11">
        <f t="shared" si="1"/>
        <v>894</v>
      </c>
      <c r="J6" s="88">
        <f t="shared" si="1"/>
        <v>894</v>
      </c>
    </row>
    <row r="7" spans="1:11" s="2" customFormat="1" ht="15" thickBot="1" x14ac:dyDescent="0.35">
      <c r="A7"/>
      <c r="B7" s="101" t="s">
        <v>244</v>
      </c>
      <c r="C7" s="2">
        <f>SUM(C5:C6)</f>
        <v>7985</v>
      </c>
      <c r="D7" s="2">
        <f t="shared" ref="D7:E7" si="2">SUM(D5:D6)</f>
        <v>11075</v>
      </c>
      <c r="E7" s="6">
        <f t="shared" si="2"/>
        <v>8279</v>
      </c>
      <c r="F7" s="6">
        <f t="shared" ref="F7" si="3">SUM(F5:F6)</f>
        <v>9939.2255255658984</v>
      </c>
      <c r="G7" s="6">
        <f t="shared" ref="G7" si="4">SUM(G5:G6)</f>
        <v>12097.131522823664</v>
      </c>
      <c r="H7" s="6">
        <f t="shared" ref="H7" si="5">SUM(H5:H6)</f>
        <v>14857.904228077194</v>
      </c>
      <c r="I7" s="6">
        <f t="shared" ref="I7" si="6">SUM(I5:I6)</f>
        <v>18400.356765817061</v>
      </c>
      <c r="J7" s="102">
        <f t="shared" ref="J7" si="7">SUM(J5:J6)</f>
        <v>22957.996027990066</v>
      </c>
      <c r="K7"/>
    </row>
    <row r="8" spans="1:11" ht="15" thickTop="1" x14ac:dyDescent="0.3">
      <c r="B8" s="87" t="s">
        <v>3</v>
      </c>
      <c r="C8" s="10">
        <v>94</v>
      </c>
      <c r="D8" s="10">
        <v>-114</v>
      </c>
      <c r="E8" s="10">
        <v>99</v>
      </c>
      <c r="F8" s="11">
        <v>0</v>
      </c>
      <c r="G8" s="11">
        <v>0</v>
      </c>
      <c r="H8" s="11">
        <v>0</v>
      </c>
      <c r="I8" s="11">
        <v>0</v>
      </c>
      <c r="J8" s="88">
        <v>0</v>
      </c>
    </row>
    <row r="9" spans="1:11" x14ac:dyDescent="0.3">
      <c r="B9" s="87" t="s">
        <v>4</v>
      </c>
      <c r="C9" s="10">
        <v>67</v>
      </c>
      <c r="D9" s="9">
        <v>1180</v>
      </c>
      <c r="E9" s="10">
        <v>8</v>
      </c>
      <c r="F9" s="11">
        <v>0</v>
      </c>
      <c r="G9" s="11">
        <v>0</v>
      </c>
      <c r="H9" s="11">
        <v>0</v>
      </c>
      <c r="I9" s="11">
        <v>0</v>
      </c>
      <c r="J9" s="88">
        <v>0</v>
      </c>
    </row>
    <row r="10" spans="1:11" x14ac:dyDescent="0.3">
      <c r="B10" s="87" t="s">
        <v>5</v>
      </c>
      <c r="C10" s="10">
        <v>-446</v>
      </c>
      <c r="D10" s="10">
        <v>-157</v>
      </c>
      <c r="E10" s="10">
        <v>-212</v>
      </c>
      <c r="F10" s="11">
        <v>0</v>
      </c>
      <c r="G10" s="11">
        <v>0</v>
      </c>
      <c r="H10" s="11">
        <v>0</v>
      </c>
      <c r="I10" s="11">
        <v>0</v>
      </c>
      <c r="J10" s="88">
        <v>0</v>
      </c>
    </row>
    <row r="11" spans="1:11" x14ac:dyDescent="0.3">
      <c r="B11" s="87" t="s">
        <v>6</v>
      </c>
      <c r="C11" s="10">
        <v>228</v>
      </c>
      <c r="D11" s="10">
        <v>148</v>
      </c>
      <c r="E11" s="10">
        <v>18</v>
      </c>
      <c r="F11" s="11">
        <v>0</v>
      </c>
      <c r="G11" s="11">
        <v>0</v>
      </c>
      <c r="H11" s="11">
        <v>0</v>
      </c>
      <c r="I11" s="11">
        <v>0</v>
      </c>
      <c r="J11" s="88">
        <v>0</v>
      </c>
    </row>
    <row r="12" spans="1:11" ht="15" thickBot="1" x14ac:dyDescent="0.35">
      <c r="B12" s="101" t="s">
        <v>19</v>
      </c>
      <c r="C12" s="3">
        <f>SUM(C7:C11)</f>
        <v>7928</v>
      </c>
      <c r="D12" s="3">
        <f t="shared" ref="D12:E12" si="8">SUM(D7:D11)</f>
        <v>12132</v>
      </c>
      <c r="E12" s="3">
        <f t="shared" si="8"/>
        <v>8192</v>
      </c>
      <c r="F12" s="3">
        <f t="shared" ref="F12" si="9">SUM(F7:F11)</f>
        <v>9939.2255255658984</v>
      </c>
      <c r="G12" s="3">
        <f t="shared" ref="G12" si="10">SUM(G7:G11)</f>
        <v>12097.131522823664</v>
      </c>
      <c r="H12" s="3">
        <f t="shared" ref="H12" si="11">SUM(H7:H11)</f>
        <v>14857.904228077194</v>
      </c>
      <c r="I12" s="3">
        <f t="shared" ref="I12" si="12">SUM(I7:I11)</f>
        <v>18400.356765817061</v>
      </c>
      <c r="J12" s="103">
        <f t="shared" ref="J12" si="13">SUM(J7:J11)</f>
        <v>22957.996027990066</v>
      </c>
    </row>
    <row r="13" spans="1:11" ht="15" thickTop="1" x14ac:dyDescent="0.3">
      <c r="B13" s="87"/>
      <c r="C13" s="11"/>
      <c r="D13" s="11"/>
      <c r="E13" s="11"/>
      <c r="F13" s="11"/>
      <c r="G13" s="11"/>
      <c r="H13" s="11"/>
      <c r="I13" s="11"/>
      <c r="J13" s="88"/>
    </row>
    <row r="14" spans="1:11" x14ac:dyDescent="0.3">
      <c r="B14" s="89" t="s">
        <v>7</v>
      </c>
      <c r="C14" s="11"/>
      <c r="D14" s="11"/>
      <c r="E14" s="11"/>
      <c r="F14" s="11"/>
      <c r="G14" s="11"/>
      <c r="H14" s="11"/>
      <c r="I14" s="11"/>
      <c r="J14" s="88"/>
    </row>
    <row r="15" spans="1:11" x14ac:dyDescent="0.3">
      <c r="B15" s="87" t="s">
        <v>8</v>
      </c>
      <c r="C15" s="9">
        <v>1241</v>
      </c>
      <c r="D15" s="9">
        <v>1444</v>
      </c>
      <c r="E15" s="9">
        <v>1436</v>
      </c>
      <c r="F15" s="12">
        <f>'Operating Model'!F70</f>
        <v>1503.6429729864215</v>
      </c>
      <c r="G15" s="12">
        <f>'Operating Model'!G70</f>
        <v>1628.2338219560206</v>
      </c>
      <c r="H15" s="12">
        <f>'Operating Model'!H70</f>
        <v>1779.9608279585357</v>
      </c>
      <c r="I15" s="12">
        <f>'Operating Model'!I70</f>
        <v>1963.3896154657937</v>
      </c>
      <c r="J15" s="90">
        <f>'Operating Model'!J70</f>
        <v>2183.9796044053378</v>
      </c>
    </row>
    <row r="16" spans="1:11" x14ac:dyDescent="0.3">
      <c r="B16" s="87" t="s">
        <v>9</v>
      </c>
      <c r="C16" s="10">
        <v>264</v>
      </c>
      <c r="D16" s="10">
        <v>367</v>
      </c>
      <c r="E16" s="10">
        <v>334</v>
      </c>
      <c r="F16" s="12">
        <f>'Operating Model'!F71</f>
        <v>351.91115597529011</v>
      </c>
      <c r="G16" s="12">
        <f>'Operating Model'!G71</f>
        <v>381.07027850139951</v>
      </c>
      <c r="H16" s="12">
        <f>'Operating Model'!H71</f>
        <v>416.58032113403789</v>
      </c>
      <c r="I16" s="12">
        <f>'Operating Model'!I71</f>
        <v>459.50981823574642</v>
      </c>
      <c r="J16" s="90">
        <f>'Operating Model'!J71</f>
        <v>511.13648719833435</v>
      </c>
    </row>
    <row r="17" spans="1:11" x14ac:dyDescent="0.3">
      <c r="B17" s="87" t="s">
        <v>10</v>
      </c>
      <c r="C17" s="9">
        <v>1580</v>
      </c>
      <c r="D17" s="9">
        <v>1776</v>
      </c>
      <c r="E17" s="10">
        <v>742</v>
      </c>
      <c r="F17" s="11">
        <f>E17</f>
        <v>742</v>
      </c>
      <c r="G17" s="11">
        <f t="shared" ref="G17:J17" si="14">F17</f>
        <v>742</v>
      </c>
      <c r="H17" s="11">
        <f t="shared" si="14"/>
        <v>742</v>
      </c>
      <c r="I17" s="11">
        <f t="shared" si="14"/>
        <v>742</v>
      </c>
      <c r="J17" s="88">
        <f t="shared" si="14"/>
        <v>742</v>
      </c>
    </row>
    <row r="18" spans="1:11" x14ac:dyDescent="0.3">
      <c r="B18" s="87" t="s">
        <v>11</v>
      </c>
      <c r="C18" s="10">
        <v>204</v>
      </c>
      <c r="D18" s="10">
        <v>268</v>
      </c>
      <c r="E18" s="10">
        <v>207</v>
      </c>
      <c r="F18" s="12">
        <f>'Operating Model'!F72</f>
        <v>247.9769360603882</v>
      </c>
      <c r="G18" s="12">
        <f>'Operating Model'!G72</f>
        <v>268.52413878317361</v>
      </c>
      <c r="H18" s="12">
        <f>'Operating Model'!H72</f>
        <v>293.54656680768818</v>
      </c>
      <c r="I18" s="12">
        <f>'Operating Model'!I72</f>
        <v>323.79717119217236</v>
      </c>
      <c r="J18" s="90">
        <f>'Operating Model'!J72</f>
        <v>360.17630544515242</v>
      </c>
    </row>
    <row r="19" spans="1:11" x14ac:dyDescent="0.3">
      <c r="B19" s="87" t="s">
        <v>12</v>
      </c>
      <c r="C19" s="10">
        <v>155</v>
      </c>
      <c r="D19" s="10">
        <v>305</v>
      </c>
      <c r="E19" s="10">
        <v>195</v>
      </c>
      <c r="F19" s="13">
        <f>'Operating Model'!F83</f>
        <v>252.05450928167227</v>
      </c>
      <c r="G19" s="13">
        <f>'Operating Model'!G83</f>
        <v>312.18677858523449</v>
      </c>
      <c r="H19" s="13">
        <f>'Operating Model'!H83</f>
        <v>389.11854855537877</v>
      </c>
      <c r="I19" s="13">
        <f>'Operating Model'!I83</f>
        <v>487.83263075597432</v>
      </c>
      <c r="J19" s="91">
        <f>'Operating Model'!J83</f>
        <v>614.83593481544153</v>
      </c>
    </row>
    <row r="20" spans="1:11" x14ac:dyDescent="0.3">
      <c r="B20" s="87" t="s">
        <v>13</v>
      </c>
      <c r="C20" s="10">
        <v>376</v>
      </c>
      <c r="D20" s="10">
        <v>483</v>
      </c>
      <c r="E20" s="10">
        <v>351</v>
      </c>
      <c r="F20" s="13">
        <f>'Operating Model'!F84</f>
        <v>477.13905716987443</v>
      </c>
      <c r="G20" s="13">
        <f>'Operating Model'!G84</f>
        <v>590.96941220995745</v>
      </c>
      <c r="H20" s="13">
        <f>'Operating Model'!H84</f>
        <v>736.60121342063871</v>
      </c>
      <c r="I20" s="13">
        <f>'Operating Model'!I84</f>
        <v>923.46692054411949</v>
      </c>
      <c r="J20" s="91">
        <f>'Operating Model'!J84</f>
        <v>1163.8841101793751</v>
      </c>
    </row>
    <row r="21" spans="1:11" x14ac:dyDescent="0.3">
      <c r="B21" s="87" t="s">
        <v>14</v>
      </c>
      <c r="C21" s="10">
        <v>22</v>
      </c>
      <c r="D21" s="10">
        <v>26</v>
      </c>
      <c r="E21" s="10">
        <v>15</v>
      </c>
      <c r="F21" s="10">
        <v>0</v>
      </c>
      <c r="G21" s="10">
        <v>0</v>
      </c>
      <c r="H21" s="10">
        <v>0</v>
      </c>
      <c r="I21" s="10">
        <v>0</v>
      </c>
      <c r="J21" s="92">
        <v>0</v>
      </c>
    </row>
    <row r="22" spans="1:11" x14ac:dyDescent="0.3">
      <c r="B22" s="87" t="s">
        <v>15</v>
      </c>
      <c r="C22" s="9">
        <v>1360</v>
      </c>
      <c r="D22" s="9">
        <v>1233</v>
      </c>
      <c r="E22" s="9">
        <v>1540</v>
      </c>
      <c r="F22" s="12">
        <f>'Operating Model'!F73</f>
        <v>1508.1482124472375</v>
      </c>
      <c r="G22" s="12">
        <f>'Operating Model'!G73</f>
        <v>1633.1123625390571</v>
      </c>
      <c r="H22" s="12">
        <f>'Operating Model'!H73</f>
        <v>1785.2939754575718</v>
      </c>
      <c r="I22" s="12">
        <f>'Operating Model'!I73</f>
        <v>1969.2723552726939</v>
      </c>
      <c r="J22" s="90">
        <f>'Operating Model'!J73</f>
        <v>2190.5232795144912</v>
      </c>
    </row>
    <row r="23" spans="1:11" x14ac:dyDescent="0.3">
      <c r="B23" s="87" t="s">
        <v>16</v>
      </c>
      <c r="C23" s="10">
        <v>113</v>
      </c>
      <c r="D23" s="10">
        <v>117</v>
      </c>
      <c r="E23" s="10">
        <v>116</v>
      </c>
      <c r="F23" s="12">
        <f>'Operating Model'!F74</f>
        <v>126.35119852411961</v>
      </c>
      <c r="G23" s="12">
        <f>'Operating Model'!G74</f>
        <v>136.82057415068903</v>
      </c>
      <c r="H23" s="12">
        <f>'Operating Model'!H74</f>
        <v>149.57020248753972</v>
      </c>
      <c r="I23" s="12">
        <f>'Operating Model'!I74</f>
        <v>164.98373320044345</v>
      </c>
      <c r="J23" s="90">
        <f>'Operating Model'!J74</f>
        <v>183.51992163457476</v>
      </c>
    </row>
    <row r="24" spans="1:11" x14ac:dyDescent="0.3">
      <c r="B24" s="87" t="s">
        <v>17</v>
      </c>
      <c r="C24" s="10">
        <v>208</v>
      </c>
      <c r="D24" s="10">
        <v>0</v>
      </c>
      <c r="E24" s="10">
        <v>61</v>
      </c>
      <c r="F24" s="10">
        <v>0</v>
      </c>
      <c r="G24" s="10">
        <v>0</v>
      </c>
      <c r="H24" s="10">
        <v>0</v>
      </c>
      <c r="I24" s="10">
        <v>0</v>
      </c>
      <c r="J24" s="92">
        <v>0</v>
      </c>
    </row>
    <row r="25" spans="1:11" x14ac:dyDescent="0.3">
      <c r="B25" s="87" t="s">
        <v>18</v>
      </c>
      <c r="C25" s="10">
        <v>514</v>
      </c>
      <c r="D25" s="10">
        <v>379</v>
      </c>
      <c r="E25" s="10">
        <v>312</v>
      </c>
      <c r="F25" s="14">
        <f ca="1">DEBT!F102</f>
        <v>200.11117408338674</v>
      </c>
      <c r="G25" s="14">
        <f ca="1">DEBT!G102</f>
        <v>71.094299083386744</v>
      </c>
      <c r="H25" s="14">
        <f ca="1">DEBT!H102</f>
        <v>20.526949999999999</v>
      </c>
      <c r="I25" s="14">
        <f ca="1">DEBT!I102</f>
        <v>20.526949999999999</v>
      </c>
      <c r="J25" s="93">
        <f ca="1">DEBT!J102</f>
        <v>20.526949999999999</v>
      </c>
    </row>
    <row r="26" spans="1:11" x14ac:dyDescent="0.3">
      <c r="B26" s="89" t="s">
        <v>248</v>
      </c>
      <c r="C26" s="15">
        <f>SUM(C15:C25)</f>
        <v>6037</v>
      </c>
      <c r="D26" s="15">
        <f t="shared" ref="D26:E26" si="15">SUM(D15:D25)</f>
        <v>6398</v>
      </c>
      <c r="E26" s="15">
        <f t="shared" si="15"/>
        <v>5309</v>
      </c>
      <c r="F26" s="15">
        <f ca="1">SUM(F15:F25)</f>
        <v>5409.3352165283895</v>
      </c>
      <c r="G26" s="15">
        <f ca="1">SUM(G15:G25)</f>
        <v>5764.0116658089182</v>
      </c>
      <c r="H26" s="15">
        <f ca="1">SUM(H15:H25)</f>
        <v>6313.1986058213915</v>
      </c>
      <c r="I26" s="15">
        <f ca="1">SUM(I15:I25)</f>
        <v>7054.779194666944</v>
      </c>
      <c r="J26" s="94">
        <f ca="1">SUM(J15:J25)</f>
        <v>7970.5825931927075</v>
      </c>
    </row>
    <row r="27" spans="1:11" s="2" customFormat="1" ht="15" thickBot="1" x14ac:dyDescent="0.35">
      <c r="A27"/>
      <c r="B27" s="101" t="s">
        <v>245</v>
      </c>
      <c r="C27" s="3">
        <f>C12-SUM(C15:C25)</f>
        <v>1891</v>
      </c>
      <c r="D27" s="3">
        <f t="shared" ref="D27:E27" si="16">D12-SUM(D15:D25)</f>
        <v>5734</v>
      </c>
      <c r="E27" s="3">
        <f t="shared" si="16"/>
        <v>2883</v>
      </c>
      <c r="F27" s="3">
        <f ca="1">F12-SUM(F15:F25)</f>
        <v>4529.8903090375088</v>
      </c>
      <c r="G27" s="3">
        <f ca="1">G12-SUM(G15:G25)</f>
        <v>6333.1198570147453</v>
      </c>
      <c r="H27" s="3">
        <f ca="1">H12-SUM(H15:H25)</f>
        <v>8544.7056222558022</v>
      </c>
      <c r="I27" s="3">
        <f ca="1">I12-SUM(I15:I25)</f>
        <v>11345.577571150117</v>
      </c>
      <c r="J27" s="103">
        <f ca="1">J12-SUM(J15:J25)</f>
        <v>14987.41343479736</v>
      </c>
      <c r="K27"/>
    </row>
    <row r="28" spans="1:11" ht="15" thickTop="1" x14ac:dyDescent="0.3">
      <c r="B28" s="87" t="s">
        <v>20</v>
      </c>
      <c r="C28" s="10">
        <v>652</v>
      </c>
      <c r="D28" s="9">
        <v>1507</v>
      </c>
      <c r="E28" s="9">
        <v>1338</v>
      </c>
      <c r="F28" s="14">
        <f ca="1">F27*'Operating Model'!F90-F29</f>
        <v>951.27696489787684</v>
      </c>
      <c r="G28" s="14">
        <f ca="1">G27*'Operating Model'!G90-G29</f>
        <v>1329.9551699730964</v>
      </c>
      <c r="H28" s="14">
        <f ca="1">H27*'Operating Model'!H90-H29</f>
        <v>1794.3881806737184</v>
      </c>
      <c r="I28" s="14">
        <f ca="1">I27*'Operating Model'!I90-I29</f>
        <v>2382.5712899415244</v>
      </c>
      <c r="J28" s="93">
        <f ca="1">J27*'Operating Model'!J90-J29</f>
        <v>3147.3568213074454</v>
      </c>
    </row>
    <row r="29" spans="1:11" x14ac:dyDescent="0.3">
      <c r="B29" s="87" t="s">
        <v>21</v>
      </c>
      <c r="C29" s="10">
        <v>-74</v>
      </c>
      <c r="D29" s="10">
        <v>145</v>
      </c>
      <c r="E29" s="9">
        <v>-1662</v>
      </c>
      <c r="F29" s="11">
        <v>0</v>
      </c>
      <c r="G29" s="11">
        <v>0</v>
      </c>
      <c r="H29" s="11">
        <v>0</v>
      </c>
      <c r="I29" s="11">
        <v>0</v>
      </c>
      <c r="J29" s="88">
        <v>0</v>
      </c>
    </row>
    <row r="30" spans="1:11" x14ac:dyDescent="0.3">
      <c r="B30" s="89" t="s">
        <v>22</v>
      </c>
      <c r="C30" s="15">
        <f>C27-SUM(C28:C29)</f>
        <v>1313</v>
      </c>
      <c r="D30" s="15">
        <f t="shared" ref="D30:E30" si="17">D27-SUM(D28:D29)</f>
        <v>4082</v>
      </c>
      <c r="E30" s="15">
        <f t="shared" si="17"/>
        <v>3207</v>
      </c>
      <c r="F30" s="15">
        <f ca="1">F27-SUM(F28:F29)</f>
        <v>3578.6133441396319</v>
      </c>
      <c r="G30" s="15">
        <f ca="1">G27-SUM(G28:G29)</f>
        <v>5003.1646870416489</v>
      </c>
      <c r="H30" s="15">
        <f ca="1">H27-SUM(H28:H29)</f>
        <v>6750.317441582084</v>
      </c>
      <c r="I30" s="15">
        <f ca="1">I27-SUM(I28:I29)</f>
        <v>8963.0062812085926</v>
      </c>
      <c r="J30" s="94">
        <f ca="1">J27-SUM(J28:J29)</f>
        <v>11840.056613489915</v>
      </c>
    </row>
    <row r="31" spans="1:11" x14ac:dyDescent="0.3">
      <c r="B31" s="87" t="s">
        <v>23</v>
      </c>
      <c r="C31" s="10">
        <v>174</v>
      </c>
      <c r="D31" s="10">
        <v>464</v>
      </c>
      <c r="E31" s="10">
        <v>352</v>
      </c>
      <c r="F31" s="11">
        <f>E31</f>
        <v>352</v>
      </c>
      <c r="G31" s="11">
        <f t="shared" ref="G31:J31" si="18">F31</f>
        <v>352</v>
      </c>
      <c r="H31" s="11">
        <f t="shared" si="18"/>
        <v>352</v>
      </c>
      <c r="I31" s="11">
        <f t="shared" si="18"/>
        <v>352</v>
      </c>
      <c r="J31" s="88">
        <f t="shared" si="18"/>
        <v>352</v>
      </c>
    </row>
    <row r="32" spans="1:11" x14ac:dyDescent="0.3">
      <c r="B32" s="87" t="s">
        <v>24</v>
      </c>
      <c r="C32" s="10">
        <v>4</v>
      </c>
      <c r="D32" s="10">
        <v>14</v>
      </c>
      <c r="E32" s="10">
        <v>0</v>
      </c>
      <c r="F32" s="11">
        <v>0</v>
      </c>
      <c r="G32" s="11">
        <v>0</v>
      </c>
      <c r="H32" s="11">
        <v>0</v>
      </c>
      <c r="I32" s="11">
        <v>0</v>
      </c>
      <c r="J32" s="88">
        <v>0</v>
      </c>
    </row>
    <row r="33" spans="1:11" x14ac:dyDescent="0.3">
      <c r="B33" s="87" t="s">
        <v>25</v>
      </c>
      <c r="C33" s="10">
        <v>162</v>
      </c>
      <c r="D33" s="10">
        <v>-70</v>
      </c>
      <c r="E33" s="10">
        <v>0</v>
      </c>
      <c r="F33" s="11">
        <v>0</v>
      </c>
      <c r="G33" s="11">
        <v>0</v>
      </c>
      <c r="H33" s="11">
        <v>0</v>
      </c>
      <c r="I33" s="11">
        <v>0</v>
      </c>
      <c r="J33" s="88">
        <v>0</v>
      </c>
    </row>
    <row r="34" spans="1:11" s="2" customFormat="1" ht="15" thickBot="1" x14ac:dyDescent="0.35">
      <c r="A34"/>
      <c r="B34" s="84" t="s">
        <v>26</v>
      </c>
      <c r="C34" s="85">
        <f>C30-SUM(C31:C33)</f>
        <v>973</v>
      </c>
      <c r="D34" s="85">
        <f t="shared" ref="D34:E34" si="19">D30-SUM(D31:D33)</f>
        <v>3674</v>
      </c>
      <c r="E34" s="85">
        <f t="shared" si="19"/>
        <v>2855</v>
      </c>
      <c r="F34" s="85">
        <f ca="1">F30-SUM(F31:F33)</f>
        <v>3226.6133441396319</v>
      </c>
      <c r="G34" s="85">
        <f ca="1">G30-SUM(G31:G33)</f>
        <v>4651.1646870416489</v>
      </c>
      <c r="H34" s="85">
        <f ca="1">H30-SUM(H31:H33)</f>
        <v>6398.317441582084</v>
      </c>
      <c r="I34" s="85">
        <f ca="1">I30-SUM(I31:I33)</f>
        <v>8611.0062812085926</v>
      </c>
      <c r="J34" s="86">
        <f ca="1">J30-SUM(J31:J33)</f>
        <v>11488.056613489915</v>
      </c>
      <c r="K34"/>
    </row>
    <row r="35" spans="1:11" ht="15" thickTop="1" x14ac:dyDescent="0.3">
      <c r="B35" s="97" t="s">
        <v>243</v>
      </c>
      <c r="C35" s="104"/>
      <c r="D35" s="104"/>
      <c r="E35" s="104"/>
      <c r="F35" s="104"/>
      <c r="G35" s="104"/>
      <c r="H35" s="104"/>
      <c r="I35" s="104"/>
      <c r="J35" s="105"/>
    </row>
    <row r="36" spans="1:11" x14ac:dyDescent="0.3">
      <c r="B36" s="87" t="s">
        <v>50</v>
      </c>
      <c r="C36" s="10">
        <v>87</v>
      </c>
      <c r="D36" s="10">
        <v>245</v>
      </c>
      <c r="E36" s="10">
        <v>308</v>
      </c>
      <c r="F36" s="13">
        <f ca="1">F34*'Operating Model'!F93</f>
        <v>283.92036223039162</v>
      </c>
      <c r="G36" s="13">
        <f ca="1">G34*'Operating Model'!G93</f>
        <v>409.27133867358225</v>
      </c>
      <c r="H36" s="13">
        <f ca="1">H34*'Operating Model'!H93</f>
        <v>563.00907853693047</v>
      </c>
      <c r="I36" s="13">
        <f ca="1">I34*'Operating Model'!I93</f>
        <v>757.71087569862868</v>
      </c>
      <c r="J36" s="91">
        <f ca="1">J34*'Operating Model'!J93</f>
        <v>1010.8720342799626</v>
      </c>
    </row>
    <row r="37" spans="1:11" x14ac:dyDescent="0.3">
      <c r="B37" s="87"/>
      <c r="C37" s="11"/>
      <c r="D37" s="11"/>
      <c r="E37" s="11"/>
      <c r="F37" s="11"/>
      <c r="G37" s="11"/>
      <c r="H37" s="11"/>
      <c r="I37" s="11"/>
      <c r="J37" s="88"/>
    </row>
    <row r="38" spans="1:11" x14ac:dyDescent="0.3">
      <c r="B38" s="87" t="s">
        <v>51</v>
      </c>
      <c r="C38" s="12">
        <f>C34-C36</f>
        <v>886</v>
      </c>
      <c r="D38" s="12">
        <f t="shared" ref="D38:E38" si="20">D34-D36</f>
        <v>3429</v>
      </c>
      <c r="E38" s="12">
        <f t="shared" si="20"/>
        <v>2547</v>
      </c>
      <c r="F38" s="12">
        <f ca="1">F34-F36</f>
        <v>2942.6929819092402</v>
      </c>
      <c r="G38" s="12">
        <f ca="1">G34-G36</f>
        <v>4241.8933483680667</v>
      </c>
      <c r="H38" s="12">
        <f ca="1">H34-H36</f>
        <v>5835.3083630451538</v>
      </c>
      <c r="I38" s="12">
        <f ca="1">I34-I36</f>
        <v>7853.2954055099635</v>
      </c>
      <c r="J38" s="90">
        <f ca="1">J34-J36</f>
        <v>10477.184579209952</v>
      </c>
    </row>
    <row r="39" spans="1:11" x14ac:dyDescent="0.3">
      <c r="B39" s="87" t="s">
        <v>161</v>
      </c>
      <c r="C39" s="12">
        <f t="shared" ref="C39:J39" si="21">C12-SUM(C15:C24)</f>
        <v>2405</v>
      </c>
      <c r="D39" s="12">
        <f t="shared" si="21"/>
        <v>6113</v>
      </c>
      <c r="E39" s="12">
        <f t="shared" si="21"/>
        <v>3195</v>
      </c>
      <c r="F39" s="12">
        <f t="shared" si="21"/>
        <v>4730.0014831208955</v>
      </c>
      <c r="G39" s="12">
        <f t="shared" si="21"/>
        <v>6404.2141560981318</v>
      </c>
      <c r="H39" s="12">
        <f t="shared" si="21"/>
        <v>8565.2325722558016</v>
      </c>
      <c r="I39" s="12">
        <f t="shared" si="21"/>
        <v>11366.104521150119</v>
      </c>
      <c r="J39" s="90">
        <f t="shared" si="21"/>
        <v>15007.940384797359</v>
      </c>
    </row>
    <row r="40" spans="1:11" x14ac:dyDescent="0.3">
      <c r="B40" s="87" t="s">
        <v>156</v>
      </c>
      <c r="C40" s="12">
        <f t="shared" ref="C40:J40" si="22">C19+C22+C24+C39</f>
        <v>4128</v>
      </c>
      <c r="D40" s="12">
        <f t="shared" si="22"/>
        <v>7651</v>
      </c>
      <c r="E40" s="12">
        <f t="shared" si="22"/>
        <v>4991</v>
      </c>
      <c r="F40" s="12">
        <f t="shared" si="22"/>
        <v>6490.2042048498051</v>
      </c>
      <c r="G40" s="12">
        <f t="shared" si="22"/>
        <v>8349.5132972224237</v>
      </c>
      <c r="H40" s="12">
        <f t="shared" si="22"/>
        <v>10739.645096268752</v>
      </c>
      <c r="I40" s="12">
        <f t="shared" si="22"/>
        <v>13823.209507178786</v>
      </c>
      <c r="J40" s="90">
        <f t="shared" si="22"/>
        <v>17813.299599127291</v>
      </c>
    </row>
    <row r="41" spans="1:11" x14ac:dyDescent="0.3">
      <c r="B41" s="95" t="s">
        <v>209</v>
      </c>
      <c r="C41" s="96">
        <f>'BS Schedules'!C5-'BS Schedules'!C7</f>
        <v>4696</v>
      </c>
      <c r="D41" s="96">
        <f>'BS Schedules'!D5-'BS Schedules'!D7</f>
        <v>7220</v>
      </c>
      <c r="E41" s="96">
        <f>'BS Schedules'!E5-'BS Schedules'!E7</f>
        <v>5560</v>
      </c>
      <c r="F41" s="96">
        <f>'BS Schedules'!F5-'BS Schedules'!F7</f>
        <v>7093.6944605437984</v>
      </c>
      <c r="G41" s="96">
        <f>'BS Schedules'!G5-'BS Schedules'!G7</f>
        <v>9077.3032835830709</v>
      </c>
      <c r="H41" s="96">
        <f>'BS Schedules'!H5-'BS Schedules'!H7</f>
        <v>11625.816512176933</v>
      </c>
      <c r="I41" s="96">
        <f>'BS Schedules'!I5-'BS Schedules'!I7</f>
        <v>14911.660160923349</v>
      </c>
      <c r="J41" s="162">
        <f>'BS Schedules'!J5-'BS Schedules'!J7</f>
        <v>19160.703630941243</v>
      </c>
    </row>
    <row r="43" spans="1:11" x14ac:dyDescent="0.3">
      <c r="C43">
        <v>8</v>
      </c>
    </row>
    <row r="44" spans="1:11" x14ac:dyDescent="0.3">
      <c r="B44" t="str">
        <f>B7</f>
        <v>Total Revenues</v>
      </c>
      <c r="C44" s="82" cm="1">
        <f t="array" ref="C44">INDEX(C5:J27,MATCH(B44,B5:B27,0),$C$43)</f>
        <v>22957.996027990066</v>
      </c>
    </row>
    <row r="45" spans="1:11" x14ac:dyDescent="0.3">
      <c r="B45" t="str">
        <f>B26</f>
        <v>Total Expense</v>
      </c>
      <c r="C45" s="82" cm="1">
        <f t="array" aca="1" ref="C45" ca="1">INDEX(C6:J28,MATCH(B45,B6:B28,0),$C$43)</f>
        <v>7970.5825931927075</v>
      </c>
    </row>
    <row r="47" spans="1:11" x14ac:dyDescent="0.3">
      <c r="C47">
        <v>2021</v>
      </c>
    </row>
    <row r="48" spans="1:11" x14ac:dyDescent="0.3">
      <c r="C48">
        <f>C47+1</f>
        <v>2022</v>
      </c>
    </row>
    <row r="49" spans="3:3" x14ac:dyDescent="0.3">
      <c r="C49">
        <f t="shared" ref="C49:C54" si="23">C48+1</f>
        <v>2023</v>
      </c>
    </row>
    <row r="50" spans="3:3" x14ac:dyDescent="0.3">
      <c r="C50">
        <f t="shared" si="23"/>
        <v>2024</v>
      </c>
    </row>
    <row r="51" spans="3:3" x14ac:dyDescent="0.3">
      <c r="C51">
        <f t="shared" si="23"/>
        <v>2025</v>
      </c>
    </row>
    <row r="52" spans="3:3" x14ac:dyDescent="0.3">
      <c r="C52">
        <f t="shared" si="23"/>
        <v>2026</v>
      </c>
    </row>
    <row r="53" spans="3:3" x14ac:dyDescent="0.3">
      <c r="C53">
        <f t="shared" si="23"/>
        <v>2027</v>
      </c>
    </row>
    <row r="54" spans="3:3" x14ac:dyDescent="0.3">
      <c r="C54">
        <f t="shared" si="23"/>
        <v>2028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F558-255E-448B-A1D2-61990E659DC5}">
  <sheetPr>
    <tabColor theme="9" tint="-0.249977111117893"/>
  </sheetPr>
  <dimension ref="A1:K49"/>
  <sheetViews>
    <sheetView showGridLines="0" zoomScale="75" zoomScaleNormal="75" workbookViewId="0">
      <pane ySplit="3" topLeftCell="A21" activePane="bottomLeft" state="frozen"/>
      <selection pane="bottomLeft" activeCell="A39" sqref="A39"/>
    </sheetView>
  </sheetViews>
  <sheetFormatPr defaultColWidth="0" defaultRowHeight="14.4" x14ac:dyDescent="0.3"/>
  <cols>
    <col min="1" max="1" width="2.88671875" customWidth="1"/>
    <col min="2" max="2" width="62.33203125" bestFit="1" customWidth="1"/>
    <col min="3" max="10" width="15.88671875" customWidth="1"/>
    <col min="11" max="11" width="9.109375" customWidth="1"/>
    <col min="12" max="16384" width="9.109375" hidden="1"/>
  </cols>
  <sheetData>
    <row r="1" spans="1:11" s="33" customFormat="1" ht="25.8" customHeight="1" x14ac:dyDescent="0.5">
      <c r="B1" s="34" t="s">
        <v>158</v>
      </c>
      <c r="C1" s="35" t="s">
        <v>159</v>
      </c>
      <c r="D1" s="35"/>
      <c r="E1" s="36"/>
      <c r="F1" s="37" t="s">
        <v>44</v>
      </c>
      <c r="G1" s="37"/>
      <c r="H1" s="37"/>
      <c r="I1" s="35"/>
      <c r="J1" s="35"/>
    </row>
    <row r="2" spans="1:11" s="33" customFormat="1" ht="26.4" thickBot="1" x14ac:dyDescent="0.55000000000000004">
      <c r="B2" s="38" t="s">
        <v>70</v>
      </c>
      <c r="C2" s="39">
        <v>2021</v>
      </c>
      <c r="D2" s="39">
        <f>C2+1</f>
        <v>2022</v>
      </c>
      <c r="E2" s="40">
        <f t="shared" ref="E2:J2" si="0">D2+1</f>
        <v>2023</v>
      </c>
      <c r="F2" s="41">
        <f t="shared" si="0"/>
        <v>2024</v>
      </c>
      <c r="G2" s="39">
        <f t="shared" si="0"/>
        <v>2025</v>
      </c>
      <c r="H2" s="39">
        <f t="shared" si="0"/>
        <v>2026</v>
      </c>
      <c r="I2" s="39">
        <f t="shared" si="0"/>
        <v>2027</v>
      </c>
      <c r="J2" s="39">
        <f t="shared" si="0"/>
        <v>2028</v>
      </c>
    </row>
    <row r="3" spans="1:11" s="33" customFormat="1" ht="26.4" thickTop="1" x14ac:dyDescent="0.5">
      <c r="B3" s="33" t="s">
        <v>251</v>
      </c>
      <c r="C3" s="38"/>
      <c r="D3" s="38"/>
      <c r="E3" s="42"/>
      <c r="F3" s="38"/>
      <c r="G3" s="38"/>
      <c r="H3" s="38"/>
      <c r="I3" s="38"/>
      <c r="J3" s="38"/>
    </row>
    <row r="4" spans="1:11" x14ac:dyDescent="0.3">
      <c r="B4" s="97"/>
      <c r="C4" s="104"/>
      <c r="D4" s="104"/>
      <c r="E4" s="104"/>
      <c r="F4" s="104"/>
      <c r="G4" s="104"/>
      <c r="H4" s="104"/>
      <c r="I4" s="104"/>
      <c r="J4" s="105"/>
    </row>
    <row r="5" spans="1:11" x14ac:dyDescent="0.3">
      <c r="B5" s="87" t="s">
        <v>53</v>
      </c>
      <c r="C5" s="11"/>
      <c r="D5" s="11"/>
      <c r="E5" s="11"/>
      <c r="F5" s="11"/>
      <c r="G5" s="11"/>
      <c r="H5" s="11"/>
      <c r="I5" s="11"/>
      <c r="J5" s="88"/>
    </row>
    <row r="6" spans="1:11" x14ac:dyDescent="0.3">
      <c r="B6" s="87" t="s">
        <v>54</v>
      </c>
      <c r="C6" s="11"/>
      <c r="D6" s="65">
        <v>245</v>
      </c>
      <c r="E6" s="65">
        <v>87</v>
      </c>
      <c r="F6" s="12">
        <f ca="1">CFS!F31</f>
        <v>198.78451051131788</v>
      </c>
      <c r="G6" s="12">
        <f ca="1">CFS!G31</f>
        <v>1844.8026327241791</v>
      </c>
      <c r="H6" s="12">
        <f ca="1">CFS!H31</f>
        <v>6585.5697760905514</v>
      </c>
      <c r="I6" s="12">
        <f ca="1">CFS!I31</f>
        <v>12778.943580849365</v>
      </c>
      <c r="J6" s="90">
        <f ca="1">CFS!J31</f>
        <v>20849.399518056827</v>
      </c>
    </row>
    <row r="7" spans="1:11" x14ac:dyDescent="0.3">
      <c r="B7" s="87" t="s">
        <v>55</v>
      </c>
      <c r="C7" s="11"/>
      <c r="D7" s="66">
        <v>1466</v>
      </c>
      <c r="E7" s="66">
        <v>1610</v>
      </c>
      <c r="F7" s="13">
        <f>'BS Schedules'!F11</f>
        <v>1564.8856726969009</v>
      </c>
      <c r="G7" s="13">
        <f>'BS Schedules'!G11</f>
        <v>1904.6381181413994</v>
      </c>
      <c r="H7" s="13">
        <f>'BS Schedules'!H11</f>
        <v>2339.3091738399703</v>
      </c>
      <c r="I7" s="13">
        <f>'BS Schedules'!I11</f>
        <v>2897.0521497145692</v>
      </c>
      <c r="J7" s="91">
        <f>'BS Schedules'!J11</f>
        <v>3614.6316396204825</v>
      </c>
    </row>
    <row r="8" spans="1:11" x14ac:dyDescent="0.3">
      <c r="B8" s="87" t="s">
        <v>90</v>
      </c>
      <c r="C8" s="11"/>
      <c r="D8" s="66">
        <v>427</v>
      </c>
      <c r="E8" s="66">
        <v>453</v>
      </c>
      <c r="F8" s="13">
        <f>'BS Schedules'!F12</f>
        <v>314.00337837837839</v>
      </c>
      <c r="G8" s="13">
        <f>'BS Schedules'!G12</f>
        <v>314.00337837837839</v>
      </c>
      <c r="H8" s="13">
        <f>'BS Schedules'!H12</f>
        <v>314.00337837837839</v>
      </c>
      <c r="I8" s="13">
        <f>'BS Schedules'!I12</f>
        <v>314.00337837837839</v>
      </c>
      <c r="J8" s="91">
        <f>'BS Schedules'!J12</f>
        <v>314.00337837837839</v>
      </c>
    </row>
    <row r="9" spans="1:11" x14ac:dyDescent="0.3">
      <c r="B9" s="87" t="s">
        <v>56</v>
      </c>
      <c r="C9" s="11"/>
      <c r="D9" s="66">
        <f>997-D8</f>
        <v>570</v>
      </c>
      <c r="E9" s="66">
        <f>765-E8</f>
        <v>312</v>
      </c>
      <c r="F9" s="12">
        <f>E9</f>
        <v>312</v>
      </c>
      <c r="G9" s="12">
        <f t="shared" ref="G9:J9" si="1">F9</f>
        <v>312</v>
      </c>
      <c r="H9" s="12">
        <f t="shared" si="1"/>
        <v>312</v>
      </c>
      <c r="I9" s="12">
        <f t="shared" si="1"/>
        <v>312</v>
      </c>
      <c r="J9" s="90">
        <f t="shared" si="1"/>
        <v>312</v>
      </c>
    </row>
    <row r="10" spans="1:11" s="1" customFormat="1" ht="15" thickBot="1" x14ac:dyDescent="0.35">
      <c r="A10"/>
      <c r="B10" s="101" t="s">
        <v>57</v>
      </c>
      <c r="C10" s="2"/>
      <c r="D10" s="2">
        <f>SUM(D6:D9)</f>
        <v>2708</v>
      </c>
      <c r="E10" s="6">
        <f>SUM(E6:E9)</f>
        <v>2462</v>
      </c>
      <c r="F10" s="6">
        <f ca="1">SUM(F6:F9)</f>
        <v>2389.6735615865973</v>
      </c>
      <c r="G10" s="6">
        <f t="shared" ref="G10:J10" ca="1" si="2">SUM(G6:G9)</f>
        <v>4375.4441292439569</v>
      </c>
      <c r="H10" s="6">
        <f t="shared" ca="1" si="2"/>
        <v>9550.8823283089005</v>
      </c>
      <c r="I10" s="6">
        <f t="shared" ca="1" si="2"/>
        <v>16301.999108942313</v>
      </c>
      <c r="J10" s="102">
        <f t="shared" ca="1" si="2"/>
        <v>25090.034536055689</v>
      </c>
      <c r="K10"/>
    </row>
    <row r="11" spans="1:11" ht="15" thickTop="1" x14ac:dyDescent="0.3">
      <c r="B11" s="87"/>
      <c r="C11" s="11"/>
      <c r="D11" s="11"/>
      <c r="E11" s="11"/>
      <c r="F11" s="11"/>
      <c r="G11" s="11"/>
      <c r="H11" s="11"/>
      <c r="I11" s="11"/>
      <c r="J11" s="88"/>
    </row>
    <row r="12" spans="1:11" x14ac:dyDescent="0.3">
      <c r="B12" s="89" t="s">
        <v>58</v>
      </c>
      <c r="C12" s="11"/>
      <c r="D12" s="11"/>
      <c r="E12" s="11"/>
      <c r="F12" s="11"/>
      <c r="G12" s="11"/>
      <c r="H12" s="11"/>
      <c r="I12" s="11"/>
      <c r="J12" s="88"/>
    </row>
    <row r="13" spans="1:11" x14ac:dyDescent="0.3">
      <c r="B13" s="87" t="s">
        <v>59</v>
      </c>
      <c r="C13" s="11"/>
      <c r="D13" s="66">
        <v>42356</v>
      </c>
      <c r="E13" s="66">
        <v>44860</v>
      </c>
      <c r="F13" s="11"/>
      <c r="G13" s="11"/>
      <c r="H13" s="11"/>
      <c r="I13" s="11"/>
      <c r="J13" s="88"/>
    </row>
    <row r="14" spans="1:11" x14ac:dyDescent="0.3">
      <c r="B14" s="87" t="s">
        <v>60</v>
      </c>
      <c r="C14" s="11"/>
      <c r="D14" s="65">
        <v>449</v>
      </c>
      <c r="E14" s="65">
        <v>448</v>
      </c>
      <c r="F14" s="11"/>
      <c r="G14" s="11"/>
      <c r="H14" s="11"/>
      <c r="I14" s="11"/>
      <c r="J14" s="88"/>
    </row>
    <row r="15" spans="1:11" x14ac:dyDescent="0.3">
      <c r="B15" s="87" t="s">
        <v>61</v>
      </c>
      <c r="C15" s="11"/>
      <c r="D15" s="65">
        <v>613</v>
      </c>
      <c r="E15" s="65">
        <v>634</v>
      </c>
      <c r="F15" s="11"/>
      <c r="G15" s="11"/>
      <c r="H15" s="11"/>
      <c r="I15" s="11"/>
      <c r="J15" s="88"/>
    </row>
    <row r="16" spans="1:11" x14ac:dyDescent="0.3">
      <c r="B16" s="87" t="s">
        <v>62</v>
      </c>
      <c r="C16" s="11"/>
      <c r="D16" s="66">
        <v>34406</v>
      </c>
      <c r="E16" s="66">
        <v>35904</v>
      </c>
      <c r="F16" s="12">
        <f>'BS Schedules'!F31</f>
        <v>37462.559114303571</v>
      </c>
      <c r="G16" s="12">
        <f>'BS Schedules'!G31</f>
        <v>39158.108832559672</v>
      </c>
      <c r="H16" s="12">
        <f>'BS Schedules'!H31</f>
        <v>41021.226517728319</v>
      </c>
      <c r="I16" s="12">
        <f>'BS Schedules'!I31</f>
        <v>43088.065399152212</v>
      </c>
      <c r="J16" s="90">
        <f>'BS Schedules'!J31</f>
        <v>45401.555865629794</v>
      </c>
    </row>
    <row r="17" spans="1:11" s="1" customFormat="1" ht="15" thickBot="1" x14ac:dyDescent="0.35">
      <c r="A17"/>
      <c r="B17" s="101" t="s">
        <v>63</v>
      </c>
      <c r="C17" s="2"/>
      <c r="D17" s="2">
        <f>SUM(D13:D15)-D16</f>
        <v>9012</v>
      </c>
      <c r="E17" s="6">
        <v>10038</v>
      </c>
      <c r="F17" s="6">
        <f>'BS Schedules'!F33</f>
        <v>10391.365258167083</v>
      </c>
      <c r="G17" s="6">
        <f>'BS Schedules'!G33</f>
        <v>11022.837955890696</v>
      </c>
      <c r="H17" s="6">
        <f>'BS Schedules'!H33</f>
        <v>12017.809076980237</v>
      </c>
      <c r="I17" s="6">
        <f>'BS Schedules'!I33</f>
        <v>13490.490500456348</v>
      </c>
      <c r="J17" s="102">
        <f>'BS Schedules'!J33</f>
        <v>15593.234682854942</v>
      </c>
      <c r="K17"/>
    </row>
    <row r="18" spans="1:11" ht="15" thickTop="1" x14ac:dyDescent="0.3">
      <c r="B18" s="87"/>
      <c r="C18" s="11"/>
      <c r="D18" s="11"/>
      <c r="E18" s="11"/>
      <c r="F18" s="11"/>
      <c r="G18" s="11"/>
      <c r="H18" s="11"/>
      <c r="I18" s="11"/>
      <c r="J18" s="88"/>
    </row>
    <row r="19" spans="1:11" x14ac:dyDescent="0.3">
      <c r="B19" s="87" t="s">
        <v>64</v>
      </c>
      <c r="C19" s="11"/>
      <c r="D19" s="11"/>
      <c r="E19" s="11"/>
      <c r="F19" s="11"/>
      <c r="G19" s="11"/>
      <c r="H19" s="11"/>
      <c r="I19" s="11"/>
      <c r="J19" s="88"/>
    </row>
    <row r="20" spans="1:11" x14ac:dyDescent="0.3">
      <c r="B20" s="87" t="s">
        <v>66</v>
      </c>
      <c r="C20" s="11"/>
      <c r="D20" s="65">
        <v>624</v>
      </c>
      <c r="E20" s="65">
        <v>437</v>
      </c>
      <c r="F20" s="11">
        <f t="shared" ref="F20:J23" si="3">E20</f>
        <v>437</v>
      </c>
      <c r="G20" s="11">
        <f t="shared" si="3"/>
        <v>437</v>
      </c>
      <c r="H20" s="11">
        <f t="shared" si="3"/>
        <v>437</v>
      </c>
      <c r="I20" s="11">
        <f t="shared" si="3"/>
        <v>437</v>
      </c>
      <c r="J20" s="88">
        <f t="shared" si="3"/>
        <v>437</v>
      </c>
    </row>
    <row r="21" spans="1:11" x14ac:dyDescent="0.3">
      <c r="B21" s="87" t="s">
        <v>67</v>
      </c>
      <c r="C21" s="11"/>
      <c r="D21" s="65">
        <v>217</v>
      </c>
      <c r="E21" s="65">
        <v>21</v>
      </c>
      <c r="F21" s="11">
        <f t="shared" si="3"/>
        <v>21</v>
      </c>
      <c r="G21" s="11">
        <f t="shared" si="3"/>
        <v>21</v>
      </c>
      <c r="H21" s="11">
        <f t="shared" si="3"/>
        <v>21</v>
      </c>
      <c r="I21" s="11">
        <f t="shared" si="3"/>
        <v>21</v>
      </c>
      <c r="J21" s="88">
        <f t="shared" si="3"/>
        <v>21</v>
      </c>
    </row>
    <row r="22" spans="1:11" x14ac:dyDescent="0.3">
      <c r="B22" s="87" t="s">
        <v>68</v>
      </c>
      <c r="C22" s="11"/>
      <c r="D22" s="65">
        <v>39</v>
      </c>
      <c r="E22" s="66">
        <v>1758</v>
      </c>
      <c r="F22" s="11">
        <f t="shared" si="3"/>
        <v>1758</v>
      </c>
      <c r="G22" s="11">
        <f t="shared" si="3"/>
        <v>1758</v>
      </c>
      <c r="H22" s="11">
        <f t="shared" si="3"/>
        <v>1758</v>
      </c>
      <c r="I22" s="11">
        <f t="shared" si="3"/>
        <v>1758</v>
      </c>
      <c r="J22" s="88">
        <f t="shared" si="3"/>
        <v>1758</v>
      </c>
    </row>
    <row r="23" spans="1:11" x14ac:dyDescent="0.3">
      <c r="B23" s="87" t="s">
        <v>65</v>
      </c>
      <c r="C23" s="11"/>
      <c r="D23" s="65">
        <v>547</v>
      </c>
      <c r="E23" s="65">
        <v>528</v>
      </c>
      <c r="F23" s="11">
        <f t="shared" si="3"/>
        <v>528</v>
      </c>
      <c r="G23" s="11">
        <f t="shared" si="3"/>
        <v>528</v>
      </c>
      <c r="H23" s="11">
        <f t="shared" si="3"/>
        <v>528</v>
      </c>
      <c r="I23" s="11">
        <f t="shared" si="3"/>
        <v>528</v>
      </c>
      <c r="J23" s="88">
        <f t="shared" si="3"/>
        <v>528</v>
      </c>
    </row>
    <row r="24" spans="1:11" s="2" customFormat="1" ht="15" thickBot="1" x14ac:dyDescent="0.35">
      <c r="A24"/>
      <c r="B24" s="101" t="s">
        <v>69</v>
      </c>
      <c r="D24" s="3">
        <f>SUM(D10,D17,D20:D23)</f>
        <v>13147</v>
      </c>
      <c r="E24" s="3">
        <f>SUM(E10,E17,E20:E23)</f>
        <v>15244</v>
      </c>
      <c r="F24" s="3">
        <f t="shared" ref="F24:J24" ca="1" si="4">SUM(F10,F17,F20:F23)</f>
        <v>15525.038819753681</v>
      </c>
      <c r="G24" s="3">
        <f t="shared" ca="1" si="4"/>
        <v>18142.282085134655</v>
      </c>
      <c r="H24" s="3">
        <f t="shared" ca="1" si="4"/>
        <v>24312.691405289137</v>
      </c>
      <c r="I24" s="3">
        <f t="shared" ca="1" si="4"/>
        <v>32536.489609398661</v>
      </c>
      <c r="J24" s="103">
        <f t="shared" ca="1" si="4"/>
        <v>43427.269218910631</v>
      </c>
      <c r="K24"/>
    </row>
    <row r="25" spans="1:11" ht="15" thickTop="1" x14ac:dyDescent="0.3">
      <c r="B25" s="87"/>
      <c r="C25" s="11"/>
      <c r="D25" s="11"/>
      <c r="E25" s="11"/>
      <c r="F25" s="11"/>
      <c r="G25" s="11"/>
      <c r="H25" s="11"/>
      <c r="I25" s="11"/>
      <c r="J25" s="88"/>
    </row>
    <row r="26" spans="1:11" x14ac:dyDescent="0.3">
      <c r="B26" s="87" t="s">
        <v>71</v>
      </c>
      <c r="C26" s="11"/>
      <c r="D26" s="11"/>
      <c r="E26" s="11"/>
      <c r="F26" s="11"/>
      <c r="G26" s="11"/>
      <c r="H26" s="11"/>
      <c r="I26" s="11"/>
      <c r="J26" s="88"/>
    </row>
    <row r="27" spans="1:11" x14ac:dyDescent="0.3">
      <c r="B27" s="87" t="s">
        <v>72</v>
      </c>
      <c r="C27" s="11"/>
      <c r="D27" s="65">
        <v>771</v>
      </c>
      <c r="E27" s="65">
        <v>658</v>
      </c>
      <c r="F27" s="13">
        <f>'BS Schedules'!F13</f>
        <v>651.04664705072105</v>
      </c>
      <c r="G27" s="13">
        <f>'BS Schedules'!G13</f>
        <v>690.92517526650227</v>
      </c>
      <c r="H27" s="13">
        <f>'BS Schedules'!H13</f>
        <v>739.48933338893153</v>
      </c>
      <c r="I27" s="13">
        <f>'BS Schedules'!I13</f>
        <v>798.20046778355788</v>
      </c>
      <c r="J27" s="91">
        <f>'BS Schedules'!J13</f>
        <v>868.8060072015528</v>
      </c>
    </row>
    <row r="28" spans="1:11" x14ac:dyDescent="0.3">
      <c r="B28" s="87" t="s">
        <v>73</v>
      </c>
      <c r="C28" s="11"/>
      <c r="D28" s="65">
        <v>2</v>
      </c>
      <c r="E28" s="65">
        <v>2</v>
      </c>
      <c r="F28" s="11">
        <f ca="1">DEBT!F78</f>
        <v>0</v>
      </c>
      <c r="G28" s="11">
        <f ca="1">DEBT!G78</f>
        <v>0</v>
      </c>
      <c r="H28" s="11">
        <f ca="1">DEBT!H78</f>
        <v>0</v>
      </c>
      <c r="I28" s="11">
        <f ca="1">DEBT!I78</f>
        <v>0</v>
      </c>
      <c r="J28" s="88">
        <f>DEBT!J78</f>
        <v>0</v>
      </c>
    </row>
    <row r="29" spans="1:11" x14ac:dyDescent="0.3">
      <c r="B29" s="87" t="s">
        <v>74</v>
      </c>
      <c r="C29" s="11"/>
      <c r="D29" s="66">
        <v>2143</v>
      </c>
      <c r="E29" s="66">
        <v>1744</v>
      </c>
      <c r="F29" s="12">
        <f>E29</f>
        <v>1744</v>
      </c>
      <c r="G29" s="12">
        <f t="shared" ref="G29:J29" si="5">F29</f>
        <v>1744</v>
      </c>
      <c r="H29" s="12">
        <f t="shared" si="5"/>
        <v>1744</v>
      </c>
      <c r="I29" s="12">
        <f t="shared" si="5"/>
        <v>1744</v>
      </c>
      <c r="J29" s="90">
        <f t="shared" si="5"/>
        <v>1744</v>
      </c>
    </row>
    <row r="30" spans="1:11" s="1" customFormat="1" ht="15" thickBot="1" x14ac:dyDescent="0.35">
      <c r="A30"/>
      <c r="B30" s="101" t="s">
        <v>80</v>
      </c>
      <c r="C30" s="2"/>
      <c r="D30" s="3">
        <f>SUM(D27:D29)</f>
        <v>2916</v>
      </c>
      <c r="E30" s="3">
        <f>SUM(E27:E29)</f>
        <v>2404</v>
      </c>
      <c r="F30" s="3">
        <f ca="1">SUM(F27:F29)</f>
        <v>2395.0466470507208</v>
      </c>
      <c r="G30" s="3">
        <f t="shared" ref="G30:J30" ca="1" si="6">SUM(G27:G29)</f>
        <v>2434.9251752665023</v>
      </c>
      <c r="H30" s="3">
        <f t="shared" ca="1" si="6"/>
        <v>2483.4893333889313</v>
      </c>
      <c r="I30" s="3">
        <f t="shared" ca="1" si="6"/>
        <v>2542.200467783558</v>
      </c>
      <c r="J30" s="103">
        <f t="shared" si="6"/>
        <v>2612.8060072015528</v>
      </c>
      <c r="K30"/>
    </row>
    <row r="31" spans="1:11" ht="15" thickTop="1" x14ac:dyDescent="0.3">
      <c r="B31" s="87"/>
      <c r="C31" s="11"/>
      <c r="D31" s="11"/>
      <c r="E31" s="12"/>
      <c r="F31" s="11"/>
      <c r="G31" s="11"/>
      <c r="H31" s="11"/>
      <c r="I31" s="11"/>
      <c r="J31" s="88"/>
    </row>
    <row r="32" spans="1:11" ht="15" thickBot="1" x14ac:dyDescent="0.35">
      <c r="B32" s="101" t="s">
        <v>79</v>
      </c>
      <c r="C32" s="2"/>
      <c r="D32" s="2">
        <v>5451</v>
      </c>
      <c r="E32" s="2">
        <v>5186</v>
      </c>
      <c r="F32" s="6">
        <f ca="1">DEBT!F79</f>
        <v>2283.6460424857551</v>
      </c>
      <c r="G32" s="2">
        <f ca="1">DEBT!G79</f>
        <v>353</v>
      </c>
      <c r="H32" s="2">
        <f ca="1">DEBT!H79</f>
        <v>353</v>
      </c>
      <c r="I32" s="2">
        <f ca="1">DEBT!I79</f>
        <v>353</v>
      </c>
      <c r="J32" s="163">
        <f ca="1">DEBT!J79</f>
        <v>353</v>
      </c>
    </row>
    <row r="33" spans="1:11" ht="15" thickTop="1" x14ac:dyDescent="0.3">
      <c r="B33" s="87" t="s">
        <v>75</v>
      </c>
      <c r="C33" s="11"/>
      <c r="D33" s="11"/>
      <c r="E33" s="11"/>
      <c r="F33" s="11"/>
      <c r="G33" s="11"/>
      <c r="H33" s="11"/>
      <c r="I33" s="11"/>
      <c r="J33" s="88"/>
    </row>
    <row r="34" spans="1:11" x14ac:dyDescent="0.3">
      <c r="B34" s="87" t="s">
        <v>78</v>
      </c>
      <c r="C34" s="11"/>
      <c r="D34" s="65">
        <v>314</v>
      </c>
      <c r="E34" s="65">
        <v>371</v>
      </c>
      <c r="F34" s="11">
        <f>E34</f>
        <v>371</v>
      </c>
      <c r="G34" s="11">
        <f t="shared" ref="G34:J34" si="7">F34</f>
        <v>371</v>
      </c>
      <c r="H34" s="11">
        <f t="shared" si="7"/>
        <v>371</v>
      </c>
      <c r="I34" s="11">
        <f t="shared" si="7"/>
        <v>371</v>
      </c>
      <c r="J34" s="88">
        <f t="shared" si="7"/>
        <v>371</v>
      </c>
    </row>
    <row r="35" spans="1:11" x14ac:dyDescent="0.3">
      <c r="B35" s="87" t="s">
        <v>77</v>
      </c>
      <c r="C35" s="11"/>
      <c r="D35" s="66">
        <v>1940</v>
      </c>
      <c r="E35" s="66">
        <v>2362</v>
      </c>
      <c r="F35" s="12">
        <f>E35+IS!F23</f>
        <v>2488.3511985241198</v>
      </c>
      <c r="G35" s="12">
        <f>F35+IS!G23</f>
        <v>2625.1717726748088</v>
      </c>
      <c r="H35" s="12">
        <f>G35+IS!H23</f>
        <v>2774.7419751623484</v>
      </c>
      <c r="I35" s="12">
        <f>H35+IS!I23</f>
        <v>2939.7257083627919</v>
      </c>
      <c r="J35" s="90">
        <f>I35+IS!J23</f>
        <v>3123.2456299973664</v>
      </c>
    </row>
    <row r="36" spans="1:11" x14ac:dyDescent="0.3">
      <c r="B36" s="87" t="s">
        <v>76</v>
      </c>
      <c r="C36" s="11"/>
      <c r="D36" s="65">
        <v>738</v>
      </c>
      <c r="E36" s="65">
        <v>764</v>
      </c>
      <c r="F36" s="11">
        <f t="shared" ref="F36:J37" si="8">E36</f>
        <v>764</v>
      </c>
      <c r="G36" s="11">
        <f t="shared" si="8"/>
        <v>764</v>
      </c>
      <c r="H36" s="11">
        <f t="shared" si="8"/>
        <v>764</v>
      </c>
      <c r="I36" s="11">
        <f t="shared" si="8"/>
        <v>764</v>
      </c>
      <c r="J36" s="88">
        <f t="shared" si="8"/>
        <v>764</v>
      </c>
    </row>
    <row r="37" spans="1:11" x14ac:dyDescent="0.3">
      <c r="B37" s="87" t="s">
        <v>61</v>
      </c>
      <c r="C37" s="11"/>
      <c r="D37" s="65">
        <v>443</v>
      </c>
      <c r="E37" s="65">
        <v>466</v>
      </c>
      <c r="F37" s="11">
        <f t="shared" si="8"/>
        <v>466</v>
      </c>
      <c r="G37" s="11">
        <f t="shared" si="8"/>
        <v>466</v>
      </c>
      <c r="H37" s="11">
        <f t="shared" si="8"/>
        <v>466</v>
      </c>
      <c r="I37" s="11">
        <f t="shared" si="8"/>
        <v>466</v>
      </c>
      <c r="J37" s="88">
        <f t="shared" si="8"/>
        <v>466</v>
      </c>
    </row>
    <row r="38" spans="1:11" x14ac:dyDescent="0.3">
      <c r="B38" s="87"/>
      <c r="C38" s="11"/>
      <c r="D38" s="15">
        <f>SUM(D34:D37)</f>
        <v>3435</v>
      </c>
      <c r="E38" s="15">
        <f>SUM(E34:E37)</f>
        <v>3963</v>
      </c>
      <c r="F38" s="15">
        <f t="shared" ref="F38:J38" si="9">SUM(F34:F37)</f>
        <v>4089.3511985241198</v>
      </c>
      <c r="G38" s="15">
        <f t="shared" si="9"/>
        <v>4226.1717726748084</v>
      </c>
      <c r="H38" s="15">
        <f t="shared" si="9"/>
        <v>4375.7419751623484</v>
      </c>
      <c r="I38" s="15">
        <f t="shared" si="9"/>
        <v>4540.7257083627919</v>
      </c>
      <c r="J38" s="94">
        <f t="shared" si="9"/>
        <v>4724.2456299973664</v>
      </c>
    </row>
    <row r="39" spans="1:11" ht="15" thickBot="1" x14ac:dyDescent="0.35">
      <c r="B39" s="101" t="s">
        <v>249</v>
      </c>
      <c r="C39" s="2"/>
      <c r="D39" s="6">
        <f>SUM(D32,D38)</f>
        <v>8886</v>
      </c>
      <c r="E39" s="6">
        <f t="shared" ref="E39:J39" si="10">SUM(E32,E38)</f>
        <v>9149</v>
      </c>
      <c r="F39" s="6">
        <f t="shared" ca="1" si="10"/>
        <v>6372.9972410098744</v>
      </c>
      <c r="G39" s="6">
        <f t="shared" ca="1" si="10"/>
        <v>4579.1717726748084</v>
      </c>
      <c r="H39" s="6">
        <f t="shared" ca="1" si="10"/>
        <v>4728.7419751623484</v>
      </c>
      <c r="I39" s="6">
        <f t="shared" ca="1" si="10"/>
        <v>4893.7257083627919</v>
      </c>
      <c r="J39" s="102">
        <f t="shared" ca="1" si="10"/>
        <v>5077.2456299973664</v>
      </c>
    </row>
    <row r="40" spans="1:11" ht="15" thickTop="1" x14ac:dyDescent="0.3">
      <c r="B40" s="87" t="s">
        <v>87</v>
      </c>
      <c r="C40" s="11"/>
      <c r="D40" s="65">
        <v>262</v>
      </c>
      <c r="E40" s="65">
        <v>263</v>
      </c>
      <c r="F40" s="11">
        <f>E40</f>
        <v>263</v>
      </c>
      <c r="G40" s="11">
        <f t="shared" ref="G40:J40" si="11">F40</f>
        <v>263</v>
      </c>
      <c r="H40" s="11">
        <f t="shared" si="11"/>
        <v>263</v>
      </c>
      <c r="I40" s="11">
        <f t="shared" si="11"/>
        <v>263</v>
      </c>
      <c r="J40" s="88">
        <f t="shared" si="11"/>
        <v>263</v>
      </c>
    </row>
    <row r="41" spans="1:11" x14ac:dyDescent="0.3">
      <c r="B41" s="87" t="s">
        <v>81</v>
      </c>
      <c r="C41" s="11"/>
      <c r="D41" s="66">
        <v>11420</v>
      </c>
      <c r="E41" s="66">
        <v>11126</v>
      </c>
      <c r="F41" s="12">
        <f>E41+0+CFS!F8</f>
        <v>11153.612294611428</v>
      </c>
      <c r="G41" s="12">
        <f>F41+0+CFS!G8</f>
        <v>11187.219496571199</v>
      </c>
      <c r="H41" s="12">
        <f>G41+0+CFS!H8</f>
        <v>11228.496437898144</v>
      </c>
      <c r="I41" s="12">
        <f>H41+0+CFS!I8</f>
        <v>11279.614713730225</v>
      </c>
      <c r="J41" s="90">
        <f>I41+0+CFS!J8</f>
        <v>11343.39462780726</v>
      </c>
    </row>
    <row r="42" spans="1:11" x14ac:dyDescent="0.3">
      <c r="B42" s="87" t="s">
        <v>82</v>
      </c>
      <c r="C42" s="11"/>
      <c r="D42" s="66">
        <v>-5814</v>
      </c>
      <c r="E42" s="66">
        <v>-2959</v>
      </c>
      <c r="F42" s="12">
        <f ca="1">E42+IS!F38</f>
        <v>-16.307018090759811</v>
      </c>
      <c r="G42" s="12">
        <f ca="1">F42+IS!G38</f>
        <v>4225.5863302773068</v>
      </c>
      <c r="H42" s="12">
        <f ca="1">G42+IS!H38</f>
        <v>10060.894693322462</v>
      </c>
      <c r="I42" s="12">
        <f ca="1">H42+IS!I38</f>
        <v>17914.190098832427</v>
      </c>
      <c r="J42" s="90">
        <f ca="1">I42+IS!J38</f>
        <v>28391.374678042379</v>
      </c>
    </row>
    <row r="43" spans="1:11" x14ac:dyDescent="0.3">
      <c r="B43" s="87" t="s">
        <v>88</v>
      </c>
      <c r="C43" s="11"/>
      <c r="D43" s="66">
        <v>-5459</v>
      </c>
      <c r="E43" s="66">
        <v>-5790</v>
      </c>
      <c r="F43" s="12">
        <f t="shared" ref="F43:J44" si="12">E43</f>
        <v>-5790</v>
      </c>
      <c r="G43" s="12">
        <f t="shared" si="12"/>
        <v>-5790</v>
      </c>
      <c r="H43" s="12">
        <f t="shared" si="12"/>
        <v>-5790</v>
      </c>
      <c r="I43" s="12">
        <f t="shared" si="12"/>
        <v>-5790</v>
      </c>
      <c r="J43" s="90">
        <f t="shared" si="12"/>
        <v>-5790</v>
      </c>
    </row>
    <row r="44" spans="1:11" x14ac:dyDescent="0.3">
      <c r="B44" s="87" t="s">
        <v>83</v>
      </c>
      <c r="C44" s="11"/>
      <c r="D44" s="65">
        <v>14</v>
      </c>
      <c r="E44" s="65">
        <v>15</v>
      </c>
      <c r="F44" s="12">
        <f t="shared" si="12"/>
        <v>15</v>
      </c>
      <c r="G44" s="12">
        <f t="shared" si="12"/>
        <v>15</v>
      </c>
      <c r="H44" s="12">
        <f t="shared" si="12"/>
        <v>15</v>
      </c>
      <c r="I44" s="12">
        <f t="shared" si="12"/>
        <v>15</v>
      </c>
      <c r="J44" s="90">
        <f t="shared" si="12"/>
        <v>15</v>
      </c>
    </row>
    <row r="45" spans="1:11" s="1" customFormat="1" x14ac:dyDescent="0.3">
      <c r="B45" s="89" t="s">
        <v>84</v>
      </c>
      <c r="C45" s="48"/>
      <c r="D45" s="48">
        <f>SUM(D40:D44)</f>
        <v>423</v>
      </c>
      <c r="E45" s="48">
        <f>SUM(E40:E44)</f>
        <v>2655</v>
      </c>
      <c r="F45" s="68">
        <f t="shared" ref="F45:J45" ca="1" si="13">SUM(F40:F44)</f>
        <v>5625.3052765206685</v>
      </c>
      <c r="G45" s="68">
        <f t="shared" ca="1" si="13"/>
        <v>9900.8058268485056</v>
      </c>
      <c r="H45" s="68">
        <f t="shared" ca="1" si="13"/>
        <v>15777.391131220604</v>
      </c>
      <c r="I45" s="68">
        <f t="shared" ca="1" si="13"/>
        <v>23681.804812562652</v>
      </c>
      <c r="J45" s="164">
        <f t="shared" ca="1" si="13"/>
        <v>34222.769305849637</v>
      </c>
    </row>
    <row r="46" spans="1:11" x14ac:dyDescent="0.3">
      <c r="B46" s="87" t="s">
        <v>85</v>
      </c>
      <c r="C46" s="11"/>
      <c r="D46" s="65">
        <v>922</v>
      </c>
      <c r="E46" s="66">
        <v>1036</v>
      </c>
      <c r="F46" s="12">
        <f>E46+'Operating Model'!F96-'Operating Model'!F98</f>
        <v>1131.6896551724139</v>
      </c>
      <c r="G46" s="12">
        <f>F46+'Operating Model'!G96-'Operating Model'!G98</f>
        <v>1227.3793103448279</v>
      </c>
      <c r="H46" s="12">
        <f>G46+'Operating Model'!H96-'Operating Model'!H98</f>
        <v>1323.0689655172418</v>
      </c>
      <c r="I46" s="12">
        <f>H46+'Operating Model'!I96-'Operating Model'!I98</f>
        <v>1418.7586206896558</v>
      </c>
      <c r="J46" s="162">
        <f>I46+'Operating Model'!J96-'Operating Model'!J98</f>
        <v>1514.4482758620697</v>
      </c>
    </row>
    <row r="47" spans="1:11" ht="15" thickBot="1" x14ac:dyDescent="0.35">
      <c r="B47" s="101" t="s">
        <v>86</v>
      </c>
      <c r="C47" s="2"/>
      <c r="D47" s="3">
        <f>D45+D46</f>
        <v>1345</v>
      </c>
      <c r="E47" s="3">
        <f>E45+E46</f>
        <v>3691</v>
      </c>
      <c r="F47" s="3">
        <f t="shared" ref="F47:J47" ca="1" si="14">F45+F46</f>
        <v>6756.9949316930824</v>
      </c>
      <c r="G47" s="3">
        <f t="shared" ca="1" si="14"/>
        <v>11128.185137193334</v>
      </c>
      <c r="H47" s="3">
        <f t="shared" ca="1" si="14"/>
        <v>17100.460096737846</v>
      </c>
      <c r="I47" s="3">
        <f t="shared" ca="1" si="14"/>
        <v>25100.563433252308</v>
      </c>
      <c r="J47" s="103">
        <f t="shared" ca="1" si="14"/>
        <v>35737.217581711709</v>
      </c>
    </row>
    <row r="48" spans="1:11" s="2" customFormat="1" ht="15.6" thickTop="1" thickBot="1" x14ac:dyDescent="0.35">
      <c r="A48" s="11"/>
      <c r="B48" s="84" t="s">
        <v>89</v>
      </c>
      <c r="C48" s="165"/>
      <c r="D48" s="85">
        <f>D30+D32+D38+D47</f>
        <v>13147</v>
      </c>
      <c r="E48" s="85">
        <f>E30+E32+E38+E47</f>
        <v>15244</v>
      </c>
      <c r="F48" s="85">
        <f t="shared" ref="F48:J48" ca="1" si="15">F30+F32+F38+F47</f>
        <v>15525.038819753678</v>
      </c>
      <c r="G48" s="85">
        <f t="shared" ca="1" si="15"/>
        <v>18142.282085134644</v>
      </c>
      <c r="H48" s="85">
        <f t="shared" ca="1" si="15"/>
        <v>24312.691405289126</v>
      </c>
      <c r="I48" s="85">
        <f t="shared" ca="1" si="15"/>
        <v>32536.489609398657</v>
      </c>
      <c r="J48" s="86">
        <f t="shared" ca="1" si="15"/>
        <v>43427.269218910631</v>
      </c>
      <c r="K48"/>
    </row>
    <row r="49" spans="2:10" ht="15" thickTop="1" x14ac:dyDescent="0.3">
      <c r="B49" s="166"/>
      <c r="C49" s="167"/>
      <c r="D49" s="167"/>
      <c r="E49" s="168">
        <f t="shared" ref="E49:J49" si="16">E24-E48</f>
        <v>0</v>
      </c>
      <c r="F49" s="168">
        <f t="shared" ca="1" si="16"/>
        <v>0</v>
      </c>
      <c r="G49" s="168">
        <f t="shared" ca="1" si="16"/>
        <v>0</v>
      </c>
      <c r="H49" s="168">
        <f t="shared" ca="1" si="16"/>
        <v>0</v>
      </c>
      <c r="I49" s="168">
        <f t="shared" ca="1" si="16"/>
        <v>0</v>
      </c>
      <c r="J49" s="169">
        <f t="shared" ca="1" si="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F10F-C79E-44FA-9951-2DAFC7F5469C}">
  <sheetPr>
    <tabColor theme="9" tint="-0.499984740745262"/>
  </sheetPr>
  <dimension ref="A1:K31"/>
  <sheetViews>
    <sheetView showGridLines="0" zoomScale="81" zoomScaleNormal="81" workbookViewId="0">
      <pane ySplit="3" topLeftCell="A4" activePane="bottomLeft" state="frozen"/>
      <selection pane="bottomLeft" activeCell="K20" sqref="K20"/>
    </sheetView>
  </sheetViews>
  <sheetFormatPr defaultColWidth="0" defaultRowHeight="14.4" x14ac:dyDescent="0.3"/>
  <cols>
    <col min="1" max="1" width="2.88671875" customWidth="1"/>
    <col min="2" max="2" width="62.33203125" bestFit="1" customWidth="1"/>
    <col min="3" max="10" width="15.88671875" customWidth="1"/>
    <col min="11" max="11" width="9.109375" customWidth="1"/>
    <col min="12" max="16384" width="9.109375" hidden="1"/>
  </cols>
  <sheetData>
    <row r="1" spans="2:10" s="33" customFormat="1" ht="25.8" customHeight="1" x14ac:dyDescent="0.5">
      <c r="B1" s="34" t="s">
        <v>158</v>
      </c>
      <c r="C1" s="35" t="s">
        <v>159</v>
      </c>
      <c r="D1" s="35"/>
      <c r="E1" s="36"/>
      <c r="F1" s="37" t="s">
        <v>44</v>
      </c>
      <c r="G1" s="37"/>
      <c r="H1" s="37"/>
      <c r="I1" s="35"/>
      <c r="J1" s="35"/>
    </row>
    <row r="2" spans="2:10" s="33" customFormat="1" ht="26.4" thickBot="1" x14ac:dyDescent="0.55000000000000004">
      <c r="B2" s="38" t="s">
        <v>113</v>
      </c>
      <c r="C2" s="39">
        <v>2021</v>
      </c>
      <c r="D2" s="39">
        <f>C2+1</f>
        <v>2022</v>
      </c>
      <c r="E2" s="40">
        <f t="shared" ref="E2:J2" si="0">D2+1</f>
        <v>2023</v>
      </c>
      <c r="F2" s="41">
        <f t="shared" si="0"/>
        <v>2024</v>
      </c>
      <c r="G2" s="39">
        <f t="shared" si="0"/>
        <v>2025</v>
      </c>
      <c r="H2" s="39">
        <f t="shared" si="0"/>
        <v>2026</v>
      </c>
      <c r="I2" s="39">
        <f t="shared" si="0"/>
        <v>2027</v>
      </c>
      <c r="J2" s="39">
        <f t="shared" si="0"/>
        <v>2028</v>
      </c>
    </row>
    <row r="3" spans="2:10" s="33" customFormat="1" ht="27" thickTop="1" thickBot="1" x14ac:dyDescent="0.55000000000000004">
      <c r="B3" s="33" t="s">
        <v>251</v>
      </c>
      <c r="C3" s="38"/>
      <c r="D3" s="38"/>
      <c r="E3" s="42"/>
      <c r="F3" s="38"/>
      <c r="G3" s="38"/>
      <c r="H3" s="38"/>
      <c r="I3" s="38"/>
      <c r="J3" s="38"/>
    </row>
    <row r="4" spans="2:10" x14ac:dyDescent="0.3">
      <c r="B4" s="16"/>
      <c r="C4" s="45"/>
      <c r="D4" s="45"/>
      <c r="E4" s="45"/>
      <c r="F4" s="45"/>
      <c r="G4" s="45"/>
      <c r="H4" s="45"/>
      <c r="I4" s="45"/>
      <c r="J4" s="46"/>
    </row>
    <row r="5" spans="2:10" x14ac:dyDescent="0.3">
      <c r="B5" s="19" t="s">
        <v>114</v>
      </c>
      <c r="C5" s="11"/>
      <c r="D5" s="11"/>
      <c r="E5" s="11"/>
      <c r="F5" s="12">
        <f ca="1">IS!F30</f>
        <v>3578.6133441396319</v>
      </c>
      <c r="G5" s="12">
        <f ca="1">IS!G30</f>
        <v>5003.1646870416489</v>
      </c>
      <c r="H5" s="12">
        <f ca="1">IS!H30</f>
        <v>6750.317441582084</v>
      </c>
      <c r="I5" s="12">
        <f ca="1">IS!I30</f>
        <v>8963.0062812085926</v>
      </c>
      <c r="J5" s="24">
        <f ca="1">IS!J30</f>
        <v>11840.056613489915</v>
      </c>
    </row>
    <row r="6" spans="2:10" x14ac:dyDescent="0.3">
      <c r="B6" s="19" t="s">
        <v>115</v>
      </c>
      <c r="C6" s="11"/>
      <c r="D6" s="11"/>
      <c r="E6" s="11"/>
      <c r="F6" s="12">
        <f>IS!F22</f>
        <v>1508.1482124472375</v>
      </c>
      <c r="G6" s="12">
        <f>IS!G22</f>
        <v>1633.1123625390571</v>
      </c>
      <c r="H6" s="12">
        <f>IS!H22</f>
        <v>1785.2939754575718</v>
      </c>
      <c r="I6" s="12">
        <f>IS!I22</f>
        <v>1969.2723552726939</v>
      </c>
      <c r="J6" s="24">
        <f>IS!J22</f>
        <v>2190.5232795144912</v>
      </c>
    </row>
    <row r="7" spans="2:10" x14ac:dyDescent="0.3">
      <c r="B7" s="19" t="s">
        <v>116</v>
      </c>
      <c r="C7" s="11"/>
      <c r="D7" s="11"/>
      <c r="E7" s="11"/>
      <c r="F7" s="12">
        <f>IS!F23</f>
        <v>126.35119852411961</v>
      </c>
      <c r="G7" s="12">
        <f>IS!G23</f>
        <v>136.82057415068903</v>
      </c>
      <c r="H7" s="12">
        <f>IS!H23</f>
        <v>149.57020248753972</v>
      </c>
      <c r="I7" s="12">
        <f>IS!I23</f>
        <v>164.98373320044345</v>
      </c>
      <c r="J7" s="24">
        <f>IS!J23</f>
        <v>183.51992163457476</v>
      </c>
    </row>
    <row r="8" spans="2:10" x14ac:dyDescent="0.3">
      <c r="B8" s="19" t="s">
        <v>117</v>
      </c>
      <c r="C8" s="11">
        <v>21</v>
      </c>
      <c r="D8" s="11">
        <v>26</v>
      </c>
      <c r="E8" s="11">
        <v>23</v>
      </c>
      <c r="F8" s="13">
        <f>E8/IS!E7*IS!F7</f>
        <v>27.612294611428393</v>
      </c>
      <c r="G8" s="13">
        <f>F8/IS!F7*IS!G7</f>
        <v>33.607201959771018</v>
      </c>
      <c r="H8" s="13">
        <f>G8/IS!G7*IS!H7</f>
        <v>41.276941326944737</v>
      </c>
      <c r="I8" s="13">
        <f>H8/IS!H7*IS!I7</f>
        <v>51.118275832080251</v>
      </c>
      <c r="J8" s="25">
        <f>I8/IS!I7*IS!J7</f>
        <v>63.779914077034853</v>
      </c>
    </row>
    <row r="9" spans="2:10" x14ac:dyDescent="0.3">
      <c r="B9" s="19" t="s">
        <v>105</v>
      </c>
      <c r="C9" s="11"/>
      <c r="D9" s="11"/>
      <c r="E9" s="11"/>
      <c r="F9" s="13">
        <f>'BS Schedules'!F30</f>
        <v>50.410901856334455</v>
      </c>
      <c r="G9" s="13">
        <f>'BS Schedules'!G30</f>
        <v>62.437355717046898</v>
      </c>
      <c r="H9" s="13">
        <f>'BS Schedules'!H30</f>
        <v>77.823709711075765</v>
      </c>
      <c r="I9" s="13">
        <f>'BS Schedules'!I30</f>
        <v>97.566526151194864</v>
      </c>
      <c r="J9" s="25">
        <f>'BS Schedules'!J30</f>
        <v>122.96718696308831</v>
      </c>
    </row>
    <row r="10" spans="2:10" x14ac:dyDescent="0.3">
      <c r="B10" s="19" t="s">
        <v>118</v>
      </c>
      <c r="C10" s="11"/>
      <c r="D10" s="11"/>
      <c r="E10" s="11"/>
      <c r="F10" s="13">
        <f>-(BS!F7-BS!E7)</f>
        <v>45.114327303099117</v>
      </c>
      <c r="G10" s="13">
        <f>-(BS!G7-BS!F7)</f>
        <v>-339.75244544449856</v>
      </c>
      <c r="H10" s="13">
        <f>-(BS!H7-BS!G7)</f>
        <v>-434.67105569857085</v>
      </c>
      <c r="I10" s="13">
        <f>-(BS!I7-BS!H7)</f>
        <v>-557.74297587459887</v>
      </c>
      <c r="J10" s="25">
        <f>-(BS!J7-BS!I7)</f>
        <v>-717.57948990591331</v>
      </c>
    </row>
    <row r="11" spans="2:10" x14ac:dyDescent="0.3">
      <c r="B11" s="19" t="s">
        <v>119</v>
      </c>
      <c r="C11" s="11"/>
      <c r="D11" s="11"/>
      <c r="E11" s="11"/>
      <c r="F11" s="13">
        <f>-(BS!F8-BS!E8)</f>
        <v>138.99662162162161</v>
      </c>
      <c r="G11" s="13">
        <f>-(BS!G8-BS!F8)</f>
        <v>0</v>
      </c>
      <c r="H11" s="13">
        <f>-(BS!H8-BS!G8)</f>
        <v>0</v>
      </c>
      <c r="I11" s="13">
        <f>-(BS!I8-BS!H8)</f>
        <v>0</v>
      </c>
      <c r="J11" s="25">
        <f>-(BS!J8-BS!I8)</f>
        <v>0</v>
      </c>
    </row>
    <row r="12" spans="2:10" x14ac:dyDescent="0.3">
      <c r="B12" s="19" t="s">
        <v>120</v>
      </c>
      <c r="C12" s="11"/>
      <c r="D12" s="11"/>
      <c r="E12" s="11"/>
      <c r="F12" s="13">
        <f>-(BS!F9-BS!E9)</f>
        <v>0</v>
      </c>
      <c r="G12" s="13">
        <f>-(BS!G9-BS!F9)</f>
        <v>0</v>
      </c>
      <c r="H12" s="13">
        <f>-(BS!H9-BS!G9)</f>
        <v>0</v>
      </c>
      <c r="I12" s="13">
        <f>-(BS!I9-BS!H9)</f>
        <v>0</v>
      </c>
      <c r="J12" s="25">
        <f>-(BS!J9-BS!I9)</f>
        <v>0</v>
      </c>
    </row>
    <row r="13" spans="2:10" x14ac:dyDescent="0.3">
      <c r="B13" s="19" t="s">
        <v>121</v>
      </c>
      <c r="C13" s="11"/>
      <c r="D13" s="11"/>
      <c r="E13" s="11"/>
      <c r="F13" s="13">
        <f>BS!F27-BS!E27</f>
        <v>-6.9533529492789512</v>
      </c>
      <c r="G13" s="13">
        <f>BS!G27-BS!F27</f>
        <v>39.878528215781216</v>
      </c>
      <c r="H13" s="13">
        <f>BS!H27-BS!G27</f>
        <v>48.564158122429262</v>
      </c>
      <c r="I13" s="13">
        <f>BS!I27-BS!H27</f>
        <v>58.711134394626356</v>
      </c>
      <c r="J13" s="25">
        <f>BS!J27-BS!I27</f>
        <v>70.605539417994919</v>
      </c>
    </row>
    <row r="14" spans="2:10" x14ac:dyDescent="0.3">
      <c r="B14" s="19" t="s">
        <v>120</v>
      </c>
      <c r="C14" s="11"/>
      <c r="D14" s="11"/>
      <c r="E14" s="11"/>
      <c r="F14" s="12">
        <f>BS!F29-BS!E29</f>
        <v>0</v>
      </c>
      <c r="G14" s="12">
        <f>BS!G29-BS!F29</f>
        <v>0</v>
      </c>
      <c r="H14" s="12">
        <f>BS!H29-BS!G29</f>
        <v>0</v>
      </c>
      <c r="I14" s="12">
        <f>BS!I29-BS!H29</f>
        <v>0</v>
      </c>
      <c r="J14" s="24">
        <f>BS!J29-BS!I29</f>
        <v>0</v>
      </c>
    </row>
    <row r="15" spans="2:10" s="1" customFormat="1" ht="15" thickBot="1" x14ac:dyDescent="0.35">
      <c r="B15" s="21" t="s">
        <v>122</v>
      </c>
      <c r="C15" s="2"/>
      <c r="D15" s="2"/>
      <c r="E15" s="2"/>
      <c r="F15" s="3">
        <f ca="1">SUM(F5:F14)</f>
        <v>5468.2935475541926</v>
      </c>
      <c r="G15" s="3">
        <f t="shared" ref="G15:J15" ca="1" si="1">SUM(G5:G14)</f>
        <v>6569.2682641794963</v>
      </c>
      <c r="H15" s="3">
        <f t="shared" ca="1" si="1"/>
        <v>8418.1753729890752</v>
      </c>
      <c r="I15" s="3">
        <f t="shared" ca="1" si="1"/>
        <v>10746.915330185033</v>
      </c>
      <c r="J15" s="23">
        <f t="shared" ca="1" si="1"/>
        <v>13753.872965191185</v>
      </c>
    </row>
    <row r="16" spans="2:10" ht="15" thickTop="1" x14ac:dyDescent="0.3">
      <c r="B16" s="19"/>
      <c r="C16" s="11"/>
      <c r="D16" s="11"/>
      <c r="E16" s="11"/>
      <c r="F16" s="11"/>
      <c r="G16" s="11"/>
      <c r="H16" s="11"/>
      <c r="I16" s="11"/>
      <c r="J16" s="20"/>
    </row>
    <row r="17" spans="2:10" x14ac:dyDescent="0.3">
      <c r="B17" s="19" t="s">
        <v>123</v>
      </c>
      <c r="C17" s="11"/>
      <c r="D17" s="11"/>
      <c r="E17" s="11"/>
      <c r="F17" s="13">
        <f>-'BS Schedules'!F25</f>
        <v>-1911.9243724706521</v>
      </c>
      <c r="G17" s="13">
        <f>-'BS Schedules'!G25</f>
        <v>-2327.0224159797117</v>
      </c>
      <c r="H17" s="13">
        <f>-'BS Schedules'!H25</f>
        <v>-2858.0888062581867</v>
      </c>
      <c r="I17" s="13">
        <f>-'BS Schedules'!I25</f>
        <v>-3539.5203049000033</v>
      </c>
      <c r="J17" s="25">
        <f>-'BS Schedules'!J25</f>
        <v>-4416.234648876175</v>
      </c>
    </row>
    <row r="18" spans="2:10" x14ac:dyDescent="0.3">
      <c r="B18" s="19" t="s">
        <v>124</v>
      </c>
      <c r="C18" s="11"/>
      <c r="D18" s="11"/>
      <c r="E18" s="11"/>
      <c r="F18" s="11">
        <v>0</v>
      </c>
      <c r="G18" s="11">
        <v>0</v>
      </c>
      <c r="H18" s="11">
        <v>0</v>
      </c>
      <c r="I18" s="11">
        <v>0</v>
      </c>
      <c r="J18" s="20">
        <v>0</v>
      </c>
    </row>
    <row r="19" spans="2:10" ht="15" thickBot="1" x14ac:dyDescent="0.35">
      <c r="B19" s="21" t="s">
        <v>125</v>
      </c>
      <c r="C19" s="2"/>
      <c r="D19" s="2"/>
      <c r="E19" s="2"/>
      <c r="F19" s="6">
        <f>SUM(F17:F18)</f>
        <v>-1911.9243724706521</v>
      </c>
      <c r="G19" s="6">
        <f t="shared" ref="G19:J19" si="2">SUM(G17:G18)</f>
        <v>-2327.0224159797117</v>
      </c>
      <c r="H19" s="6">
        <f t="shared" si="2"/>
        <v>-2858.0888062581867</v>
      </c>
      <c r="I19" s="6">
        <f t="shared" si="2"/>
        <v>-3539.5203049000033</v>
      </c>
      <c r="J19" s="22">
        <f t="shared" si="2"/>
        <v>-4416.234648876175</v>
      </c>
    </row>
    <row r="20" spans="2:10" ht="15" thickTop="1" x14ac:dyDescent="0.3">
      <c r="B20" s="19"/>
      <c r="C20" s="11"/>
      <c r="D20" s="11"/>
      <c r="E20" s="11"/>
      <c r="F20" s="11"/>
      <c r="G20" s="11"/>
      <c r="H20" s="11"/>
      <c r="I20" s="11"/>
      <c r="J20" s="20"/>
    </row>
    <row r="21" spans="2:10" x14ac:dyDescent="0.3">
      <c r="B21" s="19" t="s">
        <v>126</v>
      </c>
      <c r="C21" s="11"/>
      <c r="D21" s="11"/>
      <c r="E21" s="11"/>
      <c r="F21" s="13">
        <f ca="1">-IS!F36</f>
        <v>-283.92036223039162</v>
      </c>
      <c r="G21" s="13">
        <f ca="1">-IS!G36</f>
        <v>-409.27133867358225</v>
      </c>
      <c r="H21" s="13">
        <f ca="1">-IS!H36</f>
        <v>-563.00907853693047</v>
      </c>
      <c r="I21" s="13">
        <f ca="1">-IS!I36</f>
        <v>-757.71087569862868</v>
      </c>
      <c r="J21" s="25">
        <f ca="1">-IS!J36</f>
        <v>-1010.8720342799626</v>
      </c>
    </row>
    <row r="22" spans="2:10" x14ac:dyDescent="0.3">
      <c r="B22" s="19" t="s">
        <v>111</v>
      </c>
      <c r="C22" s="11"/>
      <c r="D22" s="11"/>
      <c r="E22" s="11"/>
      <c r="F22" s="13">
        <f>-'Operating Model'!F98</f>
        <v>-256.31034482758616</v>
      </c>
      <c r="G22" s="13">
        <f>-'Operating Model'!G98</f>
        <v>-256.31034482758616</v>
      </c>
      <c r="H22" s="13">
        <f>-'Operating Model'!H98</f>
        <v>-256.31034482758616</v>
      </c>
      <c r="I22" s="13">
        <f>-'Operating Model'!I98</f>
        <v>-256.31034482758616</v>
      </c>
      <c r="J22" s="25">
        <f>-'Operating Model'!J98</f>
        <v>-256.31034482758616</v>
      </c>
    </row>
    <row r="23" spans="2:10" x14ac:dyDescent="0.3">
      <c r="B23" s="19" t="s">
        <v>127</v>
      </c>
      <c r="C23" s="11"/>
      <c r="D23" s="11"/>
      <c r="E23" s="11"/>
      <c r="F23" s="11">
        <v>0</v>
      </c>
      <c r="G23" s="11">
        <v>0</v>
      </c>
      <c r="H23" s="11">
        <v>0</v>
      </c>
      <c r="I23" s="11">
        <v>0</v>
      </c>
      <c r="J23" s="20">
        <v>0</v>
      </c>
    </row>
    <row r="24" spans="2:10" x14ac:dyDescent="0.3">
      <c r="B24" s="19" t="s">
        <v>128</v>
      </c>
      <c r="C24" s="11"/>
      <c r="D24" s="11"/>
      <c r="E24" s="11"/>
      <c r="F24" s="11">
        <v>0</v>
      </c>
      <c r="G24" s="11">
        <v>0</v>
      </c>
      <c r="H24" s="11">
        <v>0</v>
      </c>
      <c r="I24" s="11">
        <v>0</v>
      </c>
      <c r="J24" s="20">
        <v>0</v>
      </c>
    </row>
    <row r="25" spans="2:10" x14ac:dyDescent="0.3">
      <c r="B25" s="19" t="s">
        <v>129</v>
      </c>
      <c r="C25" s="11"/>
      <c r="D25" s="11"/>
      <c r="E25" s="11"/>
      <c r="F25" s="13">
        <f ca="1">DEBT!F77-DEBT!E77</f>
        <v>-2904.3539575142449</v>
      </c>
      <c r="G25" s="13">
        <f ca="1">DEBT!G77-DEBT!F77</f>
        <v>-1930.6460424857551</v>
      </c>
      <c r="H25" s="13">
        <f ca="1">DEBT!H77-DEBT!G77</f>
        <v>0</v>
      </c>
      <c r="I25" s="13">
        <f ca="1">DEBT!I77-DEBT!H77</f>
        <v>0</v>
      </c>
      <c r="J25" s="25">
        <f ca="1">DEBT!J77-DEBT!I77</f>
        <v>0</v>
      </c>
    </row>
    <row r="26" spans="2:10" ht="15" thickBot="1" x14ac:dyDescent="0.35">
      <c r="B26" s="21" t="s">
        <v>130</v>
      </c>
      <c r="C26" s="2"/>
      <c r="D26" s="2"/>
      <c r="E26" s="2"/>
      <c r="F26" s="6">
        <f ca="1">SUM(F21:F25)</f>
        <v>-3444.5846645722227</v>
      </c>
      <c r="G26" s="6">
        <f t="shared" ref="G26:J26" ca="1" si="3">SUM(G21:G25)</f>
        <v>-2596.2277259869234</v>
      </c>
      <c r="H26" s="6">
        <f t="shared" ca="1" si="3"/>
        <v>-819.31942336451664</v>
      </c>
      <c r="I26" s="6">
        <f t="shared" ca="1" si="3"/>
        <v>-1014.0212205262148</v>
      </c>
      <c r="J26" s="22">
        <f t="shared" ca="1" si="3"/>
        <v>-1267.1823791075487</v>
      </c>
    </row>
    <row r="27" spans="2:10" ht="15" thickTop="1" x14ac:dyDescent="0.3">
      <c r="B27" s="19"/>
      <c r="C27" s="11"/>
      <c r="D27" s="11"/>
      <c r="E27" s="11"/>
      <c r="F27" s="11"/>
      <c r="G27" s="11"/>
      <c r="H27" s="11"/>
      <c r="I27" s="11"/>
      <c r="J27" s="20"/>
    </row>
    <row r="28" spans="2:10" x14ac:dyDescent="0.3">
      <c r="B28" s="19" t="s">
        <v>149</v>
      </c>
      <c r="C28" s="11"/>
      <c r="D28" s="11"/>
      <c r="E28" s="11"/>
      <c r="F28" s="12">
        <f ca="1">F15+F19+F26</f>
        <v>111.78451051131788</v>
      </c>
      <c r="G28" s="12">
        <f t="shared" ref="G28:J28" ca="1" si="4">G15+G19+G26</f>
        <v>1646.0181222128613</v>
      </c>
      <c r="H28" s="12">
        <f t="shared" ca="1" si="4"/>
        <v>4740.7671433663718</v>
      </c>
      <c r="I28" s="12">
        <f t="shared" ca="1" si="4"/>
        <v>6193.3738047588149</v>
      </c>
      <c r="J28" s="24">
        <f t="shared" ca="1" si="4"/>
        <v>8070.4559372074609</v>
      </c>
    </row>
    <row r="29" spans="2:10" x14ac:dyDescent="0.3">
      <c r="B29" s="19" t="s">
        <v>150</v>
      </c>
      <c r="C29" s="11"/>
      <c r="D29" s="11"/>
      <c r="E29" s="11"/>
      <c r="F29" s="11">
        <f>BS!E6</f>
        <v>87</v>
      </c>
      <c r="G29" s="13">
        <f ca="1">BS!F6</f>
        <v>198.78451051131788</v>
      </c>
      <c r="H29" s="13">
        <f ca="1">BS!G6</f>
        <v>1844.8026327241791</v>
      </c>
      <c r="I29" s="13">
        <f ca="1">BS!H6</f>
        <v>6585.5697760905514</v>
      </c>
      <c r="J29" s="25">
        <f ca="1">BS!I6</f>
        <v>12778.943580849365</v>
      </c>
    </row>
    <row r="30" spans="2:10" x14ac:dyDescent="0.3">
      <c r="B30" s="19"/>
      <c r="C30" s="11"/>
      <c r="D30" s="11"/>
      <c r="E30" s="11"/>
      <c r="F30" s="11"/>
      <c r="G30" s="11"/>
      <c r="H30" s="11"/>
      <c r="I30" s="11"/>
      <c r="J30" s="20"/>
    </row>
    <row r="31" spans="2:10" ht="15" thickBot="1" x14ac:dyDescent="0.35">
      <c r="B31" s="29" t="s">
        <v>151</v>
      </c>
      <c r="C31" s="30"/>
      <c r="D31" s="30"/>
      <c r="E31" s="30"/>
      <c r="F31" s="31">
        <f ca="1">SUM(F28:F29)</f>
        <v>198.78451051131788</v>
      </c>
      <c r="G31" s="31">
        <f ca="1">SUM(G28:G29)</f>
        <v>1844.8026327241791</v>
      </c>
      <c r="H31" s="31">
        <f t="shared" ref="H31:J31" ca="1" si="5">SUM(H28:H29)</f>
        <v>6585.5697760905514</v>
      </c>
      <c r="I31" s="31">
        <f t="shared" ca="1" si="5"/>
        <v>12778.943580849365</v>
      </c>
      <c r="J31" s="32">
        <f t="shared" ca="1" si="5"/>
        <v>20849.399518056827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FE18-C90A-4B8C-A7D8-A59F1BB29651}">
  <sheetPr>
    <tabColor theme="1" tint="0.14999847407452621"/>
  </sheetPr>
  <dimension ref="A1:K86"/>
  <sheetViews>
    <sheetView showGridLines="0" zoomScale="75" zoomScaleNormal="75" workbookViewId="0">
      <pane ySplit="3" topLeftCell="A57" activePane="bottomLeft" state="frozen"/>
      <selection pane="bottomLeft" activeCell="M16" sqref="M16"/>
    </sheetView>
  </sheetViews>
  <sheetFormatPr defaultRowHeight="14.4" x14ac:dyDescent="0.3"/>
  <cols>
    <col min="1" max="1" width="2.88671875" customWidth="1"/>
    <col min="2" max="2" width="38.88671875" customWidth="1"/>
    <col min="3" max="10" width="15.77734375" customWidth="1"/>
  </cols>
  <sheetData>
    <row r="1" spans="2:11" s="33" customFormat="1" ht="25.8" customHeight="1" x14ac:dyDescent="0.5">
      <c r="B1" s="34" t="s">
        <v>158</v>
      </c>
      <c r="C1" s="35" t="s">
        <v>159</v>
      </c>
      <c r="D1" s="35"/>
      <c r="E1" s="36"/>
      <c r="F1" s="37" t="s">
        <v>44</v>
      </c>
      <c r="G1" s="37"/>
      <c r="H1" s="37"/>
      <c r="I1" s="35"/>
      <c r="J1" s="35"/>
    </row>
    <row r="2" spans="2:11" s="33" customFormat="1" ht="26.4" thickBot="1" x14ac:dyDescent="0.55000000000000004">
      <c r="B2" s="38" t="s">
        <v>166</v>
      </c>
      <c r="C2" s="39">
        <v>2021</v>
      </c>
      <c r="D2" s="39">
        <f>C2+1</f>
        <v>2022</v>
      </c>
      <c r="E2" s="40">
        <f t="shared" ref="E2:J2" si="0">D2+1</f>
        <v>2023</v>
      </c>
      <c r="F2" s="41">
        <f t="shared" si="0"/>
        <v>2024</v>
      </c>
      <c r="G2" s="39">
        <f t="shared" si="0"/>
        <v>2025</v>
      </c>
      <c r="H2" s="39">
        <f t="shared" si="0"/>
        <v>2026</v>
      </c>
      <c r="I2" s="39">
        <f t="shared" si="0"/>
        <v>2027</v>
      </c>
      <c r="J2" s="39">
        <f t="shared" si="0"/>
        <v>2028</v>
      </c>
    </row>
    <row r="3" spans="2:11" s="33" customFormat="1" ht="26.4" thickTop="1" x14ac:dyDescent="0.5">
      <c r="B3" s="33" t="s">
        <v>251</v>
      </c>
      <c r="C3" s="38"/>
      <c r="D3" s="38"/>
      <c r="E3" s="42"/>
      <c r="F3" s="38"/>
      <c r="G3" s="38"/>
      <c r="H3" s="38"/>
      <c r="I3" s="38"/>
      <c r="J3" s="38"/>
    </row>
    <row r="4" spans="2:11" ht="15" thickBot="1" x14ac:dyDescent="0.35"/>
    <row r="5" spans="2:11" x14ac:dyDescent="0.3">
      <c r="B5" s="16" t="s">
        <v>161</v>
      </c>
      <c r="C5" s="45"/>
      <c r="D5" s="45"/>
      <c r="E5" s="45"/>
      <c r="F5" s="17">
        <f ca="1">IS!F27+IS!F25</f>
        <v>4730.0014831208955</v>
      </c>
      <c r="G5" s="17">
        <f ca="1">IS!G27+IS!G25</f>
        <v>6404.2141560981318</v>
      </c>
      <c r="H5" s="17">
        <f ca="1">IS!H27+IS!H25</f>
        <v>8565.2325722558016</v>
      </c>
      <c r="I5" s="17">
        <f ca="1">IS!I27+IS!I25</f>
        <v>11366.104521150117</v>
      </c>
      <c r="J5" s="18">
        <f ca="1">IS!J27+IS!J25</f>
        <v>15007.940384797359</v>
      </c>
      <c r="K5" s="81"/>
    </row>
    <row r="6" spans="2:11" x14ac:dyDescent="0.3">
      <c r="B6" s="19" t="s">
        <v>162</v>
      </c>
      <c r="C6" s="11"/>
      <c r="D6" s="11"/>
      <c r="E6" s="11"/>
      <c r="F6" s="54">
        <f>'Operating Model'!F90</f>
        <v>0.21</v>
      </c>
      <c r="G6" s="54">
        <f>'Operating Model'!G90</f>
        <v>0.21</v>
      </c>
      <c r="H6" s="54">
        <f>'Operating Model'!H90</f>
        <v>0.21</v>
      </c>
      <c r="I6" s="54">
        <f>'Operating Model'!I90</f>
        <v>0.21</v>
      </c>
      <c r="J6" s="55">
        <f>'Operating Model'!J90</f>
        <v>0.21</v>
      </c>
      <c r="K6" s="80"/>
    </row>
    <row r="7" spans="2:11" x14ac:dyDescent="0.3">
      <c r="B7" s="19" t="s">
        <v>163</v>
      </c>
      <c r="C7" s="11"/>
      <c r="D7" s="11"/>
      <c r="E7" s="11"/>
      <c r="F7" s="12">
        <f ca="1">F5*(1-F6)</f>
        <v>3736.7011716655074</v>
      </c>
      <c r="G7" s="12">
        <f t="shared" ref="G7:J7" ca="1" si="1">G5*(1-G6)</f>
        <v>5059.3291833175244</v>
      </c>
      <c r="H7" s="12">
        <f t="shared" ca="1" si="1"/>
        <v>6766.5337320820836</v>
      </c>
      <c r="I7" s="12">
        <f t="shared" ca="1" si="1"/>
        <v>8979.222571708593</v>
      </c>
      <c r="J7" s="24">
        <f t="shared" ca="1" si="1"/>
        <v>11856.272903989915</v>
      </c>
      <c r="K7" s="81"/>
    </row>
    <row r="8" spans="2:11" x14ac:dyDescent="0.3">
      <c r="B8" s="19" t="s">
        <v>115</v>
      </c>
      <c r="C8" s="11"/>
      <c r="D8" s="11"/>
      <c r="E8" s="11"/>
      <c r="F8" s="12">
        <f>CFS!F6</f>
        <v>1508.1482124472375</v>
      </c>
      <c r="G8" s="12">
        <f>CFS!G6</f>
        <v>1633.1123625390571</v>
      </c>
      <c r="H8" s="12">
        <f>CFS!H6</f>
        <v>1785.2939754575718</v>
      </c>
      <c r="I8" s="12">
        <f>CFS!I6</f>
        <v>1969.2723552726939</v>
      </c>
      <c r="J8" s="24">
        <f>CFS!J6</f>
        <v>2190.5232795144912</v>
      </c>
    </row>
    <row r="9" spans="2:11" x14ac:dyDescent="0.3">
      <c r="B9" s="19" t="s">
        <v>116</v>
      </c>
      <c r="C9" s="11"/>
      <c r="D9" s="11"/>
      <c r="E9" s="11"/>
      <c r="F9" s="12">
        <f>IS!F23</f>
        <v>126.35119852411961</v>
      </c>
      <c r="G9" s="12">
        <f>IS!G23</f>
        <v>136.82057415068903</v>
      </c>
      <c r="H9" s="12">
        <f>IS!H23</f>
        <v>149.57020248753972</v>
      </c>
      <c r="I9" s="12">
        <f>IS!I23</f>
        <v>164.98373320044345</v>
      </c>
      <c r="J9" s="24">
        <f>IS!J23</f>
        <v>183.51992163457476</v>
      </c>
    </row>
    <row r="10" spans="2:11" x14ac:dyDescent="0.3">
      <c r="B10" s="19" t="s">
        <v>117</v>
      </c>
      <c r="C10" s="11"/>
      <c r="D10" s="11"/>
      <c r="E10" s="11"/>
      <c r="F10" s="13">
        <f>CFS!F8</f>
        <v>27.612294611428393</v>
      </c>
      <c r="G10" s="13">
        <f>CFS!G8</f>
        <v>33.607201959771018</v>
      </c>
      <c r="H10" s="13">
        <f>CFS!H8</f>
        <v>41.276941326944737</v>
      </c>
      <c r="I10" s="13">
        <f>CFS!I8</f>
        <v>51.118275832080251</v>
      </c>
      <c r="J10" s="25">
        <f>CFS!J8</f>
        <v>63.779914077034853</v>
      </c>
    </row>
    <row r="11" spans="2:11" x14ac:dyDescent="0.3">
      <c r="B11" s="19" t="s">
        <v>105</v>
      </c>
      <c r="C11" s="11"/>
      <c r="D11" s="11"/>
      <c r="E11" s="11"/>
      <c r="F11" s="13">
        <f>CFS!F9</f>
        <v>50.410901856334455</v>
      </c>
      <c r="G11" s="13">
        <f>CFS!G9</f>
        <v>62.437355717046898</v>
      </c>
      <c r="H11" s="13">
        <f>CFS!H9</f>
        <v>77.823709711075765</v>
      </c>
      <c r="I11" s="13">
        <f>CFS!I9</f>
        <v>97.566526151194864</v>
      </c>
      <c r="J11" s="25">
        <f>CFS!J9</f>
        <v>122.96718696308831</v>
      </c>
    </row>
    <row r="12" spans="2:11" x14ac:dyDescent="0.3">
      <c r="B12" s="19" t="s">
        <v>118</v>
      </c>
      <c r="C12" s="11"/>
      <c r="D12" s="11"/>
      <c r="E12" s="11"/>
      <c r="F12" s="13">
        <f>CFS!F10</f>
        <v>45.114327303099117</v>
      </c>
      <c r="G12" s="13">
        <f>CFS!G10</f>
        <v>-339.75244544449856</v>
      </c>
      <c r="H12" s="13">
        <f>CFS!H10</f>
        <v>-434.67105569857085</v>
      </c>
      <c r="I12" s="13">
        <f>CFS!I10</f>
        <v>-557.74297587459887</v>
      </c>
      <c r="J12" s="25">
        <f>CFS!J10</f>
        <v>-717.57948990591331</v>
      </c>
    </row>
    <row r="13" spans="2:11" x14ac:dyDescent="0.3">
      <c r="B13" s="19" t="s">
        <v>119</v>
      </c>
      <c r="C13" s="11"/>
      <c r="D13" s="11"/>
      <c r="E13" s="11"/>
      <c r="F13" s="13">
        <f>CFS!F11</f>
        <v>138.99662162162161</v>
      </c>
      <c r="G13" s="13">
        <f>CFS!G11</f>
        <v>0</v>
      </c>
      <c r="H13" s="13">
        <f>CFS!H11</f>
        <v>0</v>
      </c>
      <c r="I13" s="13">
        <f>CFS!I11</f>
        <v>0</v>
      </c>
      <c r="J13" s="25">
        <f>CFS!J11</f>
        <v>0</v>
      </c>
    </row>
    <row r="14" spans="2:11" x14ac:dyDescent="0.3">
      <c r="B14" s="19" t="s">
        <v>120</v>
      </c>
      <c r="C14" s="11"/>
      <c r="D14" s="11"/>
      <c r="E14" s="11"/>
      <c r="F14" s="13">
        <f>CFS!F12</f>
        <v>0</v>
      </c>
      <c r="G14" s="13">
        <f>CFS!G12</f>
        <v>0</v>
      </c>
      <c r="H14" s="13">
        <f>CFS!H12</f>
        <v>0</v>
      </c>
      <c r="I14" s="13">
        <f>CFS!I12</f>
        <v>0</v>
      </c>
      <c r="J14" s="25">
        <f>CFS!J12</f>
        <v>0</v>
      </c>
    </row>
    <row r="15" spans="2:11" x14ac:dyDescent="0.3">
      <c r="B15" s="19" t="s">
        <v>121</v>
      </c>
      <c r="C15" s="11"/>
      <c r="D15" s="11"/>
      <c r="E15" s="11"/>
      <c r="F15" s="13">
        <f>CFS!F13</f>
        <v>-6.9533529492789512</v>
      </c>
      <c r="G15" s="13">
        <f>CFS!G13</f>
        <v>39.878528215781216</v>
      </c>
      <c r="H15" s="13">
        <f>CFS!H13</f>
        <v>48.564158122429262</v>
      </c>
      <c r="I15" s="13">
        <f>CFS!I13</f>
        <v>58.711134394626356</v>
      </c>
      <c r="J15" s="25">
        <f>CFS!J13</f>
        <v>70.605539417994919</v>
      </c>
    </row>
    <row r="16" spans="2:11" x14ac:dyDescent="0.3">
      <c r="B16" s="19" t="s">
        <v>120</v>
      </c>
      <c r="C16" s="11" t="s">
        <v>252</v>
      </c>
      <c r="D16" s="11"/>
      <c r="E16" s="11"/>
      <c r="F16" s="12">
        <f>CFS!F14</f>
        <v>0</v>
      </c>
      <c r="G16" s="12">
        <f>CFS!G14</f>
        <v>0</v>
      </c>
      <c r="H16" s="12">
        <f>CFS!H14</f>
        <v>0</v>
      </c>
      <c r="I16" s="12">
        <f>CFS!I14</f>
        <v>0</v>
      </c>
      <c r="J16" s="24">
        <f>CFS!J14</f>
        <v>0</v>
      </c>
    </row>
    <row r="17" spans="1:10" x14ac:dyDescent="0.3">
      <c r="B17" s="19" t="s">
        <v>164</v>
      </c>
      <c r="C17" s="11"/>
      <c r="D17" s="11"/>
      <c r="E17" s="11"/>
      <c r="F17" s="13">
        <f>CFS!F17</f>
        <v>-1911.9243724706521</v>
      </c>
      <c r="G17" s="13">
        <f>CFS!G17</f>
        <v>-2327.0224159797117</v>
      </c>
      <c r="H17" s="13">
        <f>CFS!H17</f>
        <v>-2858.0888062581867</v>
      </c>
      <c r="I17" s="13">
        <f>CFS!I17</f>
        <v>-3539.5203049000033</v>
      </c>
      <c r="J17" s="25">
        <f>CFS!J17</f>
        <v>-4416.234648876175</v>
      </c>
    </row>
    <row r="18" spans="1:10" x14ac:dyDescent="0.3">
      <c r="B18" s="19"/>
      <c r="C18" s="11"/>
      <c r="D18" s="11"/>
      <c r="E18" s="11"/>
      <c r="F18" s="11"/>
      <c r="G18" s="11"/>
      <c r="H18" s="11"/>
      <c r="I18" s="11"/>
      <c r="J18" s="20"/>
    </row>
    <row r="19" spans="1:10" ht="15" thickBot="1" x14ac:dyDescent="0.35">
      <c r="A19">
        <v>1</v>
      </c>
      <c r="B19" s="21" t="s">
        <v>165</v>
      </c>
      <c r="C19" s="2"/>
      <c r="D19" s="2"/>
      <c r="E19" s="2"/>
      <c r="F19" s="3">
        <f ca="1">SUM(F7:F17)</f>
        <v>3714.4570026094161</v>
      </c>
      <c r="G19" s="3">
        <f t="shared" ref="G19:J19" ca="1" si="2">SUM(G7:G17)</f>
        <v>4298.4103444756602</v>
      </c>
      <c r="H19" s="3">
        <f t="shared" ca="1" si="2"/>
        <v>5576.3028572308867</v>
      </c>
      <c r="I19" s="3">
        <f t="shared" ca="1" si="2"/>
        <v>7223.6113157850305</v>
      </c>
      <c r="J19" s="23">
        <f t="shared" ca="1" si="2"/>
        <v>9353.8546068150099</v>
      </c>
    </row>
    <row r="20" spans="1:10" ht="15" thickTop="1" x14ac:dyDescent="0.3">
      <c r="B20" s="19"/>
      <c r="C20" s="11"/>
      <c r="D20" s="11"/>
      <c r="E20" s="11"/>
      <c r="F20" s="11"/>
      <c r="G20" s="11"/>
      <c r="H20" s="11"/>
      <c r="I20" s="11"/>
      <c r="J20" s="20"/>
    </row>
    <row r="21" spans="1:10" x14ac:dyDescent="0.3">
      <c r="B21" s="19" t="s">
        <v>167</v>
      </c>
      <c r="C21" s="11"/>
      <c r="D21" s="11"/>
      <c r="E21" s="11"/>
      <c r="F21" s="11">
        <v>0.5</v>
      </c>
      <c r="G21" s="11">
        <f>F21+1</f>
        <v>1.5</v>
      </c>
      <c r="H21" s="11">
        <f t="shared" ref="H21:J21" si="3">G21+1</f>
        <v>2.5</v>
      </c>
      <c r="I21" s="11">
        <f t="shared" si="3"/>
        <v>3.5</v>
      </c>
      <c r="J21" s="20">
        <f t="shared" si="3"/>
        <v>4.5</v>
      </c>
    </row>
    <row r="22" spans="1:10" x14ac:dyDescent="0.3">
      <c r="B22" s="19"/>
      <c r="C22" s="11"/>
      <c r="D22" s="11"/>
      <c r="E22" s="11"/>
      <c r="F22" s="11"/>
      <c r="G22" s="11"/>
      <c r="H22" s="11"/>
      <c r="I22" s="11"/>
      <c r="J22" s="20"/>
    </row>
    <row r="23" spans="1:10" x14ac:dyDescent="0.3">
      <c r="B23" s="19" t="s">
        <v>168</v>
      </c>
      <c r="C23" s="11"/>
      <c r="D23" s="11"/>
      <c r="E23" s="11"/>
      <c r="F23" s="106">
        <f ca="1">F19*(1+WACC)^F21</f>
        <v>4025.5027069130078</v>
      </c>
      <c r="G23" s="106">
        <f ca="1">G19*(1+WACC)^G21</f>
        <v>5471.1955236992435</v>
      </c>
      <c r="H23" s="106">
        <f ca="1">H19*(1+WACC)^H21</f>
        <v>8336.2415594583745</v>
      </c>
      <c r="I23" s="106">
        <f ca="1">I19*(1+WACC)^I21</f>
        <v>12683.172014042344</v>
      </c>
      <c r="J23" s="107">
        <f ca="1">J19*(1+WACC)^J21</f>
        <v>19289.17721655469</v>
      </c>
    </row>
    <row r="24" spans="1:10" x14ac:dyDescent="0.3">
      <c r="B24" s="19"/>
      <c r="C24" s="11"/>
      <c r="D24" s="11"/>
      <c r="E24" s="11"/>
      <c r="F24" s="11"/>
      <c r="G24" s="11"/>
      <c r="H24" s="11"/>
      <c r="I24" s="11"/>
      <c r="J24" s="20"/>
    </row>
    <row r="25" spans="1:10" x14ac:dyDescent="0.3">
      <c r="B25" s="19" t="s">
        <v>169</v>
      </c>
      <c r="C25" s="11"/>
      <c r="D25" s="13">
        <f ca="1">SUM(F23:J23)</f>
        <v>49805.289020667653</v>
      </c>
      <c r="E25" s="11"/>
      <c r="F25" s="11"/>
      <c r="G25" s="11"/>
      <c r="H25" s="11"/>
      <c r="I25" s="11"/>
      <c r="J25" s="20"/>
    </row>
    <row r="26" spans="1:10" x14ac:dyDescent="0.3">
      <c r="B26" s="19" t="s">
        <v>170</v>
      </c>
      <c r="C26" s="11"/>
      <c r="D26" s="13">
        <f ca="1">C86</f>
        <v>27633.800916285807</v>
      </c>
      <c r="E26" s="11"/>
      <c r="F26" s="11"/>
      <c r="G26" s="11"/>
      <c r="H26" s="11"/>
      <c r="I26" s="11"/>
      <c r="J26" s="20"/>
    </row>
    <row r="27" spans="1:10" x14ac:dyDescent="0.3">
      <c r="B27" s="19" t="s">
        <v>171</v>
      </c>
      <c r="C27" s="11"/>
      <c r="D27" s="13">
        <f ca="1">SUM(D25:D26)</f>
        <v>77439.08993695346</v>
      </c>
      <c r="E27" s="11"/>
      <c r="F27" s="11"/>
      <c r="G27" s="11"/>
      <c r="H27" s="11"/>
      <c r="I27" s="11"/>
      <c r="J27" s="20"/>
    </row>
    <row r="28" spans="1:10" x14ac:dyDescent="0.3">
      <c r="B28" s="19" t="s">
        <v>172</v>
      </c>
      <c r="C28" s="11"/>
      <c r="D28" s="12">
        <f>C58+BS!E46-BS!E6</f>
        <v>6137</v>
      </c>
      <c r="E28" s="11"/>
      <c r="F28" s="11"/>
      <c r="G28" s="11"/>
      <c r="H28" s="11"/>
      <c r="I28" s="11"/>
      <c r="J28" s="20"/>
    </row>
    <row r="29" spans="1:10" x14ac:dyDescent="0.3">
      <c r="B29" s="19" t="s">
        <v>173</v>
      </c>
      <c r="C29" s="11"/>
      <c r="D29" s="13">
        <f ca="1">D27-D28</f>
        <v>71302.08993695346</v>
      </c>
      <c r="E29" s="11"/>
      <c r="F29" s="11"/>
      <c r="G29" s="11"/>
      <c r="H29" s="11"/>
      <c r="I29" s="11"/>
      <c r="J29" s="20"/>
    </row>
    <row r="30" spans="1:10" x14ac:dyDescent="0.3">
      <c r="B30" s="19" t="s">
        <v>174</v>
      </c>
      <c r="C30" s="11"/>
      <c r="D30" s="13">
        <f>C52</f>
        <v>301.81882000000002</v>
      </c>
      <c r="E30" s="11"/>
      <c r="F30" s="11"/>
      <c r="G30" s="11"/>
      <c r="H30" s="11"/>
      <c r="I30" s="11"/>
      <c r="J30" s="20"/>
    </row>
    <row r="31" spans="1:10" x14ac:dyDescent="0.3">
      <c r="B31" s="19" t="s">
        <v>175</v>
      </c>
      <c r="C31" s="11"/>
      <c r="D31" s="70">
        <f ca="1">D29/D30</f>
        <v>236.24136472653845</v>
      </c>
      <c r="E31" s="11"/>
      <c r="F31" s="11"/>
      <c r="G31" s="11"/>
      <c r="H31" s="11"/>
      <c r="I31" s="11"/>
      <c r="J31" s="20"/>
    </row>
    <row r="32" spans="1:10" x14ac:dyDescent="0.3">
      <c r="B32" s="19"/>
      <c r="C32" s="11"/>
      <c r="D32" s="11"/>
      <c r="E32" s="11"/>
      <c r="F32" s="11"/>
      <c r="G32" s="11"/>
      <c r="H32" s="11"/>
      <c r="I32" s="11"/>
      <c r="J32" s="20"/>
    </row>
    <row r="33" spans="1:10" x14ac:dyDescent="0.3">
      <c r="B33" s="19"/>
      <c r="C33" s="11"/>
      <c r="D33" s="11"/>
      <c r="E33" s="11"/>
      <c r="F33" s="11"/>
      <c r="G33" s="11"/>
      <c r="H33" s="11"/>
      <c r="I33" s="11"/>
      <c r="J33" s="20"/>
    </row>
    <row r="34" spans="1:10" x14ac:dyDescent="0.3">
      <c r="B34" s="19"/>
      <c r="C34" s="11"/>
      <c r="D34" s="11"/>
      <c r="E34" s="11"/>
      <c r="F34" s="11"/>
      <c r="G34" s="11"/>
      <c r="H34" s="11"/>
      <c r="I34" s="11"/>
      <c r="J34" s="20"/>
    </row>
    <row r="35" spans="1:10" ht="15" thickBot="1" x14ac:dyDescent="0.35">
      <c r="A35" s="83">
        <v>2</v>
      </c>
      <c r="B35" s="21" t="s">
        <v>176</v>
      </c>
      <c r="C35" s="2"/>
      <c r="D35" s="2"/>
      <c r="E35" s="2"/>
      <c r="F35" s="3"/>
      <c r="G35" s="3"/>
      <c r="H35" s="3"/>
      <c r="I35" s="3"/>
      <c r="J35" s="23"/>
    </row>
    <row r="36" spans="1:10" ht="15" thickTop="1" x14ac:dyDescent="0.3">
      <c r="B36" s="19"/>
      <c r="C36" s="11"/>
      <c r="D36" s="11"/>
      <c r="E36" s="11"/>
      <c r="F36" s="11"/>
      <c r="G36" s="11"/>
      <c r="H36" s="11"/>
      <c r="I36" s="11"/>
      <c r="J36" s="20"/>
    </row>
    <row r="37" spans="1:10" x14ac:dyDescent="0.3">
      <c r="B37" s="19"/>
      <c r="C37" s="11"/>
      <c r="D37" s="11"/>
      <c r="E37" s="11"/>
      <c r="F37" s="47" t="s">
        <v>192</v>
      </c>
      <c r="G37" s="47" t="s">
        <v>193</v>
      </c>
      <c r="H37" s="47" t="s">
        <v>185</v>
      </c>
      <c r="I37" s="11"/>
      <c r="J37" s="20"/>
    </row>
    <row r="38" spans="1:10" x14ac:dyDescent="0.3">
      <c r="B38" s="19" t="s">
        <v>177</v>
      </c>
      <c r="C38" s="108">
        <v>0.04</v>
      </c>
      <c r="D38" s="11"/>
      <c r="E38" s="11" t="s">
        <v>194</v>
      </c>
      <c r="F38" s="148">
        <v>1.4650000000000001</v>
      </c>
      <c r="G38" s="109">
        <v>48.48</v>
      </c>
      <c r="H38" s="14">
        <f>IF(G38&lt;$C$53,F38-F38*G38/$C$53,0)</f>
        <v>0</v>
      </c>
      <c r="I38" s="11"/>
      <c r="J38" s="20"/>
    </row>
    <row r="39" spans="1:10" x14ac:dyDescent="0.3">
      <c r="B39" s="19" t="s">
        <v>178</v>
      </c>
      <c r="C39" s="109">
        <v>3.27</v>
      </c>
      <c r="D39" s="11"/>
      <c r="E39" s="11" t="s">
        <v>195</v>
      </c>
      <c r="F39" s="109"/>
      <c r="G39" s="109"/>
      <c r="H39" s="14">
        <f>IF(G39&lt;$C$53,F39-F39*G39/$C$53,0)</f>
        <v>0</v>
      </c>
      <c r="I39" s="11"/>
      <c r="J39" s="20"/>
    </row>
    <row r="40" spans="1:10" x14ac:dyDescent="0.3">
      <c r="B40" s="19" t="s">
        <v>179</v>
      </c>
      <c r="C40" s="108">
        <v>0.06</v>
      </c>
      <c r="D40" s="11"/>
      <c r="E40" s="11" t="s">
        <v>196</v>
      </c>
      <c r="F40" s="109"/>
      <c r="G40" s="109"/>
      <c r="H40" s="14">
        <f>IF(G40&lt;$C$53,F40-F40*G40/$C$53,0)</f>
        <v>0</v>
      </c>
      <c r="I40" s="11"/>
      <c r="J40" s="20"/>
    </row>
    <row r="41" spans="1:10" x14ac:dyDescent="0.3">
      <c r="B41" s="19"/>
      <c r="C41" s="11"/>
      <c r="D41" s="11"/>
      <c r="E41" s="11" t="s">
        <v>197</v>
      </c>
      <c r="F41" s="109"/>
      <c r="G41" s="109"/>
      <c r="H41" s="14">
        <f>IF(G41&lt;$C$53,F41-F41*G41/$C$53,0)</f>
        <v>0</v>
      </c>
      <c r="I41" s="11"/>
      <c r="J41" s="20"/>
    </row>
    <row r="42" spans="1:10" x14ac:dyDescent="0.3">
      <c r="B42" s="27" t="s">
        <v>180</v>
      </c>
      <c r="C42" s="110">
        <f>C38+C39*C40</f>
        <v>0.23619999999999999</v>
      </c>
      <c r="D42" s="11"/>
      <c r="E42" s="11" t="s">
        <v>198</v>
      </c>
      <c r="F42" s="109"/>
      <c r="G42" s="109"/>
      <c r="H42" s="14">
        <f>IF(G42&lt;$C$53,F42-F42*G42/$C$53,0)</f>
        <v>0</v>
      </c>
      <c r="I42" s="11"/>
      <c r="J42" s="20"/>
    </row>
    <row r="43" spans="1:10" x14ac:dyDescent="0.3">
      <c r="B43" s="19"/>
      <c r="C43" s="11"/>
      <c r="D43" s="11"/>
      <c r="E43" s="11"/>
      <c r="F43" s="48" t="s">
        <v>39</v>
      </c>
      <c r="G43" s="48"/>
      <c r="H43" s="111">
        <f>SUM(H38:H42)</f>
        <v>0</v>
      </c>
      <c r="I43" s="11"/>
      <c r="J43" s="20"/>
    </row>
    <row r="44" spans="1:10" x14ac:dyDescent="0.3">
      <c r="B44" s="19" t="s">
        <v>177</v>
      </c>
      <c r="C44" s="112">
        <f>C38</f>
        <v>0.04</v>
      </c>
      <c r="D44" s="11"/>
      <c r="E44" s="11"/>
      <c r="F44" s="11"/>
      <c r="G44" s="11"/>
      <c r="H44" s="11"/>
      <c r="I44" s="11"/>
      <c r="J44" s="20"/>
    </row>
    <row r="45" spans="1:10" x14ac:dyDescent="0.3">
      <c r="B45" s="19" t="s">
        <v>181</v>
      </c>
      <c r="C45" s="108">
        <v>0.04</v>
      </c>
      <c r="D45" s="11"/>
      <c r="E45" s="11"/>
      <c r="F45" s="11"/>
      <c r="G45" s="11"/>
      <c r="H45" s="11"/>
      <c r="I45" s="11"/>
      <c r="J45" s="20"/>
    </row>
    <row r="46" spans="1:10" x14ac:dyDescent="0.3">
      <c r="B46" s="19"/>
      <c r="C46" s="11"/>
      <c r="D46" s="11"/>
      <c r="E46" s="11"/>
      <c r="F46" s="11"/>
      <c r="G46" s="11"/>
      <c r="H46" s="11"/>
      <c r="I46" s="11"/>
      <c r="J46" s="20"/>
    </row>
    <row r="47" spans="1:10" x14ac:dyDescent="0.3">
      <c r="B47" s="19" t="s">
        <v>182</v>
      </c>
      <c r="C47" s="54">
        <f>C44+C45</f>
        <v>0.08</v>
      </c>
      <c r="D47" s="11"/>
      <c r="E47" s="11"/>
      <c r="F47" s="11"/>
      <c r="G47" s="11"/>
      <c r="H47" s="11"/>
      <c r="I47" s="11"/>
      <c r="J47" s="20"/>
    </row>
    <row r="48" spans="1:10" x14ac:dyDescent="0.3">
      <c r="B48" s="19" t="s">
        <v>183</v>
      </c>
      <c r="C48" s="113">
        <f>C47*(1-F6)</f>
        <v>6.3200000000000006E-2</v>
      </c>
      <c r="D48" s="11"/>
      <c r="E48" s="11"/>
      <c r="F48" s="11"/>
      <c r="G48" s="11"/>
      <c r="H48" s="11"/>
      <c r="I48" s="11"/>
      <c r="J48" s="20"/>
    </row>
    <row r="49" spans="2:10" x14ac:dyDescent="0.3">
      <c r="B49" s="19"/>
      <c r="C49" s="11"/>
      <c r="D49" s="11"/>
      <c r="E49" s="11"/>
      <c r="F49" s="11"/>
      <c r="G49" s="11"/>
      <c r="H49" s="11"/>
      <c r="I49" s="11"/>
      <c r="J49" s="20"/>
    </row>
    <row r="50" spans="2:10" x14ac:dyDescent="0.3">
      <c r="B50" s="19" t="s">
        <v>184</v>
      </c>
      <c r="C50" s="13">
        <v>301.81882000000002</v>
      </c>
      <c r="D50" s="11"/>
      <c r="E50" s="11"/>
      <c r="F50" s="11"/>
      <c r="G50" s="11"/>
      <c r="H50" s="11"/>
      <c r="I50" s="11"/>
      <c r="J50" s="20"/>
    </row>
    <row r="51" spans="2:10" x14ac:dyDescent="0.3">
      <c r="B51" s="19" t="s">
        <v>185</v>
      </c>
      <c r="C51" s="11">
        <v>0</v>
      </c>
      <c r="D51" s="11"/>
      <c r="E51" s="11"/>
      <c r="F51" s="11"/>
      <c r="G51" s="11"/>
      <c r="H51" s="11"/>
      <c r="I51" s="11"/>
      <c r="J51" s="20"/>
    </row>
    <row r="52" spans="2:10" x14ac:dyDescent="0.3">
      <c r="B52" s="27" t="s">
        <v>186</v>
      </c>
      <c r="C52" s="13">
        <f>C50+C51</f>
        <v>301.81882000000002</v>
      </c>
      <c r="D52" s="11"/>
      <c r="E52" s="11"/>
      <c r="F52" s="11"/>
      <c r="G52" s="11"/>
      <c r="H52" s="11"/>
      <c r="I52" s="11"/>
      <c r="J52" s="20"/>
    </row>
    <row r="53" spans="2:10" x14ac:dyDescent="0.3">
      <c r="B53" s="19" t="s">
        <v>187</v>
      </c>
      <c r="C53" s="11">
        <v>31</v>
      </c>
      <c r="D53" s="11"/>
      <c r="E53" s="11"/>
      <c r="F53" s="11"/>
      <c r="G53" s="11"/>
      <c r="H53" s="11"/>
      <c r="I53" s="11"/>
      <c r="J53" s="20"/>
    </row>
    <row r="54" spans="2:10" x14ac:dyDescent="0.3">
      <c r="B54" s="27" t="s">
        <v>188</v>
      </c>
      <c r="C54" s="68">
        <f>C52*C53</f>
        <v>9356.3834200000001</v>
      </c>
      <c r="D54" s="11"/>
      <c r="E54" s="11"/>
      <c r="F54" s="11"/>
      <c r="G54" s="11"/>
      <c r="H54" s="11"/>
      <c r="I54" s="11"/>
      <c r="J54" s="20"/>
    </row>
    <row r="55" spans="2:10" x14ac:dyDescent="0.3">
      <c r="B55" s="19"/>
      <c r="C55" s="11"/>
      <c r="D55" s="11"/>
      <c r="E55" s="11"/>
      <c r="F55" s="11"/>
      <c r="G55" s="11"/>
      <c r="H55" s="11"/>
      <c r="I55" s="11"/>
      <c r="J55" s="20"/>
    </row>
    <row r="56" spans="2:10" x14ac:dyDescent="0.3">
      <c r="B56" s="19" t="s">
        <v>189</v>
      </c>
      <c r="C56" s="11">
        <f>BS!E28</f>
        <v>2</v>
      </c>
      <c r="D56" s="11"/>
      <c r="E56" s="11" t="s">
        <v>208</v>
      </c>
      <c r="F56" s="114">
        <f>C42*C61+C48*C62</f>
        <v>0.17449068073344287</v>
      </c>
      <c r="G56" s="11"/>
      <c r="H56" s="11"/>
      <c r="I56" s="11"/>
      <c r="J56" s="20"/>
    </row>
    <row r="57" spans="2:10" x14ac:dyDescent="0.3">
      <c r="B57" s="19" t="s">
        <v>148</v>
      </c>
      <c r="C57" s="11">
        <f>BS!E32</f>
        <v>5186</v>
      </c>
      <c r="D57" s="11"/>
      <c r="E57" s="11"/>
      <c r="F57" s="11"/>
      <c r="G57" s="11"/>
      <c r="H57" s="11"/>
      <c r="I57" s="11"/>
      <c r="J57" s="20"/>
    </row>
    <row r="58" spans="2:10" x14ac:dyDescent="0.3">
      <c r="B58" s="27" t="s">
        <v>143</v>
      </c>
      <c r="C58" s="48">
        <f>SUM(C56:C57)</f>
        <v>5188</v>
      </c>
      <c r="D58" s="11"/>
      <c r="E58" s="11"/>
      <c r="F58" s="11"/>
      <c r="G58" s="11"/>
      <c r="H58" s="11"/>
      <c r="I58" s="11"/>
      <c r="J58" s="20"/>
    </row>
    <row r="59" spans="2:10" x14ac:dyDescent="0.3">
      <c r="B59" s="19"/>
      <c r="C59" s="11"/>
      <c r="D59" s="11"/>
      <c r="E59" s="11"/>
      <c r="F59" s="11"/>
      <c r="G59" s="11"/>
      <c r="H59" s="11"/>
      <c r="I59" s="11"/>
      <c r="J59" s="20"/>
    </row>
    <row r="60" spans="2:10" x14ac:dyDescent="0.3">
      <c r="B60" s="19"/>
      <c r="C60" s="11"/>
      <c r="D60" s="11"/>
      <c r="E60" s="11"/>
      <c r="F60" s="11"/>
      <c r="G60" s="11"/>
      <c r="H60" s="11"/>
      <c r="I60" s="11"/>
      <c r="J60" s="20"/>
    </row>
    <row r="61" spans="2:10" x14ac:dyDescent="0.3">
      <c r="B61" s="19" t="s">
        <v>190</v>
      </c>
      <c r="C61" s="112">
        <f>C54/(C54+C58)</f>
        <v>0.64329873256325365</v>
      </c>
      <c r="D61" s="11"/>
      <c r="E61" s="11"/>
      <c r="F61" s="11"/>
      <c r="G61" s="11"/>
      <c r="H61" s="11"/>
      <c r="I61" s="11"/>
      <c r="J61" s="20"/>
    </row>
    <row r="62" spans="2:10" x14ac:dyDescent="0.3">
      <c r="B62" s="19" t="s">
        <v>191</v>
      </c>
      <c r="C62" s="112">
        <f>C58/(C54+C58)</f>
        <v>0.35670126743674641</v>
      </c>
      <c r="D62" s="11"/>
      <c r="E62" s="11"/>
      <c r="F62" s="11"/>
      <c r="G62" s="11"/>
      <c r="H62" s="11"/>
      <c r="I62" s="11"/>
      <c r="J62" s="20"/>
    </row>
    <row r="63" spans="2:10" x14ac:dyDescent="0.3">
      <c r="B63" s="19"/>
      <c r="C63" s="11"/>
      <c r="D63" s="11"/>
      <c r="E63" s="11"/>
      <c r="F63" s="11"/>
      <c r="G63" s="11"/>
      <c r="H63" s="11"/>
      <c r="I63" s="11"/>
      <c r="J63" s="20"/>
    </row>
    <row r="64" spans="2:10" x14ac:dyDescent="0.3">
      <c r="B64" s="19"/>
      <c r="C64" s="11"/>
      <c r="D64" s="11"/>
      <c r="E64" s="11"/>
      <c r="F64" s="11"/>
      <c r="G64" s="11"/>
      <c r="H64" s="11"/>
      <c r="I64" s="11"/>
      <c r="J64" s="20"/>
    </row>
    <row r="65" spans="1:10" ht="15" thickBot="1" x14ac:dyDescent="0.35">
      <c r="A65" s="83">
        <v>3</v>
      </c>
      <c r="B65" s="21" t="s">
        <v>199</v>
      </c>
      <c r="C65" s="2"/>
      <c r="D65" s="2"/>
      <c r="E65" s="2"/>
      <c r="F65" s="3"/>
      <c r="G65" s="3"/>
      <c r="H65" s="3"/>
      <c r="I65" s="3"/>
      <c r="J65" s="23"/>
    </row>
    <row r="66" spans="1:10" ht="15" thickTop="1" x14ac:dyDescent="0.3">
      <c r="B66" s="19"/>
      <c r="C66" s="11"/>
      <c r="D66" s="11"/>
      <c r="E66" s="11"/>
      <c r="F66" s="11"/>
      <c r="G66" s="11"/>
      <c r="H66" s="11"/>
      <c r="I66" s="11"/>
      <c r="J66" s="20"/>
    </row>
    <row r="67" spans="1:10" ht="15" thickBot="1" x14ac:dyDescent="0.35">
      <c r="B67" s="146" t="s">
        <v>200</v>
      </c>
      <c r="C67" s="147"/>
      <c r="D67" s="11"/>
      <c r="E67" s="11"/>
      <c r="F67" s="11"/>
      <c r="G67" s="11"/>
      <c r="H67" s="11"/>
      <c r="I67" s="11"/>
      <c r="J67" s="20"/>
    </row>
    <row r="68" spans="1:10" ht="15" thickTop="1" x14ac:dyDescent="0.3">
      <c r="B68" s="19"/>
      <c r="C68" s="11"/>
      <c r="D68" s="11"/>
      <c r="E68" s="11"/>
      <c r="F68" s="11"/>
      <c r="G68" s="11"/>
      <c r="H68" s="11"/>
      <c r="I68" s="11"/>
      <c r="J68" s="20"/>
    </row>
    <row r="69" spans="1:10" x14ac:dyDescent="0.3">
      <c r="B69" s="19" t="s">
        <v>201</v>
      </c>
      <c r="C69" s="114">
        <v>0.02</v>
      </c>
      <c r="D69" s="11"/>
      <c r="E69" s="11"/>
      <c r="F69" s="11"/>
      <c r="G69" s="11"/>
      <c r="H69" s="11"/>
      <c r="I69" s="11"/>
      <c r="J69" s="20"/>
    </row>
    <row r="70" spans="1:10" x14ac:dyDescent="0.3">
      <c r="B70" s="19"/>
      <c r="C70" s="11"/>
      <c r="D70" s="11"/>
      <c r="E70" s="11"/>
      <c r="F70" s="11"/>
      <c r="G70" s="11"/>
      <c r="H70" s="11"/>
      <c r="I70" s="11"/>
      <c r="J70" s="20"/>
    </row>
    <row r="71" spans="1:10" x14ac:dyDescent="0.3">
      <c r="B71" s="19" t="s">
        <v>202</v>
      </c>
      <c r="C71" s="13">
        <f ca="1">J19*(1+C69)/(WACC-C69)</f>
        <v>61757.328362175875</v>
      </c>
      <c r="D71" s="11"/>
      <c r="E71" s="11"/>
      <c r="F71" s="11"/>
      <c r="G71" s="11"/>
      <c r="H71" s="11"/>
      <c r="I71" s="11"/>
      <c r="J71" s="20"/>
    </row>
    <row r="72" spans="1:10" x14ac:dyDescent="0.3">
      <c r="B72" s="19"/>
      <c r="C72" s="13"/>
      <c r="D72" s="11"/>
      <c r="E72" s="11"/>
      <c r="F72" s="11"/>
      <c r="G72" s="11"/>
      <c r="H72" s="11"/>
      <c r="I72" s="11"/>
      <c r="J72" s="20"/>
    </row>
    <row r="73" spans="1:10" x14ac:dyDescent="0.3">
      <c r="B73" s="19" t="s">
        <v>203</v>
      </c>
      <c r="C73" s="13">
        <f ca="1">C71/(1+WACC)^5</f>
        <v>27633.800916285807</v>
      </c>
      <c r="D73" s="11"/>
      <c r="E73" s="11"/>
      <c r="F73" s="11"/>
      <c r="G73" s="11"/>
      <c r="H73" s="11"/>
      <c r="I73" s="11"/>
      <c r="J73" s="20"/>
    </row>
    <row r="74" spans="1:10" x14ac:dyDescent="0.3">
      <c r="B74" s="19"/>
      <c r="C74" s="11"/>
      <c r="D74" s="11"/>
      <c r="E74" s="11"/>
      <c r="F74" s="11"/>
      <c r="G74" s="11"/>
      <c r="H74" s="11"/>
      <c r="I74" s="11"/>
      <c r="J74" s="20"/>
    </row>
    <row r="75" spans="1:10" ht="15" thickBot="1" x14ac:dyDescent="0.35">
      <c r="B75" s="146" t="s">
        <v>204</v>
      </c>
      <c r="C75" s="147"/>
      <c r="D75" s="11"/>
      <c r="E75" s="11"/>
      <c r="F75" s="11"/>
      <c r="G75" s="11"/>
      <c r="H75" s="11"/>
      <c r="I75" s="11"/>
      <c r="J75" s="20"/>
    </row>
    <row r="76" spans="1:10" ht="15" thickTop="1" x14ac:dyDescent="0.3">
      <c r="B76" s="19"/>
      <c r="C76" s="11"/>
      <c r="D76" s="11"/>
      <c r="E76" s="11"/>
      <c r="F76" s="11"/>
      <c r="G76" s="11"/>
      <c r="H76" s="11"/>
      <c r="I76" s="11"/>
      <c r="J76" s="20"/>
    </row>
    <row r="77" spans="1:10" x14ac:dyDescent="0.3">
      <c r="B77" s="19" t="s">
        <v>156</v>
      </c>
      <c r="C77" s="12">
        <f ca="1">J5+J8+IS!J19</f>
        <v>17813.299599127291</v>
      </c>
      <c r="D77" s="11"/>
      <c r="E77" s="11"/>
      <c r="F77" s="11"/>
      <c r="G77" s="11"/>
      <c r="H77" s="11"/>
      <c r="I77" s="11"/>
      <c r="J77" s="20"/>
    </row>
    <row r="78" spans="1:10" x14ac:dyDescent="0.3">
      <c r="B78" s="19" t="s">
        <v>205</v>
      </c>
      <c r="C78" s="143">
        <v>3</v>
      </c>
      <c r="D78" s="11"/>
      <c r="E78" s="11"/>
      <c r="F78" s="11"/>
      <c r="G78" s="11"/>
      <c r="H78" s="11"/>
      <c r="I78" s="11"/>
      <c r="J78" s="20"/>
    </row>
    <row r="79" spans="1:10" x14ac:dyDescent="0.3">
      <c r="B79" s="19"/>
      <c r="C79" s="11"/>
      <c r="D79" s="11"/>
      <c r="E79" s="11"/>
      <c r="F79" s="11"/>
      <c r="G79" s="11"/>
      <c r="H79" s="11"/>
      <c r="I79" s="11"/>
      <c r="J79" s="20"/>
    </row>
    <row r="80" spans="1:10" x14ac:dyDescent="0.3">
      <c r="B80" s="19" t="s">
        <v>202</v>
      </c>
      <c r="C80" s="12">
        <f ca="1">C77*C78</f>
        <v>53439.898797381873</v>
      </c>
      <c r="D80" s="11"/>
      <c r="E80" s="11"/>
      <c r="F80" s="11"/>
      <c r="G80" s="11"/>
      <c r="H80" s="11"/>
      <c r="I80" s="11"/>
      <c r="J80" s="20"/>
    </row>
    <row r="81" spans="2:10" x14ac:dyDescent="0.3">
      <c r="B81" s="19"/>
      <c r="C81" s="11"/>
      <c r="D81" s="11"/>
      <c r="E81" s="11"/>
      <c r="F81" s="11"/>
      <c r="G81" s="11"/>
      <c r="H81" s="11"/>
      <c r="I81" s="11"/>
      <c r="J81" s="20"/>
    </row>
    <row r="82" spans="2:10" x14ac:dyDescent="0.3">
      <c r="B82" s="19" t="s">
        <v>203</v>
      </c>
      <c r="C82" s="13">
        <f ca="1">C80/(1+WACC)^5</f>
        <v>23912.101826894545</v>
      </c>
      <c r="D82" s="11"/>
      <c r="E82" s="11"/>
      <c r="F82" s="11"/>
      <c r="G82" s="11"/>
      <c r="H82" s="11"/>
      <c r="I82" s="11"/>
      <c r="J82" s="20"/>
    </row>
    <row r="83" spans="2:10" x14ac:dyDescent="0.3">
      <c r="B83" s="19"/>
      <c r="C83" s="11"/>
      <c r="D83" s="11"/>
      <c r="E83" s="11"/>
      <c r="F83" s="11"/>
      <c r="G83" s="11"/>
      <c r="H83" s="11"/>
      <c r="I83" s="11"/>
      <c r="J83" s="20"/>
    </row>
    <row r="84" spans="2:10" x14ac:dyDescent="0.3">
      <c r="B84" s="19" t="s">
        <v>206</v>
      </c>
      <c r="C84" s="109">
        <v>1</v>
      </c>
      <c r="D84" s="11"/>
      <c r="E84" s="11"/>
      <c r="F84" s="11"/>
      <c r="G84" s="11"/>
      <c r="H84" s="11"/>
      <c r="I84" s="11"/>
      <c r="J84" s="20"/>
    </row>
    <row r="85" spans="2:10" x14ac:dyDescent="0.3">
      <c r="B85" s="19"/>
      <c r="C85" s="11"/>
      <c r="D85" s="11"/>
      <c r="E85" s="11"/>
      <c r="F85" s="11"/>
      <c r="G85" s="11"/>
      <c r="H85" s="11"/>
      <c r="I85" s="11"/>
      <c r="J85" s="20"/>
    </row>
    <row r="86" spans="2:10" ht="15" thickBot="1" x14ac:dyDescent="0.35">
      <c r="B86" s="144" t="s">
        <v>207</v>
      </c>
      <c r="C86" s="145">
        <f ca="1">CHOOSE(C84,C73,C82)</f>
        <v>27633.800916285807</v>
      </c>
      <c r="D86" s="43"/>
      <c r="E86" s="43"/>
      <c r="F86" s="43"/>
      <c r="G86" s="43"/>
      <c r="H86" s="43"/>
      <c r="I86" s="43"/>
      <c r="J86" s="1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93B4-DF6A-4C63-A215-C269B43FD5C2}">
  <sheetPr>
    <tabColor theme="4" tint="0.79998168889431442"/>
  </sheetPr>
  <dimension ref="A1:K44"/>
  <sheetViews>
    <sheetView showGridLines="0" showRowColHeaders="0" topLeftCell="A7" zoomScale="84" zoomScaleNormal="84" workbookViewId="0">
      <selection activeCell="E32" sqref="E32"/>
    </sheetView>
  </sheetViews>
  <sheetFormatPr defaultRowHeight="14.4" x14ac:dyDescent="0.3"/>
  <cols>
    <col min="2" max="2" width="30" bestFit="1" customWidth="1"/>
    <col min="3" max="11" width="13.33203125" customWidth="1"/>
  </cols>
  <sheetData>
    <row r="1" spans="1:11" s="33" customFormat="1" ht="25.8" customHeight="1" x14ac:dyDescent="0.5">
      <c r="A1" s="141"/>
      <c r="B1" s="142" t="s">
        <v>158</v>
      </c>
      <c r="C1" s="35" t="s">
        <v>159</v>
      </c>
      <c r="D1" s="35"/>
      <c r="E1" s="36"/>
      <c r="F1" s="37" t="s">
        <v>44</v>
      </c>
      <c r="G1" s="37"/>
      <c r="H1" s="37"/>
      <c r="I1" s="35"/>
      <c r="J1" s="35"/>
    </row>
    <row r="2" spans="1:11" s="33" customFormat="1" ht="26.4" thickBot="1" x14ac:dyDescent="0.55000000000000004">
      <c r="B2" s="38" t="s">
        <v>250</v>
      </c>
      <c r="C2" s="39">
        <v>2021</v>
      </c>
      <c r="D2" s="39">
        <f>C2+1</f>
        <v>2022</v>
      </c>
      <c r="E2" s="40">
        <f t="shared" ref="E2:J2" si="0">D2+1</f>
        <v>2023</v>
      </c>
      <c r="F2" s="41">
        <f t="shared" si="0"/>
        <v>2024</v>
      </c>
      <c r="G2" s="39">
        <f t="shared" si="0"/>
        <v>2025</v>
      </c>
      <c r="H2" s="39">
        <f t="shared" si="0"/>
        <v>2026</v>
      </c>
      <c r="I2" s="39">
        <f t="shared" si="0"/>
        <v>2027</v>
      </c>
      <c r="J2" s="39">
        <f t="shared" si="0"/>
        <v>2028</v>
      </c>
    </row>
    <row r="3" spans="1:11" s="33" customFormat="1" ht="26.4" thickTop="1" x14ac:dyDescent="0.5">
      <c r="B3" s="33" t="s">
        <v>251</v>
      </c>
      <c r="C3" s="38"/>
      <c r="D3" s="38"/>
      <c r="E3" s="42"/>
      <c r="F3" s="38"/>
      <c r="G3" s="38"/>
      <c r="H3" s="38"/>
      <c r="I3" s="38"/>
      <c r="J3" s="38"/>
    </row>
    <row r="5" spans="1:11" ht="15" thickBot="1" x14ac:dyDescent="0.35">
      <c r="B5" s="101" t="s">
        <v>216</v>
      </c>
      <c r="C5" s="3"/>
      <c r="D5" s="3"/>
      <c r="E5" s="3"/>
      <c r="F5" s="3"/>
      <c r="G5" s="3"/>
      <c r="H5" s="3"/>
      <c r="I5" s="3"/>
      <c r="J5" s="3"/>
      <c r="K5" s="103"/>
    </row>
    <row r="6" spans="1:11" ht="15" thickTop="1" x14ac:dyDescent="0.3">
      <c r="B6" s="87"/>
      <c r="C6" s="127"/>
      <c r="D6" s="127"/>
      <c r="E6" s="127"/>
      <c r="F6" s="127"/>
      <c r="G6" s="127"/>
      <c r="H6" s="127"/>
      <c r="I6" s="127"/>
      <c r="J6" s="127"/>
      <c r="K6" s="88"/>
    </row>
    <row r="7" spans="1:11" x14ac:dyDescent="0.3">
      <c r="B7" s="97" t="s">
        <v>217</v>
      </c>
      <c r="C7" s="127"/>
      <c r="D7" s="127"/>
      <c r="E7" s="128">
        <f>BS!E10/BS!E30</f>
        <v>1.0241264559068219</v>
      </c>
      <c r="F7" s="128">
        <f ca="1">BS!F10/BS!F30</f>
        <v>0.99775658421069169</v>
      </c>
      <c r="G7" s="128">
        <f ca="1">BS!G10/BS!G30</f>
        <v>1.7969521912578135</v>
      </c>
      <c r="H7" s="128">
        <f ca="1">BS!H10/BS!H30</f>
        <v>3.8457512983459905</v>
      </c>
      <c r="I7" s="128">
        <f ca="1">BS!I10/BS!I30</f>
        <v>6.4125545233477865</v>
      </c>
      <c r="J7" s="128">
        <f ca="1">BS!J10/BS!J30</f>
        <v>9.6027161859323744</v>
      </c>
      <c r="K7" s="88"/>
    </row>
    <row r="8" spans="1:11" x14ac:dyDescent="0.3">
      <c r="B8" s="87" t="s">
        <v>218</v>
      </c>
      <c r="C8" s="127"/>
      <c r="D8" s="11"/>
      <c r="E8" s="129">
        <f>(BS!E6+BS!E7)/BS!E30</f>
        <v>0.70590682196339438</v>
      </c>
      <c r="F8" s="129">
        <f ca="1">(BS!F6+BS!F7)/BS!F30</f>
        <v>0.73638239379596881</v>
      </c>
      <c r="G8" s="129">
        <f ca="1">(BS!G6+BS!G7)/BS!G30</f>
        <v>1.5398587147365639</v>
      </c>
      <c r="H8" s="129">
        <f ca="1">(BS!H6+BS!H7)/BS!H30</f>
        <v>3.5936852355036168</v>
      </c>
      <c r="I8" s="129">
        <f ca="1">(BS!I6+BS!I7)/BS!I30</f>
        <v>6.1663098285208022</v>
      </c>
      <c r="J8" s="129">
        <f ca="1">(BS!J6+BS!J7)/BS!J30</f>
        <v>9.363125731588287</v>
      </c>
      <c r="K8" s="88"/>
    </row>
    <row r="9" spans="1:11" x14ac:dyDescent="0.3">
      <c r="B9" s="95" t="s">
        <v>219</v>
      </c>
      <c r="C9" s="127"/>
      <c r="D9" s="127"/>
      <c r="E9" s="129">
        <f>BS!E6/BS!E30</f>
        <v>3.6189683860232948E-2</v>
      </c>
      <c r="F9" s="129">
        <f ca="1">BS!F6/BS!F30</f>
        <v>8.299817907768213E-2</v>
      </c>
      <c r="G9" s="129">
        <f ca="1">BS!G6/BS!G30</f>
        <v>0.75764243249169483</v>
      </c>
      <c r="H9" s="129">
        <f ca="1">BS!H6/BS!H30</f>
        <v>2.651740713177932</v>
      </c>
      <c r="I9" s="129">
        <f ca="1">BS!I6/BS!I30</f>
        <v>5.0267253675674173</v>
      </c>
      <c r="J9" s="129">
        <f ca="1">BS!J6/BS!J30</f>
        <v>7.9796967170890678</v>
      </c>
      <c r="K9" s="88"/>
    </row>
    <row r="10" spans="1:11" x14ac:dyDescent="0.3">
      <c r="B10" s="87"/>
      <c r="C10" s="127"/>
      <c r="D10" s="127"/>
      <c r="E10" s="127"/>
      <c r="F10" s="127"/>
      <c r="G10" s="127"/>
      <c r="H10" s="127"/>
      <c r="I10" s="127"/>
      <c r="J10" s="127"/>
      <c r="K10" s="88"/>
    </row>
    <row r="11" spans="1:11" ht="15" thickBot="1" x14ac:dyDescent="0.35">
      <c r="B11" s="101" t="s">
        <v>220</v>
      </c>
      <c r="C11" s="3"/>
      <c r="D11" s="3"/>
      <c r="E11" s="3"/>
      <c r="F11" s="3"/>
      <c r="G11" s="3"/>
      <c r="H11" s="3"/>
      <c r="I11" s="3"/>
      <c r="J11" s="3"/>
      <c r="K11" s="103"/>
    </row>
    <row r="12" spans="1:11" ht="15" thickTop="1" x14ac:dyDescent="0.3">
      <c r="B12" s="87"/>
      <c r="C12" s="127"/>
      <c r="D12" s="127"/>
      <c r="E12" s="127"/>
      <c r="F12" s="127"/>
      <c r="G12" s="127"/>
      <c r="H12" s="127"/>
      <c r="I12" s="127"/>
      <c r="J12" s="127"/>
      <c r="K12" s="88"/>
    </row>
    <row r="13" spans="1:11" x14ac:dyDescent="0.3">
      <c r="B13" s="97" t="s">
        <v>221</v>
      </c>
      <c r="C13" s="127"/>
      <c r="D13" s="127"/>
      <c r="E13" s="130">
        <f>'BS Schedules'!E7/AVERAGE('BS Schedules'!D12:E12)</f>
        <v>6.1795454545454547</v>
      </c>
      <c r="F13" s="130">
        <f>'BS Schedules'!F7/AVERAGE('BS Schedules'!E12:F12)</f>
        <v>7.4198657926076077</v>
      </c>
      <c r="G13" s="130">
        <f>'BS Schedules'!G7/AVERAGE('BS Schedules'!F12:G12)</f>
        <v>9.6171839132305745</v>
      </c>
      <c r="H13" s="130">
        <f>'BS Schedules'!H7/AVERAGE('BS Schedules'!G12:H12)</f>
        <v>10.293162234724594</v>
      </c>
      <c r="I13" s="130">
        <f>'BS Schedules'!I7/AVERAGE('BS Schedules'!H12:I12)</f>
        <v>11.110379203276549</v>
      </c>
      <c r="J13" s="130">
        <f>'BS Schedules'!J7/AVERAGE('BS Schedules'!I12:J12)</f>
        <v>12.093157776388747</v>
      </c>
      <c r="K13" s="137"/>
    </row>
    <row r="14" spans="1:11" x14ac:dyDescent="0.3">
      <c r="B14" s="87" t="s">
        <v>222</v>
      </c>
      <c r="C14" s="127"/>
      <c r="D14" s="127"/>
      <c r="E14" s="131">
        <f>365/E13</f>
        <v>59.065833026848104</v>
      </c>
      <c r="F14" s="131">
        <f t="shared" ref="F14:J14" si="1">365/F13</f>
        <v>49.192264415840043</v>
      </c>
      <c r="G14" s="131">
        <f t="shared" si="1"/>
        <v>37.952897988969653</v>
      </c>
      <c r="H14" s="131">
        <f t="shared" si="1"/>
        <v>35.460433992641327</v>
      </c>
      <c r="I14" s="131">
        <f t="shared" si="1"/>
        <v>32.852164028061097</v>
      </c>
      <c r="J14" s="131">
        <f t="shared" si="1"/>
        <v>30.182356564688444</v>
      </c>
      <c r="K14" s="137"/>
    </row>
    <row r="15" spans="1:11" x14ac:dyDescent="0.3">
      <c r="B15" s="87" t="s">
        <v>223</v>
      </c>
      <c r="C15" s="127"/>
      <c r="D15" s="127"/>
      <c r="E15" s="130">
        <f>'BS Schedules'!E5/AVERAGE('BS Schedules'!D13:E13)</f>
        <v>11.587123862841148</v>
      </c>
      <c r="F15" s="130">
        <f>'BS Schedules'!F5/AVERAGE('BS Schedules'!E13:F13)</f>
        <v>15.185441325500431</v>
      </c>
      <c r="G15" s="130">
        <f>'BS Schedules'!G5/AVERAGE('BS Schedules'!F13:G13)</f>
        <v>18.028890505219671</v>
      </c>
      <c r="H15" s="130">
        <f>'BS Schedules'!H5/AVERAGE('BS Schedules'!G13:H13)</f>
        <v>20.774263876900104</v>
      </c>
      <c r="I15" s="130">
        <f>'BS Schedules'!I5/AVERAGE('BS Schedules'!H13:I13)</f>
        <v>23.932469021758198</v>
      </c>
      <c r="J15" s="130">
        <f>'BS Schedules'!J5/AVERAGE('BS Schedules'!I13:J13)</f>
        <v>27.543979429588141</v>
      </c>
      <c r="K15" s="137"/>
    </row>
    <row r="16" spans="1:11" x14ac:dyDescent="0.3">
      <c r="B16" s="87" t="s">
        <v>224</v>
      </c>
      <c r="C16" s="127"/>
      <c r="D16" s="127"/>
      <c r="E16" s="131">
        <f>365/E15</f>
        <v>31.500483150138905</v>
      </c>
      <c r="F16" s="131">
        <f t="shared" ref="F16:J16" si="2">365/F15</f>
        <v>24.036179928934107</v>
      </c>
      <c r="G16" s="131">
        <f t="shared" si="2"/>
        <v>20.245283529473223</v>
      </c>
      <c r="H16" s="131">
        <f t="shared" si="2"/>
        <v>17.569816295915107</v>
      </c>
      <c r="I16" s="131">
        <f t="shared" si="2"/>
        <v>15.251247151648263</v>
      </c>
      <c r="J16" s="131">
        <f t="shared" si="2"/>
        <v>13.251534729506504</v>
      </c>
      <c r="K16" s="137"/>
    </row>
    <row r="17" spans="2:11" x14ac:dyDescent="0.3">
      <c r="B17" s="87" t="s">
        <v>225</v>
      </c>
      <c r="C17" s="127"/>
      <c r="D17" s="127"/>
      <c r="E17" s="130">
        <f>'BS Schedules'!E7/AVERAGE('BS Schedules'!D13:E13)</f>
        <v>3.8054583624912528</v>
      </c>
      <c r="F17" s="130">
        <f>'BS Schedules'!F7/AVERAGE('BS Schedules'!E13:F13)</f>
        <v>4.3474861211906761</v>
      </c>
      <c r="G17" s="130">
        <f>'BS Schedules'!G7/AVERAGE('BS Schedules'!F13:G13)</f>
        <v>4.500583676974923</v>
      </c>
      <c r="H17" s="130">
        <f>'BS Schedules'!H7/AVERAGE('BS Schedules'!G13:H13)</f>
        <v>4.5190924677328272</v>
      </c>
      <c r="I17" s="130">
        <f>'BS Schedules'!I7/AVERAGE('BS Schedules'!H13:I13)</f>
        <v>4.5375817700469616</v>
      </c>
      <c r="J17" s="130">
        <f>'BS Schedules'!J7/AVERAGE('BS Schedules'!I13:J13)</f>
        <v>4.5558220127282238</v>
      </c>
      <c r="K17" s="137"/>
    </row>
    <row r="18" spans="2:11" x14ac:dyDescent="0.3">
      <c r="B18" s="87" t="s">
        <v>226</v>
      </c>
      <c r="C18" s="127"/>
      <c r="D18" s="127"/>
      <c r="E18" s="131">
        <f>365/E17</f>
        <v>95.914858403824937</v>
      </c>
      <c r="F18" s="131">
        <f t="shared" ref="F18:J18" si="3">365/F17</f>
        <v>83.956564742300984</v>
      </c>
      <c r="G18" s="131">
        <f t="shared" si="3"/>
        <v>81.100591878192901</v>
      </c>
      <c r="H18" s="131">
        <f t="shared" si="3"/>
        <v>80.768429193730569</v>
      </c>
      <c r="I18" s="131">
        <f t="shared" si="3"/>
        <v>80.439321757109056</v>
      </c>
      <c r="J18" s="131">
        <f t="shared" si="3"/>
        <v>80.11726511269525</v>
      </c>
      <c r="K18" s="137"/>
    </row>
    <row r="19" spans="2:11" x14ac:dyDescent="0.3">
      <c r="B19" s="87" t="s">
        <v>227</v>
      </c>
      <c r="C19" s="127"/>
      <c r="D19" s="127"/>
      <c r="E19" s="130">
        <f>'BS Schedules'!E5/AVERAGE(BS!D24:E24)</f>
        <v>0.5832129900320524</v>
      </c>
      <c r="F19" s="130">
        <f ca="1">'BS Schedules'!F5/AVERAGE(BS!E24:F24)</f>
        <v>0.64605368947598907</v>
      </c>
      <c r="G19" s="130">
        <f ca="1">'BS Schedules'!G5/AVERAGE(BS!F24:G24)</f>
        <v>0.71862751164540783</v>
      </c>
      <c r="H19" s="130">
        <f ca="1">'BS Schedules'!H5/AVERAGE(BS!G24:H24)</f>
        <v>0.69993703948153752</v>
      </c>
      <c r="I19" s="130">
        <f ca="1">'BS Schedules'!I5/AVERAGE(BS!H24:I24)</f>
        <v>0.64733937894595406</v>
      </c>
      <c r="J19" s="130">
        <f ca="1">'BS Schedules'!J5/AVERAGE(BS!I24:J24)</f>
        <v>0.60444602484400356</v>
      </c>
      <c r="K19" s="137"/>
    </row>
    <row r="20" spans="2:11" x14ac:dyDescent="0.3">
      <c r="B20" s="87" t="s">
        <v>228</v>
      </c>
      <c r="C20" s="127"/>
      <c r="D20" s="127"/>
      <c r="E20" s="130">
        <f>'BS Schedules'!E5/AVERAGE(BS!D47:E47)</f>
        <v>3.2879269261318509</v>
      </c>
      <c r="F20" s="130">
        <f ca="1">'BS Schedules'!F5/AVERAGE(BS!E47:F47)</f>
        <v>1.9026091782292356</v>
      </c>
      <c r="G20" s="130">
        <f ca="1">'BS Schedules'!G5/AVERAGE(BS!F47:G47)</f>
        <v>1.3527547920938394</v>
      </c>
      <c r="H20" s="130">
        <f ca="1">'BS Schedules'!H5/AVERAGE(BS!G47:H47)</f>
        <v>1.0526827699274643</v>
      </c>
      <c r="I20" s="130">
        <f ca="1">'BS Schedules'!I5/AVERAGE(BS!H47:I47)</f>
        <v>0.87203367248857599</v>
      </c>
      <c r="J20" s="130">
        <f ca="1">'BS Schedules'!J5/AVERAGE(BS!I47:J47)</f>
        <v>0.75472825093154483</v>
      </c>
      <c r="K20" s="137"/>
    </row>
    <row r="21" spans="2:11" x14ac:dyDescent="0.3">
      <c r="B21" s="95" t="s">
        <v>229</v>
      </c>
      <c r="C21" s="127"/>
      <c r="D21" s="127"/>
      <c r="E21" s="130">
        <f>'BS Schedules'!E5/AVERAGE(BS!D17:E17)</f>
        <v>0.86918635170603675</v>
      </c>
      <c r="F21" s="130">
        <f>'BS Schedules'!F5/AVERAGE(BS!E17:F17)</f>
        <v>0.97303321958008238</v>
      </c>
      <c r="G21" s="130">
        <f>'BS Schedules'!G5/AVERAGE(BS!F17:G17)</f>
        <v>1.1298231740774984</v>
      </c>
      <c r="H21" s="130">
        <f>'BS Schedules'!H5/AVERAGE(BS!G17:H17)</f>
        <v>1.2897124118849761</v>
      </c>
      <c r="I21" s="130">
        <f>'BS Schedules'!I5/AVERAGE(BS!H17:I17)</f>
        <v>1.4426956771429118</v>
      </c>
      <c r="J21" s="130">
        <f>'BS Schedules'!J5/AVERAGE(BS!I17:J17)</f>
        <v>1.5787520947394822</v>
      </c>
      <c r="K21" s="137"/>
    </row>
    <row r="22" spans="2:11" x14ac:dyDescent="0.3">
      <c r="B22" s="87"/>
      <c r="C22" s="127"/>
      <c r="D22" s="127"/>
      <c r="E22" s="127"/>
      <c r="F22" s="127"/>
      <c r="G22" s="127"/>
      <c r="H22" s="127"/>
      <c r="I22" s="127"/>
      <c r="J22" s="127"/>
      <c r="K22" s="137"/>
    </row>
    <row r="23" spans="2:11" ht="15" thickBot="1" x14ac:dyDescent="0.35">
      <c r="B23" s="101" t="s">
        <v>230</v>
      </c>
      <c r="C23" s="3"/>
      <c r="D23" s="3"/>
      <c r="E23" s="3"/>
      <c r="F23" s="3"/>
      <c r="G23" s="3"/>
      <c r="H23" s="3"/>
      <c r="I23" s="3"/>
      <c r="J23" s="3"/>
      <c r="K23" s="103"/>
    </row>
    <row r="24" spans="2:11" ht="15" thickTop="1" x14ac:dyDescent="0.3">
      <c r="B24" s="87"/>
      <c r="C24" s="127"/>
      <c r="D24" s="127"/>
      <c r="E24" s="132"/>
      <c r="F24" s="132"/>
      <c r="G24" s="132"/>
      <c r="H24" s="132"/>
      <c r="I24" s="132"/>
      <c r="J24" s="132"/>
      <c r="K24" s="88"/>
    </row>
    <row r="25" spans="2:11" x14ac:dyDescent="0.3">
      <c r="B25" s="97" t="s">
        <v>231</v>
      </c>
      <c r="C25" s="127"/>
      <c r="D25" s="127"/>
      <c r="E25" s="133">
        <f>IS!E39/IS!E25</f>
        <v>10.240384615384615</v>
      </c>
      <c r="F25" s="133">
        <f ca="1">IS!F39/IS!F25</f>
        <v>23.636868379723232</v>
      </c>
      <c r="G25" s="133">
        <f ca="1">IS!G39/IS!G25</f>
        <v>90.080558338251663</v>
      </c>
      <c r="H25" s="133">
        <v>0</v>
      </c>
      <c r="I25" s="133">
        <v>0</v>
      </c>
      <c r="J25" s="133">
        <v>0</v>
      </c>
      <c r="K25" s="137"/>
    </row>
    <row r="26" spans="2:11" x14ac:dyDescent="0.3">
      <c r="B26" s="87" t="s">
        <v>232</v>
      </c>
      <c r="C26" s="127"/>
      <c r="D26" s="127"/>
      <c r="E26" s="133">
        <f>(IS!E39+IS!E15+IS!E22)/(IS!E25+IS!E15)</f>
        <v>3.5303203661327229</v>
      </c>
      <c r="F26" s="133">
        <f ca="1">(IS!F39+IS!F15+IS!F22)/(IS!F25+IS!F15)</f>
        <v>4.5439611588733229</v>
      </c>
      <c r="G26" s="133">
        <f ca="1">(IS!G39+IS!G15+IS!G22)/(IS!G25+IS!G15)</f>
        <v>5.6878717070139428</v>
      </c>
      <c r="H26" s="133">
        <f ca="1">(IS!H39+IS!H15+IS!H22)/(IS!H25+IS!H15)</f>
        <v>6.7373339181596315</v>
      </c>
      <c r="I26" s="133">
        <f ca="1">(IS!I39+IS!I15+IS!I22)/(IS!I25+IS!I15)</f>
        <v>7.7113961132214692</v>
      </c>
      <c r="J26" s="133">
        <f ca="1">(IS!J39+IS!J15+IS!J22)/(IS!J25+IS!J15)</f>
        <v>8.7921912638384381</v>
      </c>
      <c r="K26" s="137"/>
    </row>
    <row r="27" spans="2:11" x14ac:dyDescent="0.3">
      <c r="B27" s="87" t="s">
        <v>233</v>
      </c>
      <c r="C27" s="127"/>
      <c r="D27" s="127"/>
      <c r="E27" s="133">
        <f>BS!E32/BS!E24</f>
        <v>0.34019942272369458</v>
      </c>
      <c r="F27" s="133">
        <f ca="1">BS!F32/BS!F24</f>
        <v>0.14709438533448943</v>
      </c>
      <c r="G27" s="133">
        <f ca="1">BS!G32/BS!G24</f>
        <v>1.9457309634119273E-2</v>
      </c>
      <c r="H27" s="133">
        <f ca="1">BS!H32/BS!H24</f>
        <v>1.451916590045667E-2</v>
      </c>
      <c r="I27" s="133">
        <f ca="1">BS!I32/BS!I24</f>
        <v>1.0849357267418012E-2</v>
      </c>
      <c r="J27" s="133">
        <f ca="1">BS!J32/BS!J24</f>
        <v>8.1285332084911361E-3</v>
      </c>
      <c r="K27" s="137"/>
    </row>
    <row r="28" spans="2:11" x14ac:dyDescent="0.3">
      <c r="B28" s="95" t="s">
        <v>234</v>
      </c>
      <c r="C28" s="127"/>
      <c r="D28" s="127"/>
      <c r="E28" s="133">
        <f>BS!E39/BS!E47</f>
        <v>2.4787320509347062</v>
      </c>
      <c r="F28" s="133">
        <f ca="1">BS!F39/BS!F47</f>
        <v>0.94317034501800479</v>
      </c>
      <c r="G28" s="133">
        <f ca="1">BS!G39/BS!G47</f>
        <v>0.41149313353621403</v>
      </c>
      <c r="H28" s="133">
        <f ca="1">BS!H39/BS!H47</f>
        <v>0.27652717812337824</v>
      </c>
      <c r="I28" s="133">
        <f ca="1">BS!I39/BS!I47</f>
        <v>0.19496477524802344</v>
      </c>
      <c r="J28" s="133">
        <f ca="1">BS!J39/BS!J47</f>
        <v>0.14207165452622181</v>
      </c>
      <c r="K28" s="137"/>
    </row>
    <row r="29" spans="2:11" x14ac:dyDescent="0.3">
      <c r="B29" s="87"/>
      <c r="C29" s="127"/>
      <c r="D29" s="127"/>
      <c r="E29" s="127"/>
      <c r="F29" s="127"/>
      <c r="G29" s="127"/>
      <c r="H29" s="127"/>
      <c r="I29" s="127"/>
      <c r="J29" s="127"/>
      <c r="K29" s="88"/>
    </row>
    <row r="30" spans="2:11" ht="15" thickBot="1" x14ac:dyDescent="0.35">
      <c r="B30" s="101" t="s">
        <v>235</v>
      </c>
      <c r="C30" s="3"/>
      <c r="D30" s="3"/>
      <c r="E30" s="3"/>
      <c r="F30" s="3"/>
      <c r="G30" s="3"/>
      <c r="H30" s="3"/>
      <c r="I30" s="3"/>
      <c r="J30" s="3"/>
      <c r="K30" s="103"/>
    </row>
    <row r="31" spans="2:11" ht="15" thickTop="1" x14ac:dyDescent="0.3">
      <c r="B31" s="87"/>
      <c r="C31" s="127"/>
      <c r="D31" s="127"/>
      <c r="E31" s="127"/>
      <c r="F31" s="127"/>
      <c r="G31" s="127"/>
      <c r="H31" s="127"/>
      <c r="I31" s="127"/>
      <c r="J31" s="127"/>
      <c r="K31" s="88"/>
    </row>
    <row r="32" spans="2:11" x14ac:dyDescent="0.3">
      <c r="B32" s="97" t="s">
        <v>236</v>
      </c>
      <c r="C32" s="127"/>
      <c r="D32" s="127"/>
      <c r="E32" s="134">
        <f>IS!E41/IS!E7</f>
        <v>0.6715786930788743</v>
      </c>
      <c r="F32" s="134">
        <f>IS!F41/IS!F7</f>
        <v>0.71370696260963584</v>
      </c>
      <c r="G32" s="134">
        <f>IS!G41/IS!G7</f>
        <v>0.75036823948362619</v>
      </c>
      <c r="H32" s="134">
        <f>IS!H41/IS!H7</f>
        <v>0.7824667822402207</v>
      </c>
      <c r="I32" s="134">
        <f>IS!I41/IS!I7</f>
        <v>0.81040059987452107</v>
      </c>
      <c r="J32" s="134">
        <f>IS!J41/IS!J7</f>
        <v>0.83459826404625137</v>
      </c>
      <c r="K32" s="88"/>
    </row>
    <row r="33" spans="2:11" x14ac:dyDescent="0.3">
      <c r="B33" s="87" t="s">
        <v>237</v>
      </c>
      <c r="C33" s="127"/>
      <c r="D33" s="127"/>
      <c r="E33" s="135">
        <f>IS!E34/IS!E7</f>
        <v>0.34484841164391833</v>
      </c>
      <c r="F33" s="135">
        <f ca="1">IS!F34/IS!F7</f>
        <v>0.32463428220237733</v>
      </c>
      <c r="G33" s="135">
        <f ca="1">IS!G34/IS!G7</f>
        <v>0.38448492341066925</v>
      </c>
      <c r="H33" s="135">
        <f ca="1">IS!H34/IS!H7</f>
        <v>0.43063391332749962</v>
      </c>
      <c r="I33" s="135">
        <f ca="1">IS!I34/IS!I7</f>
        <v>0.46798039792388907</v>
      </c>
      <c r="J33" s="135">
        <f ca="1">IS!J34/IS!J7</f>
        <v>0.50039457274423416</v>
      </c>
      <c r="K33" s="88"/>
    </row>
    <row r="34" spans="2:11" x14ac:dyDescent="0.3">
      <c r="B34" s="87" t="s">
        <v>238</v>
      </c>
      <c r="C34" s="127"/>
      <c r="D34" s="127"/>
      <c r="E34" s="135">
        <f>IS!E27/IS!E7</f>
        <v>0.34823046261625801</v>
      </c>
      <c r="F34" s="135">
        <f ca="1">IS!F27/IS!F7</f>
        <v>0.45575888155325822</v>
      </c>
      <c r="G34" s="135">
        <f ca="1">IS!G27/IS!G7</f>
        <v>0.5235224437351983</v>
      </c>
      <c r="H34" s="135">
        <f ca="1">IS!H27/IS!H7</f>
        <v>0.57509494549767992</v>
      </c>
      <c r="I34" s="135">
        <f ca="1">IS!I27/IS!I7</f>
        <v>0.61659552124702088</v>
      </c>
      <c r="J34" s="135">
        <f ca="1">IS!J27/IS!J7</f>
        <v>0.65281888787352849</v>
      </c>
      <c r="K34" s="88"/>
    </row>
    <row r="35" spans="2:11" x14ac:dyDescent="0.3">
      <c r="B35" s="87" t="s">
        <v>239</v>
      </c>
      <c r="C35" s="127"/>
      <c r="D35" s="127"/>
      <c r="E35" s="135">
        <f>IS!E34/AVERAGE(BS!D24:E24)</f>
        <v>0.20112007326265366</v>
      </c>
      <c r="F35" s="135">
        <f ca="1">IS!F34/AVERAGE(BS!E24:F24)</f>
        <v>0.20973117574723527</v>
      </c>
      <c r="G35" s="135">
        <f ca="1">IS!G34/AVERAGE(BS!F24:G24)</f>
        <v>0.27630144377578447</v>
      </c>
      <c r="H35" s="135">
        <f ca="1">IS!H34/AVERAGE(BS!G24:H24)</f>
        <v>0.3014166263947991</v>
      </c>
      <c r="I35" s="135">
        <f ca="1">IS!I34/AVERAGE(BS!H24:I24)</f>
        <v>0.30294214015093079</v>
      </c>
      <c r="J35" s="135">
        <f ca="1">IS!J34/AVERAGE(BS!I24:J24)</f>
        <v>0.30246151034876589</v>
      </c>
      <c r="K35" s="88"/>
    </row>
    <row r="36" spans="2:11" x14ac:dyDescent="0.3">
      <c r="B36" s="87" t="s">
        <v>240</v>
      </c>
      <c r="C36" s="127"/>
      <c r="D36" s="127"/>
      <c r="E36" s="135">
        <f>IS!E39/(BS!E24-BS!E30)</f>
        <v>0.24883177570093459</v>
      </c>
      <c r="F36" s="135">
        <f ca="1">IS!F39/(BS!F24-BS!F30)</f>
        <v>0.36024404439132046</v>
      </c>
      <c r="G36" s="135">
        <f ca="1">IS!G39/(BS!G24-BS!G30)</f>
        <v>0.40772067463970857</v>
      </c>
      <c r="H36" s="135">
        <f ca="1">IS!H39/(BS!H24-BS!H30)</f>
        <v>0.39237497293964113</v>
      </c>
      <c r="I36" s="135">
        <f ca="1">IS!I39/(BS!I24-BS!I30)</f>
        <v>0.37894228689622106</v>
      </c>
      <c r="J36" s="135">
        <f ca="1">IS!J39/(BS!J24-BS!J30)</f>
        <v>0.36771132593241596</v>
      </c>
      <c r="K36" s="88"/>
    </row>
    <row r="37" spans="2:11" x14ac:dyDescent="0.3">
      <c r="B37" s="87" t="s">
        <v>241</v>
      </c>
      <c r="C37" s="127"/>
      <c r="D37" s="127"/>
      <c r="E37" s="135">
        <f>IS!E39/AVERAGE(BS!D47:E47)</f>
        <v>1.2688641779189833</v>
      </c>
      <c r="F37" s="135">
        <f ca="1">IS!F39/AVERAGE(BS!E47:F47)</f>
        <v>0.90543717029816839</v>
      </c>
      <c r="G37" s="135">
        <f ca="1">IS!G39/AVERAGE(BS!F47:G47)</f>
        <v>0.71614757373777749</v>
      </c>
      <c r="H37" s="135">
        <f ca="1">IS!H39/AVERAGE(BS!G47:H47)</f>
        <v>0.60684687495808598</v>
      </c>
      <c r="I37" s="135">
        <f ca="1">IS!I39/AVERAGE(BS!H47:I47)</f>
        <v>0.53866487447029798</v>
      </c>
      <c r="J37" s="135">
        <f ca="1">IS!J39/AVERAGE(BS!I47:J47)</f>
        <v>0.49337566671295652</v>
      </c>
      <c r="K37" s="88"/>
    </row>
    <row r="38" spans="2:11" x14ac:dyDescent="0.3">
      <c r="B38" s="87" t="s">
        <v>247</v>
      </c>
      <c r="C38" s="127"/>
      <c r="D38" s="127"/>
      <c r="E38" s="136">
        <f>IS!C7-SUM(IS!C15:C17)</f>
        <v>4900</v>
      </c>
      <c r="F38" s="136">
        <f>IS!D7-SUM(IS!D15:D17)</f>
        <v>7488</v>
      </c>
      <c r="G38" s="136">
        <f>IS!E7-SUM(IS!E15:E17)</f>
        <v>5767</v>
      </c>
      <c r="H38" s="136">
        <f>IS!F7-SUM(IS!F15:F17)</f>
        <v>7341.6713966041871</v>
      </c>
      <c r="I38" s="136">
        <f>IS!G7-SUM(IS!G15:G17)</f>
        <v>9345.8274223662429</v>
      </c>
      <c r="J38" s="136">
        <f>IS!H7-SUM(IS!H15:H17)</f>
        <v>11919.363078984621</v>
      </c>
      <c r="K38" s="88"/>
    </row>
    <row r="39" spans="2:11" x14ac:dyDescent="0.3">
      <c r="B39" s="95" t="s">
        <v>246</v>
      </c>
      <c r="C39" s="138"/>
      <c r="D39" s="138"/>
      <c r="E39" s="139">
        <f>E38/IS!C7</f>
        <v>0.61365059486537255</v>
      </c>
      <c r="F39" s="139">
        <f>F38/IS!D7</f>
        <v>0.67611738148984202</v>
      </c>
      <c r="G39" s="139">
        <f>G38/IS!E7</f>
        <v>0.69658171276724246</v>
      </c>
      <c r="H39" s="139">
        <f>H38/IS!F7</f>
        <v>0.73865628440765085</v>
      </c>
      <c r="I39" s="139">
        <f>I38/IS!G7</f>
        <v>0.77256557926426328</v>
      </c>
      <c r="J39" s="139">
        <f>J38/IS!H7</f>
        <v>0.80222371177089902</v>
      </c>
      <c r="K39" s="140"/>
    </row>
    <row r="40" spans="2:11" x14ac:dyDescent="0.3">
      <c r="C40" s="124"/>
      <c r="D40" s="124"/>
      <c r="E40" s="124"/>
      <c r="F40" s="124"/>
      <c r="G40" s="124"/>
      <c r="H40" s="124"/>
      <c r="I40" s="124"/>
      <c r="J40" s="124"/>
    </row>
    <row r="41" spans="2:11" x14ac:dyDescent="0.3">
      <c r="C41" s="124"/>
      <c r="D41" s="124"/>
      <c r="E41" s="124"/>
      <c r="F41" s="124"/>
      <c r="G41" s="124"/>
      <c r="H41" s="124"/>
      <c r="I41" s="124"/>
      <c r="J41" s="124"/>
    </row>
    <row r="42" spans="2:11" x14ac:dyDescent="0.3">
      <c r="C42" s="124"/>
      <c r="D42" s="124"/>
      <c r="E42" s="124"/>
      <c r="F42" s="124"/>
      <c r="G42" s="124"/>
      <c r="H42" s="124"/>
      <c r="I42" s="124"/>
      <c r="J42" s="124"/>
    </row>
    <row r="43" spans="2:11" x14ac:dyDescent="0.3">
      <c r="C43" s="124"/>
      <c r="D43" s="124"/>
      <c r="E43" s="124"/>
      <c r="F43" s="124"/>
      <c r="G43" s="124"/>
      <c r="H43" s="124"/>
      <c r="I43" s="124"/>
      <c r="J43" s="124"/>
    </row>
    <row r="44" spans="2:11" x14ac:dyDescent="0.3">
      <c r="C44" s="124"/>
      <c r="D44" s="124"/>
      <c r="E44" s="124"/>
      <c r="F44" s="124"/>
      <c r="G44" s="124"/>
      <c r="H44" s="124"/>
      <c r="I44" s="124"/>
      <c r="J44" s="12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xr2:uid="{349F6BDE-870E-49E4-B6CB-2EAAD0BD30C5}">
          <x14:colorSeries theme="1" tint="0.14999847407452621"/>
          <x14:colorNegative rgb="FFD00000"/>
          <x14:colorAxis rgb="FF000000"/>
          <x14:colorMarkers theme="1"/>
          <x14:colorFirst rgb="FFD00000"/>
          <x14:colorLast rgb="FFD00000"/>
          <x14:colorHigh rgb="FFD00000"/>
          <x14:colorLow rgb="FFD00000"/>
          <x14:sparklines>
            <x14:sparkline>
              <xm:f>Ratios!E13:J13</xm:f>
              <xm:sqref>K13</xm:sqref>
            </x14:sparkline>
            <x14:sparkline>
              <xm:f>Ratios!E14:J14</xm:f>
              <xm:sqref>K14</xm:sqref>
            </x14:sparkline>
            <x14:sparkline>
              <xm:f>Ratios!E15:J15</xm:f>
              <xm:sqref>K15</xm:sqref>
            </x14:sparkline>
            <x14:sparkline>
              <xm:f>Ratios!E16:J16</xm:f>
              <xm:sqref>K16</xm:sqref>
            </x14:sparkline>
            <x14:sparkline>
              <xm:f>Ratios!E17:J17</xm:f>
              <xm:sqref>K17</xm:sqref>
            </x14:sparkline>
            <x14:sparkline>
              <xm:f>Ratios!E18:J18</xm:f>
              <xm:sqref>K18</xm:sqref>
            </x14:sparkline>
            <x14:sparkline>
              <xm:f>Ratios!E19:J19</xm:f>
              <xm:sqref>K19</xm:sqref>
            </x14:sparkline>
            <x14:sparkline>
              <xm:f>Ratios!E20:J20</xm:f>
              <xm:sqref>K20</xm:sqref>
            </x14:sparkline>
            <x14:sparkline>
              <xm:f>Ratios!E21:J21</xm:f>
              <xm:sqref>K21</xm:sqref>
            </x14:sparkline>
          </x14:sparklines>
        </x14:sparklineGroup>
        <x14:sparklineGroup displayEmptyCellsAs="gap" markers="1" xr2:uid="{029D746E-0CC0-474F-9975-72E82E63F6F8}">
          <x14:colorSeries theme="1" tint="0.14999847407452621"/>
          <x14:colorNegative rgb="FFD00000"/>
          <x14:colorAxis rgb="FF000000"/>
          <x14:colorMarkers theme="1"/>
          <x14:colorFirst rgb="FFD00000"/>
          <x14:colorLast rgb="FFD00000"/>
          <x14:colorHigh rgb="FFD00000"/>
          <x14:colorLow rgb="FFD00000"/>
          <x14:sparklines>
            <x14:sparkline>
              <xm:f>Ratios!E25:J25</xm:f>
              <xm:sqref>K25</xm:sqref>
            </x14:sparkline>
            <x14:sparkline>
              <xm:f>Ratios!E26:J26</xm:f>
              <xm:sqref>K26</xm:sqref>
            </x14:sparkline>
            <x14:sparkline>
              <xm:f>Ratios!E27:J27</xm:f>
              <xm:sqref>K27</xm:sqref>
            </x14:sparkline>
            <x14:sparkline>
              <xm:f>Ratios!E28:J28</xm:f>
              <xm:sqref>K28</xm:sqref>
            </x14:sparkline>
          </x14:sparklines>
        </x14:sparklineGroup>
        <x14:sparklineGroup type="column" displayEmptyCellsAs="gap" markers="1" xr2:uid="{69F938F6-0C20-462D-8E72-4E4C90703451}">
          <x14:colorSeries theme="1" tint="0.14999847407452621"/>
          <x14:colorNegative rgb="FFD00000"/>
          <x14:colorAxis rgb="FF000000"/>
          <x14:colorMarkers theme="1"/>
          <x14:colorFirst rgb="FFD00000"/>
          <x14:colorLast rgb="FFD00000"/>
          <x14:colorHigh rgb="FFD00000"/>
          <x14:colorLow rgb="FFD00000"/>
          <x14:sparklines>
            <x14:sparkline>
              <xm:f>Ratios!E32:J32</xm:f>
              <xm:sqref>K32</xm:sqref>
            </x14:sparkline>
            <x14:sparkline>
              <xm:f>Ratios!E33:J33</xm:f>
              <xm:sqref>K33</xm:sqref>
            </x14:sparkline>
            <x14:sparkline>
              <xm:f>Ratios!E34:J34</xm:f>
              <xm:sqref>K34</xm:sqref>
            </x14:sparkline>
            <x14:sparkline>
              <xm:f>Ratios!E35:J35</xm:f>
              <xm:sqref>K35</xm:sqref>
            </x14:sparkline>
            <x14:sparkline>
              <xm:f>Ratios!E36:J36</xm:f>
              <xm:sqref>K36</xm:sqref>
            </x14:sparkline>
            <x14:sparkline>
              <xm:f>Ratios!E37:J37</xm:f>
              <xm:sqref>K37</xm:sqref>
            </x14:sparkline>
            <x14:sparkline>
              <xm:f>Ratios!E38:J38</xm:f>
              <xm:sqref>K38</xm:sqref>
            </x14:sparkline>
            <x14:sparkline>
              <xm:f>Ratios!E39:J39</xm:f>
              <xm:sqref>K39</xm:sqref>
            </x14:sparkline>
          </x14:sparklines>
        </x14:sparklineGroup>
        <x14:sparklineGroup type="column" displayEmptyCellsAs="gap" markers="1" xr2:uid="{A0D7E0BE-552F-42A7-BDA7-9A46563F9BD0}">
          <x14:colorSeries theme="1" tint="0.14999847407452621"/>
          <x14:colorNegative rgb="FFD00000"/>
          <x14:colorAxis rgb="FF000000"/>
          <x14:colorMarkers theme="1"/>
          <x14:colorFirst rgb="FFD00000"/>
          <x14:colorLast rgb="FFD00000"/>
          <x14:colorHigh rgb="FFD00000"/>
          <x14:colorLow rgb="FFD00000"/>
          <x14:sparklines>
            <x14:sparkline>
              <xm:f>Ratios!E7:J7</xm:f>
              <xm:sqref>K7</xm:sqref>
            </x14:sparkline>
            <x14:sparkline>
              <xm:f>Ratios!E8:J8</xm:f>
              <xm:sqref>K8</xm:sqref>
            </x14:sparkline>
            <x14:sparkline>
              <xm:f>Ratios!E9:J9</xm:f>
              <xm:sqref>K9</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8D4E-95C9-4275-AE89-ADC4EC535B1F}">
  <sheetPr>
    <tabColor theme="6"/>
  </sheetPr>
  <dimension ref="A1:K24"/>
  <sheetViews>
    <sheetView showGridLines="0" workbookViewId="0">
      <pane ySplit="3" topLeftCell="A4" activePane="bottomLeft" state="frozen"/>
      <selection pane="bottomLeft" activeCell="B3" sqref="B3"/>
    </sheetView>
  </sheetViews>
  <sheetFormatPr defaultColWidth="0" defaultRowHeight="14.4" x14ac:dyDescent="0.3"/>
  <cols>
    <col min="1" max="1" width="2.88671875" customWidth="1"/>
    <col min="2" max="2" width="55.33203125" bestFit="1" customWidth="1"/>
    <col min="3" max="10" width="15.88671875" customWidth="1"/>
    <col min="11" max="11" width="9.109375" customWidth="1"/>
    <col min="12" max="16384" width="9.109375" hidden="1"/>
  </cols>
  <sheetData>
    <row r="1" spans="1:11" s="33" customFormat="1" ht="25.8" customHeight="1" x14ac:dyDescent="0.5">
      <c r="B1" s="34" t="s">
        <v>158</v>
      </c>
      <c r="C1" s="35" t="s">
        <v>159</v>
      </c>
      <c r="D1" s="35"/>
      <c r="E1" s="36"/>
      <c r="F1" s="37" t="s">
        <v>44</v>
      </c>
      <c r="G1" s="37"/>
      <c r="H1" s="37"/>
      <c r="I1" s="35"/>
      <c r="J1" s="35"/>
    </row>
    <row r="2" spans="1:11" s="33" customFormat="1" ht="26.4" thickBot="1" x14ac:dyDescent="0.55000000000000004">
      <c r="B2" s="38" t="s">
        <v>27</v>
      </c>
      <c r="C2" s="39">
        <v>2021</v>
      </c>
      <c r="D2" s="39">
        <f>C2+1</f>
        <v>2022</v>
      </c>
      <c r="E2" s="40">
        <f t="shared" ref="E2:J2" si="0">D2+1</f>
        <v>2023</v>
      </c>
      <c r="F2" s="41">
        <f t="shared" si="0"/>
        <v>2024</v>
      </c>
      <c r="G2" s="39">
        <f t="shared" si="0"/>
        <v>2025</v>
      </c>
      <c r="H2" s="39">
        <f t="shared" si="0"/>
        <v>2026</v>
      </c>
      <c r="I2" s="39">
        <f t="shared" si="0"/>
        <v>2027</v>
      </c>
      <c r="J2" s="39">
        <f t="shared" si="0"/>
        <v>2028</v>
      </c>
    </row>
    <row r="3" spans="1:11" s="33" customFormat="1" ht="27" thickTop="1" thickBot="1" x14ac:dyDescent="0.55000000000000004">
      <c r="C3" s="38"/>
      <c r="D3" s="38"/>
      <c r="E3" s="42"/>
      <c r="F3" s="38"/>
      <c r="G3" s="38"/>
      <c r="H3" s="38"/>
      <c r="I3" s="38"/>
      <c r="J3" s="38"/>
    </row>
    <row r="4" spans="1:11" x14ac:dyDescent="0.3">
      <c r="B4" s="16"/>
      <c r="C4" s="45"/>
      <c r="D4" s="45"/>
      <c r="E4" s="45"/>
      <c r="F4" s="45"/>
      <c r="G4" s="45"/>
      <c r="H4" s="45"/>
      <c r="I4" s="45"/>
      <c r="J4" s="46"/>
    </row>
    <row r="5" spans="1:11" s="43" customFormat="1" ht="15" thickBot="1" x14ac:dyDescent="0.35">
      <c r="A5"/>
      <c r="B5" s="19" t="s">
        <v>155</v>
      </c>
      <c r="C5" s="11" t="str" cm="1">
        <f t="array" ref="C5">INDEX(B10:B12,D5)</f>
        <v>Best</v>
      </c>
      <c r="D5" s="11">
        <v>1</v>
      </c>
      <c r="E5" s="11"/>
      <c r="F5" s="11"/>
      <c r="G5" s="11"/>
      <c r="H5" s="11"/>
      <c r="I5" s="11"/>
      <c r="J5" s="20"/>
      <c r="K5"/>
    </row>
    <row r="6" spans="1:11" x14ac:dyDescent="0.3">
      <c r="B6" s="19"/>
      <c r="C6" s="11"/>
      <c r="D6" s="11"/>
      <c r="E6" s="11"/>
      <c r="F6" s="11"/>
      <c r="G6" s="11"/>
      <c r="H6" s="11"/>
      <c r="I6" s="11"/>
      <c r="J6" s="20"/>
    </row>
    <row r="7" spans="1:11" x14ac:dyDescent="0.3">
      <c r="B7" s="53" t="s">
        <v>40</v>
      </c>
      <c r="C7" s="11"/>
      <c r="D7" s="11"/>
      <c r="E7" s="11"/>
      <c r="F7" s="11"/>
      <c r="G7" s="11"/>
      <c r="H7" s="11"/>
      <c r="I7" s="11"/>
      <c r="J7" s="20"/>
    </row>
    <row r="8" spans="1:11" x14ac:dyDescent="0.3">
      <c r="B8" s="19" t="s">
        <v>28</v>
      </c>
      <c r="C8" s="11"/>
      <c r="D8" s="54">
        <f>'Revenue Model'!D6</f>
        <v>-6.2043795620437936E-2</v>
      </c>
      <c r="E8" s="54">
        <f>'Revenue Model'!E6</f>
        <v>0.12062256809338523</v>
      </c>
      <c r="F8" s="54">
        <f>INDEX(F10:F12,$D$5)</f>
        <v>0.12062256809338523</v>
      </c>
      <c r="G8" s="54">
        <f t="shared" ref="G8:J8" si="1">INDEX(G10:G12,$D$5)</f>
        <v>0.12062256809338523</v>
      </c>
      <c r="H8" s="54">
        <f t="shared" si="1"/>
        <v>0.12062256809338523</v>
      </c>
      <c r="I8" s="54">
        <f t="shared" si="1"/>
        <v>0.12062256809338523</v>
      </c>
      <c r="J8" s="55">
        <f t="shared" si="1"/>
        <v>0.12062256809338523</v>
      </c>
    </row>
    <row r="9" spans="1:11" x14ac:dyDescent="0.3">
      <c r="B9" s="19"/>
      <c r="C9" s="11"/>
      <c r="D9" s="11"/>
      <c r="E9" s="11"/>
      <c r="F9" s="11"/>
      <c r="G9" s="11"/>
      <c r="H9" s="11"/>
      <c r="I9" s="11"/>
      <c r="J9" s="20"/>
    </row>
    <row r="10" spans="1:11" x14ac:dyDescent="0.3">
      <c r="B10" s="19" t="s">
        <v>152</v>
      </c>
      <c r="C10" s="11"/>
      <c r="D10" s="11"/>
      <c r="E10" s="11"/>
      <c r="F10" s="61">
        <f>MAX($D8:$E8)</f>
        <v>0.12062256809338523</v>
      </c>
      <c r="G10" s="61">
        <f t="shared" ref="G10:J10" si="2">MAX($D8:$E8)</f>
        <v>0.12062256809338523</v>
      </c>
      <c r="H10" s="61">
        <f t="shared" si="2"/>
        <v>0.12062256809338523</v>
      </c>
      <c r="I10" s="61">
        <f t="shared" si="2"/>
        <v>0.12062256809338523</v>
      </c>
      <c r="J10" s="62">
        <f t="shared" si="2"/>
        <v>0.12062256809338523</v>
      </c>
    </row>
    <row r="11" spans="1:11" x14ac:dyDescent="0.3">
      <c r="B11" s="19" t="s">
        <v>153</v>
      </c>
      <c r="C11" s="11"/>
      <c r="D11" s="11"/>
      <c r="E11" s="11"/>
      <c r="F11" s="61">
        <f>AVERAGE($D8:$E8)</f>
        <v>2.9289386236473647E-2</v>
      </c>
      <c r="G11" s="61">
        <f t="shared" ref="G11:J11" si="3">AVERAGE($D8:$E8)</f>
        <v>2.9289386236473647E-2</v>
      </c>
      <c r="H11" s="61">
        <f t="shared" si="3"/>
        <v>2.9289386236473647E-2</v>
      </c>
      <c r="I11" s="61">
        <f t="shared" si="3"/>
        <v>2.9289386236473647E-2</v>
      </c>
      <c r="J11" s="62">
        <f t="shared" si="3"/>
        <v>2.9289386236473647E-2</v>
      </c>
    </row>
    <row r="12" spans="1:11" x14ac:dyDescent="0.3">
      <c r="B12" s="19" t="s">
        <v>154</v>
      </c>
      <c r="C12" s="11"/>
      <c r="D12" s="11"/>
      <c r="E12" s="11"/>
      <c r="F12" s="61">
        <f>MIN($D8:$E8)</f>
        <v>-6.2043795620437936E-2</v>
      </c>
      <c r="G12" s="61">
        <f t="shared" ref="G12:J12" si="4">MIN($D8:$E8)</f>
        <v>-6.2043795620437936E-2</v>
      </c>
      <c r="H12" s="61">
        <f t="shared" si="4"/>
        <v>-6.2043795620437936E-2</v>
      </c>
      <c r="I12" s="61">
        <f t="shared" si="4"/>
        <v>-6.2043795620437936E-2</v>
      </c>
      <c r="J12" s="62">
        <f t="shared" si="4"/>
        <v>-6.2043795620437936E-2</v>
      </c>
    </row>
    <row r="13" spans="1:11" x14ac:dyDescent="0.3">
      <c r="B13" s="19"/>
      <c r="C13" s="11"/>
      <c r="D13" s="11"/>
      <c r="E13" s="11"/>
      <c r="F13" s="11"/>
      <c r="G13" s="11"/>
      <c r="H13" s="11"/>
      <c r="I13" s="11"/>
      <c r="J13" s="20"/>
    </row>
    <row r="14" spans="1:11" x14ac:dyDescent="0.3">
      <c r="B14" s="19" t="s">
        <v>29</v>
      </c>
      <c r="C14" s="11"/>
      <c r="D14" s="54">
        <f>'Revenue Model'!D7</f>
        <v>0.21011673151750987</v>
      </c>
      <c r="E14" s="54">
        <f>'Revenue Model'!E7</f>
        <v>4.5016077170418001E-2</v>
      </c>
      <c r="F14" s="54">
        <f>INDEX(F16:F18,$D$5)</f>
        <v>0.21011673151750987</v>
      </c>
      <c r="G14" s="54">
        <f t="shared" ref="G14:J14" si="5">INDEX(G16:G18,$D$5)</f>
        <v>0.21011673151750987</v>
      </c>
      <c r="H14" s="54">
        <f t="shared" si="5"/>
        <v>0.21011673151750987</v>
      </c>
      <c r="I14" s="54">
        <f t="shared" si="5"/>
        <v>0.21011673151750987</v>
      </c>
      <c r="J14" s="55">
        <f t="shared" si="5"/>
        <v>0.21011673151750987</v>
      </c>
    </row>
    <row r="15" spans="1:11" x14ac:dyDescent="0.3">
      <c r="B15" s="19"/>
      <c r="C15" s="11"/>
      <c r="D15" s="11"/>
      <c r="E15" s="11"/>
      <c r="F15" s="11"/>
      <c r="G15" s="11"/>
      <c r="H15" s="11"/>
      <c r="I15" s="11"/>
      <c r="J15" s="20"/>
    </row>
    <row r="16" spans="1:11" x14ac:dyDescent="0.3">
      <c r="B16" s="19" t="s">
        <v>152</v>
      </c>
      <c r="C16" s="11"/>
      <c r="D16" s="11"/>
      <c r="E16" s="11"/>
      <c r="F16" s="61">
        <f>MAX($D14:$E14)</f>
        <v>0.21011673151750987</v>
      </c>
      <c r="G16" s="61">
        <f t="shared" ref="G16:J16" si="6">MAX($D14:$E14)</f>
        <v>0.21011673151750987</v>
      </c>
      <c r="H16" s="61">
        <f t="shared" si="6"/>
        <v>0.21011673151750987</v>
      </c>
      <c r="I16" s="61">
        <f t="shared" si="6"/>
        <v>0.21011673151750987</v>
      </c>
      <c r="J16" s="62">
        <f t="shared" si="6"/>
        <v>0.21011673151750987</v>
      </c>
    </row>
    <row r="17" spans="2:10" x14ac:dyDescent="0.3">
      <c r="B17" s="19" t="s">
        <v>153</v>
      </c>
      <c r="C17" s="11"/>
      <c r="D17" s="11"/>
      <c r="E17" s="11"/>
      <c r="F17" s="61">
        <f>AVERAGE($D14:$E14)</f>
        <v>0.12756640434396394</v>
      </c>
      <c r="G17" s="61">
        <f t="shared" ref="G17:J17" si="7">AVERAGE($D14:$E14)</f>
        <v>0.12756640434396394</v>
      </c>
      <c r="H17" s="61">
        <f t="shared" si="7"/>
        <v>0.12756640434396394</v>
      </c>
      <c r="I17" s="61">
        <f t="shared" si="7"/>
        <v>0.12756640434396394</v>
      </c>
      <c r="J17" s="62">
        <f t="shared" si="7"/>
        <v>0.12756640434396394</v>
      </c>
    </row>
    <row r="18" spans="2:10" x14ac:dyDescent="0.3">
      <c r="B18" s="19" t="s">
        <v>154</v>
      </c>
      <c r="C18" s="11"/>
      <c r="D18" s="11"/>
      <c r="E18" s="11"/>
      <c r="F18" s="61">
        <f>MIN($D14:$E14)</f>
        <v>4.5016077170418001E-2</v>
      </c>
      <c r="G18" s="61">
        <f t="shared" ref="G18:J18" si="8">MIN($D14:$E14)</f>
        <v>4.5016077170418001E-2</v>
      </c>
      <c r="H18" s="61">
        <f t="shared" si="8"/>
        <v>4.5016077170418001E-2</v>
      </c>
      <c r="I18" s="61">
        <f t="shared" si="8"/>
        <v>4.5016077170418001E-2</v>
      </c>
      <c r="J18" s="62">
        <f t="shared" si="8"/>
        <v>4.5016077170418001E-2</v>
      </c>
    </row>
    <row r="19" spans="2:10" x14ac:dyDescent="0.3">
      <c r="B19" s="19"/>
      <c r="C19" s="11"/>
      <c r="D19" s="11"/>
      <c r="E19" s="11"/>
      <c r="F19" s="11"/>
      <c r="G19" s="11"/>
      <c r="H19" s="11"/>
      <c r="I19" s="11"/>
      <c r="J19" s="20"/>
    </row>
    <row r="20" spans="2:10" x14ac:dyDescent="0.3">
      <c r="B20" s="19" t="s">
        <v>30</v>
      </c>
      <c r="C20" s="11"/>
      <c r="D20" s="54">
        <f>'Revenue Model'!D8</f>
        <v>-9.8484848484848397E-2</v>
      </c>
      <c r="E20" s="54">
        <f>'Revenue Model'!E8</f>
        <v>6.7226890756302504E-2</v>
      </c>
      <c r="F20" s="54">
        <f>INDEX(F22:F24,$D$5)</f>
        <v>6.7226890756302504E-2</v>
      </c>
      <c r="G20" s="54">
        <f t="shared" ref="G20:J20" si="9">INDEX(G22:G24,$D$5)</f>
        <v>6.7226890756302504E-2</v>
      </c>
      <c r="H20" s="54">
        <f t="shared" si="9"/>
        <v>6.7226890756302504E-2</v>
      </c>
      <c r="I20" s="54">
        <f t="shared" si="9"/>
        <v>6.7226890756302504E-2</v>
      </c>
      <c r="J20" s="55">
        <f t="shared" si="9"/>
        <v>6.7226890756302504E-2</v>
      </c>
    </row>
    <row r="21" spans="2:10" x14ac:dyDescent="0.3">
      <c r="B21" s="19"/>
      <c r="C21" s="11"/>
      <c r="D21" s="11"/>
      <c r="E21" s="11"/>
      <c r="F21" s="11"/>
      <c r="G21" s="11"/>
      <c r="H21" s="11"/>
      <c r="I21" s="11"/>
      <c r="J21" s="20"/>
    </row>
    <row r="22" spans="2:10" x14ac:dyDescent="0.3">
      <c r="B22" s="19" t="s">
        <v>152</v>
      </c>
      <c r="C22" s="11"/>
      <c r="D22" s="11"/>
      <c r="E22" s="11"/>
      <c r="F22" s="61">
        <f>MAX($D20:$E20)</f>
        <v>6.7226890756302504E-2</v>
      </c>
      <c r="G22" s="61">
        <f t="shared" ref="G22:J22" si="10">MAX($D20:$E20)</f>
        <v>6.7226890756302504E-2</v>
      </c>
      <c r="H22" s="61">
        <f t="shared" si="10"/>
        <v>6.7226890756302504E-2</v>
      </c>
      <c r="I22" s="61">
        <f t="shared" si="10"/>
        <v>6.7226890756302504E-2</v>
      </c>
      <c r="J22" s="62">
        <f t="shared" si="10"/>
        <v>6.7226890756302504E-2</v>
      </c>
    </row>
    <row r="23" spans="2:10" x14ac:dyDescent="0.3">
      <c r="B23" s="19" t="s">
        <v>153</v>
      </c>
      <c r="C23" s="11"/>
      <c r="D23" s="11"/>
      <c r="E23" s="11"/>
      <c r="F23" s="61">
        <f>AVERAGE($D20:$E20)</f>
        <v>-1.5628978864272947E-2</v>
      </c>
      <c r="G23" s="61">
        <f t="shared" ref="G23:J23" si="11">AVERAGE($D20:$E20)</f>
        <v>-1.5628978864272947E-2</v>
      </c>
      <c r="H23" s="61">
        <f t="shared" si="11"/>
        <v>-1.5628978864272947E-2</v>
      </c>
      <c r="I23" s="61">
        <f t="shared" si="11"/>
        <v>-1.5628978864272947E-2</v>
      </c>
      <c r="J23" s="62">
        <f t="shared" si="11"/>
        <v>-1.5628978864272947E-2</v>
      </c>
    </row>
    <row r="24" spans="2:10" ht="15" thickBot="1" x14ac:dyDescent="0.35">
      <c r="B24" s="28" t="s">
        <v>154</v>
      </c>
      <c r="C24" s="43"/>
      <c r="D24" s="43"/>
      <c r="E24" s="43"/>
      <c r="F24" s="63">
        <f>MIN($D20:$E20)</f>
        <v>-9.8484848484848397E-2</v>
      </c>
      <c r="G24" s="63">
        <f t="shared" ref="G24:J24" si="12">MIN($D20:$E20)</f>
        <v>-9.8484848484848397E-2</v>
      </c>
      <c r="H24" s="63">
        <f t="shared" si="12"/>
        <v>-9.8484848484848397E-2</v>
      </c>
      <c r="I24" s="63">
        <f t="shared" si="12"/>
        <v>-9.8484848484848397E-2</v>
      </c>
      <c r="J24" s="64">
        <f t="shared" si="12"/>
        <v>-9.8484848484848397E-2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DBB33-C1B7-486D-AE73-F2D2F07688BD}">
  <sheetPr>
    <tabColor theme="7"/>
  </sheetPr>
  <dimension ref="A1:K38"/>
  <sheetViews>
    <sheetView showGridLines="0" zoomScale="85" zoomScaleNormal="85" workbookViewId="0">
      <pane ySplit="3" topLeftCell="A4" activePane="bottomLeft" state="frozen"/>
      <selection pane="bottomLeft" activeCell="K15" sqref="K15"/>
    </sheetView>
  </sheetViews>
  <sheetFormatPr defaultColWidth="0" defaultRowHeight="14.4" x14ac:dyDescent="0.3"/>
  <cols>
    <col min="1" max="1" width="2.88671875" customWidth="1"/>
    <col min="2" max="2" width="55.33203125" bestFit="1" customWidth="1"/>
    <col min="3" max="10" width="15.88671875" customWidth="1"/>
    <col min="11" max="11" width="9.109375" customWidth="1"/>
    <col min="12" max="16384" width="9.109375" hidden="1"/>
  </cols>
  <sheetData>
    <row r="1" spans="2:10" s="33" customFormat="1" ht="25.8" customHeight="1" x14ac:dyDescent="0.5">
      <c r="B1" s="34" t="s">
        <v>158</v>
      </c>
      <c r="C1" s="35" t="s">
        <v>159</v>
      </c>
      <c r="D1" s="35"/>
      <c r="E1" s="36"/>
      <c r="F1" s="37" t="s">
        <v>44</v>
      </c>
      <c r="G1" s="37"/>
      <c r="H1" s="37"/>
      <c r="I1" s="35"/>
      <c r="J1" s="35"/>
    </row>
    <row r="2" spans="2:10" s="33" customFormat="1" ht="26.4" thickBot="1" x14ac:dyDescent="0.55000000000000004">
      <c r="B2" s="38" t="s">
        <v>27</v>
      </c>
      <c r="C2" s="39">
        <v>2021</v>
      </c>
      <c r="D2" s="39">
        <f>C2+1</f>
        <v>2022</v>
      </c>
      <c r="E2" s="40">
        <f t="shared" ref="E2:J2" si="0">D2+1</f>
        <v>2023</v>
      </c>
      <c r="F2" s="41">
        <f t="shared" si="0"/>
        <v>2024</v>
      </c>
      <c r="G2" s="39">
        <f t="shared" si="0"/>
        <v>2025</v>
      </c>
      <c r="H2" s="39">
        <f t="shared" si="0"/>
        <v>2026</v>
      </c>
      <c r="I2" s="39">
        <f t="shared" si="0"/>
        <v>2027</v>
      </c>
      <c r="J2" s="39">
        <f t="shared" si="0"/>
        <v>2028</v>
      </c>
    </row>
    <row r="3" spans="2:10" s="33" customFormat="1" ht="27" thickTop="1" thickBot="1" x14ac:dyDescent="0.55000000000000004">
      <c r="B3" s="33" t="s">
        <v>251</v>
      </c>
      <c r="C3" s="38"/>
      <c r="D3" s="38"/>
      <c r="E3" s="42"/>
      <c r="F3" s="38"/>
      <c r="G3" s="38"/>
      <c r="H3" s="38"/>
      <c r="I3" s="38"/>
      <c r="J3" s="38"/>
    </row>
    <row r="4" spans="2:10" x14ac:dyDescent="0.3">
      <c r="B4" s="16"/>
      <c r="C4" s="45"/>
      <c r="D4" s="45"/>
      <c r="E4" s="45"/>
      <c r="F4" s="45"/>
      <c r="G4" s="45"/>
      <c r="H4" s="45"/>
      <c r="I4" s="45"/>
      <c r="J4" s="46"/>
    </row>
    <row r="5" spans="2:10" x14ac:dyDescent="0.3">
      <c r="B5" s="170" t="s">
        <v>40</v>
      </c>
      <c r="C5" s="11"/>
      <c r="D5" s="11"/>
      <c r="E5" s="11"/>
      <c r="F5" s="11"/>
      <c r="G5" s="11"/>
      <c r="H5" s="11"/>
      <c r="I5" s="11"/>
      <c r="J5" s="20"/>
    </row>
    <row r="6" spans="2:10" x14ac:dyDescent="0.3">
      <c r="B6" s="19" t="s">
        <v>28</v>
      </c>
      <c r="C6" s="11"/>
      <c r="D6" s="54">
        <f>'Operating Model'!D6/'Operating Model'!C6-1</f>
        <v>-6.2043795620437936E-2</v>
      </c>
      <c r="E6" s="54">
        <f>'Operating Model'!E6/'Operating Model'!D6-1</f>
        <v>0.12062256809338523</v>
      </c>
      <c r="F6" s="54">
        <f>Scenario!F8</f>
        <v>0.12062256809338523</v>
      </c>
      <c r="G6" s="54">
        <f>Scenario!G8</f>
        <v>0.12062256809338523</v>
      </c>
      <c r="H6" s="54">
        <f>Scenario!H8</f>
        <v>0.12062256809338523</v>
      </c>
      <c r="I6" s="54">
        <f>Scenario!I8</f>
        <v>0.12062256809338523</v>
      </c>
      <c r="J6" s="55">
        <f>Scenario!J8</f>
        <v>0.12062256809338523</v>
      </c>
    </row>
    <row r="7" spans="2:10" x14ac:dyDescent="0.3">
      <c r="B7" s="19" t="s">
        <v>29</v>
      </c>
      <c r="C7" s="11"/>
      <c r="D7" s="54">
        <f>'Operating Model'!D7/'Operating Model'!C7-1</f>
        <v>0.21011673151750987</v>
      </c>
      <c r="E7" s="54">
        <f>'Operating Model'!E7/'Operating Model'!D7-1</f>
        <v>4.5016077170418001E-2</v>
      </c>
      <c r="F7" s="54">
        <f>Scenario!F14</f>
        <v>0.21011673151750987</v>
      </c>
      <c r="G7" s="54">
        <f>Scenario!G14</f>
        <v>0.21011673151750987</v>
      </c>
      <c r="H7" s="54">
        <f>Scenario!H14</f>
        <v>0.21011673151750987</v>
      </c>
      <c r="I7" s="54">
        <f>Scenario!I14</f>
        <v>0.21011673151750987</v>
      </c>
      <c r="J7" s="55">
        <f>Scenario!J14</f>
        <v>0.21011673151750987</v>
      </c>
    </row>
    <row r="8" spans="2:10" x14ac:dyDescent="0.3">
      <c r="B8" s="19" t="s">
        <v>30</v>
      </c>
      <c r="C8" s="11"/>
      <c r="D8" s="54">
        <f>'Operating Model'!D8/'Operating Model'!C8-1</f>
        <v>-9.8484848484848397E-2</v>
      </c>
      <c r="E8" s="54">
        <f>'Operating Model'!E8/'Operating Model'!D8-1</f>
        <v>6.7226890756302504E-2</v>
      </c>
      <c r="F8" s="54">
        <f t="shared" ref="F8" si="1">AVERAGE(D8:E8)</f>
        <v>-1.5628978864272947E-2</v>
      </c>
      <c r="G8" s="54">
        <f t="shared" ref="G8:J8" si="2">F8</f>
        <v>-1.5628978864272947E-2</v>
      </c>
      <c r="H8" s="54">
        <f t="shared" si="2"/>
        <v>-1.5628978864272947E-2</v>
      </c>
      <c r="I8" s="54">
        <f t="shared" si="2"/>
        <v>-1.5628978864272947E-2</v>
      </c>
      <c r="J8" s="55">
        <f t="shared" si="2"/>
        <v>-1.5628978864272947E-2</v>
      </c>
    </row>
    <row r="9" spans="2:10" x14ac:dyDescent="0.3">
      <c r="B9" s="27"/>
      <c r="C9" s="11"/>
      <c r="D9" s="11"/>
      <c r="E9" s="11"/>
      <c r="F9" s="11"/>
      <c r="G9" s="11"/>
      <c r="H9" s="11"/>
      <c r="I9" s="11"/>
      <c r="J9" s="20"/>
    </row>
    <row r="10" spans="2:10" x14ac:dyDescent="0.3">
      <c r="B10" s="19"/>
      <c r="C10" s="11"/>
      <c r="D10" s="11"/>
      <c r="E10" s="11"/>
      <c r="F10" s="11"/>
      <c r="G10" s="11"/>
      <c r="H10" s="11"/>
      <c r="I10" s="11"/>
      <c r="J10" s="20"/>
    </row>
    <row r="11" spans="2:10" x14ac:dyDescent="0.3">
      <c r="B11" s="170" t="s">
        <v>41</v>
      </c>
      <c r="C11" s="11"/>
      <c r="D11" s="11"/>
      <c r="E11" s="11"/>
      <c r="F11" s="11"/>
      <c r="G11" s="11"/>
      <c r="H11" s="11"/>
      <c r="I11" s="11"/>
      <c r="J11" s="20"/>
    </row>
    <row r="12" spans="2:10" x14ac:dyDescent="0.3">
      <c r="B12" s="19" t="s">
        <v>28</v>
      </c>
      <c r="C12" s="11"/>
      <c r="D12" s="54">
        <f>'Operating Model'!D12/'Operating Model'!C12-1</f>
        <v>-5.7851239669421406E-2</v>
      </c>
      <c r="E12" s="54">
        <f>'Operating Model'!E12/'Operating Model'!D12-1</f>
        <v>8.7719298245614308E-3</v>
      </c>
      <c r="F12" s="54">
        <f>AVERAGE(D12:E12)</f>
        <v>-2.4539654922429988E-2</v>
      </c>
      <c r="G12" s="54">
        <f>F12</f>
        <v>-2.4539654922429988E-2</v>
      </c>
      <c r="H12" s="54">
        <f t="shared" ref="H12:J12" si="3">G12</f>
        <v>-2.4539654922429988E-2</v>
      </c>
      <c r="I12" s="54">
        <f t="shared" si="3"/>
        <v>-2.4539654922429988E-2</v>
      </c>
      <c r="J12" s="55">
        <f t="shared" si="3"/>
        <v>-2.4539654922429988E-2</v>
      </c>
    </row>
    <row r="13" spans="2:10" x14ac:dyDescent="0.3">
      <c r="B13" s="19" t="s">
        <v>29</v>
      </c>
      <c r="C13" s="11"/>
      <c r="D13" s="54">
        <f>'Operating Model'!D13/'Operating Model'!C13-1</f>
        <v>-0.5</v>
      </c>
      <c r="E13" s="54">
        <f>'Operating Model'!E13/'Operating Model'!D13-1</f>
        <v>-1</v>
      </c>
      <c r="F13" s="54">
        <v>0</v>
      </c>
      <c r="G13" s="54">
        <v>0</v>
      </c>
      <c r="H13" s="54">
        <v>0</v>
      </c>
      <c r="I13" s="54">
        <v>0</v>
      </c>
      <c r="J13" s="55">
        <v>0</v>
      </c>
    </row>
    <row r="14" spans="2:10" x14ac:dyDescent="0.3">
      <c r="B14" s="19" t="s">
        <v>30</v>
      </c>
      <c r="C14" s="11"/>
      <c r="D14" s="54">
        <f>'Operating Model'!D14/'Operating Model'!C14-1</f>
        <v>0</v>
      </c>
      <c r="E14" s="54">
        <f>'Operating Model'!E14/'Operating Model'!D14-1</f>
        <v>0</v>
      </c>
      <c r="F14" s="54">
        <f t="shared" ref="F14" si="4">AVERAGE(D14:E14)</f>
        <v>0</v>
      </c>
      <c r="G14" s="54">
        <f t="shared" ref="G14:J14" si="5">F14</f>
        <v>0</v>
      </c>
      <c r="H14" s="54">
        <f t="shared" si="5"/>
        <v>0</v>
      </c>
      <c r="I14" s="54">
        <f t="shared" si="5"/>
        <v>0</v>
      </c>
      <c r="J14" s="55">
        <f t="shared" si="5"/>
        <v>0</v>
      </c>
    </row>
    <row r="15" spans="2:10" x14ac:dyDescent="0.3">
      <c r="B15" s="27"/>
      <c r="C15" s="11"/>
      <c r="D15" s="11"/>
      <c r="E15" s="11"/>
      <c r="F15" s="11"/>
      <c r="G15" s="11"/>
      <c r="H15" s="11"/>
      <c r="I15" s="11"/>
      <c r="J15" s="20"/>
    </row>
    <row r="16" spans="2:10" x14ac:dyDescent="0.3">
      <c r="B16" s="19"/>
      <c r="C16" s="11"/>
      <c r="D16" s="11"/>
      <c r="E16" s="11"/>
      <c r="F16" s="11"/>
      <c r="G16" s="11"/>
      <c r="H16" s="11"/>
      <c r="I16" s="11"/>
      <c r="J16" s="20"/>
    </row>
    <row r="17" spans="2:10" x14ac:dyDescent="0.3">
      <c r="B17" s="170" t="s">
        <v>42</v>
      </c>
      <c r="C17" s="11"/>
      <c r="D17" s="11"/>
      <c r="E17" s="11"/>
      <c r="F17" s="11"/>
      <c r="G17" s="11"/>
      <c r="H17" s="11"/>
      <c r="I17" s="11"/>
      <c r="J17" s="20"/>
    </row>
    <row r="18" spans="2:10" x14ac:dyDescent="0.3">
      <c r="B18" s="19" t="s">
        <v>28</v>
      </c>
      <c r="C18" s="11"/>
      <c r="D18" s="54">
        <f>'Operating Model'!D18/'Operating Model'!C18-1</f>
        <v>-0.10233766233766228</v>
      </c>
      <c r="E18" s="54">
        <f>'Operating Model'!E18/'Operating Model'!D18-1</f>
        <v>-4.456018518518523E-2</v>
      </c>
      <c r="F18" s="56">
        <f>AVERAGE(D18:E18)</f>
        <v>-7.3448923761423757E-2</v>
      </c>
      <c r="G18" s="56">
        <f>F18</f>
        <v>-7.3448923761423757E-2</v>
      </c>
      <c r="H18" s="56">
        <f t="shared" ref="H18:J18" si="6">G18</f>
        <v>-7.3448923761423757E-2</v>
      </c>
      <c r="I18" s="56">
        <f t="shared" si="6"/>
        <v>-7.3448923761423757E-2</v>
      </c>
      <c r="J18" s="57">
        <f t="shared" si="6"/>
        <v>-7.3448923761423757E-2</v>
      </c>
    </row>
    <row r="19" spans="2:10" x14ac:dyDescent="0.3">
      <c r="B19" s="19" t="s">
        <v>29</v>
      </c>
      <c r="C19" s="11"/>
      <c r="D19" s="54">
        <f>'Operating Model'!D19/'Operating Model'!C19-1</f>
        <v>0.35239085239085233</v>
      </c>
      <c r="E19" s="54">
        <f>'Operating Model'!E19/'Operating Model'!D19-1</f>
        <v>-8.6087624903919968E-2</v>
      </c>
      <c r="F19" s="56">
        <f t="shared" ref="F19:F20" si="7">AVERAGE(D19:E19)</f>
        <v>0.13315161374346618</v>
      </c>
      <c r="G19" s="56">
        <f t="shared" ref="G19:J19" si="8">F19</f>
        <v>0.13315161374346618</v>
      </c>
      <c r="H19" s="56">
        <f t="shared" si="8"/>
        <v>0.13315161374346618</v>
      </c>
      <c r="I19" s="56">
        <f t="shared" si="8"/>
        <v>0.13315161374346618</v>
      </c>
      <c r="J19" s="57">
        <f t="shared" si="8"/>
        <v>0.13315161374346618</v>
      </c>
    </row>
    <row r="20" spans="2:10" x14ac:dyDescent="0.3">
      <c r="B20" s="19" t="s">
        <v>30</v>
      </c>
      <c r="C20" s="11"/>
      <c r="D20" s="54">
        <f>'Operating Model'!D20/'Operating Model'!C20-1</f>
        <v>-9.2198581560283599E-2</v>
      </c>
      <c r="E20" s="54">
        <f>'Operating Model'!E20/'Operating Model'!D20-1</f>
        <v>0.4296875</v>
      </c>
      <c r="F20" s="56">
        <f t="shared" si="7"/>
        <v>0.1687444592198582</v>
      </c>
      <c r="G20" s="56">
        <f t="shared" ref="G20:J20" si="9">F20</f>
        <v>0.1687444592198582</v>
      </c>
      <c r="H20" s="56">
        <f t="shared" si="9"/>
        <v>0.1687444592198582</v>
      </c>
      <c r="I20" s="56">
        <f t="shared" si="9"/>
        <v>0.1687444592198582</v>
      </c>
      <c r="J20" s="57">
        <f t="shared" si="9"/>
        <v>0.1687444592198582</v>
      </c>
    </row>
    <row r="21" spans="2:10" x14ac:dyDescent="0.3">
      <c r="B21" s="27"/>
      <c r="C21" s="11"/>
      <c r="D21" s="11"/>
      <c r="E21" s="11"/>
      <c r="F21" s="11"/>
      <c r="G21" s="11"/>
      <c r="H21" s="11"/>
      <c r="I21" s="11"/>
      <c r="J21" s="20"/>
    </row>
    <row r="22" spans="2:10" x14ac:dyDescent="0.3">
      <c r="B22" s="19"/>
      <c r="C22" s="11"/>
      <c r="D22" s="11"/>
      <c r="E22" s="11"/>
      <c r="F22" s="11"/>
      <c r="G22" s="11"/>
      <c r="H22" s="11"/>
      <c r="I22" s="11"/>
      <c r="J22" s="20"/>
    </row>
    <row r="23" spans="2:10" x14ac:dyDescent="0.3">
      <c r="B23" s="170" t="s">
        <v>43</v>
      </c>
      <c r="C23" s="11"/>
      <c r="D23" s="11"/>
      <c r="E23" s="11"/>
      <c r="F23" s="11"/>
      <c r="G23" s="11"/>
      <c r="H23" s="11"/>
      <c r="I23" s="11"/>
      <c r="J23" s="20"/>
    </row>
    <row r="24" spans="2:10" x14ac:dyDescent="0.3">
      <c r="B24" s="19" t="s">
        <v>28</v>
      </c>
      <c r="C24" s="11"/>
      <c r="D24" s="54">
        <f>'Operating Model'!D30/'Operating Model'!C30-1</f>
        <v>0.42021671367077329</v>
      </c>
      <c r="E24" s="54">
        <f>'Operating Model'!E30/'Operating Model'!D30-1</f>
        <v>-0.1864548494983278</v>
      </c>
      <c r="F24" s="56">
        <v>0.1</v>
      </c>
      <c r="G24" s="56">
        <v>0.1</v>
      </c>
      <c r="H24" s="56">
        <v>0.1</v>
      </c>
      <c r="I24" s="56">
        <v>0.1</v>
      </c>
      <c r="J24" s="57">
        <v>0.1</v>
      </c>
    </row>
    <row r="25" spans="2:10" x14ac:dyDescent="0.3">
      <c r="B25" s="19" t="s">
        <v>29</v>
      </c>
      <c r="C25" s="11"/>
      <c r="D25" s="54">
        <f>'Operating Model'!D31/'Operating Model'!C31-1</f>
        <v>0.43964168917958202</v>
      </c>
      <c r="E25" s="54">
        <f>'Operating Model'!E31/'Operating Model'!D31-1</f>
        <v>-0.18548148148148147</v>
      </c>
      <c r="F25" s="56">
        <v>0.1</v>
      </c>
      <c r="G25" s="56">
        <v>0.1</v>
      </c>
      <c r="H25" s="56">
        <v>0.1</v>
      </c>
      <c r="I25" s="56">
        <v>0.1</v>
      </c>
      <c r="J25" s="57">
        <v>0.1</v>
      </c>
    </row>
    <row r="26" spans="2:10" x14ac:dyDescent="0.3">
      <c r="B26" s="19" t="s">
        <v>30</v>
      </c>
      <c r="C26" s="11"/>
      <c r="D26" s="54">
        <f>'Operating Model'!D32/'Operating Model'!C32-1</f>
        <v>0.44782546289651215</v>
      </c>
      <c r="E26" s="54">
        <f>'Operating Model'!E32/'Operating Model'!D32-1</f>
        <v>-0.17963715673639347</v>
      </c>
      <c r="F26" s="56">
        <v>0.1</v>
      </c>
      <c r="G26" s="56">
        <v>0.1</v>
      </c>
      <c r="H26" s="56">
        <v>0.1</v>
      </c>
      <c r="I26" s="56">
        <v>0.1</v>
      </c>
      <c r="J26" s="57">
        <v>0.1</v>
      </c>
    </row>
    <row r="27" spans="2:10" x14ac:dyDescent="0.3">
      <c r="B27" s="27"/>
      <c r="C27" s="11"/>
      <c r="D27" s="11"/>
      <c r="E27" s="11"/>
      <c r="F27" s="11"/>
      <c r="G27" s="11"/>
      <c r="H27" s="11"/>
      <c r="I27" s="11"/>
      <c r="J27" s="20"/>
    </row>
    <row r="28" spans="2:10" x14ac:dyDescent="0.3">
      <c r="B28" s="19"/>
      <c r="C28" s="11"/>
      <c r="D28" s="11"/>
      <c r="E28" s="11"/>
      <c r="F28" s="11"/>
      <c r="G28" s="11"/>
      <c r="H28" s="11"/>
      <c r="I28" s="11"/>
      <c r="J28" s="20"/>
    </row>
    <row r="29" spans="2:10" x14ac:dyDescent="0.3">
      <c r="B29" s="170" t="s">
        <v>37</v>
      </c>
      <c r="C29" s="11"/>
      <c r="D29" s="11"/>
      <c r="E29" s="11"/>
      <c r="F29" s="11"/>
      <c r="G29" s="11"/>
      <c r="H29" s="11"/>
      <c r="I29" s="11"/>
      <c r="J29" s="20"/>
    </row>
    <row r="30" spans="2:10" x14ac:dyDescent="0.3">
      <c r="B30" s="19" t="s">
        <v>28</v>
      </c>
      <c r="C30" s="54">
        <f>'Operating Model'!C36/'Operating Model'!C30</f>
        <v>0.41338874870120229</v>
      </c>
      <c r="D30" s="54">
        <f>'Operating Model'!D36/'Operating Model'!D30</f>
        <v>0.34918478260869557</v>
      </c>
      <c r="E30" s="54">
        <f>'Operating Model'!E36/'Operating Model'!E30</f>
        <v>0.26785714285714285</v>
      </c>
      <c r="F30" s="56">
        <f>E30</f>
        <v>0.26785714285714285</v>
      </c>
      <c r="G30" s="56">
        <f t="shared" ref="G30:J30" si="10">F30</f>
        <v>0.26785714285714285</v>
      </c>
      <c r="H30" s="56">
        <f t="shared" si="10"/>
        <v>0.26785714285714285</v>
      </c>
      <c r="I30" s="56">
        <f t="shared" si="10"/>
        <v>0.26785714285714285</v>
      </c>
      <c r="J30" s="57">
        <f t="shared" si="10"/>
        <v>0.26785714285714285</v>
      </c>
    </row>
    <row r="31" spans="2:10" x14ac:dyDescent="0.3">
      <c r="B31" s="19" t="s">
        <v>29</v>
      </c>
      <c r="C31" s="54">
        <f>'Operating Model'!C37/'Operating Model'!C31</f>
        <v>0.69444049481018066</v>
      </c>
      <c r="D31" s="54">
        <f>'Operating Model'!D37/'Operating Model'!D31</f>
        <v>0.75851851851851848</v>
      </c>
      <c r="E31" s="54">
        <f>'Operating Model'!E37/'Operating Model'!E31</f>
        <v>0</v>
      </c>
      <c r="F31" s="56">
        <f t="shared" ref="F31:J32" si="11">E31</f>
        <v>0</v>
      </c>
      <c r="G31" s="56">
        <f t="shared" si="11"/>
        <v>0</v>
      </c>
      <c r="H31" s="56">
        <f t="shared" si="11"/>
        <v>0</v>
      </c>
      <c r="I31" s="56">
        <f t="shared" si="11"/>
        <v>0</v>
      </c>
      <c r="J31" s="57">
        <f t="shared" si="11"/>
        <v>0</v>
      </c>
    </row>
    <row r="32" spans="2:10" x14ac:dyDescent="0.3">
      <c r="B32" s="19" t="s">
        <v>30</v>
      </c>
      <c r="C32" s="54">
        <f>'Operating Model'!C38/'Operating Model'!C32</f>
        <v>0.77938854600258356</v>
      </c>
      <c r="D32" s="54">
        <f>'Operating Model'!D38/'Operating Model'!D32</f>
        <v>0.66491523743432135</v>
      </c>
      <c r="E32" s="54">
        <f>'Operating Model'!E38/'Operating Model'!E32</f>
        <v>0.57728096676737162</v>
      </c>
      <c r="F32" s="56">
        <f t="shared" si="11"/>
        <v>0.57728096676737162</v>
      </c>
      <c r="G32" s="56">
        <f t="shared" si="11"/>
        <v>0.57728096676737162</v>
      </c>
      <c r="H32" s="56">
        <f t="shared" si="11"/>
        <v>0.57728096676737162</v>
      </c>
      <c r="I32" s="56">
        <f t="shared" si="11"/>
        <v>0.57728096676737162</v>
      </c>
      <c r="J32" s="57">
        <f t="shared" si="11"/>
        <v>0.57728096676737162</v>
      </c>
    </row>
    <row r="33" spans="2:10" x14ac:dyDescent="0.3">
      <c r="B33" s="27"/>
      <c r="C33" s="11"/>
      <c r="D33" s="11"/>
      <c r="E33" s="11"/>
      <c r="F33" s="11"/>
      <c r="G33" s="11"/>
      <c r="H33" s="11"/>
      <c r="I33" s="11"/>
      <c r="J33" s="20"/>
    </row>
    <row r="34" spans="2:10" x14ac:dyDescent="0.3">
      <c r="B34" s="19"/>
      <c r="C34" s="11"/>
      <c r="D34" s="11"/>
      <c r="E34" s="11"/>
      <c r="F34" s="11"/>
      <c r="G34" s="11"/>
      <c r="H34" s="11"/>
      <c r="I34" s="11"/>
      <c r="J34" s="20"/>
    </row>
    <row r="35" spans="2:10" x14ac:dyDescent="0.3">
      <c r="B35" s="170" t="s">
        <v>38</v>
      </c>
      <c r="C35" s="11"/>
      <c r="D35" s="11"/>
      <c r="E35" s="11"/>
      <c r="F35" s="11"/>
      <c r="G35" s="11"/>
      <c r="H35" s="11"/>
      <c r="I35" s="11"/>
      <c r="J35" s="20"/>
    </row>
    <row r="36" spans="2:10" x14ac:dyDescent="0.3">
      <c r="B36" s="19" t="s">
        <v>28</v>
      </c>
      <c r="C36" s="54">
        <f>'Operating Model'!C42/'Operating Model'!C30</f>
        <v>5.8186136262431347E-2</v>
      </c>
      <c r="D36" s="54">
        <f>'Operating Model'!D42/'Operating Model'!D30</f>
        <v>5.5497491638795977E-2</v>
      </c>
      <c r="E36" s="54">
        <f>'Operating Model'!E42/'Operating Model'!E30</f>
        <v>2.3124357656731757E-2</v>
      </c>
      <c r="F36" s="56">
        <f>E36</f>
        <v>2.3124357656731757E-2</v>
      </c>
      <c r="G36" s="56">
        <f t="shared" ref="G36:J36" si="12">F36</f>
        <v>2.3124357656731757E-2</v>
      </c>
      <c r="H36" s="56">
        <f t="shared" si="12"/>
        <v>2.3124357656731757E-2</v>
      </c>
      <c r="I36" s="56">
        <f t="shared" si="12"/>
        <v>2.3124357656731757E-2</v>
      </c>
      <c r="J36" s="57">
        <f t="shared" si="12"/>
        <v>2.3124357656731757E-2</v>
      </c>
    </row>
    <row r="37" spans="2:10" x14ac:dyDescent="0.3">
      <c r="B37" s="19" t="s">
        <v>29</v>
      </c>
      <c r="C37" s="54">
        <f>'Operating Model'!C43/'Operating Model'!C31</f>
        <v>3.9954500213280252E-2</v>
      </c>
      <c r="D37" s="54">
        <f>'Operating Model'!D43/'Operating Model'!D31</f>
        <v>2.8148148148148148E-2</v>
      </c>
      <c r="E37" s="54">
        <f>'Operating Model'!E43/'Operating Model'!E31</f>
        <v>3.528555838486723E-2</v>
      </c>
      <c r="F37" s="56">
        <f t="shared" ref="F37:J38" si="13">E37</f>
        <v>3.528555838486723E-2</v>
      </c>
      <c r="G37" s="56">
        <f t="shared" si="13"/>
        <v>3.528555838486723E-2</v>
      </c>
      <c r="H37" s="56">
        <f t="shared" si="13"/>
        <v>3.528555838486723E-2</v>
      </c>
      <c r="I37" s="56">
        <f t="shared" si="13"/>
        <v>3.528555838486723E-2</v>
      </c>
      <c r="J37" s="57">
        <f t="shared" si="13"/>
        <v>3.528555838486723E-2</v>
      </c>
    </row>
    <row r="38" spans="2:10" ht="15" thickBot="1" x14ac:dyDescent="0.35">
      <c r="B38" s="28" t="s">
        <v>30</v>
      </c>
      <c r="C38" s="58">
        <f>'Operating Model'!C44/'Operating Model'!C32</f>
        <v>0.18601980766470505</v>
      </c>
      <c r="D38" s="58">
        <f>'Operating Model'!D44/'Operating Model'!D32</f>
        <v>0.23158520868444532</v>
      </c>
      <c r="E38" s="58">
        <f>'Operating Model'!E44/'Operating Model'!E32</f>
        <v>0.15734138972809666</v>
      </c>
      <c r="F38" s="59">
        <f t="shared" si="13"/>
        <v>0.15734138972809666</v>
      </c>
      <c r="G38" s="59">
        <f t="shared" si="13"/>
        <v>0.15734138972809666</v>
      </c>
      <c r="H38" s="59">
        <f t="shared" si="13"/>
        <v>0.15734138972809666</v>
      </c>
      <c r="I38" s="59">
        <f t="shared" si="13"/>
        <v>0.15734138972809666</v>
      </c>
      <c r="J38" s="60">
        <f t="shared" si="13"/>
        <v>0.15734138972809666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A96F-B80C-46AE-B0A9-7B03C72A3713}">
  <sheetPr>
    <tabColor theme="8"/>
  </sheetPr>
  <dimension ref="A1:K102"/>
  <sheetViews>
    <sheetView showGridLines="0" zoomScale="85" zoomScaleNormal="85" workbookViewId="0">
      <pane ySplit="3" topLeftCell="A80" activePane="bottomLeft" state="frozen"/>
      <selection pane="bottomLeft" activeCell="K74" sqref="K74"/>
    </sheetView>
  </sheetViews>
  <sheetFormatPr defaultColWidth="0" defaultRowHeight="14.4" x14ac:dyDescent="0.3"/>
  <cols>
    <col min="1" max="1" width="2.88671875" customWidth="1"/>
    <col min="2" max="2" width="38.5546875" customWidth="1"/>
    <col min="3" max="3" width="15.88671875" customWidth="1"/>
    <col min="4" max="4" width="19.88671875" bestFit="1" customWidth="1"/>
    <col min="5" max="10" width="15.88671875" customWidth="1"/>
    <col min="11" max="11" width="9.109375" customWidth="1"/>
    <col min="12" max="16384" width="9.109375" hidden="1"/>
  </cols>
  <sheetData>
    <row r="1" spans="2:10" s="33" customFormat="1" ht="25.8" customHeight="1" x14ac:dyDescent="0.5">
      <c r="B1" s="34" t="s">
        <v>158</v>
      </c>
      <c r="C1" s="35" t="s">
        <v>159</v>
      </c>
      <c r="D1" s="35"/>
      <c r="E1" s="36"/>
      <c r="F1" s="37" t="s">
        <v>44</v>
      </c>
      <c r="G1" s="37"/>
      <c r="H1" s="37"/>
      <c r="I1" s="35"/>
      <c r="J1" s="35"/>
    </row>
    <row r="2" spans="2:10" s="33" customFormat="1" ht="26.4" thickBot="1" x14ac:dyDescent="0.55000000000000004">
      <c r="B2" s="38" t="s">
        <v>131</v>
      </c>
      <c r="C2" s="39">
        <v>2021</v>
      </c>
      <c r="D2" s="39">
        <f>C2+1</f>
        <v>2022</v>
      </c>
      <c r="E2" s="40">
        <f t="shared" ref="E2:J2" si="0">D2+1</f>
        <v>2023</v>
      </c>
      <c r="F2" s="41">
        <f t="shared" si="0"/>
        <v>2024</v>
      </c>
      <c r="G2" s="39">
        <f t="shared" si="0"/>
        <v>2025</v>
      </c>
      <c r="H2" s="39">
        <f t="shared" si="0"/>
        <v>2026</v>
      </c>
      <c r="I2" s="39">
        <f t="shared" si="0"/>
        <v>2027</v>
      </c>
      <c r="J2" s="39">
        <f t="shared" si="0"/>
        <v>2028</v>
      </c>
    </row>
    <row r="3" spans="2:10" s="33" customFormat="1" ht="27" thickTop="1" thickBot="1" x14ac:dyDescent="0.55000000000000004">
      <c r="B3" s="33" t="s">
        <v>251</v>
      </c>
      <c r="C3" s="38"/>
      <c r="D3" s="38"/>
      <c r="E3" s="42"/>
      <c r="F3" s="38"/>
      <c r="G3" s="38"/>
      <c r="H3" s="38"/>
      <c r="I3" s="38"/>
      <c r="J3" s="38"/>
    </row>
    <row r="4" spans="2:10" x14ac:dyDescent="0.3">
      <c r="B4" s="16"/>
      <c r="C4" s="45"/>
      <c r="D4" s="45"/>
      <c r="E4" s="45"/>
      <c r="F4" s="45"/>
      <c r="G4" s="45"/>
      <c r="H4" s="45"/>
      <c r="I4" s="45"/>
      <c r="J4" s="46"/>
    </row>
    <row r="5" spans="2:10" x14ac:dyDescent="0.3">
      <c r="B5" s="19" t="s">
        <v>133</v>
      </c>
      <c r="C5" s="11"/>
      <c r="D5" s="11"/>
      <c r="E5" s="11"/>
      <c r="F5" s="12">
        <f ca="1">SUM(CFS!F15,CFS!F19,CFS!F21:F24)</f>
        <v>3016.1384680255628</v>
      </c>
      <c r="G5" s="12">
        <f ca="1">SUM(CFS!G15,CFS!G19,CFS!G21:G24)</f>
        <v>3576.6641646986163</v>
      </c>
      <c r="H5" s="12">
        <f ca="1">SUM(CFS!H15,CFS!H19,CFS!H21:H24)</f>
        <v>4740.7671433663718</v>
      </c>
      <c r="I5" s="12">
        <f ca="1">SUM(CFS!I15,CFS!I19,CFS!I21:I24)</f>
        <v>6193.3738047588149</v>
      </c>
      <c r="J5" s="24">
        <f ca="1">SUM(CFS!J15,CFS!J19,CFS!J21:J24)</f>
        <v>8070.4559372074609</v>
      </c>
    </row>
    <row r="6" spans="2:10" x14ac:dyDescent="0.3">
      <c r="B6" s="19" t="s">
        <v>134</v>
      </c>
      <c r="C6" s="11"/>
      <c r="D6" s="11"/>
      <c r="E6" s="11"/>
      <c r="F6" s="11">
        <f>BS!E6</f>
        <v>87</v>
      </c>
      <c r="G6" s="11">
        <f ca="1">BS!F6</f>
        <v>198.78451051131788</v>
      </c>
      <c r="H6" s="11">
        <f ca="1">BS!G6</f>
        <v>1844.8026327241791</v>
      </c>
      <c r="I6" s="11">
        <f ca="1">BS!H6</f>
        <v>6585.5697760905514</v>
      </c>
      <c r="J6" s="20">
        <f ca="1">BS!I6</f>
        <v>12778.943580849365</v>
      </c>
    </row>
    <row r="7" spans="2:10" x14ac:dyDescent="0.3">
      <c r="B7" s="19" t="s">
        <v>135</v>
      </c>
      <c r="C7" s="11"/>
      <c r="D7" s="108">
        <v>0.02</v>
      </c>
      <c r="E7" s="11"/>
      <c r="F7" s="13">
        <f>-$D$7*IS!F7</f>
        <v>-198.78451051131796</v>
      </c>
      <c r="G7" s="13">
        <f>-$D$7*IS!G7</f>
        <v>-241.94263045647327</v>
      </c>
      <c r="H7" s="13">
        <f>-$D$7*IS!H7</f>
        <v>-297.15808456154389</v>
      </c>
      <c r="I7" s="13">
        <f>-$D$7*IS!I7</f>
        <v>-368.00713531634125</v>
      </c>
      <c r="J7" s="25">
        <f>-$D$7*IS!J7</f>
        <v>-459.15992055980132</v>
      </c>
    </row>
    <row r="8" spans="2:10" x14ac:dyDescent="0.3">
      <c r="B8" s="19"/>
      <c r="C8" s="11"/>
      <c r="D8" s="11"/>
      <c r="E8" s="11"/>
      <c r="F8" s="13"/>
      <c r="G8" s="13"/>
      <c r="H8" s="13"/>
      <c r="I8" s="13"/>
      <c r="J8" s="25"/>
    </row>
    <row r="9" spans="2:10" ht="15" thickBot="1" x14ac:dyDescent="0.35">
      <c r="B9" s="146" t="s">
        <v>132</v>
      </c>
      <c r="C9" s="147"/>
      <c r="D9" s="147"/>
      <c r="E9" s="147"/>
      <c r="F9" s="149">
        <f ca="1">SUM(F5:F7)</f>
        <v>2904.3539575142449</v>
      </c>
      <c r="G9" s="149">
        <f t="shared" ref="G9:J9" ca="1" si="1">SUM(G5:G7)</f>
        <v>3533.5060447534611</v>
      </c>
      <c r="H9" s="149">
        <f t="shared" ca="1" si="1"/>
        <v>6288.4116915290078</v>
      </c>
      <c r="I9" s="149">
        <f t="shared" ca="1" si="1"/>
        <v>12410.936445533023</v>
      </c>
      <c r="J9" s="150">
        <f t="shared" ca="1" si="1"/>
        <v>20390.239597497028</v>
      </c>
    </row>
    <row r="10" spans="2:10" ht="15" thickTop="1" x14ac:dyDescent="0.3">
      <c r="B10" s="19"/>
      <c r="C10" s="11"/>
      <c r="D10" s="11"/>
      <c r="E10" s="11"/>
      <c r="F10" s="11"/>
      <c r="G10" s="11"/>
      <c r="H10" s="11"/>
      <c r="I10" s="11"/>
      <c r="J10" s="20"/>
    </row>
    <row r="11" spans="2:10" x14ac:dyDescent="0.3">
      <c r="B11" s="19"/>
      <c r="C11" s="11"/>
      <c r="D11" s="11"/>
      <c r="E11" s="11"/>
      <c r="F11" s="11"/>
      <c r="G11" s="11"/>
      <c r="H11" s="11"/>
      <c r="I11" s="11"/>
      <c r="J11" s="20"/>
    </row>
    <row r="12" spans="2:10" ht="15" thickBot="1" x14ac:dyDescent="0.35">
      <c r="B12" s="146" t="s">
        <v>145</v>
      </c>
      <c r="C12" s="147"/>
      <c r="D12" s="147"/>
      <c r="E12" s="147"/>
      <c r="F12" s="147"/>
      <c r="G12" s="147"/>
      <c r="H12" s="147"/>
      <c r="I12" s="147"/>
      <c r="J12" s="151"/>
    </row>
    <row r="13" spans="2:10" ht="15" thickTop="1" x14ac:dyDescent="0.3">
      <c r="B13" s="19"/>
      <c r="C13" s="11"/>
      <c r="D13" s="11"/>
      <c r="E13" s="11"/>
      <c r="F13" s="11"/>
      <c r="G13" s="11"/>
      <c r="H13" s="11"/>
      <c r="I13" s="11"/>
      <c r="J13" s="20"/>
    </row>
    <row r="14" spans="2:10" x14ac:dyDescent="0.3">
      <c r="B14" s="19" t="s">
        <v>144</v>
      </c>
      <c r="C14" s="11"/>
      <c r="D14" s="11"/>
      <c r="E14" s="11"/>
      <c r="F14" s="11">
        <f>E58</f>
        <v>0</v>
      </c>
      <c r="G14" s="11">
        <f t="shared" ref="G14:J14" ca="1" si="2">F58</f>
        <v>0</v>
      </c>
      <c r="H14" s="11">
        <f t="shared" ca="1" si="2"/>
        <v>0</v>
      </c>
      <c r="I14" s="11">
        <f t="shared" ca="1" si="2"/>
        <v>0</v>
      </c>
      <c r="J14" s="20">
        <f t="shared" ca="1" si="2"/>
        <v>0</v>
      </c>
    </row>
    <row r="15" spans="2:10" x14ac:dyDescent="0.3">
      <c r="B15" s="27" t="s">
        <v>137</v>
      </c>
      <c r="C15" s="47" t="s">
        <v>138</v>
      </c>
      <c r="D15" s="47" t="s">
        <v>139</v>
      </c>
      <c r="E15" s="11"/>
      <c r="F15" s="11"/>
      <c r="G15" s="11"/>
      <c r="H15" s="11"/>
      <c r="I15" s="11"/>
      <c r="J15" s="20"/>
    </row>
    <row r="16" spans="2:10" x14ac:dyDescent="0.3">
      <c r="B16" s="19" t="s">
        <v>141</v>
      </c>
      <c r="C16" s="152">
        <v>4.6249999999999999E-2</v>
      </c>
      <c r="D16" s="109">
        <v>2025</v>
      </c>
      <c r="E16" s="11"/>
      <c r="F16" s="13">
        <f>E60</f>
        <v>51</v>
      </c>
      <c r="G16" s="13">
        <f t="shared" ref="G16:J16" ca="1" si="3">F60</f>
        <v>0</v>
      </c>
      <c r="H16" s="13">
        <f t="shared" ca="1" si="3"/>
        <v>0</v>
      </c>
      <c r="I16" s="13">
        <f t="shared" ca="1" si="3"/>
        <v>0</v>
      </c>
      <c r="J16" s="25">
        <f t="shared" ca="1" si="3"/>
        <v>0</v>
      </c>
    </row>
    <row r="17" spans="2:10" x14ac:dyDescent="0.3">
      <c r="B17" s="19" t="s">
        <v>141</v>
      </c>
      <c r="C17" s="152">
        <v>7.6999999999999999E-2</v>
      </c>
      <c r="D17" s="109">
        <v>2026</v>
      </c>
      <c r="E17" s="11"/>
      <c r="F17" s="13">
        <f t="shared" ref="F17:J31" si="4">E61</f>
        <v>78</v>
      </c>
      <c r="G17" s="13">
        <f t="shared" ca="1" si="4"/>
        <v>0</v>
      </c>
      <c r="H17" s="13">
        <f t="shared" ca="1" si="4"/>
        <v>0</v>
      </c>
      <c r="I17" s="13">
        <f t="shared" ca="1" si="4"/>
        <v>0</v>
      </c>
      <c r="J17" s="25">
        <f t="shared" ca="1" si="4"/>
        <v>0</v>
      </c>
    </row>
    <row r="18" spans="2:10" x14ac:dyDescent="0.3">
      <c r="B18" s="19" t="s">
        <v>141</v>
      </c>
      <c r="C18" s="152">
        <v>7.9500000000000001E-2</v>
      </c>
      <c r="D18" s="109">
        <v>2026</v>
      </c>
      <c r="E18" s="11"/>
      <c r="F18" s="13">
        <f t="shared" si="4"/>
        <v>132</v>
      </c>
      <c r="G18" s="13">
        <f t="shared" ca="1" si="4"/>
        <v>0</v>
      </c>
      <c r="H18" s="13">
        <f t="shared" ca="1" si="4"/>
        <v>0</v>
      </c>
      <c r="I18" s="13">
        <f t="shared" ca="1" si="4"/>
        <v>0</v>
      </c>
      <c r="J18" s="25">
        <f t="shared" ca="1" si="4"/>
        <v>0</v>
      </c>
    </row>
    <row r="19" spans="2:10" x14ac:dyDescent="0.3">
      <c r="B19" s="19" t="s">
        <v>141</v>
      </c>
      <c r="C19" s="152">
        <v>4.8750000000000002E-2</v>
      </c>
      <c r="D19" s="109">
        <v>2027</v>
      </c>
      <c r="E19" s="11"/>
      <c r="F19" s="13">
        <f t="shared" si="4"/>
        <v>108</v>
      </c>
      <c r="G19" s="13">
        <f t="shared" ca="1" si="4"/>
        <v>0</v>
      </c>
      <c r="H19" s="13">
        <f t="shared" ca="1" si="4"/>
        <v>0</v>
      </c>
      <c r="I19" s="13">
        <f t="shared" ca="1" si="4"/>
        <v>0</v>
      </c>
      <c r="J19" s="25">
        <f t="shared" ca="1" si="4"/>
        <v>0</v>
      </c>
    </row>
    <row r="20" spans="2:10" x14ac:dyDescent="0.3">
      <c r="B20" s="19" t="s">
        <v>141</v>
      </c>
      <c r="C20" s="152">
        <v>4.3749999999999997E-2</v>
      </c>
      <c r="D20" s="109">
        <v>2028</v>
      </c>
      <c r="E20" s="11"/>
      <c r="F20" s="13">
        <f t="shared" si="4"/>
        <v>325</v>
      </c>
      <c r="G20" s="13">
        <f t="shared" ca="1" si="4"/>
        <v>0</v>
      </c>
      <c r="H20" s="13">
        <f t="shared" ca="1" si="4"/>
        <v>0</v>
      </c>
      <c r="I20" s="13">
        <f t="shared" ca="1" si="4"/>
        <v>0</v>
      </c>
      <c r="J20" s="25">
        <f t="shared" ca="1" si="4"/>
        <v>0</v>
      </c>
    </row>
    <row r="21" spans="2:10" x14ac:dyDescent="0.3">
      <c r="B21" s="19" t="s">
        <v>141</v>
      </c>
      <c r="C21" s="152">
        <v>7.7499999999999999E-2</v>
      </c>
      <c r="D21" s="109">
        <v>2029</v>
      </c>
      <c r="E21" s="11"/>
      <c r="F21" s="13">
        <f t="shared" si="4"/>
        <v>235</v>
      </c>
      <c r="G21" s="13">
        <f t="shared" ca="1" si="4"/>
        <v>0</v>
      </c>
      <c r="H21" s="13">
        <f t="shared" ca="1" si="4"/>
        <v>0</v>
      </c>
      <c r="I21" s="13">
        <f t="shared" ca="1" si="4"/>
        <v>0</v>
      </c>
      <c r="J21" s="25">
        <f t="shared" ca="1" si="4"/>
        <v>0</v>
      </c>
    </row>
    <row r="22" spans="2:10" x14ac:dyDescent="0.3">
      <c r="B22" s="19" t="s">
        <v>141</v>
      </c>
      <c r="C22" s="152">
        <v>4.2500000000000003E-2</v>
      </c>
      <c r="D22" s="109">
        <v>2030</v>
      </c>
      <c r="E22" s="11"/>
      <c r="F22" s="13">
        <f t="shared" si="4"/>
        <v>516</v>
      </c>
      <c r="G22" s="13">
        <f t="shared" ca="1" si="4"/>
        <v>0</v>
      </c>
      <c r="H22" s="13">
        <f t="shared" ca="1" si="4"/>
        <v>0</v>
      </c>
      <c r="I22" s="13">
        <f t="shared" ca="1" si="4"/>
        <v>0</v>
      </c>
      <c r="J22" s="25">
        <f t="shared" ca="1" si="4"/>
        <v>0</v>
      </c>
    </row>
    <row r="23" spans="2:10" x14ac:dyDescent="0.3">
      <c r="B23" s="19" t="s">
        <v>141</v>
      </c>
      <c r="C23" s="152">
        <v>0.06</v>
      </c>
      <c r="D23" s="109">
        <v>2037</v>
      </c>
      <c r="E23" s="11"/>
      <c r="F23" s="13">
        <f t="shared" si="4"/>
        <v>443</v>
      </c>
      <c r="G23" s="13">
        <f t="shared" ca="1" si="4"/>
        <v>0</v>
      </c>
      <c r="H23" s="13">
        <f t="shared" ca="1" si="4"/>
        <v>0</v>
      </c>
      <c r="I23" s="13">
        <f t="shared" ca="1" si="4"/>
        <v>0</v>
      </c>
      <c r="J23" s="25">
        <f t="shared" ca="1" si="4"/>
        <v>0</v>
      </c>
    </row>
    <row r="24" spans="2:10" x14ac:dyDescent="0.3">
      <c r="B24" s="19" t="s">
        <v>141</v>
      </c>
      <c r="C24" s="152">
        <v>5.0999999999999997E-2</v>
      </c>
      <c r="D24" s="109">
        <v>2040</v>
      </c>
      <c r="E24" s="11"/>
      <c r="F24" s="13">
        <f t="shared" si="4"/>
        <v>1333</v>
      </c>
      <c r="G24" s="13">
        <f t="shared" ca="1" si="4"/>
        <v>316.64604248575506</v>
      </c>
      <c r="H24" s="13">
        <f t="shared" ca="1" si="4"/>
        <v>0</v>
      </c>
      <c r="I24" s="13">
        <f t="shared" ca="1" si="4"/>
        <v>0</v>
      </c>
      <c r="J24" s="25">
        <f t="shared" ca="1" si="4"/>
        <v>0</v>
      </c>
    </row>
    <row r="25" spans="2:10" x14ac:dyDescent="0.3">
      <c r="B25" s="19" t="s">
        <v>141</v>
      </c>
      <c r="C25" s="152">
        <v>5.2499999999999998E-2</v>
      </c>
      <c r="D25" s="109">
        <v>2042</v>
      </c>
      <c r="E25" s="11"/>
      <c r="F25" s="13">
        <f t="shared" si="4"/>
        <v>399</v>
      </c>
      <c r="G25" s="13">
        <f t="shared" ca="1" si="4"/>
        <v>399</v>
      </c>
      <c r="H25" s="13">
        <f t="shared" ca="1" si="4"/>
        <v>0</v>
      </c>
      <c r="I25" s="13">
        <f t="shared" ca="1" si="4"/>
        <v>0</v>
      </c>
      <c r="J25" s="25">
        <f t="shared" ca="1" si="4"/>
        <v>0</v>
      </c>
    </row>
    <row r="26" spans="2:10" x14ac:dyDescent="0.3">
      <c r="B26" s="19" t="s">
        <v>141</v>
      </c>
      <c r="C26" s="152">
        <v>4.7500000000000001E-2</v>
      </c>
      <c r="D26" s="109">
        <v>2043</v>
      </c>
      <c r="E26" s="11"/>
      <c r="F26" s="13">
        <f t="shared" si="4"/>
        <v>428</v>
      </c>
      <c r="G26" s="13">
        <f t="shared" ca="1" si="4"/>
        <v>428</v>
      </c>
      <c r="H26" s="13">
        <f t="shared" ca="1" si="4"/>
        <v>0</v>
      </c>
      <c r="I26" s="13">
        <f t="shared" ca="1" si="4"/>
        <v>0</v>
      </c>
      <c r="J26" s="25">
        <f t="shared" ca="1" si="4"/>
        <v>0</v>
      </c>
    </row>
    <row r="27" spans="2:10" x14ac:dyDescent="0.3">
      <c r="B27" s="19" t="s">
        <v>141</v>
      </c>
      <c r="C27" s="152">
        <v>4.2500000000000003E-2</v>
      </c>
      <c r="D27" s="109">
        <v>2044</v>
      </c>
      <c r="E27" s="11"/>
      <c r="F27" s="13">
        <f t="shared" si="4"/>
        <v>211</v>
      </c>
      <c r="G27" s="13">
        <f t="shared" ca="1" si="4"/>
        <v>211</v>
      </c>
      <c r="H27" s="13">
        <f t="shared" ca="1" si="4"/>
        <v>0</v>
      </c>
      <c r="I27" s="13">
        <f t="shared" ca="1" si="4"/>
        <v>0</v>
      </c>
      <c r="J27" s="25">
        <f t="shared" ca="1" si="4"/>
        <v>0</v>
      </c>
    </row>
    <row r="28" spans="2:10" x14ac:dyDescent="0.3">
      <c r="B28" s="19" t="s">
        <v>142</v>
      </c>
      <c r="C28" s="152">
        <v>7.3749999999999996E-2</v>
      </c>
      <c r="D28" s="109">
        <v>2047</v>
      </c>
      <c r="E28" s="11"/>
      <c r="F28" s="13">
        <f t="shared" si="4"/>
        <v>150</v>
      </c>
      <c r="G28" s="13">
        <f t="shared" ca="1" si="4"/>
        <v>150</v>
      </c>
      <c r="H28" s="13">
        <f t="shared" ca="1" si="4"/>
        <v>0</v>
      </c>
      <c r="I28" s="13">
        <f t="shared" ca="1" si="4"/>
        <v>0</v>
      </c>
      <c r="J28" s="25">
        <f t="shared" ca="1" si="4"/>
        <v>0</v>
      </c>
    </row>
    <row r="29" spans="2:10" x14ac:dyDescent="0.3">
      <c r="B29" s="19" t="s">
        <v>141</v>
      </c>
      <c r="C29" s="152">
        <v>5.3499999999999999E-2</v>
      </c>
      <c r="D29" s="109">
        <v>2049</v>
      </c>
      <c r="E29" s="11"/>
      <c r="F29" s="13">
        <f t="shared" si="4"/>
        <v>387</v>
      </c>
      <c r="G29" s="13">
        <f t="shared" ca="1" si="4"/>
        <v>387</v>
      </c>
      <c r="H29" s="13">
        <f t="shared" ca="1" si="4"/>
        <v>0</v>
      </c>
      <c r="I29" s="13">
        <f t="shared" ca="1" si="4"/>
        <v>0</v>
      </c>
      <c r="J29" s="25">
        <f t="shared" ca="1" si="4"/>
        <v>0</v>
      </c>
    </row>
    <row r="30" spans="2:10" x14ac:dyDescent="0.3">
      <c r="B30" s="19" t="s">
        <v>142</v>
      </c>
      <c r="C30" s="152">
        <v>7.6249999999999998E-2</v>
      </c>
      <c r="D30" s="109">
        <v>2096</v>
      </c>
      <c r="E30" s="11"/>
      <c r="F30" s="13">
        <f t="shared" si="4"/>
        <v>39</v>
      </c>
      <c r="G30" s="13">
        <f t="shared" ca="1" si="4"/>
        <v>39</v>
      </c>
      <c r="H30" s="13">
        <f t="shared" ca="1" si="4"/>
        <v>0</v>
      </c>
      <c r="I30" s="13">
        <f t="shared" ca="1" si="4"/>
        <v>0</v>
      </c>
      <c r="J30" s="25">
        <f t="shared" ca="1" si="4"/>
        <v>0</v>
      </c>
    </row>
    <row r="31" spans="2:10" x14ac:dyDescent="0.3">
      <c r="B31" s="19" t="s">
        <v>124</v>
      </c>
      <c r="C31" s="152">
        <f>AVERAGE(C16:C30)</f>
        <v>5.815E-2</v>
      </c>
      <c r="D31" s="109"/>
      <c r="E31" s="11"/>
      <c r="F31" s="13">
        <f t="shared" si="4"/>
        <v>353</v>
      </c>
      <c r="G31" s="13">
        <f t="shared" ca="1" si="4"/>
        <v>353</v>
      </c>
      <c r="H31" s="13">
        <f t="shared" ca="1" si="4"/>
        <v>353</v>
      </c>
      <c r="I31" s="13">
        <f t="shared" ca="1" si="4"/>
        <v>353</v>
      </c>
      <c r="J31" s="25">
        <f t="shared" ca="1" si="4"/>
        <v>353</v>
      </c>
    </row>
    <row r="32" spans="2:10" s="1" customFormat="1" x14ac:dyDescent="0.3">
      <c r="B32" s="27" t="s">
        <v>143</v>
      </c>
      <c r="C32" s="48"/>
      <c r="D32" s="48"/>
      <c r="E32" s="11"/>
      <c r="F32" s="48"/>
      <c r="G32" s="48"/>
      <c r="H32" s="48"/>
      <c r="I32" s="48"/>
      <c r="J32" s="49"/>
    </row>
    <row r="33" spans="2:10" x14ac:dyDescent="0.3">
      <c r="B33" s="19"/>
      <c r="C33" s="11"/>
      <c r="D33" s="11"/>
      <c r="E33" s="11"/>
      <c r="F33" s="11"/>
      <c r="G33" s="11"/>
      <c r="H33" s="11"/>
      <c r="I33" s="11"/>
      <c r="J33" s="20"/>
    </row>
    <row r="34" spans="2:10" ht="15" thickBot="1" x14ac:dyDescent="0.35">
      <c r="B34" s="146" t="s">
        <v>146</v>
      </c>
      <c r="C34" s="147"/>
      <c r="D34" s="147"/>
      <c r="E34" s="147"/>
      <c r="F34" s="147"/>
      <c r="G34" s="147"/>
      <c r="H34" s="147"/>
      <c r="I34" s="147"/>
      <c r="J34" s="151"/>
    </row>
    <row r="35" spans="2:10" ht="15" thickTop="1" x14ac:dyDescent="0.3">
      <c r="B35" s="19"/>
      <c r="C35" s="11"/>
      <c r="D35" s="11"/>
      <c r="E35" s="11"/>
      <c r="F35" s="11"/>
      <c r="G35" s="11"/>
      <c r="H35" s="11"/>
      <c r="I35" s="11"/>
      <c r="J35" s="20"/>
    </row>
    <row r="36" spans="2:10" x14ac:dyDescent="0.3">
      <c r="B36" s="19" t="s">
        <v>144</v>
      </c>
      <c r="C36" s="11"/>
      <c r="D36" s="11"/>
      <c r="E36" s="11"/>
      <c r="F36" s="12">
        <f t="shared" ref="F36:J36" ca="1" si="5">-MIN(F14,F9+SUM(F38:F53))</f>
        <v>0</v>
      </c>
      <c r="G36" s="12">
        <f t="shared" ca="1" si="5"/>
        <v>0</v>
      </c>
      <c r="H36" s="12">
        <f t="shared" ca="1" si="5"/>
        <v>0</v>
      </c>
      <c r="I36" s="12">
        <f t="shared" ca="1" si="5"/>
        <v>0</v>
      </c>
      <c r="J36" s="24">
        <f t="shared" ca="1" si="5"/>
        <v>0</v>
      </c>
    </row>
    <row r="37" spans="2:10" x14ac:dyDescent="0.3">
      <c r="B37" s="27" t="s">
        <v>137</v>
      </c>
      <c r="C37" s="47" t="s">
        <v>138</v>
      </c>
      <c r="D37" s="47" t="s">
        <v>139</v>
      </c>
      <c r="E37" s="48" t="s">
        <v>160</v>
      </c>
      <c r="F37" s="11"/>
      <c r="G37" s="11"/>
      <c r="H37" s="11"/>
      <c r="I37" s="11"/>
      <c r="J37" s="20"/>
    </row>
    <row r="38" spans="2:10" x14ac:dyDescent="0.3">
      <c r="B38" s="19" t="s">
        <v>141</v>
      </c>
      <c r="C38" s="152">
        <v>4.6249999999999999E-2</v>
      </c>
      <c r="D38" s="109">
        <v>2025</v>
      </c>
      <c r="E38" s="52">
        <v>1</v>
      </c>
      <c r="F38" s="12">
        <f ca="1">IF(F$2=$D38,-F16,-$E38*MAX(MIN(F$9+SUM(F$37:F37),F16),0))</f>
        <v>-51</v>
      </c>
      <c r="G38" s="12">
        <f ca="1">IF(G$2=$D38,-G16,-$E38*MAX(MIN(G$9+SUM(G$37:G37),G16),0))</f>
        <v>0</v>
      </c>
      <c r="H38" s="12">
        <f ca="1">IF(H$2=$D38,-H16,-$E38*MAX(MIN(H$9+SUM(H$37:H37),H16),0))</f>
        <v>0</v>
      </c>
      <c r="I38" s="12">
        <f ca="1">IF(I$2=$D38,-I16,-$E38*MAX(MIN(I$9+SUM(I$37:I37),I16),0))</f>
        <v>0</v>
      </c>
      <c r="J38" s="24">
        <f ca="1">IF(J$2=$D38,-J16,-$E38*MAX(MIN(J$9+SUM(J$37:J37),J16),0))</f>
        <v>0</v>
      </c>
    </row>
    <row r="39" spans="2:10" x14ac:dyDescent="0.3">
      <c r="B39" s="19" t="s">
        <v>141</v>
      </c>
      <c r="C39" s="152">
        <v>7.6999999999999999E-2</v>
      </c>
      <c r="D39" s="109">
        <v>2026</v>
      </c>
      <c r="E39" s="52">
        <v>1</v>
      </c>
      <c r="F39" s="12">
        <f ca="1">IF(F$2=$D39,-F17,-$E39*MAX(MIN(F$9+SUM(F$37:F38),F17),0))</f>
        <v>-78</v>
      </c>
      <c r="G39" s="12">
        <f ca="1">IF(G$2=$D39,-G17,-$E39*MAX(MIN(G$9+SUM(G$37:G38),G17),0))</f>
        <v>0</v>
      </c>
      <c r="H39" s="12">
        <f ca="1">IF(H$2=$D39,-H17,-$E39*MAX(MIN(H$9+SUM(H$37:H38),H17),0))</f>
        <v>0</v>
      </c>
      <c r="I39" s="12">
        <f ca="1">IF(I$2=$D39,-I17,-$E39*MAX(MIN(I$9+SUM(I$37:I38),I17),0))</f>
        <v>0</v>
      </c>
      <c r="J39" s="24">
        <f ca="1">IF(J$2=$D39,-J17,-$E39*MAX(MIN(J$9+SUM(J$37:J38),J17),0))</f>
        <v>0</v>
      </c>
    </row>
    <row r="40" spans="2:10" x14ac:dyDescent="0.3">
      <c r="B40" s="19" t="s">
        <v>141</v>
      </c>
      <c r="C40" s="152">
        <v>7.9500000000000001E-2</v>
      </c>
      <c r="D40" s="109">
        <v>2026</v>
      </c>
      <c r="E40" s="52">
        <v>1</v>
      </c>
      <c r="F40" s="12">
        <f ca="1">IF(F$2=$D40,-F18,-$E40*MAX(MIN(F$9+SUM(F$37:F39),F18),0))</f>
        <v>-132</v>
      </c>
      <c r="G40" s="12">
        <f ca="1">IF(G$2=$D40,-G18,-$E40*MAX(MIN(G$9+SUM(G$37:G39),G18),0))</f>
        <v>0</v>
      </c>
      <c r="H40" s="12">
        <f ca="1">IF(H$2=$D40,-H18,-$E40*MAX(MIN(H$9+SUM(H$37:H39),H18),0))</f>
        <v>0</v>
      </c>
      <c r="I40" s="12">
        <f ca="1">IF(I$2=$D40,-I18,-$E40*MAX(MIN(I$9+SUM(I$37:I39),I18),0))</f>
        <v>0</v>
      </c>
      <c r="J40" s="24">
        <f ca="1">IF(J$2=$D40,-J18,-$E40*MAX(MIN(J$9+SUM(J$37:J39),J18),0))</f>
        <v>0</v>
      </c>
    </row>
    <row r="41" spans="2:10" x14ac:dyDescent="0.3">
      <c r="B41" s="19" t="s">
        <v>141</v>
      </c>
      <c r="C41" s="152">
        <v>4.8750000000000002E-2</v>
      </c>
      <c r="D41" s="109">
        <v>2027</v>
      </c>
      <c r="E41" s="52">
        <v>1</v>
      </c>
      <c r="F41" s="12">
        <f ca="1">IF(F$2=$D41,-F19,-$E41*MAX(MIN(F$9+SUM(F$37:F40),F19),0))</f>
        <v>-108</v>
      </c>
      <c r="G41" s="12">
        <f ca="1">IF(G$2=$D41,-G19,-$E41*MAX(MIN(G$9+SUM(G$37:G40),G19),0))</f>
        <v>0</v>
      </c>
      <c r="H41" s="12">
        <f ca="1">IF(H$2=$D41,-H19,-$E41*MAX(MIN(H$9+SUM(H$37:H40),H19),0))</f>
        <v>0</v>
      </c>
      <c r="I41" s="12">
        <f ca="1">IF(I$2=$D41,-I19,-$E41*MAX(MIN(I$9+SUM(I$37:I40),I19),0))</f>
        <v>0</v>
      </c>
      <c r="J41" s="24">
        <f ca="1">IF(J$2=$D41,-J19,-$E41*MAX(MIN(J$9+SUM(J$37:J40),J19),0))</f>
        <v>0</v>
      </c>
    </row>
    <row r="42" spans="2:10" x14ac:dyDescent="0.3">
      <c r="B42" s="19" t="s">
        <v>141</v>
      </c>
      <c r="C42" s="152">
        <v>4.3749999999999997E-2</v>
      </c>
      <c r="D42" s="109">
        <v>2028</v>
      </c>
      <c r="E42" s="52">
        <v>1</v>
      </c>
      <c r="F42" s="12">
        <f ca="1">IF(F$2=$D42,-F20,-$E42*MAX(MIN(F$9+SUM(F$37:F41),F20),0))</f>
        <v>-325</v>
      </c>
      <c r="G42" s="12">
        <f ca="1">IF(G$2=$D42,-G20,-$E42*MAX(MIN(G$9+SUM(G$37:G41),G20),0))</f>
        <v>0</v>
      </c>
      <c r="H42" s="12">
        <f ca="1">IF(H$2=$D42,-H20,-$E42*MAX(MIN(H$9+SUM(H$37:H41),H20),0))</f>
        <v>0</v>
      </c>
      <c r="I42" s="12">
        <f ca="1">IF(I$2=$D42,-I20,-$E42*MAX(MIN(I$9+SUM(I$37:I41),I20),0))</f>
        <v>0</v>
      </c>
      <c r="J42" s="24">
        <f ca="1">IF(J$2=$D42,-J20,-$E42*MAX(MIN(J$9+SUM(J$37:J41),J20),0))</f>
        <v>0</v>
      </c>
    </row>
    <row r="43" spans="2:10" x14ac:dyDescent="0.3">
      <c r="B43" s="19" t="s">
        <v>141</v>
      </c>
      <c r="C43" s="152">
        <v>7.7499999999999999E-2</v>
      </c>
      <c r="D43" s="109">
        <v>2029</v>
      </c>
      <c r="E43" s="52">
        <v>1</v>
      </c>
      <c r="F43" s="12">
        <f ca="1">IF(F$2=$D43,-F21,-$E43*MAX(MIN(F$9+SUM(F$37:F42),F21),0))</f>
        <v>-235</v>
      </c>
      <c r="G43" s="12">
        <f ca="1">IF(G$2=$D43,-G21,-$E43*MAX(MIN(G$9+SUM(G$37:G42),G21),0))</f>
        <v>0</v>
      </c>
      <c r="H43" s="12">
        <f ca="1">IF(H$2=$D43,-H21,-$E43*MAX(MIN(H$9+SUM(H$37:H42),H21),0))</f>
        <v>0</v>
      </c>
      <c r="I43" s="12">
        <f ca="1">IF(I$2=$D43,-I21,-$E43*MAX(MIN(I$9+SUM(I$37:I42),I21),0))</f>
        <v>0</v>
      </c>
      <c r="J43" s="24">
        <f ca="1">IF(J$2=$D43,-J21,-$E43*MAX(MIN(J$9+SUM(J$37:J42),J21),0))</f>
        <v>0</v>
      </c>
    </row>
    <row r="44" spans="2:10" x14ac:dyDescent="0.3">
      <c r="B44" s="19" t="s">
        <v>141</v>
      </c>
      <c r="C44" s="152">
        <v>4.2500000000000003E-2</v>
      </c>
      <c r="D44" s="109">
        <v>2030</v>
      </c>
      <c r="E44" s="52">
        <v>1</v>
      </c>
      <c r="F44" s="12">
        <f ca="1">IF(F$2=$D44,-F22,-$E44*MAX(MIN(F$9+SUM(F$37:F43),F22),0))</f>
        <v>-516</v>
      </c>
      <c r="G44" s="12">
        <f ca="1">IF(G$2=$D44,-G22,-$E44*MAX(MIN(G$9+SUM(G$37:G43),G22),0))</f>
        <v>0</v>
      </c>
      <c r="H44" s="12">
        <f ca="1">IF(H$2=$D44,-H22,-$E44*MAX(MIN(H$9+SUM(H$37:H43),H22),0))</f>
        <v>0</v>
      </c>
      <c r="I44" s="12">
        <f ca="1">IF(I$2=$D44,-I22,-$E44*MAX(MIN(I$9+SUM(I$37:I43),I22),0))</f>
        <v>0</v>
      </c>
      <c r="J44" s="24">
        <f ca="1">IF(J$2=$D44,-J22,-$E44*MAX(MIN(J$9+SUM(J$37:J43),J22),0))</f>
        <v>0</v>
      </c>
    </row>
    <row r="45" spans="2:10" x14ac:dyDescent="0.3">
      <c r="B45" s="19" t="s">
        <v>141</v>
      </c>
      <c r="C45" s="152">
        <v>0.06</v>
      </c>
      <c r="D45" s="109">
        <v>2037</v>
      </c>
      <c r="E45" s="52">
        <v>1</v>
      </c>
      <c r="F45" s="12">
        <f ca="1">IF(F$2=$D45,-F23,-$E45*MAX(MIN(F$9+SUM(F$37:F44),F23),0))</f>
        <v>-443</v>
      </c>
      <c r="G45" s="12">
        <f ca="1">IF(G$2=$D45,-G23,-$E45*MAX(MIN(G$9+SUM(G$37:G44),G23),0))</f>
        <v>0</v>
      </c>
      <c r="H45" s="12">
        <f ca="1">IF(H$2=$D45,-H23,-$E45*MAX(MIN(H$9+SUM(H$37:H44),H23),0))</f>
        <v>0</v>
      </c>
      <c r="I45" s="12">
        <f ca="1">IF(I$2=$D45,-I23,-$E45*MAX(MIN(I$9+SUM(I$37:I44),I23),0))</f>
        <v>0</v>
      </c>
      <c r="J45" s="24">
        <f ca="1">IF(J$2=$D45,-J23,-$E45*MAX(MIN(J$9+SUM(J$37:J44),J23),0))</f>
        <v>0</v>
      </c>
    </row>
    <row r="46" spans="2:10" x14ac:dyDescent="0.3">
      <c r="B46" s="19" t="s">
        <v>141</v>
      </c>
      <c r="C46" s="152">
        <v>5.0999999999999997E-2</v>
      </c>
      <c r="D46" s="109">
        <v>2040</v>
      </c>
      <c r="E46" s="52">
        <v>1</v>
      </c>
      <c r="F46" s="12">
        <f ca="1">IF(F$2=$D46,-F24,-$E46*MAX(MIN(F$9+SUM(F$37:F45),F24),0))</f>
        <v>-1016.3539575142449</v>
      </c>
      <c r="G46" s="12">
        <f ca="1">IF(G$2=$D46,-G24,-$E46*MAX(MIN(G$9+SUM(G$37:G45),G24),0))</f>
        <v>-316.64604248575506</v>
      </c>
      <c r="H46" s="12">
        <f ca="1">IF(H$2=$D46,-H24,-$E46*MAX(MIN(H$9+SUM(H$37:H45),H24),0))</f>
        <v>0</v>
      </c>
      <c r="I46" s="12">
        <f ca="1">IF(I$2=$D46,-I24,-$E46*MAX(MIN(I$9+SUM(I$37:I45),I24),0))</f>
        <v>0</v>
      </c>
      <c r="J46" s="24">
        <f ca="1">IF(J$2=$D46,-J24,-$E46*MAX(MIN(J$9+SUM(J$37:J45),J24),0))</f>
        <v>0</v>
      </c>
    </row>
    <row r="47" spans="2:10" x14ac:dyDescent="0.3">
      <c r="B47" s="19" t="s">
        <v>141</v>
      </c>
      <c r="C47" s="152">
        <v>5.2499999999999998E-2</v>
      </c>
      <c r="D47" s="109">
        <v>2042</v>
      </c>
      <c r="E47" s="52">
        <v>1</v>
      </c>
      <c r="F47" s="12">
        <f ca="1">IF(F$2=$D47,-F25,-$E47*MAX(MIN(F$9+SUM(F$37:F46),F25),0))</f>
        <v>0</v>
      </c>
      <c r="G47" s="12">
        <f ca="1">IF(G$2=$D47,-G25,-$E47*MAX(MIN(G$9+SUM(G$37:G46),G25),0))</f>
        <v>-399</v>
      </c>
      <c r="H47" s="12">
        <f ca="1">IF(H$2=$D47,-H25,-$E47*MAX(MIN(H$9+SUM(H$37:H46),H25),0))</f>
        <v>0</v>
      </c>
      <c r="I47" s="12">
        <f ca="1">IF(I$2=$D47,-I25,-$E47*MAX(MIN(I$9+SUM(I$37:I46),I25),0))</f>
        <v>0</v>
      </c>
      <c r="J47" s="24">
        <f ca="1">IF(J$2=$D47,-J25,-$E47*MAX(MIN(J$9+SUM(J$37:J46),J25),0))</f>
        <v>0</v>
      </c>
    </row>
    <row r="48" spans="2:10" x14ac:dyDescent="0.3">
      <c r="B48" s="19" t="s">
        <v>141</v>
      </c>
      <c r="C48" s="152">
        <v>4.7500000000000001E-2</v>
      </c>
      <c r="D48" s="109">
        <v>2043</v>
      </c>
      <c r="E48" s="52">
        <v>1</v>
      </c>
      <c r="F48" s="12">
        <f ca="1">IF(F$2=$D48,-F26,-$E48*MAX(MIN(F$9+SUM(F$37:F47),F26),0))</f>
        <v>0</v>
      </c>
      <c r="G48" s="12">
        <f ca="1">IF(G$2=$D48,-G26,-$E48*MAX(MIN(G$9+SUM(G$37:G47),G26),0))</f>
        <v>-428</v>
      </c>
      <c r="H48" s="12">
        <f ca="1">IF(H$2=$D48,-H26,-$E48*MAX(MIN(H$9+SUM(H$37:H47),H26),0))</f>
        <v>0</v>
      </c>
      <c r="I48" s="12">
        <f ca="1">IF(I$2=$D48,-I26,-$E48*MAX(MIN(I$9+SUM(I$37:I47),I26),0))</f>
        <v>0</v>
      </c>
      <c r="J48" s="24">
        <f ca="1">IF(J$2=$D48,-J26,-$E48*MAX(MIN(J$9+SUM(J$37:J47),J26),0))</f>
        <v>0</v>
      </c>
    </row>
    <row r="49" spans="1:10" x14ac:dyDescent="0.3">
      <c r="B49" s="19" t="s">
        <v>141</v>
      </c>
      <c r="C49" s="152">
        <v>4.2500000000000003E-2</v>
      </c>
      <c r="D49" s="109">
        <v>2044</v>
      </c>
      <c r="E49" s="52">
        <v>1</v>
      </c>
      <c r="F49" s="12">
        <f ca="1">IF(F$2=$D49,-F27,-$E49*MAX(MIN(F$9+SUM(F$37:F48),F27),0))</f>
        <v>0</v>
      </c>
      <c r="G49" s="12">
        <f ca="1">IF(G$2=$D49,-G27,-$E49*MAX(MIN(G$9+SUM(G$37:G48),G27),0))</f>
        <v>-211</v>
      </c>
      <c r="H49" s="12">
        <f ca="1">IF(H$2=$D49,-H27,-$E49*MAX(MIN(H$9+SUM(H$37:H48),H27),0))</f>
        <v>0</v>
      </c>
      <c r="I49" s="12">
        <f ca="1">IF(I$2=$D49,-I27,-$E49*MAX(MIN(I$9+SUM(I$37:I48),I27),0))</f>
        <v>0</v>
      </c>
      <c r="J49" s="24">
        <f ca="1">IF(J$2=$D49,-J27,-$E49*MAX(MIN(J$9+SUM(J$37:J48),J27),0))</f>
        <v>0</v>
      </c>
    </row>
    <row r="50" spans="1:10" x14ac:dyDescent="0.3">
      <c r="B50" s="19" t="s">
        <v>142</v>
      </c>
      <c r="C50" s="152">
        <v>7.3749999999999996E-2</v>
      </c>
      <c r="D50" s="109">
        <v>2047</v>
      </c>
      <c r="E50" s="52">
        <v>1</v>
      </c>
      <c r="F50" s="12">
        <f ca="1">IF(F$2=$D50,-F28,-$E50*MAX(MIN(F$9+SUM(F$37:F49),F28),0))</f>
        <v>0</v>
      </c>
      <c r="G50" s="12">
        <f ca="1">IF(G$2=$D50,-G28,-$E50*MAX(MIN(G$9+SUM(G$37:G49),G28),0))</f>
        <v>-150</v>
      </c>
      <c r="H50" s="12">
        <f ca="1">IF(H$2=$D50,-H28,-$E50*MAX(MIN(H$9+SUM(H$37:H49),H28),0))</f>
        <v>0</v>
      </c>
      <c r="I50" s="12">
        <f ca="1">IF(I$2=$D50,-I28,-$E50*MAX(MIN(I$9+SUM(I$37:I49),I28),0))</f>
        <v>0</v>
      </c>
      <c r="J50" s="24">
        <f ca="1">IF(J$2=$D50,-J28,-$E50*MAX(MIN(J$9+SUM(J$37:J49),J28),0))</f>
        <v>0</v>
      </c>
    </row>
    <row r="51" spans="1:10" x14ac:dyDescent="0.3">
      <c r="B51" s="19" t="s">
        <v>141</v>
      </c>
      <c r="C51" s="152">
        <v>5.3499999999999999E-2</v>
      </c>
      <c r="D51" s="109">
        <v>2049</v>
      </c>
      <c r="E51" s="52">
        <v>1</v>
      </c>
      <c r="F51" s="12">
        <f ca="1">IF(F$2=$D51,-F29,-$E51*MAX(MIN(F$9+SUM(F$37:F50),F29),0))</f>
        <v>0</v>
      </c>
      <c r="G51" s="12">
        <f ca="1">IF(G$2=$D51,-G29,-$E51*MAX(MIN(G$9+SUM(G$37:G50),G29),0))</f>
        <v>-387</v>
      </c>
      <c r="H51" s="12">
        <f ca="1">IF(H$2=$D51,-H29,-$E51*MAX(MIN(H$9+SUM(H$37:H50),H29),0))</f>
        <v>0</v>
      </c>
      <c r="I51" s="12">
        <f ca="1">IF(I$2=$D51,-I29,-$E51*MAX(MIN(I$9+SUM(I$37:I50),I29),0))</f>
        <v>0</v>
      </c>
      <c r="J51" s="24">
        <f ca="1">IF(J$2=$D51,-J29,-$E51*MAX(MIN(J$9+SUM(J$37:J50),J29),0))</f>
        <v>0</v>
      </c>
    </row>
    <row r="52" spans="1:10" x14ac:dyDescent="0.3">
      <c r="B52" s="19" t="s">
        <v>142</v>
      </c>
      <c r="C52" s="152">
        <v>7.6249999999999998E-2</v>
      </c>
      <c r="D52" s="109">
        <v>2096</v>
      </c>
      <c r="E52" s="52">
        <v>1</v>
      </c>
      <c r="F52" s="12">
        <f ca="1">IF(F$2=$D52,-F30,-$E52*MAX(MIN(F$9+SUM(F$37:F51),F30),0))</f>
        <v>0</v>
      </c>
      <c r="G52" s="12">
        <f ca="1">IF(G$2=$D52,-G30,-$E52*MAX(MIN(G$9+SUM(G$37:G51),G30),0))</f>
        <v>-39</v>
      </c>
      <c r="H52" s="12">
        <f ca="1">IF(H$2=$D52,-H30,-$E52*MAX(MIN(H$9+SUM(H$37:H51),H30),0))</f>
        <v>0</v>
      </c>
      <c r="I52" s="12">
        <f ca="1">IF(I$2=$D52,-I30,-$E52*MAX(MIN(I$9+SUM(I$37:I51),I30),0))</f>
        <v>0</v>
      </c>
      <c r="J52" s="24">
        <f ca="1">IF(J$2=$D52,-J30,-$E52*MAX(MIN(J$9+SUM(J$37:J51),J30),0))</f>
        <v>0</v>
      </c>
    </row>
    <row r="53" spans="1:10" x14ac:dyDescent="0.3">
      <c r="A53" s="7">
        <v>0</v>
      </c>
      <c r="B53" s="19" t="s">
        <v>124</v>
      </c>
      <c r="C53" s="152">
        <f>AVERAGE(C38:C52)</f>
        <v>5.815E-2</v>
      </c>
      <c r="D53" s="109"/>
      <c r="E53" s="11"/>
      <c r="F53" s="12">
        <f ca="1">IF(F$2=$D53,-F31,-$A53*MAX(MIN(F$9+SUM(F$37:F52),F31),0))</f>
        <v>0</v>
      </c>
      <c r="G53" s="12">
        <f ca="1">IF(G$2=$D53,-G31,-$A53*MAX(MIN(G$9+SUM(G$37:G52),G31),0))</f>
        <v>0</v>
      </c>
      <c r="H53" s="12">
        <f ca="1">IF(H$2=$D53,-H31,-$A53*MAX(MIN(H$9+SUM(H$37:H52),H31),0))</f>
        <v>0</v>
      </c>
      <c r="I53" s="12">
        <f ca="1">IF(I$2=$D53,-I31,-$A53*MAX(MIN(I$9+SUM(I$37:I52),I31),0))</f>
        <v>0</v>
      </c>
      <c r="J53" s="24">
        <f ca="1">IF(J$2=$D53,-J31,-$A53*MAX(MIN(J$9+SUM(J$37:J52),J31),0))</f>
        <v>0</v>
      </c>
    </row>
    <row r="54" spans="1:10" x14ac:dyDescent="0.3">
      <c r="B54" s="27"/>
      <c r="C54" s="48"/>
      <c r="D54" s="48"/>
      <c r="E54" s="11"/>
      <c r="F54" s="11"/>
      <c r="G54" s="11"/>
      <c r="H54" s="11"/>
      <c r="I54" s="11"/>
      <c r="J54" s="20"/>
    </row>
    <row r="55" spans="1:10" x14ac:dyDescent="0.3">
      <c r="B55" s="19"/>
      <c r="C55" s="11"/>
      <c r="D55" s="11"/>
      <c r="E55" s="11"/>
      <c r="F55" s="11"/>
      <c r="G55" s="11"/>
      <c r="H55" s="11"/>
      <c r="I55" s="11"/>
      <c r="J55" s="20"/>
    </row>
    <row r="56" spans="1:10" ht="15" thickBot="1" x14ac:dyDescent="0.35">
      <c r="B56" s="146" t="s">
        <v>136</v>
      </c>
      <c r="C56" s="147"/>
      <c r="D56" s="147"/>
      <c r="E56" s="147"/>
      <c r="F56" s="147"/>
      <c r="G56" s="147"/>
      <c r="H56" s="147"/>
      <c r="I56" s="147"/>
      <c r="J56" s="151"/>
    </row>
    <row r="57" spans="1:10" ht="15" thickTop="1" x14ac:dyDescent="0.3">
      <c r="B57" s="19"/>
      <c r="C57" s="11"/>
      <c r="D57" s="11"/>
      <c r="E57" s="11"/>
      <c r="F57" s="11"/>
      <c r="G57" s="11"/>
      <c r="H57" s="11"/>
      <c r="I57" s="11"/>
      <c r="J57" s="20"/>
    </row>
    <row r="58" spans="1:10" x14ac:dyDescent="0.3">
      <c r="B58" s="19" t="s">
        <v>144</v>
      </c>
      <c r="C58" s="11"/>
      <c r="D58" s="11"/>
      <c r="E58" s="109">
        <v>0</v>
      </c>
      <c r="F58" s="11">
        <f ca="1">F14+F36</f>
        <v>0</v>
      </c>
      <c r="G58" s="11">
        <f t="shared" ref="G58:J58" ca="1" si="6">G14+G36</f>
        <v>0</v>
      </c>
      <c r="H58" s="11">
        <f t="shared" ca="1" si="6"/>
        <v>0</v>
      </c>
      <c r="I58" s="11">
        <f t="shared" ca="1" si="6"/>
        <v>0</v>
      </c>
      <c r="J58" s="20">
        <f t="shared" ca="1" si="6"/>
        <v>0</v>
      </c>
    </row>
    <row r="59" spans="1:10" x14ac:dyDescent="0.3">
      <c r="B59" s="27" t="s">
        <v>137</v>
      </c>
      <c r="C59" s="47" t="s">
        <v>138</v>
      </c>
      <c r="D59" s="47" t="s">
        <v>139</v>
      </c>
      <c r="E59" s="47" t="s">
        <v>140</v>
      </c>
      <c r="F59" s="11"/>
      <c r="G59" s="11"/>
      <c r="H59" s="11"/>
      <c r="I59" s="11"/>
      <c r="J59" s="20"/>
    </row>
    <row r="60" spans="1:10" x14ac:dyDescent="0.3">
      <c r="B60" s="19" t="s">
        <v>141</v>
      </c>
      <c r="C60" s="152">
        <v>4.6249999999999999E-2</v>
      </c>
      <c r="D60" s="109">
        <v>2025</v>
      </c>
      <c r="E60" s="109">
        <v>51</v>
      </c>
      <c r="F60" s="13">
        <f t="shared" ref="F60:J60" ca="1" si="7">F16+F38</f>
        <v>0</v>
      </c>
      <c r="G60" s="13">
        <f t="shared" ca="1" si="7"/>
        <v>0</v>
      </c>
      <c r="H60" s="13">
        <f t="shared" ca="1" si="7"/>
        <v>0</v>
      </c>
      <c r="I60" s="13">
        <f t="shared" ca="1" si="7"/>
        <v>0</v>
      </c>
      <c r="J60" s="25">
        <f t="shared" ca="1" si="7"/>
        <v>0</v>
      </c>
    </row>
    <row r="61" spans="1:10" x14ac:dyDescent="0.3">
      <c r="B61" s="19" t="s">
        <v>141</v>
      </c>
      <c r="C61" s="152">
        <v>7.6999999999999999E-2</v>
      </c>
      <c r="D61" s="109">
        <v>2026</v>
      </c>
      <c r="E61" s="109">
        <v>78</v>
      </c>
      <c r="F61" s="13">
        <f t="shared" ref="F61:J61" ca="1" si="8">F17+F39</f>
        <v>0</v>
      </c>
      <c r="G61" s="13">
        <f t="shared" ca="1" si="8"/>
        <v>0</v>
      </c>
      <c r="H61" s="13">
        <f t="shared" ca="1" si="8"/>
        <v>0</v>
      </c>
      <c r="I61" s="13">
        <f t="shared" ca="1" si="8"/>
        <v>0</v>
      </c>
      <c r="J61" s="25">
        <f t="shared" ca="1" si="8"/>
        <v>0</v>
      </c>
    </row>
    <row r="62" spans="1:10" x14ac:dyDescent="0.3">
      <c r="B62" s="19" t="s">
        <v>141</v>
      </c>
      <c r="C62" s="152">
        <v>7.9500000000000001E-2</v>
      </c>
      <c r="D62" s="109">
        <v>2026</v>
      </c>
      <c r="E62" s="109">
        <v>132</v>
      </c>
      <c r="F62" s="13">
        <f t="shared" ref="F62:J62" ca="1" si="9">F18+F40</f>
        <v>0</v>
      </c>
      <c r="G62" s="13">
        <f t="shared" ca="1" si="9"/>
        <v>0</v>
      </c>
      <c r="H62" s="13">
        <f t="shared" ca="1" si="9"/>
        <v>0</v>
      </c>
      <c r="I62" s="13">
        <f t="shared" ca="1" si="9"/>
        <v>0</v>
      </c>
      <c r="J62" s="25">
        <f t="shared" ca="1" si="9"/>
        <v>0</v>
      </c>
    </row>
    <row r="63" spans="1:10" x14ac:dyDescent="0.3">
      <c r="B63" s="19" t="s">
        <v>141</v>
      </c>
      <c r="C63" s="152">
        <v>4.8750000000000002E-2</v>
      </c>
      <c r="D63" s="109">
        <v>2027</v>
      </c>
      <c r="E63" s="109">
        <v>108</v>
      </c>
      <c r="F63" s="13">
        <f t="shared" ref="F63:J63" ca="1" si="10">F19+F41</f>
        <v>0</v>
      </c>
      <c r="G63" s="13">
        <f t="shared" ca="1" si="10"/>
        <v>0</v>
      </c>
      <c r="H63" s="13">
        <f t="shared" ca="1" si="10"/>
        <v>0</v>
      </c>
      <c r="I63" s="13">
        <f t="shared" ca="1" si="10"/>
        <v>0</v>
      </c>
      <c r="J63" s="25">
        <f t="shared" ca="1" si="10"/>
        <v>0</v>
      </c>
    </row>
    <row r="64" spans="1:10" x14ac:dyDescent="0.3">
      <c r="B64" s="19" t="s">
        <v>141</v>
      </c>
      <c r="C64" s="152">
        <v>4.3749999999999997E-2</v>
      </c>
      <c r="D64" s="109">
        <v>2028</v>
      </c>
      <c r="E64" s="109">
        <v>325</v>
      </c>
      <c r="F64" s="13">
        <f t="shared" ref="F64:J64" ca="1" si="11">F20+F42</f>
        <v>0</v>
      </c>
      <c r="G64" s="13">
        <f t="shared" ca="1" si="11"/>
        <v>0</v>
      </c>
      <c r="H64" s="13">
        <f t="shared" ca="1" si="11"/>
        <v>0</v>
      </c>
      <c r="I64" s="13">
        <f t="shared" ca="1" si="11"/>
        <v>0</v>
      </c>
      <c r="J64" s="25">
        <f t="shared" ca="1" si="11"/>
        <v>0</v>
      </c>
    </row>
    <row r="65" spans="2:10" x14ac:dyDescent="0.3">
      <c r="B65" s="19" t="s">
        <v>141</v>
      </c>
      <c r="C65" s="152">
        <v>7.7499999999999999E-2</v>
      </c>
      <c r="D65" s="109">
        <v>2029</v>
      </c>
      <c r="E65" s="109">
        <v>235</v>
      </c>
      <c r="F65" s="13">
        <f t="shared" ref="F65:J65" ca="1" si="12">F21+F43</f>
        <v>0</v>
      </c>
      <c r="G65" s="13">
        <f t="shared" ca="1" si="12"/>
        <v>0</v>
      </c>
      <c r="H65" s="13">
        <f t="shared" ca="1" si="12"/>
        <v>0</v>
      </c>
      <c r="I65" s="13">
        <f t="shared" ca="1" si="12"/>
        <v>0</v>
      </c>
      <c r="J65" s="25">
        <f t="shared" ca="1" si="12"/>
        <v>0</v>
      </c>
    </row>
    <row r="66" spans="2:10" x14ac:dyDescent="0.3">
      <c r="B66" s="19" t="s">
        <v>141</v>
      </c>
      <c r="C66" s="152">
        <v>4.2500000000000003E-2</v>
      </c>
      <c r="D66" s="109">
        <v>2030</v>
      </c>
      <c r="E66" s="109">
        <v>516</v>
      </c>
      <c r="F66" s="13">
        <f t="shared" ref="F66:J66" ca="1" si="13">F22+F44</f>
        <v>0</v>
      </c>
      <c r="G66" s="13">
        <f t="shared" ca="1" si="13"/>
        <v>0</v>
      </c>
      <c r="H66" s="13">
        <f t="shared" ca="1" si="13"/>
        <v>0</v>
      </c>
      <c r="I66" s="13">
        <f t="shared" ca="1" si="13"/>
        <v>0</v>
      </c>
      <c r="J66" s="25">
        <f t="shared" ca="1" si="13"/>
        <v>0</v>
      </c>
    </row>
    <row r="67" spans="2:10" x14ac:dyDescent="0.3">
      <c r="B67" s="19" t="s">
        <v>141</v>
      </c>
      <c r="C67" s="152">
        <v>0.06</v>
      </c>
      <c r="D67" s="109">
        <v>2037</v>
      </c>
      <c r="E67" s="109">
        <v>443</v>
      </c>
      <c r="F67" s="13">
        <f t="shared" ref="F67:J67" ca="1" si="14">F23+F45</f>
        <v>0</v>
      </c>
      <c r="G67" s="13">
        <f t="shared" ca="1" si="14"/>
        <v>0</v>
      </c>
      <c r="H67" s="13">
        <f t="shared" ca="1" si="14"/>
        <v>0</v>
      </c>
      <c r="I67" s="13">
        <f t="shared" ca="1" si="14"/>
        <v>0</v>
      </c>
      <c r="J67" s="25">
        <f t="shared" ca="1" si="14"/>
        <v>0</v>
      </c>
    </row>
    <row r="68" spans="2:10" x14ac:dyDescent="0.3">
      <c r="B68" s="19" t="s">
        <v>141</v>
      </c>
      <c r="C68" s="152">
        <v>5.0999999999999997E-2</v>
      </c>
      <c r="D68" s="109">
        <v>2040</v>
      </c>
      <c r="E68" s="153">
        <v>1333</v>
      </c>
      <c r="F68" s="13">
        <f t="shared" ref="F68:J68" ca="1" si="15">F24+F46</f>
        <v>316.64604248575506</v>
      </c>
      <c r="G68" s="13">
        <f t="shared" ca="1" si="15"/>
        <v>0</v>
      </c>
      <c r="H68" s="13">
        <f t="shared" ca="1" si="15"/>
        <v>0</v>
      </c>
      <c r="I68" s="13">
        <f t="shared" ca="1" si="15"/>
        <v>0</v>
      </c>
      <c r="J68" s="25">
        <f t="shared" ca="1" si="15"/>
        <v>0</v>
      </c>
    </row>
    <row r="69" spans="2:10" x14ac:dyDescent="0.3">
      <c r="B69" s="19" t="s">
        <v>141</v>
      </c>
      <c r="C69" s="152">
        <v>5.2499999999999998E-2</v>
      </c>
      <c r="D69" s="109">
        <v>2042</v>
      </c>
      <c r="E69" s="109">
        <v>399</v>
      </c>
      <c r="F69" s="13">
        <f t="shared" ref="F69:J69" ca="1" si="16">F25+F47</f>
        <v>399</v>
      </c>
      <c r="G69" s="13">
        <f t="shared" ca="1" si="16"/>
        <v>0</v>
      </c>
      <c r="H69" s="13">
        <f t="shared" ca="1" si="16"/>
        <v>0</v>
      </c>
      <c r="I69" s="13">
        <f t="shared" ca="1" si="16"/>
        <v>0</v>
      </c>
      <c r="J69" s="25">
        <f t="shared" ca="1" si="16"/>
        <v>0</v>
      </c>
    </row>
    <row r="70" spans="2:10" x14ac:dyDescent="0.3">
      <c r="B70" s="19" t="s">
        <v>141</v>
      </c>
      <c r="C70" s="152">
        <v>4.7500000000000001E-2</v>
      </c>
      <c r="D70" s="109">
        <v>2043</v>
      </c>
      <c r="E70" s="109">
        <v>428</v>
      </c>
      <c r="F70" s="13">
        <f t="shared" ref="F70:J70" ca="1" si="17">F26+F48</f>
        <v>428</v>
      </c>
      <c r="G70" s="13">
        <f t="shared" ca="1" si="17"/>
        <v>0</v>
      </c>
      <c r="H70" s="13">
        <f t="shared" ca="1" si="17"/>
        <v>0</v>
      </c>
      <c r="I70" s="13">
        <f t="shared" ca="1" si="17"/>
        <v>0</v>
      </c>
      <c r="J70" s="25">
        <f t="shared" ca="1" si="17"/>
        <v>0</v>
      </c>
    </row>
    <row r="71" spans="2:10" x14ac:dyDescent="0.3">
      <c r="B71" s="19" t="s">
        <v>141</v>
      </c>
      <c r="C71" s="152">
        <v>4.2500000000000003E-2</v>
      </c>
      <c r="D71" s="109">
        <v>2044</v>
      </c>
      <c r="E71" s="109">
        <v>211</v>
      </c>
      <c r="F71" s="13">
        <f t="shared" ref="F71:J71" ca="1" si="18">F27+F49</f>
        <v>211</v>
      </c>
      <c r="G71" s="13">
        <f t="shared" ca="1" si="18"/>
        <v>0</v>
      </c>
      <c r="H71" s="13">
        <f t="shared" ca="1" si="18"/>
        <v>0</v>
      </c>
      <c r="I71" s="13">
        <f t="shared" ca="1" si="18"/>
        <v>0</v>
      </c>
      <c r="J71" s="25">
        <f t="shared" ca="1" si="18"/>
        <v>0</v>
      </c>
    </row>
    <row r="72" spans="2:10" x14ac:dyDescent="0.3">
      <c r="B72" s="19" t="s">
        <v>142</v>
      </c>
      <c r="C72" s="152">
        <v>7.3749999999999996E-2</v>
      </c>
      <c r="D72" s="109">
        <v>2047</v>
      </c>
      <c r="E72" s="109">
        <v>150</v>
      </c>
      <c r="F72" s="13">
        <f t="shared" ref="F72:J72" ca="1" si="19">F28+F50</f>
        <v>150</v>
      </c>
      <c r="G72" s="13">
        <f t="shared" ca="1" si="19"/>
        <v>0</v>
      </c>
      <c r="H72" s="13">
        <f t="shared" ca="1" si="19"/>
        <v>0</v>
      </c>
      <c r="I72" s="13">
        <f t="shared" ca="1" si="19"/>
        <v>0</v>
      </c>
      <c r="J72" s="25">
        <f t="shared" ca="1" si="19"/>
        <v>0</v>
      </c>
    </row>
    <row r="73" spans="2:10" x14ac:dyDescent="0.3">
      <c r="B73" s="19" t="s">
        <v>141</v>
      </c>
      <c r="C73" s="152">
        <v>5.3499999999999999E-2</v>
      </c>
      <c r="D73" s="109">
        <v>2049</v>
      </c>
      <c r="E73" s="109">
        <v>387</v>
      </c>
      <c r="F73" s="13">
        <f t="shared" ref="F73:J73" ca="1" si="20">F29+F51</f>
        <v>387</v>
      </c>
      <c r="G73" s="13">
        <f t="shared" ca="1" si="20"/>
        <v>0</v>
      </c>
      <c r="H73" s="13">
        <f t="shared" ca="1" si="20"/>
        <v>0</v>
      </c>
      <c r="I73" s="13">
        <f t="shared" ca="1" si="20"/>
        <v>0</v>
      </c>
      <c r="J73" s="25">
        <f t="shared" ca="1" si="20"/>
        <v>0</v>
      </c>
    </row>
    <row r="74" spans="2:10" x14ac:dyDescent="0.3">
      <c r="B74" s="19" t="s">
        <v>142</v>
      </c>
      <c r="C74" s="152">
        <v>7.6249999999999998E-2</v>
      </c>
      <c r="D74" s="109">
        <v>2096</v>
      </c>
      <c r="E74" s="109">
        <v>39</v>
      </c>
      <c r="F74" s="13">
        <f t="shared" ref="F74:J74" ca="1" si="21">F30+F52</f>
        <v>39</v>
      </c>
      <c r="G74" s="13">
        <f t="shared" ca="1" si="21"/>
        <v>0</v>
      </c>
      <c r="H74" s="13">
        <f t="shared" ca="1" si="21"/>
        <v>0</v>
      </c>
      <c r="I74" s="13">
        <f t="shared" ca="1" si="21"/>
        <v>0</v>
      </c>
      <c r="J74" s="25">
        <f t="shared" ca="1" si="21"/>
        <v>0</v>
      </c>
    </row>
    <row r="75" spans="2:10" x14ac:dyDescent="0.3">
      <c r="B75" s="19" t="s">
        <v>124</v>
      </c>
      <c r="C75" s="152">
        <f>AVERAGE(C60:C74)</f>
        <v>5.815E-2</v>
      </c>
      <c r="D75" s="109"/>
      <c r="E75" s="109">
        <f>372+32-26-25</f>
        <v>353</v>
      </c>
      <c r="F75" s="13">
        <f t="shared" ref="F75:J75" ca="1" si="22">F31+F53</f>
        <v>353</v>
      </c>
      <c r="G75" s="13">
        <f t="shared" ca="1" si="22"/>
        <v>353</v>
      </c>
      <c r="H75" s="13">
        <f t="shared" ca="1" si="22"/>
        <v>353</v>
      </c>
      <c r="I75" s="13">
        <f t="shared" ca="1" si="22"/>
        <v>353</v>
      </c>
      <c r="J75" s="25">
        <f t="shared" ca="1" si="22"/>
        <v>353</v>
      </c>
    </row>
    <row r="76" spans="2:10" x14ac:dyDescent="0.3">
      <c r="B76" s="19"/>
      <c r="C76" s="11"/>
      <c r="D76" s="11"/>
      <c r="E76" s="11"/>
      <c r="F76" s="11"/>
      <c r="G76" s="11"/>
      <c r="H76" s="11"/>
      <c r="I76" s="11"/>
      <c r="J76" s="20"/>
    </row>
    <row r="77" spans="2:10" ht="15" thickBot="1" x14ac:dyDescent="0.35">
      <c r="B77" s="158" t="s">
        <v>143</v>
      </c>
      <c r="C77" s="159"/>
      <c r="D77" s="159"/>
      <c r="E77" s="159">
        <f>SUM(E58,E60:E75)</f>
        <v>5188</v>
      </c>
      <c r="F77" s="160">
        <f t="shared" ref="F77:J77" ca="1" si="23">SUM(F58,F60:F75)</f>
        <v>2283.6460424857551</v>
      </c>
      <c r="G77" s="159">
        <f t="shared" ca="1" si="23"/>
        <v>353</v>
      </c>
      <c r="H77" s="159">
        <f t="shared" ca="1" si="23"/>
        <v>353</v>
      </c>
      <c r="I77" s="159">
        <f t="shared" ca="1" si="23"/>
        <v>353</v>
      </c>
      <c r="J77" s="161">
        <f t="shared" ca="1" si="23"/>
        <v>353</v>
      </c>
    </row>
    <row r="78" spans="2:10" ht="15.6" thickTop="1" thickBot="1" x14ac:dyDescent="0.35">
      <c r="B78" s="158" t="s">
        <v>147</v>
      </c>
      <c r="C78" s="159"/>
      <c r="D78" s="159"/>
      <c r="E78" s="159">
        <f>BS!E28</f>
        <v>2</v>
      </c>
      <c r="F78" s="159">
        <f ca="1">SUMIF($D$60:$D$75,G2,F60:F75)</f>
        <v>0</v>
      </c>
      <c r="G78" s="159">
        <f ca="1">SUMIF($D$60:$D$75,H2,G60:G75)</f>
        <v>0</v>
      </c>
      <c r="H78" s="159">
        <f t="shared" ref="H78:J78" ca="1" si="24">SUMIF($D$60:$D$75,I2,H60:H75)</f>
        <v>0</v>
      </c>
      <c r="I78" s="159">
        <f t="shared" ca="1" si="24"/>
        <v>0</v>
      </c>
      <c r="J78" s="161">
        <f t="shared" si="24"/>
        <v>0</v>
      </c>
    </row>
    <row r="79" spans="2:10" s="1" customFormat="1" ht="15.6" thickTop="1" thickBot="1" x14ac:dyDescent="0.35">
      <c r="B79" s="154" t="s">
        <v>148</v>
      </c>
      <c r="C79" s="155"/>
      <c r="D79" s="155"/>
      <c r="E79" s="155">
        <f>E77-E78</f>
        <v>5186</v>
      </c>
      <c r="F79" s="156">
        <f ca="1">F77-F78</f>
        <v>2283.6460424857551</v>
      </c>
      <c r="G79" s="155">
        <f t="shared" ref="G79:J79" ca="1" si="25">G77-G78</f>
        <v>353</v>
      </c>
      <c r="H79" s="155">
        <f t="shared" ca="1" si="25"/>
        <v>353</v>
      </c>
      <c r="I79" s="155">
        <f t="shared" ca="1" si="25"/>
        <v>353</v>
      </c>
      <c r="J79" s="157">
        <f t="shared" ca="1" si="25"/>
        <v>353</v>
      </c>
    </row>
    <row r="80" spans="2:10" ht="15" thickTop="1" x14ac:dyDescent="0.3">
      <c r="B80" s="19"/>
      <c r="C80" s="11"/>
      <c r="D80" s="11"/>
      <c r="E80" s="11"/>
      <c r="F80" s="11"/>
      <c r="G80" s="11"/>
      <c r="H80" s="11"/>
      <c r="I80" s="11"/>
      <c r="J80" s="20"/>
    </row>
    <row r="81" spans="2:10" x14ac:dyDescent="0.3">
      <c r="B81" s="27" t="s">
        <v>157</v>
      </c>
      <c r="C81" s="11"/>
      <c r="D81" s="11"/>
      <c r="E81" s="11"/>
      <c r="F81" s="11"/>
      <c r="G81" s="11"/>
      <c r="H81" s="11"/>
      <c r="I81" s="11"/>
      <c r="J81" s="20"/>
    </row>
    <row r="82" spans="2:10" x14ac:dyDescent="0.3">
      <c r="B82" s="19"/>
      <c r="C82" s="11"/>
      <c r="D82" s="11"/>
      <c r="E82" s="11"/>
      <c r="F82" s="11"/>
      <c r="G82" s="11"/>
      <c r="H82" s="11"/>
      <c r="I82" s="11"/>
      <c r="J82" s="20"/>
    </row>
    <row r="83" spans="2:10" x14ac:dyDescent="0.3">
      <c r="B83" s="19" t="s">
        <v>144</v>
      </c>
      <c r="C83" s="11"/>
      <c r="D83" s="11"/>
      <c r="E83" s="11"/>
      <c r="F83" s="11">
        <f ca="1">AVERAGE(E58:F58)*$C58</f>
        <v>0</v>
      </c>
      <c r="G83" s="11">
        <f t="shared" ref="G83:J85" ca="1" si="26">AVERAGE(F58:G58)*$C58</f>
        <v>0</v>
      </c>
      <c r="H83" s="11">
        <f t="shared" ca="1" si="26"/>
        <v>0</v>
      </c>
      <c r="I83" s="11">
        <f t="shared" ca="1" si="26"/>
        <v>0</v>
      </c>
      <c r="J83" s="20">
        <f t="shared" ca="1" si="26"/>
        <v>0</v>
      </c>
    </row>
    <row r="84" spans="2:10" x14ac:dyDescent="0.3">
      <c r="B84" s="19"/>
      <c r="C84" s="11"/>
      <c r="D84" s="11"/>
      <c r="E84" s="11"/>
      <c r="F84" s="11"/>
      <c r="G84" s="11"/>
      <c r="H84" s="11"/>
      <c r="I84" s="11"/>
      <c r="J84" s="20"/>
    </row>
    <row r="85" spans="2:10" x14ac:dyDescent="0.3">
      <c r="B85" s="19" t="s">
        <v>141</v>
      </c>
      <c r="C85" s="11"/>
      <c r="D85" s="11"/>
      <c r="E85" s="11"/>
      <c r="F85" s="14">
        <f ca="1">AVERAGE(E60:F60)*$C60</f>
        <v>1.1793750000000001</v>
      </c>
      <c r="G85" s="14">
        <f t="shared" ca="1" si="26"/>
        <v>0</v>
      </c>
      <c r="H85" s="14">
        <f t="shared" ca="1" si="26"/>
        <v>0</v>
      </c>
      <c r="I85" s="14">
        <f t="shared" ca="1" si="26"/>
        <v>0</v>
      </c>
      <c r="J85" s="26">
        <f t="shared" ca="1" si="26"/>
        <v>0</v>
      </c>
    </row>
    <row r="86" spans="2:10" x14ac:dyDescent="0.3">
      <c r="B86" s="19" t="s">
        <v>141</v>
      </c>
      <c r="C86" s="11"/>
      <c r="D86" s="11"/>
      <c r="E86" s="11"/>
      <c r="F86" s="14">
        <f t="shared" ref="F86:J86" ca="1" si="27">AVERAGE(E61:F61)*$C61</f>
        <v>3.0030000000000001</v>
      </c>
      <c r="G86" s="14">
        <f t="shared" ca="1" si="27"/>
        <v>0</v>
      </c>
      <c r="H86" s="14">
        <f t="shared" ca="1" si="27"/>
        <v>0</v>
      </c>
      <c r="I86" s="14">
        <f t="shared" ca="1" si="27"/>
        <v>0</v>
      </c>
      <c r="J86" s="26">
        <f t="shared" ca="1" si="27"/>
        <v>0</v>
      </c>
    </row>
    <row r="87" spans="2:10" x14ac:dyDescent="0.3">
      <c r="B87" s="19" t="s">
        <v>141</v>
      </c>
      <c r="C87" s="11"/>
      <c r="D87" s="11"/>
      <c r="E87" s="11"/>
      <c r="F87" s="14">
        <f t="shared" ref="F87:J87" ca="1" si="28">AVERAGE(E62:F62)*$C62</f>
        <v>5.2469999999999999</v>
      </c>
      <c r="G87" s="14">
        <f t="shared" ca="1" si="28"/>
        <v>0</v>
      </c>
      <c r="H87" s="14">
        <f t="shared" ca="1" si="28"/>
        <v>0</v>
      </c>
      <c r="I87" s="14">
        <f t="shared" ca="1" si="28"/>
        <v>0</v>
      </c>
      <c r="J87" s="26">
        <f t="shared" ca="1" si="28"/>
        <v>0</v>
      </c>
    </row>
    <row r="88" spans="2:10" x14ac:dyDescent="0.3">
      <c r="B88" s="19" t="s">
        <v>141</v>
      </c>
      <c r="C88" s="11"/>
      <c r="D88" s="11"/>
      <c r="E88" s="11"/>
      <c r="F88" s="14">
        <f t="shared" ref="F88:J88" ca="1" si="29">AVERAGE(E63:F63)*$C63</f>
        <v>2.6325000000000003</v>
      </c>
      <c r="G88" s="14">
        <f t="shared" ca="1" si="29"/>
        <v>0</v>
      </c>
      <c r="H88" s="14">
        <f t="shared" ca="1" si="29"/>
        <v>0</v>
      </c>
      <c r="I88" s="14">
        <f t="shared" ca="1" si="29"/>
        <v>0</v>
      </c>
      <c r="J88" s="26">
        <f t="shared" ca="1" si="29"/>
        <v>0</v>
      </c>
    </row>
    <row r="89" spans="2:10" x14ac:dyDescent="0.3">
      <c r="B89" s="19" t="s">
        <v>141</v>
      </c>
      <c r="C89" s="11"/>
      <c r="D89" s="11"/>
      <c r="E89" s="11"/>
      <c r="F89" s="14">
        <f t="shared" ref="F89:J89" ca="1" si="30">AVERAGE(E64:F64)*$C64</f>
        <v>7.1093749999999991</v>
      </c>
      <c r="G89" s="14">
        <f t="shared" ca="1" si="30"/>
        <v>0</v>
      </c>
      <c r="H89" s="14">
        <f t="shared" ca="1" si="30"/>
        <v>0</v>
      </c>
      <c r="I89" s="14">
        <f t="shared" ca="1" si="30"/>
        <v>0</v>
      </c>
      <c r="J89" s="26">
        <f t="shared" ca="1" si="30"/>
        <v>0</v>
      </c>
    </row>
    <row r="90" spans="2:10" x14ac:dyDescent="0.3">
      <c r="B90" s="19" t="s">
        <v>141</v>
      </c>
      <c r="C90" s="11"/>
      <c r="D90" s="11"/>
      <c r="E90" s="11"/>
      <c r="F90" s="14">
        <f t="shared" ref="F90:J90" ca="1" si="31">AVERAGE(E65:F65)*$C65</f>
        <v>9.1062499999999993</v>
      </c>
      <c r="G90" s="14">
        <f t="shared" ca="1" si="31"/>
        <v>0</v>
      </c>
      <c r="H90" s="14">
        <f t="shared" ca="1" si="31"/>
        <v>0</v>
      </c>
      <c r="I90" s="14">
        <f t="shared" ca="1" si="31"/>
        <v>0</v>
      </c>
      <c r="J90" s="26">
        <f t="shared" ca="1" si="31"/>
        <v>0</v>
      </c>
    </row>
    <row r="91" spans="2:10" x14ac:dyDescent="0.3">
      <c r="B91" s="19" t="s">
        <v>141</v>
      </c>
      <c r="C91" s="11"/>
      <c r="D91" s="11"/>
      <c r="E91" s="11"/>
      <c r="F91" s="14">
        <f t="shared" ref="F91:J91" ca="1" si="32">AVERAGE(E66:F66)*$C66</f>
        <v>10.965000000000002</v>
      </c>
      <c r="G91" s="14">
        <f t="shared" ca="1" si="32"/>
        <v>0</v>
      </c>
      <c r="H91" s="14">
        <f t="shared" ca="1" si="32"/>
        <v>0</v>
      </c>
      <c r="I91" s="14">
        <f t="shared" ca="1" si="32"/>
        <v>0</v>
      </c>
      <c r="J91" s="26">
        <f t="shared" ca="1" si="32"/>
        <v>0</v>
      </c>
    </row>
    <row r="92" spans="2:10" x14ac:dyDescent="0.3">
      <c r="B92" s="19" t="s">
        <v>141</v>
      </c>
      <c r="C92" s="11"/>
      <c r="D92" s="11"/>
      <c r="E92" s="11"/>
      <c r="F92" s="14">
        <f t="shared" ref="F92:J92" ca="1" si="33">AVERAGE(E67:F67)*$C67</f>
        <v>13.29</v>
      </c>
      <c r="G92" s="14">
        <f t="shared" ca="1" si="33"/>
        <v>0</v>
      </c>
      <c r="H92" s="14">
        <f t="shared" ca="1" si="33"/>
        <v>0</v>
      </c>
      <c r="I92" s="14">
        <f t="shared" ca="1" si="33"/>
        <v>0</v>
      </c>
      <c r="J92" s="26">
        <f t="shared" ca="1" si="33"/>
        <v>0</v>
      </c>
    </row>
    <row r="93" spans="2:10" x14ac:dyDescent="0.3">
      <c r="B93" s="19" t="s">
        <v>141</v>
      </c>
      <c r="C93" s="11"/>
      <c r="D93" s="11"/>
      <c r="E93" s="11"/>
      <c r="F93" s="14">
        <f t="shared" ref="F93:J93" ca="1" si="34">AVERAGE(E68:F68)*$C68</f>
        <v>42.065974083386749</v>
      </c>
      <c r="G93" s="14">
        <f t="shared" ca="1" si="34"/>
        <v>8.0744740833867539</v>
      </c>
      <c r="H93" s="14">
        <f t="shared" ca="1" si="34"/>
        <v>0</v>
      </c>
      <c r="I93" s="14">
        <f t="shared" ca="1" si="34"/>
        <v>0</v>
      </c>
      <c r="J93" s="26">
        <f t="shared" ca="1" si="34"/>
        <v>0</v>
      </c>
    </row>
    <row r="94" spans="2:10" x14ac:dyDescent="0.3">
      <c r="B94" s="19" t="s">
        <v>141</v>
      </c>
      <c r="C94" s="11"/>
      <c r="D94" s="11"/>
      <c r="E94" s="11"/>
      <c r="F94" s="14">
        <f t="shared" ref="F94:J94" ca="1" si="35">AVERAGE(E69:F69)*$C69</f>
        <v>20.947499999999998</v>
      </c>
      <c r="G94" s="14">
        <f t="shared" ca="1" si="35"/>
        <v>10.473749999999999</v>
      </c>
      <c r="H94" s="14">
        <f t="shared" ca="1" si="35"/>
        <v>0</v>
      </c>
      <c r="I94" s="14">
        <f t="shared" ca="1" si="35"/>
        <v>0</v>
      </c>
      <c r="J94" s="26">
        <f t="shared" ca="1" si="35"/>
        <v>0</v>
      </c>
    </row>
    <row r="95" spans="2:10" x14ac:dyDescent="0.3">
      <c r="B95" s="19" t="s">
        <v>141</v>
      </c>
      <c r="C95" s="11"/>
      <c r="D95" s="11"/>
      <c r="E95" s="11"/>
      <c r="F95" s="14">
        <f t="shared" ref="F95:J95" ca="1" si="36">AVERAGE(E70:F70)*$C70</f>
        <v>20.330000000000002</v>
      </c>
      <c r="G95" s="14">
        <f t="shared" ca="1" si="36"/>
        <v>10.165000000000001</v>
      </c>
      <c r="H95" s="14">
        <f t="shared" ca="1" si="36"/>
        <v>0</v>
      </c>
      <c r="I95" s="14">
        <f t="shared" ca="1" si="36"/>
        <v>0</v>
      </c>
      <c r="J95" s="26">
        <f t="shared" ca="1" si="36"/>
        <v>0</v>
      </c>
    </row>
    <row r="96" spans="2:10" x14ac:dyDescent="0.3">
      <c r="B96" s="19" t="s">
        <v>141</v>
      </c>
      <c r="C96" s="11"/>
      <c r="D96" s="11"/>
      <c r="E96" s="11"/>
      <c r="F96" s="14">
        <f t="shared" ref="F96:J96" ca="1" si="37">AVERAGE(E71:F71)*$C71</f>
        <v>8.9675000000000011</v>
      </c>
      <c r="G96" s="14">
        <f t="shared" ca="1" si="37"/>
        <v>4.4837500000000006</v>
      </c>
      <c r="H96" s="14">
        <f t="shared" ca="1" si="37"/>
        <v>0</v>
      </c>
      <c r="I96" s="14">
        <f t="shared" ca="1" si="37"/>
        <v>0</v>
      </c>
      <c r="J96" s="26">
        <f t="shared" ca="1" si="37"/>
        <v>0</v>
      </c>
    </row>
    <row r="97" spans="2:10" x14ac:dyDescent="0.3">
      <c r="B97" s="19" t="s">
        <v>142</v>
      </c>
      <c r="C97" s="11"/>
      <c r="D97" s="11"/>
      <c r="E97" s="11"/>
      <c r="F97" s="14">
        <f t="shared" ref="F97:J97" ca="1" si="38">AVERAGE(E72:F72)*$C72</f>
        <v>11.0625</v>
      </c>
      <c r="G97" s="14">
        <f t="shared" ca="1" si="38"/>
        <v>5.53125</v>
      </c>
      <c r="H97" s="14">
        <f t="shared" ca="1" si="38"/>
        <v>0</v>
      </c>
      <c r="I97" s="14">
        <f t="shared" ca="1" si="38"/>
        <v>0</v>
      </c>
      <c r="J97" s="26">
        <f t="shared" ca="1" si="38"/>
        <v>0</v>
      </c>
    </row>
    <row r="98" spans="2:10" x14ac:dyDescent="0.3">
      <c r="B98" s="19" t="s">
        <v>141</v>
      </c>
      <c r="C98" s="11"/>
      <c r="D98" s="11"/>
      <c r="E98" s="11"/>
      <c r="F98" s="14">
        <f t="shared" ref="F98:J98" ca="1" si="39">AVERAGE(E73:F73)*$C73</f>
        <v>20.704499999999999</v>
      </c>
      <c r="G98" s="14">
        <f t="shared" ca="1" si="39"/>
        <v>10.35225</v>
      </c>
      <c r="H98" s="14">
        <f t="shared" ca="1" si="39"/>
        <v>0</v>
      </c>
      <c r="I98" s="14">
        <f t="shared" ca="1" si="39"/>
        <v>0</v>
      </c>
      <c r="J98" s="26">
        <f t="shared" ca="1" si="39"/>
        <v>0</v>
      </c>
    </row>
    <row r="99" spans="2:10" x14ac:dyDescent="0.3">
      <c r="B99" s="19" t="s">
        <v>142</v>
      </c>
      <c r="C99" s="11"/>
      <c r="D99" s="11"/>
      <c r="E99" s="11"/>
      <c r="F99" s="14">
        <f t="shared" ref="F99:J99" ca="1" si="40">AVERAGE(E74:F74)*$C74</f>
        <v>2.9737499999999999</v>
      </c>
      <c r="G99" s="14">
        <f t="shared" ca="1" si="40"/>
        <v>1.4868749999999999</v>
      </c>
      <c r="H99" s="14">
        <f t="shared" ca="1" si="40"/>
        <v>0</v>
      </c>
      <c r="I99" s="14">
        <f t="shared" ca="1" si="40"/>
        <v>0</v>
      </c>
      <c r="J99" s="26">
        <f t="shared" ca="1" si="40"/>
        <v>0</v>
      </c>
    </row>
    <row r="100" spans="2:10" x14ac:dyDescent="0.3">
      <c r="B100" s="19" t="s">
        <v>124</v>
      </c>
      <c r="C100" s="11"/>
      <c r="D100" s="11"/>
      <c r="E100" s="11"/>
      <c r="F100" s="14">
        <f t="shared" ref="F100:J100" ca="1" si="41">AVERAGE(E75:F75)*$C75</f>
        <v>20.526949999999999</v>
      </c>
      <c r="G100" s="14">
        <f t="shared" ca="1" si="41"/>
        <v>20.526949999999999</v>
      </c>
      <c r="H100" s="14">
        <f t="shared" ca="1" si="41"/>
        <v>20.526949999999999</v>
      </c>
      <c r="I100" s="14">
        <f t="shared" ca="1" si="41"/>
        <v>20.526949999999999</v>
      </c>
      <c r="J100" s="26">
        <f t="shared" ca="1" si="41"/>
        <v>20.526949999999999</v>
      </c>
    </row>
    <row r="101" spans="2:10" x14ac:dyDescent="0.3">
      <c r="B101" s="19"/>
      <c r="C101" s="11"/>
      <c r="D101" s="11"/>
      <c r="E101" s="11"/>
      <c r="F101" s="11"/>
      <c r="G101" s="11"/>
      <c r="H101" s="11"/>
      <c r="I101" s="11"/>
      <c r="J101" s="20"/>
    </row>
    <row r="102" spans="2:10" ht="15" thickBot="1" x14ac:dyDescent="0.35">
      <c r="B102" s="28"/>
      <c r="C102" s="43"/>
      <c r="D102" s="43"/>
      <c r="E102" s="43"/>
      <c r="F102" s="50">
        <f ca="1">SUM(F83,F85:F100)</f>
        <v>200.11117408338674</v>
      </c>
      <c r="G102" s="50">
        <f t="shared" ref="G102:J102" ca="1" si="42">SUM(G83,G85:G100)</f>
        <v>71.094299083386744</v>
      </c>
      <c r="H102" s="50">
        <f t="shared" ca="1" si="42"/>
        <v>20.526949999999999</v>
      </c>
      <c r="I102" s="50">
        <f t="shared" ca="1" si="42"/>
        <v>20.526949999999999</v>
      </c>
      <c r="J102" s="51">
        <f t="shared" ca="1" si="42"/>
        <v>20.526949999999999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3CFFA-CD8A-4BA1-80AC-B57574742F77}">
  <sheetPr>
    <tabColor theme="2" tint="-0.499984740745262"/>
  </sheetPr>
  <dimension ref="A1:K100"/>
  <sheetViews>
    <sheetView showGridLines="0" zoomScale="85" zoomScaleNormal="85" workbookViewId="0">
      <pane ySplit="3" topLeftCell="A65" activePane="bottomLeft" state="frozen"/>
      <selection pane="bottomLeft" activeCell="K26" sqref="K26"/>
    </sheetView>
  </sheetViews>
  <sheetFormatPr defaultColWidth="0" defaultRowHeight="14.4" x14ac:dyDescent="0.3"/>
  <cols>
    <col min="1" max="1" width="2.88671875" customWidth="1"/>
    <col min="2" max="2" width="55.33203125" bestFit="1" customWidth="1"/>
    <col min="3" max="10" width="15.88671875" customWidth="1"/>
    <col min="11" max="11" width="9.109375" customWidth="1"/>
    <col min="12" max="16384" width="9.109375" hidden="1"/>
  </cols>
  <sheetData>
    <row r="1" spans="2:10" s="33" customFormat="1" ht="25.8" customHeight="1" x14ac:dyDescent="0.5">
      <c r="B1" s="34" t="s">
        <v>158</v>
      </c>
      <c r="C1" s="35" t="s">
        <v>159</v>
      </c>
      <c r="D1" s="35"/>
      <c r="E1" s="36"/>
      <c r="F1" s="37" t="s">
        <v>44</v>
      </c>
      <c r="G1" s="37"/>
      <c r="H1" s="37"/>
      <c r="I1" s="35"/>
      <c r="J1" s="35"/>
    </row>
    <row r="2" spans="2:10" s="33" customFormat="1" ht="26.4" thickBot="1" x14ac:dyDescent="0.55000000000000004">
      <c r="B2" s="38" t="s">
        <v>253</v>
      </c>
      <c r="C2" s="39">
        <v>2021</v>
      </c>
      <c r="D2" s="39">
        <f>C2+1</f>
        <v>2022</v>
      </c>
      <c r="E2" s="40">
        <f t="shared" ref="E2:J2" si="0">D2+1</f>
        <v>2023</v>
      </c>
      <c r="F2" s="41">
        <f t="shared" si="0"/>
        <v>2024</v>
      </c>
      <c r="G2" s="39">
        <f t="shared" si="0"/>
        <v>2025</v>
      </c>
      <c r="H2" s="39">
        <f t="shared" si="0"/>
        <v>2026</v>
      </c>
      <c r="I2" s="39">
        <f t="shared" si="0"/>
        <v>2027</v>
      </c>
      <c r="J2" s="39">
        <f t="shared" si="0"/>
        <v>2028</v>
      </c>
    </row>
    <row r="3" spans="2:10" s="33" customFormat="1" ht="27" thickTop="1" thickBot="1" x14ac:dyDescent="0.55000000000000004">
      <c r="B3" s="33" t="s">
        <v>251</v>
      </c>
      <c r="C3" s="38"/>
      <c r="D3" s="38"/>
      <c r="E3" s="42"/>
      <c r="F3" s="38"/>
      <c r="G3" s="38"/>
      <c r="H3" s="38"/>
      <c r="I3" s="38"/>
      <c r="J3" s="38"/>
    </row>
    <row r="4" spans="2:10" x14ac:dyDescent="0.3">
      <c r="B4" s="16"/>
      <c r="C4" s="45"/>
      <c r="D4" s="45"/>
      <c r="E4" s="45"/>
      <c r="F4" s="45"/>
      <c r="G4" s="45"/>
      <c r="H4" s="45"/>
      <c r="I4" s="45"/>
      <c r="J4" s="46"/>
    </row>
    <row r="5" spans="2:10" x14ac:dyDescent="0.3">
      <c r="B5" s="53" t="s">
        <v>31</v>
      </c>
      <c r="C5" s="11"/>
      <c r="D5" s="11"/>
      <c r="E5" s="11"/>
      <c r="F5" s="11"/>
      <c r="G5" s="11"/>
      <c r="H5" s="11"/>
      <c r="I5" s="11"/>
      <c r="J5" s="20"/>
    </row>
    <row r="6" spans="2:10" x14ac:dyDescent="0.3">
      <c r="B6" s="19" t="s">
        <v>28</v>
      </c>
      <c r="C6" s="69">
        <v>27.4</v>
      </c>
      <c r="D6" s="69">
        <v>25.7</v>
      </c>
      <c r="E6" s="69">
        <v>28.8</v>
      </c>
      <c r="F6" s="70">
        <f>E6*(1+'Revenue Model'!F6)</f>
        <v>32.273929961089493</v>
      </c>
      <c r="G6" s="70">
        <f>F6*(1+'Revenue Model'!G6)</f>
        <v>36.166894275462155</v>
      </c>
      <c r="H6" s="70">
        <f>G6*(1+'Revenue Model'!H6)</f>
        <v>40.52943794293035</v>
      </c>
      <c r="I6" s="70">
        <f>H6*(1+'Revenue Model'!I6)</f>
        <v>45.418202830988101</v>
      </c>
      <c r="J6" s="71">
        <f>I6*(1+'Revenue Model'!J6)</f>
        <v>50.896663094648147</v>
      </c>
    </row>
    <row r="7" spans="2:10" x14ac:dyDescent="0.3">
      <c r="B7" s="19" t="s">
        <v>29</v>
      </c>
      <c r="C7" s="69">
        <v>25.7</v>
      </c>
      <c r="D7" s="69">
        <v>31.1</v>
      </c>
      <c r="E7" s="69">
        <v>32.5</v>
      </c>
      <c r="F7" s="70">
        <f>E7*(1+'Revenue Model'!F7)</f>
        <v>39.328793774319074</v>
      </c>
      <c r="G7" s="70">
        <f>F7*(1+'Revenue Model'!G7)</f>
        <v>47.592431376705186</v>
      </c>
      <c r="H7" s="70">
        <f>G7*(1+'Revenue Model'!H7)</f>
        <v>57.592397502549865</v>
      </c>
      <c r="I7" s="70">
        <f>H7*(1+'Revenue Model'!I7)</f>
        <v>69.693523826042835</v>
      </c>
      <c r="J7" s="71">
        <f>I7*(1+'Revenue Model'!J7)</f>
        <v>84.337299260308654</v>
      </c>
    </row>
    <row r="8" spans="2:10" x14ac:dyDescent="0.3">
      <c r="B8" s="19" t="s">
        <v>30</v>
      </c>
      <c r="C8" s="69">
        <v>13.2</v>
      </c>
      <c r="D8" s="69">
        <v>11.9</v>
      </c>
      <c r="E8" s="69">
        <v>12.7</v>
      </c>
      <c r="F8" s="70">
        <f>E8*(1+'Revenue Model'!F8)</f>
        <v>12.501511968423733</v>
      </c>
      <c r="G8" s="70">
        <f>F8*(1+'Revenue Model'!G8)</f>
        <v>12.306126102097783</v>
      </c>
      <c r="H8" s="70">
        <f>G8*(1+'Revenue Model'!H8)</f>
        <v>12.113793917347019</v>
      </c>
      <c r="I8" s="70">
        <f>H8*(1+'Revenue Model'!I8)</f>
        <v>11.924467688246644</v>
      </c>
      <c r="J8" s="71">
        <f>I8*(1+'Revenue Model'!J8)</f>
        <v>11.738100434779332</v>
      </c>
    </row>
    <row r="9" spans="2:10" ht="15" thickBot="1" x14ac:dyDescent="0.35">
      <c r="B9" s="21" t="s">
        <v>32</v>
      </c>
      <c r="C9" s="44">
        <f>SUM(C6:C8)</f>
        <v>66.3</v>
      </c>
      <c r="D9" s="44">
        <f t="shared" ref="D9:F9" si="1">SUM(D6:D8)</f>
        <v>68.7</v>
      </c>
      <c r="E9" s="44">
        <f t="shared" si="1"/>
        <v>74</v>
      </c>
      <c r="F9" s="44">
        <f t="shared" si="1"/>
        <v>84.104235703832302</v>
      </c>
      <c r="G9" s="44">
        <f t="shared" ref="G9" si="2">SUM(G6:G8)</f>
        <v>96.065451754265126</v>
      </c>
      <c r="H9" s="44">
        <f t="shared" ref="H9" si="3">SUM(H6:H8)</f>
        <v>110.23562936282724</v>
      </c>
      <c r="I9" s="44">
        <f t="shared" ref="I9" si="4">SUM(I6:I8)</f>
        <v>127.03619434527758</v>
      </c>
      <c r="J9" s="72">
        <f t="shared" ref="J9" si="5">SUM(J6:J8)</f>
        <v>146.97206278973616</v>
      </c>
    </row>
    <row r="10" spans="2:10" ht="15" thickTop="1" x14ac:dyDescent="0.3">
      <c r="B10" s="19"/>
      <c r="C10" s="70"/>
      <c r="D10" s="70"/>
      <c r="E10" s="70"/>
      <c r="F10" s="70"/>
      <c r="G10" s="70"/>
      <c r="H10" s="70"/>
      <c r="I10" s="70"/>
      <c r="J10" s="71"/>
    </row>
    <row r="11" spans="2:10" x14ac:dyDescent="0.3">
      <c r="B11" s="53" t="s">
        <v>33</v>
      </c>
      <c r="C11" s="70"/>
      <c r="D11" s="70"/>
      <c r="E11" s="70"/>
      <c r="F11" s="70"/>
      <c r="G11" s="70"/>
      <c r="H11" s="70"/>
      <c r="I11" s="70"/>
      <c r="J11" s="71"/>
    </row>
    <row r="12" spans="2:10" x14ac:dyDescent="0.3">
      <c r="B12" s="19" t="s">
        <v>28</v>
      </c>
      <c r="C12" s="69">
        <v>24.2</v>
      </c>
      <c r="D12" s="69">
        <v>22.8</v>
      </c>
      <c r="E12" s="69">
        <v>23</v>
      </c>
      <c r="F12" s="70">
        <f>E12*(1+'Revenue Model'!F12)</f>
        <v>22.43558793678411</v>
      </c>
      <c r="G12" s="70">
        <f>F12*(1+'Revenue Model'!G12)</f>
        <v>21.885026350833595</v>
      </c>
      <c r="H12" s="70">
        <f>G12*(1+'Revenue Model'!H12)</f>
        <v>21.347975356215851</v>
      </c>
      <c r="I12" s="70">
        <f>H12*(1+'Revenue Model'!I12)</f>
        <v>20.824103407681775</v>
      </c>
      <c r="J12" s="71">
        <f>I12*(1+'Revenue Model'!J12)</f>
        <v>20.313087095988269</v>
      </c>
    </row>
    <row r="13" spans="2:10" x14ac:dyDescent="0.3">
      <c r="B13" s="19" t="s">
        <v>29</v>
      </c>
      <c r="C13" s="69">
        <v>0.2</v>
      </c>
      <c r="D13" s="69">
        <v>0.1</v>
      </c>
      <c r="E13" s="69">
        <v>0</v>
      </c>
      <c r="F13" s="70">
        <f>E13*(1+'Revenue Model'!F13)</f>
        <v>0</v>
      </c>
      <c r="G13" s="70">
        <f>F13*(1+'Revenue Model'!G13)</f>
        <v>0</v>
      </c>
      <c r="H13" s="70">
        <f>G13*(1+'Revenue Model'!H13)</f>
        <v>0</v>
      </c>
      <c r="I13" s="70">
        <f>H13*(1+'Revenue Model'!I13)</f>
        <v>0</v>
      </c>
      <c r="J13" s="71">
        <f>I13*(1+'Revenue Model'!J13)</f>
        <v>0</v>
      </c>
    </row>
    <row r="14" spans="2:10" x14ac:dyDescent="0.3">
      <c r="B14" s="19" t="s">
        <v>30</v>
      </c>
      <c r="C14" s="69">
        <v>0.4</v>
      </c>
      <c r="D14" s="69">
        <v>0.4</v>
      </c>
      <c r="E14" s="69">
        <v>0.4</v>
      </c>
      <c r="F14" s="70">
        <f>E14*(1+'Revenue Model'!F14)</f>
        <v>0.4</v>
      </c>
      <c r="G14" s="70">
        <f>F14*(1+'Revenue Model'!G14)</f>
        <v>0.4</v>
      </c>
      <c r="H14" s="70">
        <f>G14*(1+'Revenue Model'!H14)</f>
        <v>0.4</v>
      </c>
      <c r="I14" s="70">
        <f>H14*(1+'Revenue Model'!I14)</f>
        <v>0.4</v>
      </c>
      <c r="J14" s="71">
        <f>I14*(1+'Revenue Model'!J14)</f>
        <v>0.4</v>
      </c>
    </row>
    <row r="15" spans="2:10" ht="15" thickBot="1" x14ac:dyDescent="0.35">
      <c r="B15" s="21" t="s">
        <v>32</v>
      </c>
      <c r="C15" s="44">
        <f>SUM(C12:C14)</f>
        <v>24.799999999999997</v>
      </c>
      <c r="D15" s="44">
        <f t="shared" ref="D15:E15" si="6">SUM(D12:D14)</f>
        <v>23.3</v>
      </c>
      <c r="E15" s="44">
        <f t="shared" si="6"/>
        <v>23.4</v>
      </c>
      <c r="F15" s="44">
        <f t="shared" ref="F15" si="7">SUM(F12:F14)</f>
        <v>22.835587936784108</v>
      </c>
      <c r="G15" s="44">
        <f t="shared" ref="G15" si="8">SUM(G12:G14)</f>
        <v>22.285026350833594</v>
      </c>
      <c r="H15" s="44">
        <f t="shared" ref="H15" si="9">SUM(H12:H14)</f>
        <v>21.74797535621585</v>
      </c>
      <c r="I15" s="44">
        <f t="shared" ref="I15" si="10">SUM(I12:I14)</f>
        <v>21.224103407681774</v>
      </c>
      <c r="J15" s="72">
        <f t="shared" ref="J15" si="11">SUM(J12:J14)</f>
        <v>20.713087095988268</v>
      </c>
    </row>
    <row r="16" spans="2:10" ht="15" thickTop="1" x14ac:dyDescent="0.3">
      <c r="B16" s="19"/>
      <c r="C16" s="70"/>
      <c r="D16" s="70"/>
      <c r="E16" s="70"/>
      <c r="F16" s="70"/>
      <c r="G16" s="70"/>
      <c r="H16" s="70"/>
      <c r="I16" s="70"/>
      <c r="J16" s="71"/>
    </row>
    <row r="17" spans="2:10" x14ac:dyDescent="0.3">
      <c r="B17" s="53" t="s">
        <v>34</v>
      </c>
      <c r="C17" s="70"/>
      <c r="D17" s="70"/>
      <c r="E17" s="70"/>
      <c r="F17" s="70"/>
      <c r="G17" s="70"/>
      <c r="H17" s="70"/>
      <c r="I17" s="70"/>
      <c r="J17" s="71"/>
    </row>
    <row r="18" spans="2:10" x14ac:dyDescent="0.3">
      <c r="B18" s="19" t="s">
        <v>28</v>
      </c>
      <c r="C18" s="69">
        <v>192.5</v>
      </c>
      <c r="D18" s="69">
        <v>172.8</v>
      </c>
      <c r="E18" s="69">
        <v>165.1</v>
      </c>
      <c r="F18" s="70">
        <f>E18*(1+'Revenue Model'!F18)</f>
        <v>152.97358268698892</v>
      </c>
      <c r="G18" s="70">
        <f>F18*(1+'Revenue Model'!G18)</f>
        <v>141.73783767470042</v>
      </c>
      <c r="H18" s="70">
        <f>G18*(1+'Revenue Model'!H18)</f>
        <v>131.32734604122228</v>
      </c>
      <c r="I18" s="70">
        <f>H18*(1+'Revenue Model'!I18)</f>
        <v>121.68149381405043</v>
      </c>
      <c r="J18" s="71">
        <f>I18*(1+'Revenue Model'!J18)</f>
        <v>112.74411905172607</v>
      </c>
    </row>
    <row r="19" spans="2:10" x14ac:dyDescent="0.3">
      <c r="B19" s="19" t="s">
        <v>29</v>
      </c>
      <c r="C19" s="69">
        <v>96.2</v>
      </c>
      <c r="D19" s="69">
        <v>130.1</v>
      </c>
      <c r="E19" s="69">
        <v>118.9</v>
      </c>
      <c r="F19" s="70">
        <f>E19*(1+'Revenue Model'!F19)</f>
        <v>134.73172687409811</v>
      </c>
      <c r="G19" s="70">
        <f>F19*(1+'Revenue Model'!G19)</f>
        <v>152.67147372982819</v>
      </c>
      <c r="H19" s="70">
        <f>G19*(1+'Revenue Model'!H19)</f>
        <v>172.999926829548</v>
      </c>
      <c r="I19" s="70">
        <f>H19*(1+'Revenue Model'!I19)</f>
        <v>196.03514626440386</v>
      </c>
      <c r="J19" s="71">
        <f>I19*(1+'Revenue Model'!J19)</f>
        <v>222.13754233994564</v>
      </c>
    </row>
    <row r="20" spans="2:10" x14ac:dyDescent="0.3">
      <c r="B20" s="19" t="s">
        <v>30</v>
      </c>
      <c r="C20" s="69">
        <v>14.1</v>
      </c>
      <c r="D20" s="69">
        <v>12.8</v>
      </c>
      <c r="E20" s="69">
        <v>18.3</v>
      </c>
      <c r="F20" s="70">
        <f>E20*(1+'Revenue Model'!F20)</f>
        <v>21.388023603723404</v>
      </c>
      <c r="G20" s="70">
        <f>F20*(1+'Revenue Model'!G20)</f>
        <v>24.99713408051527</v>
      </c>
      <c r="H20" s="70">
        <f>G20*(1+'Revenue Model'!H20)</f>
        <v>29.215261952978103</v>
      </c>
      <c r="I20" s="70">
        <f>H20*(1+'Revenue Model'!I20)</f>
        <v>34.145175532199893</v>
      </c>
      <c r="J20" s="71">
        <f>I20*(1+'Revenue Model'!J20)</f>
        <v>39.906984712348098</v>
      </c>
    </row>
    <row r="21" spans="2:10" ht="15" thickBot="1" x14ac:dyDescent="0.35">
      <c r="B21" s="21" t="s">
        <v>35</v>
      </c>
      <c r="C21" s="44">
        <f>SUM(C18:C20)</f>
        <v>302.8</v>
      </c>
      <c r="D21" s="44">
        <f t="shared" ref="D21:E21" si="12">SUM(D18:D20)</f>
        <v>315.7</v>
      </c>
      <c r="E21" s="44">
        <f t="shared" si="12"/>
        <v>302.3</v>
      </c>
      <c r="F21" s="44">
        <f t="shared" ref="F21" si="13">SUM(F18:F20)</f>
        <v>309.09333316481042</v>
      </c>
      <c r="G21" s="44">
        <f t="shared" ref="G21" si="14">SUM(G18:G20)</f>
        <v>319.40644548504383</v>
      </c>
      <c r="H21" s="44">
        <f t="shared" ref="H21" si="15">SUM(H18:H20)</f>
        <v>333.54253482374838</v>
      </c>
      <c r="I21" s="44">
        <f t="shared" ref="I21" si="16">SUM(I18:I20)</f>
        <v>351.86181561065422</v>
      </c>
      <c r="J21" s="72">
        <f t="shared" ref="J21" si="17">SUM(J18:J20)</f>
        <v>374.78864610401985</v>
      </c>
    </row>
    <row r="22" spans="2:10" ht="15" thickTop="1" x14ac:dyDescent="0.3">
      <c r="B22" s="19"/>
      <c r="C22" s="11"/>
      <c r="D22" s="11"/>
      <c r="E22" s="11"/>
      <c r="F22" s="11"/>
      <c r="G22" s="11"/>
      <c r="H22" s="11"/>
      <c r="I22" s="11"/>
      <c r="J22" s="20"/>
    </row>
    <row r="23" spans="2:10" x14ac:dyDescent="0.3">
      <c r="B23" s="19" t="s">
        <v>45</v>
      </c>
      <c r="C23" s="11"/>
      <c r="D23" s="11"/>
      <c r="E23" s="11"/>
      <c r="F23" s="11"/>
      <c r="G23" s="11"/>
      <c r="H23" s="11"/>
      <c r="I23" s="11"/>
      <c r="J23" s="20"/>
    </row>
    <row r="24" spans="2:10" x14ac:dyDescent="0.3">
      <c r="B24" s="19" t="s">
        <v>28</v>
      </c>
      <c r="C24" s="14">
        <f>C6+C12+C18/6</f>
        <v>83.683333333333337</v>
      </c>
      <c r="D24" s="14">
        <f t="shared" ref="D24:E24" si="18">D6+D12+D18/6</f>
        <v>77.3</v>
      </c>
      <c r="E24" s="14">
        <f t="shared" si="18"/>
        <v>79.316666666666663</v>
      </c>
      <c r="F24" s="14">
        <f t="shared" ref="F24:J24" si="19">F6+F12+F18/6</f>
        <v>80.205115012371749</v>
      </c>
      <c r="G24" s="14">
        <f t="shared" si="19"/>
        <v>81.674893572079156</v>
      </c>
      <c r="H24" s="14">
        <f t="shared" si="19"/>
        <v>83.765304306016574</v>
      </c>
      <c r="I24" s="14">
        <f t="shared" si="19"/>
        <v>86.522555207678266</v>
      </c>
      <c r="J24" s="26">
        <f t="shared" si="19"/>
        <v>90.000436699257421</v>
      </c>
    </row>
    <row r="25" spans="2:10" x14ac:dyDescent="0.3">
      <c r="B25" s="19" t="s">
        <v>29</v>
      </c>
      <c r="C25" s="14">
        <f t="shared" ref="C25:E26" si="20">C7+C13+C19/6</f>
        <v>41.933333333333337</v>
      </c>
      <c r="D25" s="14">
        <f t="shared" si="20"/>
        <v>52.88333333333334</v>
      </c>
      <c r="E25" s="14">
        <f t="shared" si="20"/>
        <v>52.316666666666663</v>
      </c>
      <c r="F25" s="14">
        <f t="shared" ref="F25:J25" si="21">F7+F13+F19/6</f>
        <v>61.784081586668762</v>
      </c>
      <c r="G25" s="14">
        <f t="shared" si="21"/>
        <v>73.037676998343215</v>
      </c>
      <c r="H25" s="14">
        <f t="shared" si="21"/>
        <v>86.425718640807872</v>
      </c>
      <c r="I25" s="14">
        <f t="shared" si="21"/>
        <v>102.36604820344348</v>
      </c>
      <c r="J25" s="26">
        <f t="shared" si="21"/>
        <v>121.36022298363292</v>
      </c>
    </row>
    <row r="26" spans="2:10" x14ac:dyDescent="0.3">
      <c r="B26" s="19" t="s">
        <v>30</v>
      </c>
      <c r="C26" s="14">
        <f t="shared" si="20"/>
        <v>15.95</v>
      </c>
      <c r="D26" s="14">
        <f t="shared" si="20"/>
        <v>14.433333333333334</v>
      </c>
      <c r="E26" s="14">
        <f t="shared" si="20"/>
        <v>16.149999999999999</v>
      </c>
      <c r="F26" s="14">
        <f t="shared" ref="F26:J26" si="22">F8+F14+F20/6</f>
        <v>16.4661825690443</v>
      </c>
      <c r="G26" s="14">
        <f t="shared" si="22"/>
        <v>16.872315115516997</v>
      </c>
      <c r="H26" s="14">
        <f t="shared" si="22"/>
        <v>17.38300424284337</v>
      </c>
      <c r="I26" s="14">
        <f t="shared" si="22"/>
        <v>18.015330276946628</v>
      </c>
      <c r="J26" s="26">
        <f t="shared" si="22"/>
        <v>18.789264553504015</v>
      </c>
    </row>
    <row r="27" spans="2:10" ht="15" thickBot="1" x14ac:dyDescent="0.35">
      <c r="B27" s="21" t="s">
        <v>45</v>
      </c>
      <c r="C27" s="44">
        <f>SUM(C24:C26)</f>
        <v>141.56666666666666</v>
      </c>
      <c r="D27" s="44">
        <f t="shared" ref="D27:E27" si="23">SUM(D24:D26)</f>
        <v>144.61666666666667</v>
      </c>
      <c r="E27" s="44">
        <f t="shared" si="23"/>
        <v>147.78333333333333</v>
      </c>
      <c r="F27" s="44">
        <f t="shared" ref="F27" si="24">SUM(F24:F26)</f>
        <v>158.45537916808479</v>
      </c>
      <c r="G27" s="44">
        <f t="shared" ref="G27" si="25">SUM(G24:G26)</f>
        <v>171.58488568593935</v>
      </c>
      <c r="H27" s="44">
        <f t="shared" ref="H27" si="26">SUM(H24:H26)</f>
        <v>187.57402718966779</v>
      </c>
      <c r="I27" s="44">
        <f t="shared" ref="I27" si="27">SUM(I24:I26)</f>
        <v>206.90393368806838</v>
      </c>
      <c r="J27" s="72">
        <f t="shared" ref="J27" si="28">SUM(J24:J26)</f>
        <v>230.14992423639436</v>
      </c>
    </row>
    <row r="28" spans="2:10" ht="15" thickTop="1" x14ac:dyDescent="0.3">
      <c r="B28" s="19"/>
      <c r="C28" s="14"/>
      <c r="D28" s="14"/>
      <c r="E28" s="14"/>
      <c r="F28" s="11"/>
      <c r="G28" s="11"/>
      <c r="H28" s="11"/>
      <c r="I28" s="11"/>
      <c r="J28" s="20"/>
    </row>
    <row r="29" spans="2:10" x14ac:dyDescent="0.3">
      <c r="B29" s="53" t="s">
        <v>36</v>
      </c>
      <c r="C29" s="11"/>
      <c r="D29" s="11"/>
      <c r="E29" s="11"/>
      <c r="F29" s="11"/>
      <c r="G29" s="11"/>
      <c r="H29" s="11"/>
      <c r="I29" s="11"/>
      <c r="J29" s="20"/>
    </row>
    <row r="30" spans="2:10" x14ac:dyDescent="0.3">
      <c r="B30" s="19" t="s">
        <v>28</v>
      </c>
      <c r="C30" s="10">
        <v>67.37</v>
      </c>
      <c r="D30" s="10">
        <v>95.68</v>
      </c>
      <c r="E30" s="10">
        <v>77.84</v>
      </c>
      <c r="F30" s="14">
        <f>E30*(1+'Revenue Model'!F24)</f>
        <v>85.624000000000009</v>
      </c>
      <c r="G30" s="14">
        <f>F30*(1+'Revenue Model'!G24)</f>
        <v>94.18640000000002</v>
      </c>
      <c r="H30" s="14">
        <f>G30*(1+'Revenue Model'!H24)</f>
        <v>103.60504000000003</v>
      </c>
      <c r="I30" s="14">
        <f>H30*(1+'Revenue Model'!I24)</f>
        <v>113.96554400000004</v>
      </c>
      <c r="J30" s="26">
        <f>I30*(1+'Revenue Model'!J24)</f>
        <v>125.36209840000005</v>
      </c>
    </row>
    <row r="31" spans="2:10" x14ac:dyDescent="0.3">
      <c r="B31" s="19" t="s">
        <v>29</v>
      </c>
      <c r="C31" s="10">
        <v>70.33</v>
      </c>
      <c r="D31" s="10">
        <v>101.25</v>
      </c>
      <c r="E31" s="10">
        <v>82.47</v>
      </c>
      <c r="F31" s="14">
        <f>E31*(1+'Revenue Model'!F25)</f>
        <v>90.717000000000013</v>
      </c>
      <c r="G31" s="14">
        <f>F31*(1+'Revenue Model'!G25)</f>
        <v>99.78870000000002</v>
      </c>
      <c r="H31" s="14">
        <f>G31*(1+'Revenue Model'!H25)</f>
        <v>109.76757000000003</v>
      </c>
      <c r="I31" s="14">
        <f>H31*(1+'Revenue Model'!I25)</f>
        <v>120.74432700000004</v>
      </c>
      <c r="J31" s="26">
        <f>I31*(1+'Revenue Model'!J25)</f>
        <v>132.81875970000004</v>
      </c>
    </row>
    <row r="32" spans="2:10" x14ac:dyDescent="0.3">
      <c r="B32" s="19" t="s">
        <v>30</v>
      </c>
      <c r="C32" s="10">
        <v>69.67</v>
      </c>
      <c r="D32" s="10">
        <v>100.87</v>
      </c>
      <c r="E32" s="10">
        <v>82.75</v>
      </c>
      <c r="F32" s="14">
        <f>E32*(1+'Revenue Model'!F26)</f>
        <v>91.025000000000006</v>
      </c>
      <c r="G32" s="14">
        <f>F32*(1+'Revenue Model'!G26)</f>
        <v>100.12750000000001</v>
      </c>
      <c r="H32" s="14">
        <f>G32*(1+'Revenue Model'!H26)</f>
        <v>110.14025000000002</v>
      </c>
      <c r="I32" s="14">
        <f>H32*(1+'Revenue Model'!I26)</f>
        <v>121.15427500000004</v>
      </c>
      <c r="J32" s="26">
        <f>I32*(1+'Revenue Model'!J26)</f>
        <v>133.26970250000005</v>
      </c>
    </row>
    <row r="33" spans="2:10" x14ac:dyDescent="0.3">
      <c r="B33" s="27"/>
      <c r="C33" s="11"/>
      <c r="D33" s="11"/>
      <c r="E33" s="11"/>
      <c r="F33" s="11"/>
      <c r="G33" s="11"/>
      <c r="H33" s="11"/>
      <c r="I33" s="11"/>
      <c r="J33" s="20"/>
    </row>
    <row r="34" spans="2:10" x14ac:dyDescent="0.3">
      <c r="B34" s="19"/>
      <c r="C34" s="11"/>
      <c r="D34" s="11"/>
      <c r="E34" s="11"/>
      <c r="F34" s="11"/>
      <c r="G34" s="11"/>
      <c r="H34" s="11"/>
      <c r="I34" s="11"/>
      <c r="J34" s="20"/>
    </row>
    <row r="35" spans="2:10" x14ac:dyDescent="0.3">
      <c r="B35" s="53" t="s">
        <v>37</v>
      </c>
      <c r="C35" s="11"/>
      <c r="D35" s="11"/>
      <c r="E35" s="11"/>
      <c r="F35" s="11"/>
      <c r="G35" s="11"/>
      <c r="H35" s="11"/>
      <c r="I35" s="11"/>
      <c r="J35" s="20"/>
    </row>
    <row r="36" spans="2:10" x14ac:dyDescent="0.3">
      <c r="B36" s="19" t="s">
        <v>28</v>
      </c>
      <c r="C36" s="10">
        <v>27.85</v>
      </c>
      <c r="D36" s="10">
        <v>33.409999999999997</v>
      </c>
      <c r="E36" s="10">
        <v>20.85</v>
      </c>
      <c r="F36" s="14">
        <f>F30*'Revenue Model'!F30</f>
        <v>22.935000000000002</v>
      </c>
      <c r="G36" s="14">
        <f>G30*'Revenue Model'!G30</f>
        <v>25.228500000000004</v>
      </c>
      <c r="H36" s="14">
        <f>H30*'Revenue Model'!H30</f>
        <v>27.751350000000006</v>
      </c>
      <c r="I36" s="14">
        <f>I30*'Revenue Model'!I30</f>
        <v>30.526485000000008</v>
      </c>
      <c r="J36" s="26">
        <f>J30*'Revenue Model'!J30</f>
        <v>33.579133500000012</v>
      </c>
    </row>
    <row r="37" spans="2:10" x14ac:dyDescent="0.3">
      <c r="B37" s="19" t="s">
        <v>29</v>
      </c>
      <c r="C37" s="10">
        <v>48.84</v>
      </c>
      <c r="D37" s="10">
        <v>76.8</v>
      </c>
      <c r="E37" s="10">
        <v>0</v>
      </c>
      <c r="F37" s="14">
        <f>F31*'Revenue Model'!F31</f>
        <v>0</v>
      </c>
      <c r="G37" s="14">
        <f>G31*'Revenue Model'!G31</f>
        <v>0</v>
      </c>
      <c r="H37" s="14">
        <f>H31*'Revenue Model'!H31</f>
        <v>0</v>
      </c>
      <c r="I37" s="14">
        <f>I31*'Revenue Model'!I31</f>
        <v>0</v>
      </c>
      <c r="J37" s="26">
        <f>J31*'Revenue Model'!J31</f>
        <v>0</v>
      </c>
    </row>
    <row r="38" spans="2:10" x14ac:dyDescent="0.3">
      <c r="B38" s="19" t="s">
        <v>30</v>
      </c>
      <c r="C38" s="10">
        <v>54.3</v>
      </c>
      <c r="D38" s="10">
        <v>67.069999999999993</v>
      </c>
      <c r="E38" s="10">
        <v>47.77</v>
      </c>
      <c r="F38" s="14">
        <f>F32*'Revenue Model'!F32</f>
        <v>52.547000000000004</v>
      </c>
      <c r="G38" s="14">
        <f>G32*'Revenue Model'!G32</f>
        <v>57.801700000000011</v>
      </c>
      <c r="H38" s="14">
        <f>H32*'Revenue Model'!H32</f>
        <v>63.581870000000016</v>
      </c>
      <c r="I38" s="14">
        <f>I32*'Revenue Model'!I32</f>
        <v>69.940057000000024</v>
      </c>
      <c r="J38" s="26">
        <f>J32*'Revenue Model'!J32</f>
        <v>76.934062700000027</v>
      </c>
    </row>
    <row r="39" spans="2:10" x14ac:dyDescent="0.3">
      <c r="B39" s="27"/>
      <c r="C39" s="11"/>
      <c r="D39" s="11"/>
      <c r="E39" s="11"/>
      <c r="F39" s="11"/>
      <c r="G39" s="11"/>
      <c r="H39" s="11"/>
      <c r="I39" s="11"/>
      <c r="J39" s="20"/>
    </row>
    <row r="40" spans="2:10" x14ac:dyDescent="0.3">
      <c r="B40" s="19"/>
      <c r="C40" s="11"/>
      <c r="D40" s="11"/>
      <c r="E40" s="11"/>
      <c r="F40" s="11"/>
      <c r="G40" s="11"/>
      <c r="H40" s="11"/>
      <c r="I40" s="11"/>
      <c r="J40" s="20"/>
    </row>
    <row r="41" spans="2:10" x14ac:dyDescent="0.3">
      <c r="B41" s="53" t="s">
        <v>38</v>
      </c>
      <c r="C41" s="11"/>
      <c r="D41" s="11"/>
      <c r="E41" s="11"/>
      <c r="F41" s="11"/>
      <c r="G41" s="11"/>
      <c r="H41" s="11"/>
      <c r="I41" s="11"/>
      <c r="J41" s="20"/>
    </row>
    <row r="42" spans="2:10" x14ac:dyDescent="0.3">
      <c r="B42" s="19" t="s">
        <v>28</v>
      </c>
      <c r="C42" s="10">
        <v>3.92</v>
      </c>
      <c r="D42" s="10">
        <v>5.31</v>
      </c>
      <c r="E42" s="10">
        <v>1.8</v>
      </c>
      <c r="F42" s="14">
        <f>F30*'Revenue Model'!F36</f>
        <v>1.9800000000000002</v>
      </c>
      <c r="G42" s="14">
        <f>G30*'Revenue Model'!G36</f>
        <v>2.1780000000000004</v>
      </c>
      <c r="H42" s="14">
        <f>H30*'Revenue Model'!H36</f>
        <v>2.3958000000000008</v>
      </c>
      <c r="I42" s="14">
        <f>I30*'Revenue Model'!I36</f>
        <v>2.6353800000000009</v>
      </c>
      <c r="J42" s="26">
        <f>J30*'Revenue Model'!J36</f>
        <v>2.898918000000001</v>
      </c>
    </row>
    <row r="43" spans="2:10" x14ac:dyDescent="0.3">
      <c r="B43" s="19" t="s">
        <v>29</v>
      </c>
      <c r="C43" s="10">
        <v>2.81</v>
      </c>
      <c r="D43" s="10">
        <v>2.85</v>
      </c>
      <c r="E43" s="10">
        <v>2.91</v>
      </c>
      <c r="F43" s="14">
        <f>F31*'Revenue Model'!F37</f>
        <v>3.201000000000001</v>
      </c>
      <c r="G43" s="14">
        <f>G31*'Revenue Model'!G37</f>
        <v>3.5211000000000015</v>
      </c>
      <c r="H43" s="14">
        <f>H31*'Revenue Model'!H37</f>
        <v>3.873210000000002</v>
      </c>
      <c r="I43" s="14">
        <f>I31*'Revenue Model'!I37</f>
        <v>4.2605310000000021</v>
      </c>
      <c r="J43" s="26">
        <f>J31*'Revenue Model'!J37</f>
        <v>4.6865841000000019</v>
      </c>
    </row>
    <row r="44" spans="2:10" x14ac:dyDescent="0.3">
      <c r="B44" s="19" t="s">
        <v>30</v>
      </c>
      <c r="C44" s="10">
        <v>12.96</v>
      </c>
      <c r="D44" s="10">
        <v>23.36</v>
      </c>
      <c r="E44" s="10">
        <v>13.02</v>
      </c>
      <c r="F44" s="14">
        <f>F32*'Revenue Model'!F38</f>
        <v>14.321999999999999</v>
      </c>
      <c r="G44" s="14">
        <f>G32*'Revenue Model'!G38</f>
        <v>15.754200000000001</v>
      </c>
      <c r="H44" s="14">
        <f>H32*'Revenue Model'!H38</f>
        <v>17.329620000000002</v>
      </c>
      <c r="I44" s="14">
        <f>I32*'Revenue Model'!I38</f>
        <v>19.062582000000006</v>
      </c>
      <c r="J44" s="26">
        <f>J32*'Revenue Model'!J38</f>
        <v>20.968840200000006</v>
      </c>
    </row>
    <row r="45" spans="2:10" x14ac:dyDescent="0.3">
      <c r="B45" s="27"/>
      <c r="C45" s="11"/>
      <c r="D45" s="11"/>
      <c r="E45" s="11"/>
      <c r="F45" s="11"/>
      <c r="G45" s="11"/>
      <c r="H45" s="11"/>
      <c r="I45" s="11"/>
      <c r="J45" s="20"/>
    </row>
    <row r="46" spans="2:10" x14ac:dyDescent="0.3">
      <c r="B46" s="19"/>
      <c r="C46" s="11"/>
      <c r="D46" s="11"/>
      <c r="E46" s="11"/>
      <c r="F46" s="11"/>
      <c r="G46" s="11"/>
      <c r="H46" s="11"/>
      <c r="I46" s="11"/>
      <c r="J46" s="20"/>
    </row>
    <row r="47" spans="2:10" x14ac:dyDescent="0.3">
      <c r="B47" s="53" t="s">
        <v>210</v>
      </c>
      <c r="C47" s="11"/>
      <c r="D47" s="11"/>
      <c r="E47" s="11"/>
      <c r="F47" s="11"/>
      <c r="G47" s="11"/>
      <c r="H47" s="11"/>
      <c r="I47" s="11"/>
      <c r="J47" s="20"/>
    </row>
    <row r="48" spans="2:10" x14ac:dyDescent="0.3">
      <c r="B48" s="19" t="s">
        <v>28</v>
      </c>
      <c r="C48" s="13">
        <f>C6*C30</f>
        <v>1845.9380000000001</v>
      </c>
      <c r="D48" s="13">
        <f t="shared" ref="D48:E48" si="29">D6*D30</f>
        <v>2458.9760000000001</v>
      </c>
      <c r="E48" s="13">
        <f t="shared" si="29"/>
        <v>2241.7920000000004</v>
      </c>
      <c r="F48" s="13">
        <f t="shared" ref="F48:J48" si="30">F6*F30</f>
        <v>2763.422978988327</v>
      </c>
      <c r="G48" s="13">
        <f t="shared" si="30"/>
        <v>3406.4295709863895</v>
      </c>
      <c r="H48" s="13">
        <f t="shared" si="30"/>
        <v>4199.0540392548182</v>
      </c>
      <c r="I48" s="13">
        <f t="shared" si="30"/>
        <v>5176.1101931359008</v>
      </c>
      <c r="J48" s="25">
        <f t="shared" si="30"/>
        <v>6380.512487102932</v>
      </c>
    </row>
    <row r="49" spans="2:10" x14ac:dyDescent="0.3">
      <c r="B49" s="19" t="s">
        <v>29</v>
      </c>
      <c r="C49" s="13">
        <f>C7*C31</f>
        <v>1807.481</v>
      </c>
      <c r="D49" s="13">
        <f>D7*D31</f>
        <v>3148.875</v>
      </c>
      <c r="E49" s="13">
        <f>E7*E31</f>
        <v>2680.2750000000001</v>
      </c>
      <c r="F49" s="13">
        <f t="shared" ref="F49:J49" si="31">F7*F31</f>
        <v>3567.7901848249039</v>
      </c>
      <c r="G49" s="13">
        <f t="shared" si="31"/>
        <v>4749.1868569206217</v>
      </c>
      <c r="H49" s="13">
        <f t="shared" si="31"/>
        <v>6321.7775243289698</v>
      </c>
      <c r="I49" s="13">
        <f t="shared" si="31"/>
        <v>8415.0976306340108</v>
      </c>
      <c r="J49" s="25">
        <f t="shared" si="31"/>
        <v>11201.575484201927</v>
      </c>
    </row>
    <row r="50" spans="2:10" x14ac:dyDescent="0.3">
      <c r="B50" s="19" t="s">
        <v>30</v>
      </c>
      <c r="C50" s="13">
        <f>C8*C32</f>
        <v>919.64400000000001</v>
      </c>
      <c r="D50" s="13">
        <f>D8*D32</f>
        <v>1200.3530000000001</v>
      </c>
      <c r="E50" s="13">
        <f>E8*E32</f>
        <v>1050.925</v>
      </c>
      <c r="F50" s="13">
        <f t="shared" ref="F50:J50" si="32">F8*F32</f>
        <v>1137.9501269257703</v>
      </c>
      <c r="G50" s="13">
        <f t="shared" si="32"/>
        <v>1232.1816412877959</v>
      </c>
      <c r="H50" s="13">
        <f t="shared" si="32"/>
        <v>1334.2162905050802</v>
      </c>
      <c r="I50" s="13">
        <f t="shared" si="32"/>
        <v>1444.7002375304487</v>
      </c>
      <c r="J50" s="25">
        <f t="shared" si="32"/>
        <v>1564.3331528581627</v>
      </c>
    </row>
    <row r="51" spans="2:10" ht="15" thickBot="1" x14ac:dyDescent="0.35">
      <c r="B51" s="21" t="s">
        <v>213</v>
      </c>
      <c r="C51" s="6">
        <f>SUM(C48:C50)</f>
        <v>4573.0630000000001</v>
      </c>
      <c r="D51" s="6">
        <f t="shared" ref="D51" si="33">SUM(D48:D50)</f>
        <v>6808.2040000000006</v>
      </c>
      <c r="E51" s="6">
        <f t="shared" ref="E51" si="34">SUM(E48:E50)</f>
        <v>5972.9920000000011</v>
      </c>
      <c r="F51" s="6">
        <f t="shared" ref="F51" si="35">SUM(F48:F50)</f>
        <v>7469.1632907390012</v>
      </c>
      <c r="G51" s="6">
        <f t="shared" ref="G51" si="36">SUM(G48:G50)</f>
        <v>9387.7980691948069</v>
      </c>
      <c r="H51" s="6">
        <f t="shared" ref="H51" si="37">SUM(H48:H50)</f>
        <v>11855.047854088869</v>
      </c>
      <c r="I51" s="6">
        <f t="shared" ref="I51" si="38">SUM(I48:I50)</f>
        <v>15035.908061300361</v>
      </c>
      <c r="J51" s="22">
        <f t="shared" ref="J51" si="39">SUM(J48:J50)</f>
        <v>19146.421124163022</v>
      </c>
    </row>
    <row r="52" spans="2:10" ht="15" thickTop="1" x14ac:dyDescent="0.3">
      <c r="B52" s="19"/>
      <c r="C52" s="11"/>
      <c r="D52" s="11"/>
      <c r="E52" s="11"/>
      <c r="F52" s="11"/>
      <c r="G52" s="11"/>
      <c r="H52" s="11"/>
      <c r="I52" s="11"/>
      <c r="J52" s="20"/>
    </row>
    <row r="53" spans="2:10" x14ac:dyDescent="0.3">
      <c r="B53" s="53" t="s">
        <v>211</v>
      </c>
      <c r="C53" s="11"/>
      <c r="D53" s="11"/>
      <c r="E53" s="11"/>
      <c r="F53" s="11"/>
      <c r="G53" s="11"/>
      <c r="H53" s="11"/>
      <c r="I53" s="11"/>
      <c r="J53" s="20"/>
    </row>
    <row r="54" spans="2:10" x14ac:dyDescent="0.3">
      <c r="B54" s="19" t="s">
        <v>28</v>
      </c>
      <c r="C54" s="13">
        <f>C12*C36</f>
        <v>673.97</v>
      </c>
      <c r="D54" s="13">
        <f t="shared" ref="D54:E54" si="40">D12*D36</f>
        <v>761.74799999999993</v>
      </c>
      <c r="E54" s="13">
        <f t="shared" si="40"/>
        <v>479.55</v>
      </c>
      <c r="F54" s="13">
        <f t="shared" ref="F54:J54" si="41">F12*F36</f>
        <v>514.56020933014361</v>
      </c>
      <c r="G54" s="13">
        <f t="shared" si="41"/>
        <v>552.12638729200546</v>
      </c>
      <c r="H54" s="13">
        <f t="shared" si="41"/>
        <v>592.43513590172086</v>
      </c>
      <c r="I54" s="13">
        <f t="shared" si="41"/>
        <v>635.68668031304674</v>
      </c>
      <c r="J54" s="25">
        <f t="shared" si="41"/>
        <v>682.0958633933177</v>
      </c>
    </row>
    <row r="55" spans="2:10" x14ac:dyDescent="0.3">
      <c r="B55" s="19" t="s">
        <v>29</v>
      </c>
      <c r="C55" s="13">
        <f t="shared" ref="C55:E55" si="42">C13*C37</f>
        <v>9.7680000000000007</v>
      </c>
      <c r="D55" s="13">
        <f t="shared" si="42"/>
        <v>7.68</v>
      </c>
      <c r="E55" s="13">
        <f t="shared" si="42"/>
        <v>0</v>
      </c>
      <c r="F55" s="13">
        <f t="shared" ref="F55:J55" si="43">F13*F37</f>
        <v>0</v>
      </c>
      <c r="G55" s="13">
        <f t="shared" si="43"/>
        <v>0</v>
      </c>
      <c r="H55" s="13">
        <f t="shared" si="43"/>
        <v>0</v>
      </c>
      <c r="I55" s="13">
        <f t="shared" si="43"/>
        <v>0</v>
      </c>
      <c r="J55" s="25">
        <f t="shared" si="43"/>
        <v>0</v>
      </c>
    </row>
    <row r="56" spans="2:10" x14ac:dyDescent="0.3">
      <c r="B56" s="19" t="s">
        <v>30</v>
      </c>
      <c r="C56" s="13">
        <f t="shared" ref="C56:E56" si="44">C14*C38</f>
        <v>21.72</v>
      </c>
      <c r="D56" s="13">
        <f t="shared" si="44"/>
        <v>26.827999999999999</v>
      </c>
      <c r="E56" s="13">
        <f t="shared" si="44"/>
        <v>19.108000000000001</v>
      </c>
      <c r="F56" s="13">
        <f t="shared" ref="F56:J56" si="45">F14*F38</f>
        <v>21.018800000000002</v>
      </c>
      <c r="G56" s="13">
        <f t="shared" si="45"/>
        <v>23.120680000000007</v>
      </c>
      <c r="H56" s="13">
        <f t="shared" si="45"/>
        <v>25.432748000000007</v>
      </c>
      <c r="I56" s="13">
        <f t="shared" si="45"/>
        <v>27.97602280000001</v>
      </c>
      <c r="J56" s="25">
        <f t="shared" si="45"/>
        <v>30.773625080000013</v>
      </c>
    </row>
    <row r="57" spans="2:10" ht="15" thickBot="1" x14ac:dyDescent="0.35">
      <c r="B57" s="21" t="s">
        <v>214</v>
      </c>
      <c r="C57" s="6">
        <f>SUM(C54:C56)</f>
        <v>705.45800000000008</v>
      </c>
      <c r="D57" s="6">
        <f t="shared" ref="D57" si="46">SUM(D54:D56)</f>
        <v>796.25599999999986</v>
      </c>
      <c r="E57" s="6">
        <f t="shared" ref="E57" si="47">SUM(E54:E56)</f>
        <v>498.65800000000002</v>
      </c>
      <c r="F57" s="6">
        <f t="shared" ref="F57" si="48">SUM(F54:F56)</f>
        <v>535.57900933014366</v>
      </c>
      <c r="G57" s="6">
        <f t="shared" ref="G57" si="49">SUM(G54:G56)</f>
        <v>575.24706729200545</v>
      </c>
      <c r="H57" s="6">
        <f t="shared" ref="H57" si="50">SUM(H54:H56)</f>
        <v>617.86788390172092</v>
      </c>
      <c r="I57" s="6">
        <f t="shared" ref="I57" si="51">SUM(I54:I56)</f>
        <v>663.66270311304675</v>
      </c>
      <c r="J57" s="22">
        <f t="shared" ref="J57" si="52">SUM(J54:J56)</f>
        <v>712.86948847331769</v>
      </c>
    </row>
    <row r="58" spans="2:10" ht="15" thickTop="1" x14ac:dyDescent="0.3">
      <c r="B58" s="19"/>
      <c r="C58" s="11"/>
      <c r="D58" s="11"/>
      <c r="E58" s="11"/>
      <c r="F58" s="11"/>
      <c r="G58" s="11"/>
      <c r="H58" s="11"/>
      <c r="I58" s="11"/>
      <c r="J58" s="20"/>
    </row>
    <row r="59" spans="2:10" x14ac:dyDescent="0.3">
      <c r="B59" s="53" t="s">
        <v>212</v>
      </c>
      <c r="C59" s="11"/>
      <c r="D59" s="11"/>
      <c r="E59" s="11"/>
      <c r="F59" s="11"/>
      <c r="G59" s="11"/>
      <c r="H59" s="11"/>
      <c r="I59" s="11"/>
      <c r="J59" s="20"/>
    </row>
    <row r="60" spans="2:10" x14ac:dyDescent="0.3">
      <c r="B60" s="19" t="s">
        <v>28</v>
      </c>
      <c r="C60" s="13">
        <f>C18*C42</f>
        <v>754.6</v>
      </c>
      <c r="D60" s="13">
        <f t="shared" ref="D60:E60" si="53">D18*D42</f>
        <v>917.56799999999998</v>
      </c>
      <c r="E60" s="13">
        <f t="shared" si="53"/>
        <v>297.18</v>
      </c>
      <c r="F60" s="13">
        <f t="shared" ref="F60:J60" si="54">F18*F42</f>
        <v>302.88769372023808</v>
      </c>
      <c r="G60" s="13">
        <f t="shared" si="54"/>
        <v>308.70501045549759</v>
      </c>
      <c r="H60" s="13">
        <f t="shared" si="54"/>
        <v>314.63405564556047</v>
      </c>
      <c r="I60" s="13">
        <f t="shared" si="54"/>
        <v>320.67697516767231</v>
      </c>
      <c r="J60" s="25">
        <f t="shared" si="54"/>
        <v>326.83595611319174</v>
      </c>
    </row>
    <row r="61" spans="2:10" x14ac:dyDescent="0.3">
      <c r="B61" s="19" t="s">
        <v>29</v>
      </c>
      <c r="C61" s="13">
        <f t="shared" ref="C61:E61" si="55">C19*C43</f>
        <v>270.322</v>
      </c>
      <c r="D61" s="13">
        <f t="shared" si="55"/>
        <v>370.78499999999997</v>
      </c>
      <c r="E61" s="13">
        <f t="shared" si="55"/>
        <v>345.99900000000002</v>
      </c>
      <c r="F61" s="13">
        <f t="shared" ref="F61:J61" si="56">F19*F43</f>
        <v>431.27625772398818</v>
      </c>
      <c r="G61" s="13">
        <f t="shared" si="56"/>
        <v>537.57152615009829</v>
      </c>
      <c r="H61" s="13">
        <f t="shared" si="56"/>
        <v>670.06504659547397</v>
      </c>
      <c r="I61" s="13">
        <f t="shared" si="56"/>
        <v>835.21381774902727</v>
      </c>
      <c r="J61" s="25">
        <f t="shared" si="56"/>
        <v>1041.0662739434665</v>
      </c>
    </row>
    <row r="62" spans="2:10" x14ac:dyDescent="0.3">
      <c r="B62" s="19" t="s">
        <v>30</v>
      </c>
      <c r="C62" s="13">
        <f t="shared" ref="C62:E62" si="57">C20*C44</f>
        <v>182.73600000000002</v>
      </c>
      <c r="D62" s="13">
        <f t="shared" si="57"/>
        <v>299.00799999999998</v>
      </c>
      <c r="E62" s="13">
        <f t="shared" si="57"/>
        <v>238.26599999999999</v>
      </c>
      <c r="F62" s="13">
        <f t="shared" ref="F62:J62" si="58">F20*F44</f>
        <v>306.31927405252657</v>
      </c>
      <c r="G62" s="13">
        <f t="shared" si="58"/>
        <v>393.80984973125368</v>
      </c>
      <c r="H62" s="13">
        <f t="shared" si="58"/>
        <v>506.28938784556846</v>
      </c>
      <c r="I62" s="13">
        <f t="shared" si="58"/>
        <v>650.89520848695429</v>
      </c>
      <c r="J62" s="25">
        <f t="shared" si="58"/>
        <v>836.80318529707051</v>
      </c>
    </row>
    <row r="63" spans="2:10" ht="15" thickBot="1" x14ac:dyDescent="0.35">
      <c r="B63" s="21" t="s">
        <v>215</v>
      </c>
      <c r="C63" s="6">
        <f>SUM(C60:C62)</f>
        <v>1207.6580000000001</v>
      </c>
      <c r="D63" s="6">
        <f t="shared" ref="D63" si="59">SUM(D60:D62)</f>
        <v>1587.3610000000001</v>
      </c>
      <c r="E63" s="6">
        <f t="shared" ref="E63" si="60">SUM(E60:E62)</f>
        <v>881.44500000000005</v>
      </c>
      <c r="F63" s="6">
        <f t="shared" ref="F63" si="61">SUM(F60:F62)</f>
        <v>1040.4832254967528</v>
      </c>
      <c r="G63" s="6">
        <f t="shared" ref="G63" si="62">SUM(G60:G62)</f>
        <v>1240.0863863368495</v>
      </c>
      <c r="H63" s="6">
        <f t="shared" ref="H63" si="63">SUM(H60:H62)</f>
        <v>1490.988490086603</v>
      </c>
      <c r="I63" s="6">
        <f t="shared" ref="I63" si="64">SUM(I60:I62)</f>
        <v>1806.7860014036539</v>
      </c>
      <c r="J63" s="22">
        <f t="shared" ref="J63" si="65">SUM(J60:J62)</f>
        <v>2204.7054153537288</v>
      </c>
    </row>
    <row r="64" spans="2:10" ht="15" thickTop="1" x14ac:dyDescent="0.3">
      <c r="B64" s="19"/>
      <c r="C64" s="11"/>
      <c r="D64" s="11"/>
      <c r="E64" s="11"/>
      <c r="F64" s="11"/>
      <c r="G64" s="11"/>
      <c r="H64" s="11"/>
      <c r="I64" s="11"/>
      <c r="J64" s="20"/>
    </row>
    <row r="65" spans="2:10" x14ac:dyDescent="0.3">
      <c r="B65" s="19"/>
      <c r="C65" s="13"/>
      <c r="D65" s="13"/>
      <c r="E65" s="13"/>
      <c r="F65" s="11"/>
      <c r="G65" s="11"/>
      <c r="H65" s="11"/>
      <c r="I65" s="11"/>
      <c r="J65" s="20"/>
    </row>
    <row r="66" spans="2:10" ht="15" thickBot="1" x14ac:dyDescent="0.35">
      <c r="B66" s="73" t="s">
        <v>1</v>
      </c>
      <c r="C66" s="5">
        <f>C51+C57+C63</f>
        <v>6486.179000000001</v>
      </c>
      <c r="D66" s="5">
        <f t="shared" ref="D66:J66" si="66">D51+D57+D63</f>
        <v>9191.8210000000017</v>
      </c>
      <c r="E66" s="5">
        <f t="shared" si="66"/>
        <v>7353.0950000000012</v>
      </c>
      <c r="F66" s="5">
        <f>F51+F57+F63</f>
        <v>9045.2255255658984</v>
      </c>
      <c r="G66" s="5">
        <f t="shared" si="66"/>
        <v>11203.131522823664</v>
      </c>
      <c r="H66" s="5">
        <f t="shared" si="66"/>
        <v>13963.904228077194</v>
      </c>
      <c r="I66" s="5">
        <f t="shared" si="66"/>
        <v>17506.356765817061</v>
      </c>
      <c r="J66" s="74">
        <f t="shared" si="66"/>
        <v>22063.996027990066</v>
      </c>
    </row>
    <row r="67" spans="2:10" ht="15" thickTop="1" x14ac:dyDescent="0.3">
      <c r="B67" s="19"/>
      <c r="C67" s="12"/>
      <c r="D67" s="12"/>
      <c r="E67" s="12"/>
      <c r="F67" s="11"/>
      <c r="G67" s="11"/>
      <c r="H67" s="11"/>
      <c r="I67" s="11"/>
      <c r="J67" s="20"/>
    </row>
    <row r="68" spans="2:10" x14ac:dyDescent="0.3">
      <c r="B68" s="19"/>
      <c r="C68" s="12"/>
      <c r="D68" s="12"/>
      <c r="E68" s="12"/>
      <c r="F68" s="11"/>
      <c r="G68" s="11"/>
      <c r="H68" s="11"/>
      <c r="I68" s="11"/>
      <c r="J68" s="20"/>
    </row>
    <row r="69" spans="2:10" x14ac:dyDescent="0.3">
      <c r="B69" s="27" t="s">
        <v>46</v>
      </c>
      <c r="C69" s="12"/>
      <c r="D69" s="12"/>
      <c r="E69" s="12"/>
      <c r="F69" s="11"/>
      <c r="G69" s="11"/>
      <c r="H69" s="11"/>
      <c r="I69" s="11"/>
      <c r="J69" s="20"/>
    </row>
    <row r="70" spans="2:10" x14ac:dyDescent="0.3">
      <c r="B70" s="19" t="s">
        <v>8</v>
      </c>
      <c r="C70" s="12">
        <f>IS!C15</f>
        <v>1241</v>
      </c>
      <c r="D70" s="12">
        <f>IS!D15</f>
        <v>1444</v>
      </c>
      <c r="E70" s="12">
        <f>IS!E15</f>
        <v>1436</v>
      </c>
      <c r="F70" s="12">
        <f>F$27*F77</f>
        <v>1503.6429729864215</v>
      </c>
      <c r="G70" s="12">
        <f t="shared" ref="G70:J70" si="67">G$27*G77</f>
        <v>1628.2338219560206</v>
      </c>
      <c r="H70" s="12">
        <f t="shared" si="67"/>
        <v>1779.9608279585357</v>
      </c>
      <c r="I70" s="12">
        <f t="shared" si="67"/>
        <v>1963.3896154657937</v>
      </c>
      <c r="J70" s="24">
        <f t="shared" si="67"/>
        <v>2183.9796044053378</v>
      </c>
    </row>
    <row r="71" spans="2:10" x14ac:dyDescent="0.3">
      <c r="B71" s="19" t="s">
        <v>9</v>
      </c>
      <c r="C71" s="12">
        <f>IS!C16</f>
        <v>264</v>
      </c>
      <c r="D71" s="12">
        <f>IS!D16</f>
        <v>367</v>
      </c>
      <c r="E71" s="12">
        <f>IS!E16</f>
        <v>334</v>
      </c>
      <c r="F71" s="12">
        <f t="shared" ref="F71:J74" si="68">F$27*F78</f>
        <v>351.91115597529011</v>
      </c>
      <c r="G71" s="12">
        <f t="shared" si="68"/>
        <v>381.07027850139951</v>
      </c>
      <c r="H71" s="12">
        <f t="shared" si="68"/>
        <v>416.58032113403789</v>
      </c>
      <c r="I71" s="12">
        <f t="shared" si="68"/>
        <v>459.50981823574642</v>
      </c>
      <c r="J71" s="24">
        <f t="shared" si="68"/>
        <v>511.13648719833435</v>
      </c>
    </row>
    <row r="72" spans="2:10" x14ac:dyDescent="0.3">
      <c r="B72" s="19" t="s">
        <v>11</v>
      </c>
      <c r="C72" s="11">
        <f>IS!C18</f>
        <v>204</v>
      </c>
      <c r="D72" s="11">
        <f>IS!D18</f>
        <v>268</v>
      </c>
      <c r="E72" s="11">
        <f>IS!E18</f>
        <v>207</v>
      </c>
      <c r="F72" s="12">
        <f t="shared" si="68"/>
        <v>247.9769360603882</v>
      </c>
      <c r="G72" s="12">
        <f t="shared" si="68"/>
        <v>268.52413878317361</v>
      </c>
      <c r="H72" s="12">
        <f t="shared" si="68"/>
        <v>293.54656680768818</v>
      </c>
      <c r="I72" s="12">
        <f t="shared" si="68"/>
        <v>323.79717119217236</v>
      </c>
      <c r="J72" s="24">
        <f t="shared" si="68"/>
        <v>360.17630544515242</v>
      </c>
    </row>
    <row r="73" spans="2:10" x14ac:dyDescent="0.3">
      <c r="B73" s="19" t="s">
        <v>15</v>
      </c>
      <c r="C73" s="12">
        <f>IS!C22</f>
        <v>1360</v>
      </c>
      <c r="D73" s="12">
        <f>IS!D22</f>
        <v>1233</v>
      </c>
      <c r="E73" s="12">
        <f>IS!E22</f>
        <v>1540</v>
      </c>
      <c r="F73" s="12">
        <f t="shared" si="68"/>
        <v>1508.1482124472375</v>
      </c>
      <c r="G73" s="12">
        <f t="shared" si="68"/>
        <v>1633.1123625390571</v>
      </c>
      <c r="H73" s="12">
        <f t="shared" si="68"/>
        <v>1785.2939754575718</v>
      </c>
      <c r="I73" s="12">
        <f t="shared" si="68"/>
        <v>1969.2723552726939</v>
      </c>
      <c r="J73" s="24">
        <f t="shared" si="68"/>
        <v>2190.5232795144912</v>
      </c>
    </row>
    <row r="74" spans="2:10" x14ac:dyDescent="0.3">
      <c r="B74" s="19" t="s">
        <v>16</v>
      </c>
      <c r="C74" s="12">
        <f>IS!C23</f>
        <v>113</v>
      </c>
      <c r="D74" s="12">
        <f>IS!D23</f>
        <v>117</v>
      </c>
      <c r="E74" s="12">
        <f>IS!E23</f>
        <v>116</v>
      </c>
      <c r="F74" s="12">
        <f t="shared" si="68"/>
        <v>126.35119852411961</v>
      </c>
      <c r="G74" s="12">
        <f t="shared" si="68"/>
        <v>136.82057415068903</v>
      </c>
      <c r="H74" s="12">
        <f t="shared" si="68"/>
        <v>149.57020248753972</v>
      </c>
      <c r="I74" s="12">
        <f t="shared" si="68"/>
        <v>164.98373320044345</v>
      </c>
      <c r="J74" s="24">
        <f t="shared" si="68"/>
        <v>183.51992163457476</v>
      </c>
    </row>
    <row r="75" spans="2:10" x14ac:dyDescent="0.3">
      <c r="B75" s="19"/>
      <c r="C75" s="11"/>
      <c r="D75" s="11"/>
      <c r="E75" s="11"/>
      <c r="F75" s="11"/>
      <c r="G75" s="11"/>
      <c r="H75" s="11"/>
      <c r="I75" s="11"/>
      <c r="J75" s="20"/>
    </row>
    <row r="76" spans="2:10" x14ac:dyDescent="0.3">
      <c r="B76" s="19" t="s">
        <v>47</v>
      </c>
      <c r="C76" s="11"/>
      <c r="D76" s="11"/>
      <c r="E76" s="11"/>
      <c r="F76" s="11"/>
      <c r="G76" s="11"/>
      <c r="H76" s="11"/>
      <c r="I76" s="11"/>
      <c r="J76" s="20"/>
    </row>
    <row r="77" spans="2:10" x14ac:dyDescent="0.3">
      <c r="B77" s="19" t="s">
        <v>8</v>
      </c>
      <c r="C77" s="14">
        <f>C70/C$27</f>
        <v>8.7661878973392984</v>
      </c>
      <c r="D77" s="14">
        <f t="shared" ref="D77:E77" si="69">D70/D$27</f>
        <v>9.9850178633168145</v>
      </c>
      <c r="E77" s="14">
        <f t="shared" si="69"/>
        <v>9.7169279350400366</v>
      </c>
      <c r="F77" s="75">
        <f>AVERAGE(C77:E77)</f>
        <v>9.4893778985653832</v>
      </c>
      <c r="G77" s="75">
        <f>F77</f>
        <v>9.4893778985653832</v>
      </c>
      <c r="H77" s="75">
        <f t="shared" ref="H77:J77" si="70">G77</f>
        <v>9.4893778985653832</v>
      </c>
      <c r="I77" s="75">
        <f t="shared" si="70"/>
        <v>9.4893778985653832</v>
      </c>
      <c r="J77" s="76">
        <f t="shared" si="70"/>
        <v>9.4893778985653832</v>
      </c>
    </row>
    <row r="78" spans="2:10" x14ac:dyDescent="0.3">
      <c r="B78" s="19" t="s">
        <v>9</v>
      </c>
      <c r="C78" s="14">
        <f t="shared" ref="C78:E81" si="71">C71/C$27</f>
        <v>1.8648457734871675</v>
      </c>
      <c r="D78" s="14">
        <f t="shared" si="71"/>
        <v>2.5377434597211015</v>
      </c>
      <c r="E78" s="14">
        <f t="shared" si="71"/>
        <v>2.2600654110747715</v>
      </c>
      <c r="F78" s="75">
        <f t="shared" ref="F78:F81" si="72">AVERAGE(C78:E78)</f>
        <v>2.2208848814276805</v>
      </c>
      <c r="G78" s="75">
        <f t="shared" ref="G78:J81" si="73">F78</f>
        <v>2.2208848814276805</v>
      </c>
      <c r="H78" s="75">
        <f t="shared" si="73"/>
        <v>2.2208848814276805</v>
      </c>
      <c r="I78" s="75">
        <f t="shared" si="73"/>
        <v>2.2208848814276805</v>
      </c>
      <c r="J78" s="76">
        <f t="shared" si="73"/>
        <v>2.2208848814276805</v>
      </c>
    </row>
    <row r="79" spans="2:10" x14ac:dyDescent="0.3">
      <c r="B79" s="19" t="s">
        <v>11</v>
      </c>
      <c r="C79" s="14">
        <f t="shared" si="71"/>
        <v>1.4410171886037204</v>
      </c>
      <c r="D79" s="14">
        <f t="shared" si="71"/>
        <v>1.8531750605047828</v>
      </c>
      <c r="E79" s="14">
        <f t="shared" si="71"/>
        <v>1.4006992218337657</v>
      </c>
      <c r="F79" s="75">
        <f t="shared" si="72"/>
        <v>1.564963823647423</v>
      </c>
      <c r="G79" s="75">
        <f t="shared" si="73"/>
        <v>1.564963823647423</v>
      </c>
      <c r="H79" s="75">
        <f t="shared" si="73"/>
        <v>1.564963823647423</v>
      </c>
      <c r="I79" s="75">
        <f t="shared" si="73"/>
        <v>1.564963823647423</v>
      </c>
      <c r="J79" s="76">
        <f t="shared" si="73"/>
        <v>1.564963823647423</v>
      </c>
    </row>
    <row r="80" spans="2:10" x14ac:dyDescent="0.3">
      <c r="B80" s="19" t="s">
        <v>15</v>
      </c>
      <c r="C80" s="14">
        <f t="shared" si="71"/>
        <v>9.6067812573581346</v>
      </c>
      <c r="D80" s="14">
        <f t="shared" si="71"/>
        <v>8.5259882447850632</v>
      </c>
      <c r="E80" s="14">
        <f t="shared" si="71"/>
        <v>10.420660877410624</v>
      </c>
      <c r="F80" s="75">
        <f t="shared" si="72"/>
        <v>9.5178101265179418</v>
      </c>
      <c r="G80" s="75">
        <f t="shared" si="73"/>
        <v>9.5178101265179418</v>
      </c>
      <c r="H80" s="75">
        <f t="shared" si="73"/>
        <v>9.5178101265179418</v>
      </c>
      <c r="I80" s="75">
        <f t="shared" si="73"/>
        <v>9.5178101265179418</v>
      </c>
      <c r="J80" s="76">
        <f t="shared" si="73"/>
        <v>9.5178101265179418</v>
      </c>
    </row>
    <row r="81" spans="2:10" x14ac:dyDescent="0.3">
      <c r="B81" s="19" t="s">
        <v>16</v>
      </c>
      <c r="C81" s="14">
        <f t="shared" si="71"/>
        <v>0.79821050153049211</v>
      </c>
      <c r="D81" s="14">
        <f t="shared" si="71"/>
        <v>0.80903538089201332</v>
      </c>
      <c r="E81" s="14">
        <f t="shared" si="71"/>
        <v>0.78493289725950155</v>
      </c>
      <c r="F81" s="75">
        <f t="shared" si="72"/>
        <v>0.79739292656066907</v>
      </c>
      <c r="G81" s="75">
        <f t="shared" si="73"/>
        <v>0.79739292656066907</v>
      </c>
      <c r="H81" s="75">
        <f t="shared" si="73"/>
        <v>0.79739292656066907</v>
      </c>
      <c r="I81" s="75">
        <f t="shared" si="73"/>
        <v>0.79739292656066907</v>
      </c>
      <c r="J81" s="76">
        <f t="shared" si="73"/>
        <v>0.79739292656066907</v>
      </c>
    </row>
    <row r="82" spans="2:10" x14ac:dyDescent="0.3">
      <c r="B82" s="19"/>
      <c r="C82" s="11"/>
      <c r="D82" s="11"/>
      <c r="E82" s="11"/>
      <c r="F82" s="11"/>
      <c r="G82" s="11"/>
      <c r="H82" s="11"/>
      <c r="I82" s="11"/>
      <c r="J82" s="20"/>
    </row>
    <row r="83" spans="2:10" x14ac:dyDescent="0.3">
      <c r="B83" s="19" t="s">
        <v>12</v>
      </c>
      <c r="C83" s="11">
        <f>IS!C19</f>
        <v>155</v>
      </c>
      <c r="D83" s="11">
        <f>IS!D19</f>
        <v>305</v>
      </c>
      <c r="E83" s="11">
        <f>IS!E19</f>
        <v>195</v>
      </c>
      <c r="F83" s="66">
        <f t="shared" ref="F83:J84" si="74">F$66*F87</f>
        <v>252.05450928167227</v>
      </c>
      <c r="G83" s="66">
        <f t="shared" si="74"/>
        <v>312.18677858523449</v>
      </c>
      <c r="H83" s="66">
        <f t="shared" si="74"/>
        <v>389.11854855537877</v>
      </c>
      <c r="I83" s="66">
        <f t="shared" si="74"/>
        <v>487.83263075597432</v>
      </c>
      <c r="J83" s="77">
        <f t="shared" si="74"/>
        <v>614.83593481544153</v>
      </c>
    </row>
    <row r="84" spans="2:10" x14ac:dyDescent="0.3">
      <c r="B84" s="19" t="s">
        <v>13</v>
      </c>
      <c r="C84" s="11">
        <f>IS!C20</f>
        <v>376</v>
      </c>
      <c r="D84" s="11">
        <f>IS!D20</f>
        <v>483</v>
      </c>
      <c r="E84" s="11">
        <f>IS!E20</f>
        <v>351</v>
      </c>
      <c r="F84" s="66">
        <f t="shared" si="74"/>
        <v>477.13905716987443</v>
      </c>
      <c r="G84" s="66">
        <f t="shared" si="74"/>
        <v>590.96941220995745</v>
      </c>
      <c r="H84" s="66">
        <f t="shared" si="74"/>
        <v>736.60121342063871</v>
      </c>
      <c r="I84" s="66">
        <f t="shared" si="74"/>
        <v>923.46692054411949</v>
      </c>
      <c r="J84" s="77">
        <f t="shared" si="74"/>
        <v>1163.8841101793751</v>
      </c>
    </row>
    <row r="85" spans="2:10" x14ac:dyDescent="0.3">
      <c r="B85" s="19"/>
      <c r="C85" s="11"/>
      <c r="D85" s="11"/>
      <c r="E85" s="11"/>
      <c r="F85" s="11"/>
      <c r="G85" s="11"/>
      <c r="H85" s="11"/>
      <c r="I85" s="11"/>
      <c r="J85" s="20"/>
    </row>
    <row r="86" spans="2:10" x14ac:dyDescent="0.3">
      <c r="B86" s="19" t="s">
        <v>48</v>
      </c>
      <c r="C86" s="11"/>
      <c r="D86" s="11"/>
      <c r="E86" s="11"/>
      <c r="F86" s="11"/>
      <c r="G86" s="11"/>
      <c r="H86" s="11"/>
      <c r="I86" s="11"/>
      <c r="J86" s="20"/>
    </row>
    <row r="87" spans="2:10" x14ac:dyDescent="0.3">
      <c r="B87" s="19" t="s">
        <v>12</v>
      </c>
      <c r="C87" s="54">
        <f t="shared" ref="C87:E88" si="75">C83/C$66</f>
        <v>2.3896966149099488E-2</v>
      </c>
      <c r="D87" s="54">
        <f t="shared" si="75"/>
        <v>3.3181673141807262E-2</v>
      </c>
      <c r="E87" s="54">
        <f t="shared" si="75"/>
        <v>2.6519445213206136E-2</v>
      </c>
      <c r="F87" s="61">
        <f>AVERAGE(C87:E87)</f>
        <v>2.7866028168037627E-2</v>
      </c>
      <c r="G87" s="61">
        <f>F87</f>
        <v>2.7866028168037627E-2</v>
      </c>
      <c r="H87" s="61">
        <f t="shared" ref="H87:J87" si="76">G87</f>
        <v>2.7866028168037627E-2</v>
      </c>
      <c r="I87" s="61">
        <f t="shared" si="76"/>
        <v>2.7866028168037627E-2</v>
      </c>
      <c r="J87" s="62">
        <f t="shared" si="76"/>
        <v>2.7866028168037627E-2</v>
      </c>
    </row>
    <row r="88" spans="2:10" x14ac:dyDescent="0.3">
      <c r="B88" s="19" t="s">
        <v>13</v>
      </c>
      <c r="C88" s="54">
        <f t="shared" si="75"/>
        <v>5.79694146584607E-2</v>
      </c>
      <c r="D88" s="54">
        <f t="shared" si="75"/>
        <v>5.2546715172107891E-2</v>
      </c>
      <c r="E88" s="54">
        <f t="shared" si="75"/>
        <v>4.7735001383771042E-2</v>
      </c>
      <c r="F88" s="61">
        <f>AVERAGE(C88:E88)</f>
        <v>5.2750377071446551E-2</v>
      </c>
      <c r="G88" s="61">
        <f>F88</f>
        <v>5.2750377071446551E-2</v>
      </c>
      <c r="H88" s="61">
        <f t="shared" ref="H88:J88" si="77">G88</f>
        <v>5.2750377071446551E-2</v>
      </c>
      <c r="I88" s="61">
        <f t="shared" si="77"/>
        <v>5.2750377071446551E-2</v>
      </c>
      <c r="J88" s="62">
        <f t="shared" si="77"/>
        <v>5.2750377071446551E-2</v>
      </c>
    </row>
    <row r="89" spans="2:10" x14ac:dyDescent="0.3">
      <c r="B89" s="19"/>
      <c r="C89" s="11"/>
      <c r="D89" s="11"/>
      <c r="E89" s="11"/>
      <c r="F89" s="11"/>
      <c r="G89" s="11"/>
      <c r="H89" s="11"/>
      <c r="I89" s="11"/>
      <c r="J89" s="20"/>
    </row>
    <row r="90" spans="2:10" x14ac:dyDescent="0.3">
      <c r="B90" s="27" t="s">
        <v>49</v>
      </c>
      <c r="C90" s="54">
        <f>SUM(IS!C28:C29)/IS!C27</f>
        <v>0.30565838180856691</v>
      </c>
      <c r="D90" s="54">
        <f>SUM(IS!D28:D29)/IS!D27</f>
        <v>0.28810603418207187</v>
      </c>
      <c r="E90" s="54">
        <f>SUM(IS!E28:E29)/IS!E27</f>
        <v>-0.11238293444328824</v>
      </c>
      <c r="F90" s="61">
        <v>0.21</v>
      </c>
      <c r="G90" s="61">
        <v>0.21</v>
      </c>
      <c r="H90" s="61">
        <v>0.21</v>
      </c>
      <c r="I90" s="61">
        <v>0.21</v>
      </c>
      <c r="J90" s="62">
        <v>0.21</v>
      </c>
    </row>
    <row r="91" spans="2:10" x14ac:dyDescent="0.3">
      <c r="B91" s="19"/>
      <c r="C91" s="11"/>
      <c r="D91" s="11"/>
      <c r="E91" s="11"/>
      <c r="F91" s="11"/>
      <c r="G91" s="11"/>
      <c r="H91" s="11"/>
      <c r="I91" s="11"/>
      <c r="J91" s="20"/>
    </row>
    <row r="92" spans="2:10" x14ac:dyDescent="0.3">
      <c r="B92" s="19"/>
      <c r="C92" s="11"/>
      <c r="D92" s="11"/>
      <c r="E92" s="11"/>
      <c r="F92" s="11"/>
      <c r="G92" s="11"/>
      <c r="H92" s="11"/>
      <c r="I92" s="11"/>
      <c r="J92" s="20"/>
    </row>
    <row r="93" spans="2:10" x14ac:dyDescent="0.3">
      <c r="B93" s="27" t="s">
        <v>52</v>
      </c>
      <c r="C93" s="54">
        <f>IS!C36/IS!C34</f>
        <v>8.9414182939362791E-2</v>
      </c>
      <c r="D93" s="54">
        <f>IS!D36/IS!D34</f>
        <v>6.6684812193794227E-2</v>
      </c>
      <c r="E93" s="54">
        <f>IS!E36/IS!E34</f>
        <v>0.10788091068301225</v>
      </c>
      <c r="F93" s="61">
        <f>AVERAGE(C93:E93)</f>
        <v>8.7993301938723081E-2</v>
      </c>
      <c r="G93" s="61">
        <f>F93</f>
        <v>8.7993301938723081E-2</v>
      </c>
      <c r="H93" s="61">
        <f t="shared" ref="H93:J93" si="78">G93</f>
        <v>8.7993301938723081E-2</v>
      </c>
      <c r="I93" s="61">
        <f t="shared" si="78"/>
        <v>8.7993301938723081E-2</v>
      </c>
      <c r="J93" s="62">
        <f t="shared" si="78"/>
        <v>8.7993301938723081E-2</v>
      </c>
    </row>
    <row r="94" spans="2:10" x14ac:dyDescent="0.3">
      <c r="B94" s="19"/>
      <c r="C94" s="11"/>
      <c r="D94" s="11"/>
      <c r="E94" s="11"/>
      <c r="F94" s="11"/>
      <c r="G94" s="11"/>
      <c r="H94" s="11"/>
      <c r="I94" s="11"/>
      <c r="J94" s="20"/>
    </row>
    <row r="95" spans="2:10" x14ac:dyDescent="0.3">
      <c r="B95" s="19"/>
      <c r="C95" s="11"/>
      <c r="D95" s="11"/>
      <c r="E95" s="11"/>
      <c r="F95" s="11"/>
      <c r="G95" s="11"/>
      <c r="H95" s="11"/>
      <c r="I95" s="11"/>
      <c r="J95" s="20"/>
    </row>
    <row r="96" spans="2:10" x14ac:dyDescent="0.3">
      <c r="B96" s="27" t="s">
        <v>110</v>
      </c>
      <c r="C96" s="11">
        <f>IS!C31</f>
        <v>174</v>
      </c>
      <c r="D96" s="11">
        <f>IS!D31</f>
        <v>464</v>
      </c>
      <c r="E96" s="11">
        <f>IS!E31</f>
        <v>352</v>
      </c>
      <c r="F96" s="11">
        <f>IS!F31</f>
        <v>352</v>
      </c>
      <c r="G96" s="11">
        <f>IS!G31</f>
        <v>352</v>
      </c>
      <c r="H96" s="11">
        <f>IS!H31</f>
        <v>352</v>
      </c>
      <c r="I96" s="11">
        <f>IS!I31</f>
        <v>352</v>
      </c>
      <c r="J96" s="20">
        <f>IS!J31</f>
        <v>352</v>
      </c>
    </row>
    <row r="97" spans="2:10" x14ac:dyDescent="0.3">
      <c r="B97" s="19"/>
      <c r="C97" s="11"/>
      <c r="D97" s="11"/>
      <c r="E97" s="11"/>
      <c r="F97" s="11"/>
      <c r="G97" s="11"/>
      <c r="H97" s="11"/>
      <c r="I97" s="11"/>
      <c r="J97" s="20"/>
    </row>
    <row r="98" spans="2:10" x14ac:dyDescent="0.3">
      <c r="B98" s="27" t="s">
        <v>111</v>
      </c>
      <c r="C98" s="65">
        <v>279</v>
      </c>
      <c r="D98" s="65">
        <v>362</v>
      </c>
      <c r="E98" s="65">
        <v>238</v>
      </c>
      <c r="F98" s="13">
        <f>F96*F100</f>
        <v>256.31034482758616</v>
      </c>
      <c r="G98" s="13">
        <f t="shared" ref="G98:J98" si="79">G96*G100</f>
        <v>256.31034482758616</v>
      </c>
      <c r="H98" s="13">
        <f t="shared" si="79"/>
        <v>256.31034482758616</v>
      </c>
      <c r="I98" s="13">
        <f t="shared" si="79"/>
        <v>256.31034482758616</v>
      </c>
      <c r="J98" s="25">
        <f t="shared" si="79"/>
        <v>256.31034482758616</v>
      </c>
    </row>
    <row r="99" spans="2:10" x14ac:dyDescent="0.3">
      <c r="B99" s="19"/>
      <c r="C99" s="11"/>
      <c r="D99" s="11"/>
      <c r="E99" s="11"/>
      <c r="F99" s="11"/>
      <c r="G99" s="11"/>
      <c r="H99" s="11"/>
      <c r="I99" s="11"/>
      <c r="J99" s="20"/>
    </row>
    <row r="100" spans="2:10" ht="15" thickBot="1" x14ac:dyDescent="0.35">
      <c r="B100" s="28" t="s">
        <v>112</v>
      </c>
      <c r="C100" s="58">
        <f>C98/C96</f>
        <v>1.603448275862069</v>
      </c>
      <c r="D100" s="58">
        <f t="shared" ref="D100:E100" si="80">D98/D96</f>
        <v>0.78017241379310343</v>
      </c>
      <c r="E100" s="58">
        <f t="shared" si="80"/>
        <v>0.67613636363636365</v>
      </c>
      <c r="F100" s="58">
        <f>AVERAGE(D100:E100)</f>
        <v>0.72815438871473348</v>
      </c>
      <c r="G100" s="58">
        <f>F100</f>
        <v>0.72815438871473348</v>
      </c>
      <c r="H100" s="58">
        <f t="shared" ref="H100:J100" si="81">G100</f>
        <v>0.72815438871473348</v>
      </c>
      <c r="I100" s="58">
        <f t="shared" si="81"/>
        <v>0.72815438871473348</v>
      </c>
      <c r="J100" s="78">
        <f t="shared" si="81"/>
        <v>0.72815438871473348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C220-5549-4710-833D-D0CB750E9DFE}">
  <sheetPr>
    <tabColor theme="4" tint="0.39997558519241921"/>
  </sheetPr>
  <dimension ref="A1:K39"/>
  <sheetViews>
    <sheetView showGridLines="0" zoomScale="76" zoomScaleNormal="76" workbookViewId="0">
      <pane ySplit="3" topLeftCell="A4" activePane="bottomLeft" state="frozen"/>
      <selection pane="bottomLeft" activeCell="E30" sqref="E30"/>
    </sheetView>
  </sheetViews>
  <sheetFormatPr defaultColWidth="0" defaultRowHeight="14.4" x14ac:dyDescent="0.3"/>
  <cols>
    <col min="1" max="1" width="2.88671875" customWidth="1"/>
    <col min="2" max="2" width="55.33203125" bestFit="1" customWidth="1"/>
    <col min="3" max="10" width="15.88671875" customWidth="1"/>
    <col min="11" max="11" width="9.109375" customWidth="1"/>
    <col min="12" max="16384" width="9.109375" hidden="1"/>
  </cols>
  <sheetData>
    <row r="1" spans="2:10" s="33" customFormat="1" ht="25.8" customHeight="1" x14ac:dyDescent="0.5">
      <c r="B1" s="34" t="s">
        <v>158</v>
      </c>
      <c r="C1" s="35" t="s">
        <v>159</v>
      </c>
      <c r="D1" s="35"/>
      <c r="E1" s="36"/>
      <c r="F1" s="37" t="s">
        <v>44</v>
      </c>
      <c r="G1" s="37"/>
      <c r="H1" s="37"/>
      <c r="I1" s="35"/>
      <c r="J1" s="35"/>
    </row>
    <row r="2" spans="2:10" s="33" customFormat="1" ht="26.4" thickBot="1" x14ac:dyDescent="0.55000000000000004">
      <c r="B2" s="38" t="s">
        <v>91</v>
      </c>
      <c r="C2" s="39">
        <v>2021</v>
      </c>
      <c r="D2" s="39">
        <f>C2+1</f>
        <v>2022</v>
      </c>
      <c r="E2" s="40">
        <f t="shared" ref="E2:J2" si="0">D2+1</f>
        <v>2023</v>
      </c>
      <c r="F2" s="41">
        <f t="shared" si="0"/>
        <v>2024</v>
      </c>
      <c r="G2" s="39">
        <f t="shared" si="0"/>
        <v>2025</v>
      </c>
      <c r="H2" s="39">
        <f t="shared" si="0"/>
        <v>2026</v>
      </c>
      <c r="I2" s="39">
        <f t="shared" si="0"/>
        <v>2027</v>
      </c>
      <c r="J2" s="39">
        <f t="shared" si="0"/>
        <v>2028</v>
      </c>
    </row>
    <row r="3" spans="2:10" s="33" customFormat="1" ht="27" thickTop="1" thickBot="1" x14ac:dyDescent="0.55000000000000004">
      <c r="B3" s="33" t="s">
        <v>251</v>
      </c>
      <c r="C3" s="38"/>
      <c r="D3" s="38"/>
      <c r="E3" s="42"/>
      <c r="F3" s="38"/>
      <c r="G3" s="38"/>
      <c r="H3" s="38"/>
      <c r="I3" s="38"/>
      <c r="J3" s="38"/>
    </row>
    <row r="4" spans="2:10" x14ac:dyDescent="0.3">
      <c r="B4" s="16"/>
      <c r="C4" s="45"/>
      <c r="D4" s="45"/>
      <c r="E4" s="45"/>
      <c r="F4" s="45"/>
      <c r="G4" s="45"/>
      <c r="H4" s="45"/>
      <c r="I4" s="45"/>
      <c r="J4" s="46"/>
    </row>
    <row r="5" spans="2:10" x14ac:dyDescent="0.3">
      <c r="B5" s="19" t="s">
        <v>94</v>
      </c>
      <c r="C5" s="11">
        <f>IS!C7</f>
        <v>7985</v>
      </c>
      <c r="D5" s="11">
        <f>IS!D7</f>
        <v>11075</v>
      </c>
      <c r="E5" s="11">
        <f>IS!E7</f>
        <v>8279</v>
      </c>
      <c r="F5" s="13">
        <f>IS!F7</f>
        <v>9939.2255255658984</v>
      </c>
      <c r="G5" s="13">
        <f>IS!G7</f>
        <v>12097.131522823664</v>
      </c>
      <c r="H5" s="13">
        <f>IS!H7</f>
        <v>14857.904228077194</v>
      </c>
      <c r="I5" s="13">
        <f>IS!I7</f>
        <v>18400.356765817061</v>
      </c>
      <c r="J5" s="25">
        <f>IS!J7</f>
        <v>22957.996027990066</v>
      </c>
    </row>
    <row r="6" spans="2:10" x14ac:dyDescent="0.3">
      <c r="B6" s="19" t="s">
        <v>10</v>
      </c>
      <c r="C6" s="12">
        <f>IS!C17</f>
        <v>1580</v>
      </c>
      <c r="D6" s="12">
        <f>IS!D17</f>
        <v>1776</v>
      </c>
      <c r="E6" s="12">
        <f>IS!E17</f>
        <v>742</v>
      </c>
      <c r="F6" s="12">
        <f>IS!F17</f>
        <v>742</v>
      </c>
      <c r="G6" s="12">
        <f>IS!G17</f>
        <v>742</v>
      </c>
      <c r="H6" s="12">
        <f>IS!H17</f>
        <v>742</v>
      </c>
      <c r="I6" s="12">
        <f>IS!I17</f>
        <v>742</v>
      </c>
      <c r="J6" s="24">
        <f>IS!J17</f>
        <v>742</v>
      </c>
    </row>
    <row r="7" spans="2:10" x14ac:dyDescent="0.3">
      <c r="B7" s="19" t="s">
        <v>93</v>
      </c>
      <c r="C7" s="12">
        <f>SUM(IS!C15:C18)</f>
        <v>3289</v>
      </c>
      <c r="D7" s="12">
        <f>SUM(IS!D15:D18)</f>
        <v>3855</v>
      </c>
      <c r="E7" s="12">
        <f>SUM(IS!E15:E18)</f>
        <v>2719</v>
      </c>
      <c r="F7" s="12">
        <f>SUM(IS!F15:F18)</f>
        <v>2845.5310650220995</v>
      </c>
      <c r="G7" s="12">
        <f>SUM(IS!G15:G18)</f>
        <v>3019.8282392405936</v>
      </c>
      <c r="H7" s="12">
        <f>SUM(IS!H15:H18)</f>
        <v>3232.0877159002616</v>
      </c>
      <c r="I7" s="12">
        <f>SUM(IS!I15:I18)</f>
        <v>3488.6966048937124</v>
      </c>
      <c r="J7" s="24">
        <f>SUM(IS!J15:J18)</f>
        <v>3797.2923970488246</v>
      </c>
    </row>
    <row r="8" spans="2:10" x14ac:dyDescent="0.3">
      <c r="B8" s="19"/>
      <c r="C8" s="11"/>
      <c r="D8" s="11"/>
      <c r="E8" s="11"/>
      <c r="F8" s="11"/>
      <c r="G8" s="11"/>
      <c r="H8" s="11"/>
      <c r="I8" s="11"/>
      <c r="J8" s="20"/>
    </row>
    <row r="9" spans="2:10" ht="15" thickBot="1" x14ac:dyDescent="0.35">
      <c r="B9" s="21" t="s">
        <v>99</v>
      </c>
      <c r="C9" s="2"/>
      <c r="D9" s="2"/>
      <c r="E9" s="2"/>
      <c r="F9" s="2"/>
      <c r="G9" s="2"/>
      <c r="H9" s="2"/>
      <c r="I9" s="2"/>
      <c r="J9" s="67"/>
    </row>
    <row r="10" spans="2:10" ht="15" thickTop="1" x14ac:dyDescent="0.3">
      <c r="B10" s="19"/>
      <c r="C10" s="11"/>
      <c r="D10" s="11"/>
      <c r="E10" s="11"/>
      <c r="F10" s="11"/>
      <c r="G10" s="11"/>
      <c r="H10" s="11"/>
      <c r="I10" s="11"/>
      <c r="J10" s="20"/>
    </row>
    <row r="11" spans="2:10" x14ac:dyDescent="0.3">
      <c r="B11" s="19" t="s">
        <v>92</v>
      </c>
      <c r="C11" s="65">
        <v>1394</v>
      </c>
      <c r="D11" s="12">
        <f>BS!D7</f>
        <v>1466</v>
      </c>
      <c r="E11" s="12">
        <f>BS!E7</f>
        <v>1610</v>
      </c>
      <c r="F11" s="13">
        <f>F5*F16</f>
        <v>1564.8856726969009</v>
      </c>
      <c r="G11" s="13">
        <f t="shared" ref="G11:J11" si="1">G5*G16</f>
        <v>1904.6381181413994</v>
      </c>
      <c r="H11" s="13">
        <f t="shared" si="1"/>
        <v>2339.3091738399703</v>
      </c>
      <c r="I11" s="13">
        <f t="shared" si="1"/>
        <v>2897.0521497145692</v>
      </c>
      <c r="J11" s="25">
        <f t="shared" si="1"/>
        <v>3614.6316396204825</v>
      </c>
    </row>
    <row r="12" spans="2:10" x14ac:dyDescent="0.3">
      <c r="B12" s="19" t="s">
        <v>90</v>
      </c>
      <c r="C12" s="65">
        <v>473</v>
      </c>
      <c r="D12" s="12">
        <f>BS!D8</f>
        <v>427</v>
      </c>
      <c r="E12" s="12">
        <f>BS!E8</f>
        <v>453</v>
      </c>
      <c r="F12" s="13">
        <f>F6*F17</f>
        <v>314.00337837837839</v>
      </c>
      <c r="G12" s="13">
        <f t="shared" ref="G12:J13" si="2">G6*G17</f>
        <v>314.00337837837839</v>
      </c>
      <c r="H12" s="13">
        <f t="shared" si="2"/>
        <v>314.00337837837839</v>
      </c>
      <c r="I12" s="13">
        <f t="shared" si="2"/>
        <v>314.00337837837839</v>
      </c>
      <c r="J12" s="25">
        <f t="shared" si="2"/>
        <v>314.00337837837839</v>
      </c>
    </row>
    <row r="13" spans="2:10" x14ac:dyDescent="0.3">
      <c r="B13" s="19" t="s">
        <v>72</v>
      </c>
      <c r="C13" s="65">
        <v>731</v>
      </c>
      <c r="D13" s="11">
        <f>BS!D27</f>
        <v>771</v>
      </c>
      <c r="E13" s="11">
        <f>BS!E27</f>
        <v>658</v>
      </c>
      <c r="F13" s="13">
        <f>F7*F18</f>
        <v>651.04664705072105</v>
      </c>
      <c r="G13" s="13">
        <f t="shared" si="2"/>
        <v>690.92517526650227</v>
      </c>
      <c r="H13" s="13">
        <f t="shared" si="2"/>
        <v>739.48933338893153</v>
      </c>
      <c r="I13" s="13">
        <f t="shared" si="2"/>
        <v>798.20046778355788</v>
      </c>
      <c r="J13" s="25">
        <f t="shared" si="2"/>
        <v>868.8060072015528</v>
      </c>
    </row>
    <row r="14" spans="2:10" x14ac:dyDescent="0.3">
      <c r="B14" s="19"/>
      <c r="C14" s="11"/>
      <c r="D14" s="11"/>
      <c r="E14" s="11"/>
      <c r="F14" s="11"/>
      <c r="G14" s="11"/>
      <c r="H14" s="11"/>
      <c r="I14" s="11"/>
      <c r="J14" s="20"/>
    </row>
    <row r="15" spans="2:10" x14ac:dyDescent="0.3">
      <c r="B15" s="19"/>
      <c r="C15" s="11"/>
      <c r="D15" s="11"/>
      <c r="E15" s="11"/>
      <c r="F15" s="11"/>
      <c r="G15" s="11"/>
      <c r="H15" s="11"/>
      <c r="I15" s="11"/>
      <c r="J15" s="20"/>
    </row>
    <row r="16" spans="2:10" x14ac:dyDescent="0.3">
      <c r="B16" s="19" t="s">
        <v>95</v>
      </c>
      <c r="D16" s="54">
        <f t="shared" ref="D16:E18" si="3">AVERAGE(C11:D11)/D5</f>
        <v>0.1291196388261851</v>
      </c>
      <c r="E16" s="54">
        <f t="shared" si="3"/>
        <v>0.18577122840922816</v>
      </c>
      <c r="F16" s="54">
        <f>AVERAGE(D16:E16)</f>
        <v>0.15744543361770663</v>
      </c>
      <c r="G16" s="54">
        <f>F16</f>
        <v>0.15744543361770663</v>
      </c>
      <c r="H16" s="54">
        <f t="shared" ref="H16:J16" si="4">G16</f>
        <v>0.15744543361770663</v>
      </c>
      <c r="I16" s="54">
        <f t="shared" si="4"/>
        <v>0.15744543361770663</v>
      </c>
      <c r="J16" s="55">
        <f t="shared" si="4"/>
        <v>0.15744543361770663</v>
      </c>
    </row>
    <row r="17" spans="2:10" x14ac:dyDescent="0.3">
      <c r="B17" s="19" t="s">
        <v>96</v>
      </c>
      <c r="C17" s="11"/>
      <c r="D17" s="54">
        <f t="shared" si="3"/>
        <v>0.2533783783783784</v>
      </c>
      <c r="E17" s="54">
        <f t="shared" si="3"/>
        <v>0.59299191374663074</v>
      </c>
      <c r="F17" s="54">
        <f t="shared" ref="F17:F18" si="5">AVERAGE(D17:E17)</f>
        <v>0.42318514606250457</v>
      </c>
      <c r="G17" s="54">
        <f t="shared" ref="G17:J17" si="6">F17</f>
        <v>0.42318514606250457</v>
      </c>
      <c r="H17" s="54">
        <f t="shared" si="6"/>
        <v>0.42318514606250457</v>
      </c>
      <c r="I17" s="54">
        <f t="shared" si="6"/>
        <v>0.42318514606250457</v>
      </c>
      <c r="J17" s="55">
        <f t="shared" si="6"/>
        <v>0.42318514606250457</v>
      </c>
    </row>
    <row r="18" spans="2:10" x14ac:dyDescent="0.3">
      <c r="B18" s="19" t="s">
        <v>97</v>
      </c>
      <c r="C18" s="11"/>
      <c r="D18" s="54">
        <f t="shared" si="3"/>
        <v>0.19481193255512322</v>
      </c>
      <c r="E18" s="54">
        <f t="shared" si="3"/>
        <v>0.26278043398308204</v>
      </c>
      <c r="F18" s="54">
        <f t="shared" si="5"/>
        <v>0.22879618326910262</v>
      </c>
      <c r="G18" s="54">
        <f t="shared" ref="G18:J18" si="7">F18</f>
        <v>0.22879618326910262</v>
      </c>
      <c r="H18" s="54">
        <f t="shared" si="7"/>
        <v>0.22879618326910262</v>
      </c>
      <c r="I18" s="54">
        <f t="shared" si="7"/>
        <v>0.22879618326910262</v>
      </c>
      <c r="J18" s="55">
        <f t="shared" si="7"/>
        <v>0.22879618326910262</v>
      </c>
    </row>
    <row r="19" spans="2:10" x14ac:dyDescent="0.3">
      <c r="B19" s="19"/>
      <c r="C19" s="11"/>
      <c r="D19" s="11"/>
      <c r="E19" s="11"/>
      <c r="F19" s="11"/>
      <c r="G19" s="11"/>
      <c r="H19" s="11"/>
      <c r="I19" s="11"/>
      <c r="J19" s="20"/>
    </row>
    <row r="20" spans="2:10" x14ac:dyDescent="0.3">
      <c r="B20" s="19"/>
      <c r="C20" s="11"/>
      <c r="D20" s="11"/>
      <c r="E20" s="11"/>
      <c r="F20" s="11"/>
      <c r="G20" s="11"/>
      <c r="H20" s="11"/>
      <c r="I20" s="11"/>
      <c r="J20" s="20"/>
    </row>
    <row r="21" spans="2:10" ht="15" thickBot="1" x14ac:dyDescent="0.35">
      <c r="B21" s="21" t="s">
        <v>98</v>
      </c>
      <c r="C21" s="2"/>
      <c r="D21" s="2"/>
      <c r="E21" s="2"/>
      <c r="F21" s="2"/>
      <c r="G21" s="2"/>
      <c r="H21" s="2"/>
      <c r="I21" s="2"/>
      <c r="J21" s="67"/>
    </row>
    <row r="22" spans="2:10" ht="15" thickTop="1" x14ac:dyDescent="0.3">
      <c r="B22" s="19"/>
      <c r="C22" s="11"/>
      <c r="D22" s="11"/>
      <c r="E22" s="11"/>
      <c r="F22" s="11"/>
      <c r="G22" s="11"/>
      <c r="H22" s="11"/>
      <c r="I22" s="11"/>
      <c r="J22" s="20"/>
    </row>
    <row r="23" spans="2:10" x14ac:dyDescent="0.3">
      <c r="B23" s="19"/>
      <c r="C23" s="11"/>
      <c r="D23" s="11"/>
      <c r="E23" s="11"/>
      <c r="F23" s="11"/>
      <c r="G23" s="11"/>
      <c r="H23" s="11"/>
      <c r="I23" s="11"/>
      <c r="J23" s="20"/>
    </row>
    <row r="24" spans="2:10" x14ac:dyDescent="0.3">
      <c r="B24" s="19" t="s">
        <v>100</v>
      </c>
      <c r="C24" s="11"/>
      <c r="D24" s="11"/>
      <c r="E24" s="11"/>
      <c r="F24" s="12">
        <f>E26</f>
        <v>45942</v>
      </c>
      <c r="G24" s="12">
        <f t="shared" ref="G24:J24" si="8">F26</f>
        <v>47853.924372470654</v>
      </c>
      <c r="H24" s="12">
        <f t="shared" si="8"/>
        <v>50180.946788450368</v>
      </c>
      <c r="I24" s="12">
        <f t="shared" si="8"/>
        <v>53039.035594708555</v>
      </c>
      <c r="J24" s="24">
        <f t="shared" si="8"/>
        <v>56578.55589960856</v>
      </c>
    </row>
    <row r="25" spans="2:10" x14ac:dyDescent="0.3">
      <c r="B25" s="19" t="s">
        <v>101</v>
      </c>
      <c r="C25" s="11"/>
      <c r="D25" s="11"/>
      <c r="E25" s="11"/>
      <c r="F25" s="13">
        <f>F35</f>
        <v>1911.9243724706521</v>
      </c>
      <c r="G25" s="13">
        <f t="shared" ref="G25:J25" si="9">G35</f>
        <v>2327.0224159797117</v>
      </c>
      <c r="H25" s="13">
        <f t="shared" si="9"/>
        <v>2858.0888062581867</v>
      </c>
      <c r="I25" s="13">
        <f t="shared" si="9"/>
        <v>3539.5203049000033</v>
      </c>
      <c r="J25" s="25">
        <f t="shared" si="9"/>
        <v>4416.234648876175</v>
      </c>
    </row>
    <row r="26" spans="2:10" x14ac:dyDescent="0.3">
      <c r="B26" s="19" t="s">
        <v>102</v>
      </c>
      <c r="C26" s="11"/>
      <c r="D26" s="12">
        <f>SUM(BS!D13:D15)</f>
        <v>43418</v>
      </c>
      <c r="E26" s="12">
        <f>SUM(BS!E13:E15)</f>
        <v>45942</v>
      </c>
      <c r="F26" s="12">
        <f>SUM(F24:F25)</f>
        <v>47853.924372470654</v>
      </c>
      <c r="G26" s="12">
        <f t="shared" ref="G26:J26" si="10">SUM(G24:G25)</f>
        <v>50180.946788450368</v>
      </c>
      <c r="H26" s="12">
        <f t="shared" si="10"/>
        <v>53039.035594708555</v>
      </c>
      <c r="I26" s="12">
        <f t="shared" si="10"/>
        <v>56578.55589960856</v>
      </c>
      <c r="J26" s="24">
        <f t="shared" si="10"/>
        <v>60994.790548484736</v>
      </c>
    </row>
    <row r="27" spans="2:10" x14ac:dyDescent="0.3">
      <c r="B27" s="19"/>
      <c r="C27" s="11"/>
      <c r="D27" s="11"/>
      <c r="E27" s="11"/>
      <c r="F27" s="11"/>
      <c r="G27" s="11"/>
      <c r="H27" s="11"/>
      <c r="I27" s="11"/>
      <c r="J27" s="20"/>
    </row>
    <row r="28" spans="2:10" x14ac:dyDescent="0.3">
      <c r="B28" s="19" t="s">
        <v>103</v>
      </c>
      <c r="C28" s="11"/>
      <c r="D28" s="11"/>
      <c r="E28" s="11"/>
      <c r="F28" s="12">
        <f>E31</f>
        <v>35904</v>
      </c>
      <c r="G28" s="12">
        <f t="shared" ref="G28:J28" si="11">F31</f>
        <v>37462.559114303571</v>
      </c>
      <c r="H28" s="12">
        <f t="shared" si="11"/>
        <v>39158.108832559672</v>
      </c>
      <c r="I28" s="12">
        <f t="shared" si="11"/>
        <v>41021.226517728319</v>
      </c>
      <c r="J28" s="24">
        <f t="shared" si="11"/>
        <v>43088.065399152212</v>
      </c>
    </row>
    <row r="29" spans="2:10" x14ac:dyDescent="0.3">
      <c r="B29" s="19" t="s">
        <v>104</v>
      </c>
      <c r="C29" s="11"/>
      <c r="D29" s="11"/>
      <c r="E29" s="11"/>
      <c r="F29" s="12">
        <f>IS!F22</f>
        <v>1508.1482124472375</v>
      </c>
      <c r="G29" s="12">
        <f>IS!G22</f>
        <v>1633.1123625390571</v>
      </c>
      <c r="H29" s="12">
        <f>IS!H22</f>
        <v>1785.2939754575718</v>
      </c>
      <c r="I29" s="12">
        <f>IS!I22</f>
        <v>1969.2723552726939</v>
      </c>
      <c r="J29" s="24">
        <f>IS!J22</f>
        <v>2190.5232795144912</v>
      </c>
    </row>
    <row r="30" spans="2:10" x14ac:dyDescent="0.3">
      <c r="B30" s="19" t="s">
        <v>105</v>
      </c>
      <c r="C30" s="11"/>
      <c r="D30" s="11"/>
      <c r="E30" s="11"/>
      <c r="F30" s="13">
        <f>F39*IS!F19</f>
        <v>50.410901856334455</v>
      </c>
      <c r="G30" s="13">
        <f>G39*IS!G19</f>
        <v>62.437355717046898</v>
      </c>
      <c r="H30" s="13">
        <f>H39*IS!H19</f>
        <v>77.823709711075765</v>
      </c>
      <c r="I30" s="13">
        <f>I39*IS!I19</f>
        <v>97.566526151194864</v>
      </c>
      <c r="J30" s="25">
        <f>J39*IS!J19</f>
        <v>122.96718696308831</v>
      </c>
    </row>
    <row r="31" spans="2:10" x14ac:dyDescent="0.3">
      <c r="B31" s="19" t="s">
        <v>106</v>
      </c>
      <c r="C31" s="11"/>
      <c r="D31" s="12">
        <f>BS!D16</f>
        <v>34406</v>
      </c>
      <c r="E31" s="12">
        <f>BS!E16</f>
        <v>35904</v>
      </c>
      <c r="F31" s="12">
        <f>SUM(F28:F30)</f>
        <v>37462.559114303571</v>
      </c>
      <c r="G31" s="12">
        <f t="shared" ref="G31:J31" si="12">SUM(G28:G30)</f>
        <v>39158.108832559672</v>
      </c>
      <c r="H31" s="12">
        <f t="shared" si="12"/>
        <v>41021.226517728319</v>
      </c>
      <c r="I31" s="12">
        <f t="shared" si="12"/>
        <v>43088.065399152212</v>
      </c>
      <c r="J31" s="24">
        <f t="shared" si="12"/>
        <v>45401.555865629794</v>
      </c>
    </row>
    <row r="32" spans="2:10" x14ac:dyDescent="0.3">
      <c r="B32" s="19"/>
      <c r="C32" s="11"/>
      <c r="D32" s="11"/>
      <c r="E32" s="11"/>
      <c r="F32" s="11"/>
      <c r="G32" s="11"/>
      <c r="H32" s="11"/>
      <c r="I32" s="11"/>
      <c r="J32" s="20"/>
    </row>
    <row r="33" spans="2:10" ht="15" thickBot="1" x14ac:dyDescent="0.35">
      <c r="B33" s="21" t="s">
        <v>63</v>
      </c>
      <c r="C33" s="2"/>
      <c r="D33" s="6">
        <f>D26-D31</f>
        <v>9012</v>
      </c>
      <c r="E33" s="6">
        <f>E26-E31</f>
        <v>10038</v>
      </c>
      <c r="F33" s="6">
        <f>F26-F31</f>
        <v>10391.365258167083</v>
      </c>
      <c r="G33" s="6">
        <f t="shared" ref="G33:J33" si="13">G26-G31</f>
        <v>11022.837955890696</v>
      </c>
      <c r="H33" s="6">
        <f t="shared" si="13"/>
        <v>12017.809076980237</v>
      </c>
      <c r="I33" s="6">
        <f t="shared" si="13"/>
        <v>13490.490500456348</v>
      </c>
      <c r="J33" s="22">
        <f t="shared" si="13"/>
        <v>15593.234682854942</v>
      </c>
    </row>
    <row r="34" spans="2:10" ht="15" thickTop="1" x14ac:dyDescent="0.3">
      <c r="B34" s="19"/>
      <c r="C34" s="11"/>
      <c r="D34" s="11"/>
      <c r="E34" s="11"/>
      <c r="F34" s="11"/>
      <c r="G34" s="11"/>
      <c r="H34" s="11"/>
      <c r="I34" s="11"/>
      <c r="J34" s="20"/>
    </row>
    <row r="35" spans="2:10" x14ac:dyDescent="0.3">
      <c r="B35" s="19" t="s">
        <v>107</v>
      </c>
      <c r="C35" s="65">
        <v>1101</v>
      </c>
      <c r="D35" s="65">
        <v>1770</v>
      </c>
      <c r="E35" s="65">
        <v>2313</v>
      </c>
      <c r="F35" s="13">
        <f>F5*F37</f>
        <v>1911.9243724706521</v>
      </c>
      <c r="G35" s="13">
        <f t="shared" ref="G35:J35" si="14">G5*G37</f>
        <v>2327.0224159797117</v>
      </c>
      <c r="H35" s="13">
        <f t="shared" si="14"/>
        <v>2858.0888062581867</v>
      </c>
      <c r="I35" s="13">
        <f t="shared" si="14"/>
        <v>3539.5203049000033</v>
      </c>
      <c r="J35" s="25">
        <f t="shared" si="14"/>
        <v>4416.234648876175</v>
      </c>
    </row>
    <row r="36" spans="2:10" x14ac:dyDescent="0.3">
      <c r="B36" s="19"/>
      <c r="C36" s="11"/>
      <c r="D36" s="11"/>
      <c r="E36" s="11"/>
      <c r="F36" s="11"/>
      <c r="G36" s="11"/>
      <c r="H36" s="11"/>
      <c r="I36" s="11"/>
      <c r="J36" s="20"/>
    </row>
    <row r="37" spans="2:10" x14ac:dyDescent="0.3">
      <c r="B37" s="19" t="s">
        <v>108</v>
      </c>
      <c r="C37" s="54">
        <f>C35/C5</f>
        <v>0.13788353162179084</v>
      </c>
      <c r="D37" s="54">
        <f t="shared" ref="D37:E37" si="15">D35/D5</f>
        <v>0.15981941309255079</v>
      </c>
      <c r="E37" s="54">
        <f t="shared" si="15"/>
        <v>0.27938156782220075</v>
      </c>
      <c r="F37" s="54">
        <f>AVERAGE(C37:E37)</f>
        <v>0.19236150417884748</v>
      </c>
      <c r="G37" s="54">
        <f>F37</f>
        <v>0.19236150417884748</v>
      </c>
      <c r="H37" s="54">
        <f t="shared" ref="H37:J37" si="16">G37</f>
        <v>0.19236150417884748</v>
      </c>
      <c r="I37" s="54">
        <f t="shared" si="16"/>
        <v>0.19236150417884748</v>
      </c>
      <c r="J37" s="55">
        <f t="shared" si="16"/>
        <v>0.19236150417884748</v>
      </c>
    </row>
    <row r="38" spans="2:10" x14ac:dyDescent="0.3">
      <c r="B38" s="19"/>
      <c r="C38" s="11"/>
      <c r="D38" s="11"/>
      <c r="E38" s="11"/>
      <c r="F38" s="11"/>
      <c r="G38" s="11"/>
      <c r="H38" s="11"/>
      <c r="I38" s="11"/>
      <c r="J38" s="20"/>
    </row>
    <row r="39" spans="2:10" ht="15" thickBot="1" x14ac:dyDescent="0.35">
      <c r="B39" s="28" t="s">
        <v>109</v>
      </c>
      <c r="C39" s="43"/>
      <c r="D39" s="43"/>
      <c r="E39" s="43"/>
      <c r="F39" s="63">
        <v>0.2</v>
      </c>
      <c r="G39" s="63">
        <v>0.2</v>
      </c>
      <c r="H39" s="63">
        <v>0.2</v>
      </c>
      <c r="I39" s="63">
        <v>0.2</v>
      </c>
      <c r="J39" s="64">
        <v>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ABA1-F145-4C9A-8121-FC48373A12A6}">
  <dimension ref="D3:H8"/>
  <sheetViews>
    <sheetView workbookViewId="0">
      <selection activeCell="E5" sqref="E5"/>
    </sheetView>
  </sheetViews>
  <sheetFormatPr defaultRowHeight="14.4" x14ac:dyDescent="0.3"/>
  <cols>
    <col min="4" max="4" width="12.6640625" bestFit="1" customWidth="1"/>
    <col min="6" max="6" width="9.5546875" bestFit="1" customWidth="1"/>
  </cols>
  <sheetData>
    <row r="3" spans="4:8" x14ac:dyDescent="0.3">
      <c r="H3">
        <v>100</v>
      </c>
    </row>
    <row r="5" spans="4:8" ht="15" thickBot="1" x14ac:dyDescent="0.35">
      <c r="D5" s="125" t="s">
        <v>213</v>
      </c>
      <c r="E5" s="82">
        <f>SUM('Operating Model'!C51:J51)</f>
        <v>80248.597399486069</v>
      </c>
      <c r="F5" s="126">
        <f>(E5/SUM($E$5:$E$7)*100)/100</f>
        <v>0.8288970453681952</v>
      </c>
    </row>
    <row r="6" spans="4:8" ht="15.6" thickTop="1" thickBot="1" x14ac:dyDescent="0.35">
      <c r="D6" s="125" t="s">
        <v>214</v>
      </c>
      <c r="E6" s="82">
        <f>SUM('Operating Model'!C57:J57)</f>
        <v>5105.598152110234</v>
      </c>
      <c r="F6" s="126">
        <f>(E6/SUM($E$5:$E$7)*100)/100</f>
        <v>5.2736313907819063E-2</v>
      </c>
    </row>
    <row r="7" spans="4:8" ht="15.6" thickTop="1" thickBot="1" x14ac:dyDescent="0.35">
      <c r="D7" s="125" t="s">
        <v>242</v>
      </c>
      <c r="E7" s="82">
        <f>SUM('Operating Model'!C63:J63)</f>
        <v>11459.513518677588</v>
      </c>
      <c r="F7" s="126">
        <f>(E7/SUM($E$5:$E$7)*100)/100</f>
        <v>0.11836664072398573</v>
      </c>
    </row>
    <row r="8" spans="4:8"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Dashboard</vt:lpstr>
      <vt:lpstr>IS</vt:lpstr>
      <vt:lpstr>BS</vt:lpstr>
      <vt:lpstr>CFS</vt:lpstr>
      <vt:lpstr>DCF</vt:lpstr>
      <vt:lpstr>Ratios</vt:lpstr>
      <vt:lpstr>Scenario</vt:lpstr>
      <vt:lpstr>Revenue Model</vt:lpstr>
      <vt:lpstr>DEBT</vt:lpstr>
      <vt:lpstr>Operating Model</vt:lpstr>
      <vt:lpstr>BS Schedules</vt:lpstr>
      <vt:lpstr>Sheet1</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dc:creator>
  <cp:lastModifiedBy>gajendra darade</cp:lastModifiedBy>
  <cp:lastPrinted>2024-07-28T21:37:34Z</cp:lastPrinted>
  <dcterms:created xsi:type="dcterms:W3CDTF">2024-07-13T10:13:34Z</dcterms:created>
  <dcterms:modified xsi:type="dcterms:W3CDTF">2024-08-07T15:46:55Z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2024-07-24T21:09:07Z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974199f2-63ee-4d34-86ac-2f872c92c6b0</vt:lpwstr>
  </property>
  <property fmtid="{D5CDD505-2E9C-101B-9397-08002B2CF9AE}" pid="7" name="MSIP_Label_defa4170-0d19-0005-0004-bc88714345d2_ActionId">
    <vt:lpwstr>bfdb107a-8f7c-47a1-a17b-625e2f123c69</vt:lpwstr>
  </property>
  <property fmtid="{D5CDD505-2E9C-101B-9397-08002B2CF9AE}" pid="8" name="MSIP_Label_defa4170-0d19-0005-0004-bc88714345d2_ContentBits">
    <vt:lpwstr>0</vt:lpwstr>
  </property>
</Properties>
</file>