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ajud\OneDrive\Desktop\Class Finance Models\"/>
    </mc:Choice>
  </mc:AlternateContent>
  <xr:revisionPtr revIDLastSave="0" documentId="13_ncr:1_{FDAB85C4-61BA-49A3-B9BF-13073416B2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1" r:id="rId1"/>
    <sheet name="IS" sheetId="1" r:id="rId2"/>
    <sheet name="BS" sheetId="5" r:id="rId3"/>
    <sheet name="CFS" sheetId="8" r:id="rId4"/>
    <sheet name="DCF" sheetId="14" r:id="rId5"/>
    <sheet name="Levered Beta" sheetId="15" r:id="rId6"/>
    <sheet name="RATIOS" sheetId="13" r:id="rId7"/>
    <sheet name="Debt" sheetId="9" r:id="rId8"/>
    <sheet name="Scenario" sheetId="10" r:id="rId9"/>
    <sheet name="EXPENSE" sheetId="4" r:id="rId10"/>
    <sheet name="Revenue" sheetId="3" r:id="rId11"/>
    <sheet name="BS SCHEDULES" sheetId="6" r:id="rId12"/>
  </sheets>
  <definedNames>
    <definedName name="WACC">DCF!$C$42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4" l="1"/>
  <c r="H16" i="14"/>
  <c r="I16" i="14"/>
  <c r="J16" i="14"/>
  <c r="F16" i="14"/>
  <c r="C22" i="14"/>
  <c r="C20" i="14"/>
  <c r="G14" i="14"/>
  <c r="H14" i="14" s="1"/>
  <c r="I14" i="14" s="1"/>
  <c r="J14" i="14" s="1"/>
  <c r="I16" i="15"/>
  <c r="F16" i="15"/>
  <c r="C16" i="15"/>
  <c r="I12" i="15"/>
  <c r="F10" i="15"/>
  <c r="I10" i="15" s="1"/>
  <c r="F9" i="15"/>
  <c r="I9" i="15" s="1"/>
  <c r="I8" i="15"/>
  <c r="F8" i="15"/>
  <c r="E3" i="15"/>
  <c r="F3" i="15" s="1"/>
  <c r="G3" i="15" s="1"/>
  <c r="H3" i="15" s="1"/>
  <c r="I3" i="15" s="1"/>
  <c r="J3" i="15" s="1"/>
  <c r="D3" i="15"/>
  <c r="L35" i="14"/>
  <c r="L36" i="14"/>
  <c r="L37" i="14"/>
  <c r="L34" i="14"/>
  <c r="K35" i="14"/>
  <c r="K36" i="14"/>
  <c r="K37" i="14"/>
  <c r="K34" i="14"/>
  <c r="G35" i="14"/>
  <c r="G34" i="14"/>
  <c r="C34" i="14"/>
  <c r="C37" i="14" s="1"/>
  <c r="K28" i="14"/>
  <c r="K29" i="14"/>
  <c r="K30" i="14"/>
  <c r="K27" i="14"/>
  <c r="C31" i="14"/>
  <c r="G5" i="14"/>
  <c r="H5" i="14"/>
  <c r="I5" i="14"/>
  <c r="J5" i="14"/>
  <c r="C54" i="14" s="1"/>
  <c r="C56" i="14" s="1"/>
  <c r="G6" i="14"/>
  <c r="H6" i="14"/>
  <c r="I6" i="14"/>
  <c r="J6" i="14"/>
  <c r="G8" i="14"/>
  <c r="H8" i="14"/>
  <c r="I8" i="14"/>
  <c r="J8" i="14"/>
  <c r="G9" i="14"/>
  <c r="H9" i="14"/>
  <c r="I9" i="14"/>
  <c r="J9" i="14"/>
  <c r="G10" i="14"/>
  <c r="H10" i="14"/>
  <c r="I10" i="14"/>
  <c r="J10" i="14"/>
  <c r="G11" i="14"/>
  <c r="H11" i="14"/>
  <c r="I11" i="14"/>
  <c r="J11" i="14"/>
  <c r="F11" i="14"/>
  <c r="F10" i="14"/>
  <c r="F9" i="14"/>
  <c r="F8" i="14"/>
  <c r="F6" i="14"/>
  <c r="F5" i="14"/>
  <c r="F7" i="14" l="1"/>
  <c r="F12" i="14" s="1"/>
  <c r="G7" i="14"/>
  <c r="G12" i="14" s="1"/>
  <c r="K38" i="14"/>
  <c r="C38" i="14"/>
  <c r="L38" i="14"/>
  <c r="G37" i="14" s="1"/>
  <c r="I7" i="14"/>
  <c r="I12" i="14" s="1"/>
  <c r="H7" i="14"/>
  <c r="H12" i="14" s="1"/>
  <c r="K31" i="14"/>
  <c r="J7" i="14"/>
  <c r="J12" i="14" s="1"/>
  <c r="D3" i="14"/>
  <c r="E3" i="14" s="1"/>
  <c r="F3" i="14" s="1"/>
  <c r="G3" i="14" s="1"/>
  <c r="H3" i="14" s="1"/>
  <c r="I3" i="14" s="1"/>
  <c r="J3" i="14" s="1"/>
  <c r="G28" i="14" l="1"/>
  <c r="G29" i="14" s="1"/>
  <c r="G31" i="14" s="1"/>
  <c r="G39" i="14" s="1"/>
  <c r="G42" i="14" s="1"/>
  <c r="D74" i="3"/>
  <c r="C74" i="3" s="1"/>
  <c r="D75" i="3"/>
  <c r="C75" i="3" s="1"/>
  <c r="C16" i="13"/>
  <c r="C15" i="13"/>
  <c r="C14" i="13"/>
  <c r="C13" i="13"/>
  <c r="D13" i="13"/>
  <c r="E13" i="13"/>
  <c r="G41" i="14" l="1"/>
  <c r="C42" i="14" s="1"/>
  <c r="E18" i="13"/>
  <c r="E19" i="13" s="1"/>
  <c r="F18" i="13"/>
  <c r="F19" i="13" s="1"/>
  <c r="D18" i="13"/>
  <c r="D19" i="13" s="1"/>
  <c r="E17" i="13"/>
  <c r="F17" i="13"/>
  <c r="D17" i="13"/>
  <c r="E16" i="13"/>
  <c r="D16" i="13"/>
  <c r="E15" i="13"/>
  <c r="D15" i="13"/>
  <c r="E14" i="13"/>
  <c r="D14" i="13"/>
  <c r="E9" i="13"/>
  <c r="D9" i="13"/>
  <c r="E8" i="13"/>
  <c r="D8" i="13"/>
  <c r="E7" i="13"/>
  <c r="D7" i="13"/>
  <c r="D3" i="13"/>
  <c r="E3" i="13" s="1"/>
  <c r="F3" i="13" s="1"/>
  <c r="G3" i="13" s="1"/>
  <c r="H3" i="13" s="1"/>
  <c r="I3" i="13" s="1"/>
  <c r="J3" i="13" s="1"/>
  <c r="C49" i="14" l="1"/>
  <c r="C50" i="14" s="1"/>
  <c r="C60" i="14" s="1"/>
  <c r="C18" i="14" s="1"/>
  <c r="C19" i="14" s="1"/>
  <c r="C21" i="14" s="1"/>
  <c r="C23" i="14" s="1"/>
  <c r="C57" i="14"/>
  <c r="C14" i="5"/>
  <c r="D45" i="9"/>
  <c r="C45" i="9"/>
  <c r="C17" i="14" l="1"/>
  <c r="F8" i="10"/>
  <c r="F50" i="3" s="1"/>
  <c r="G8" i="10"/>
  <c r="G50" i="3" s="1"/>
  <c r="H8" i="10"/>
  <c r="H50" i="3" s="1"/>
  <c r="I8" i="10"/>
  <c r="I50" i="3" s="1"/>
  <c r="J8" i="10"/>
  <c r="J50" i="3" s="1"/>
  <c r="F14" i="10"/>
  <c r="F51" i="3" s="1"/>
  <c r="G14" i="10"/>
  <c r="G51" i="3" s="1"/>
  <c r="H14" i="10"/>
  <c r="H51" i="3" s="1"/>
  <c r="I14" i="10"/>
  <c r="I51" i="3" s="1"/>
  <c r="J14" i="10"/>
  <c r="J51" i="3" s="1"/>
  <c r="F20" i="10"/>
  <c r="F52" i="3" s="1"/>
  <c r="G20" i="10"/>
  <c r="G52" i="3" s="1"/>
  <c r="H20" i="10"/>
  <c r="H52" i="3" s="1"/>
  <c r="I20" i="10"/>
  <c r="I52" i="3" s="1"/>
  <c r="J20" i="10"/>
  <c r="J52" i="3" s="1"/>
  <c r="E20" i="10"/>
  <c r="D20" i="10"/>
  <c r="E14" i="10"/>
  <c r="D14" i="10"/>
  <c r="D5" i="10"/>
  <c r="E3" i="10"/>
  <c r="F3" i="10" s="1"/>
  <c r="G3" i="10" s="1"/>
  <c r="H3" i="10" s="1"/>
  <c r="I3" i="10" s="1"/>
  <c r="J3" i="10" s="1"/>
  <c r="D3" i="10"/>
  <c r="F27" i="8" l="1"/>
  <c r="E47" i="9"/>
  <c r="E46" i="9"/>
  <c r="F16" i="9"/>
  <c r="F17" i="9"/>
  <c r="F18" i="9"/>
  <c r="F19" i="9"/>
  <c r="F20" i="9"/>
  <c r="F15" i="9"/>
  <c r="F12" i="9"/>
  <c r="E42" i="9"/>
  <c r="E45" i="9" s="1"/>
  <c r="E49" i="9" s="1"/>
  <c r="F6" i="9"/>
  <c r="D3" i="9"/>
  <c r="E3" i="9" s="1"/>
  <c r="F3" i="9" s="1"/>
  <c r="G3" i="9" s="1"/>
  <c r="H3" i="9" s="1"/>
  <c r="I3" i="9" s="1"/>
  <c r="J3" i="9" s="1"/>
  <c r="G10" i="8"/>
  <c r="H10" i="8"/>
  <c r="I10" i="8"/>
  <c r="J10" i="8"/>
  <c r="G12" i="8"/>
  <c r="H12" i="8"/>
  <c r="I12" i="8"/>
  <c r="J12" i="8"/>
  <c r="F12" i="8"/>
  <c r="F10" i="8"/>
  <c r="D3" i="8"/>
  <c r="E3" i="8" s="1"/>
  <c r="F3" i="8" s="1"/>
  <c r="G3" i="8" s="1"/>
  <c r="H3" i="8" s="1"/>
  <c r="I3" i="8" s="1"/>
  <c r="J3" i="8" s="1"/>
  <c r="G41" i="5"/>
  <c r="H41" i="5" s="1"/>
  <c r="G45" i="5"/>
  <c r="H45" i="5" s="1"/>
  <c r="I45" i="5" s="1"/>
  <c r="J45" i="5" s="1"/>
  <c r="G46" i="5"/>
  <c r="H46" i="5"/>
  <c r="I46" i="5"/>
  <c r="J46" i="5" s="1"/>
  <c r="D33" i="4"/>
  <c r="E33" i="4"/>
  <c r="C33" i="4"/>
  <c r="F46" i="5"/>
  <c r="F45" i="5"/>
  <c r="F42" i="5"/>
  <c r="G42" i="5" s="1"/>
  <c r="H42" i="5" s="1"/>
  <c r="I42" i="5" s="1"/>
  <c r="J42" i="5" s="1"/>
  <c r="F41" i="5"/>
  <c r="G17" i="5"/>
  <c r="H17" i="5"/>
  <c r="I17" i="5" s="1"/>
  <c r="J17" i="5" s="1"/>
  <c r="F17" i="5"/>
  <c r="C15" i="5"/>
  <c r="C16" i="5" s="1"/>
  <c r="C46" i="6"/>
  <c r="C47" i="6" s="1"/>
  <c r="D46" i="6"/>
  <c r="D47" i="6" s="1"/>
  <c r="E46" i="6"/>
  <c r="E47" i="6" s="1"/>
  <c r="B46" i="6"/>
  <c r="D54" i="6"/>
  <c r="E56" i="6"/>
  <c r="C56" i="6"/>
  <c r="D52" i="6"/>
  <c r="D56" i="6" s="1"/>
  <c r="E52" i="6"/>
  <c r="C52" i="6"/>
  <c r="F31" i="6"/>
  <c r="E29" i="6"/>
  <c r="F27" i="6" s="1"/>
  <c r="D29" i="6"/>
  <c r="D35" i="6" s="1"/>
  <c r="F35" i="5"/>
  <c r="G35" i="5" s="1"/>
  <c r="H35" i="5" s="1"/>
  <c r="F36" i="5"/>
  <c r="G36" i="5" s="1"/>
  <c r="H36" i="5" s="1"/>
  <c r="I36" i="5" s="1"/>
  <c r="J36" i="5" s="1"/>
  <c r="F37" i="5"/>
  <c r="F38" i="5"/>
  <c r="G38" i="5" s="1"/>
  <c r="H38" i="5" s="1"/>
  <c r="I38" i="5" s="1"/>
  <c r="J38" i="5" s="1"/>
  <c r="F34" i="5"/>
  <c r="G34" i="5" s="1"/>
  <c r="H34" i="5" s="1"/>
  <c r="I34" i="5" s="1"/>
  <c r="J34" i="5" s="1"/>
  <c r="F27" i="5"/>
  <c r="G27" i="5" s="1"/>
  <c r="H27" i="5" s="1"/>
  <c r="I27" i="5" s="1"/>
  <c r="J27" i="5" s="1"/>
  <c r="F28" i="5"/>
  <c r="G28" i="5" s="1"/>
  <c r="H28" i="5" s="1"/>
  <c r="I28" i="5" s="1"/>
  <c r="J28" i="5" s="1"/>
  <c r="F29" i="5"/>
  <c r="G29" i="5" s="1"/>
  <c r="H29" i="5" s="1"/>
  <c r="I29" i="5" s="1"/>
  <c r="J29" i="5" s="1"/>
  <c r="F30" i="5"/>
  <c r="G30" i="5" s="1"/>
  <c r="H30" i="5" s="1"/>
  <c r="I30" i="5" s="1"/>
  <c r="J30" i="5" s="1"/>
  <c r="F26" i="5"/>
  <c r="G26" i="5" s="1"/>
  <c r="H26" i="5" s="1"/>
  <c r="I26" i="5" s="1"/>
  <c r="J26" i="5" s="1"/>
  <c r="F13" i="5"/>
  <c r="G13" i="5" s="1"/>
  <c r="F12" i="5"/>
  <c r="F9" i="5"/>
  <c r="G9" i="5" s="1"/>
  <c r="H9" i="5" s="1"/>
  <c r="I9" i="5" s="1"/>
  <c r="J9" i="5" s="1"/>
  <c r="D8" i="6"/>
  <c r="E8" i="6"/>
  <c r="C8" i="6"/>
  <c r="D7" i="6"/>
  <c r="E7" i="6"/>
  <c r="C7" i="6"/>
  <c r="D6" i="6"/>
  <c r="E6" i="6"/>
  <c r="C6" i="6"/>
  <c r="D11" i="6"/>
  <c r="E11" i="6"/>
  <c r="D12" i="6"/>
  <c r="E12" i="6"/>
  <c r="D13" i="6"/>
  <c r="E13" i="6"/>
  <c r="C13" i="6"/>
  <c r="C12" i="6"/>
  <c r="C11" i="6"/>
  <c r="D3" i="6"/>
  <c r="E3" i="6" s="1"/>
  <c r="F3" i="6" s="1"/>
  <c r="G3" i="6" s="1"/>
  <c r="H3" i="6" s="1"/>
  <c r="I3" i="6" s="1"/>
  <c r="J3" i="6" s="1"/>
  <c r="C47" i="5"/>
  <c r="D39" i="5"/>
  <c r="E39" i="5"/>
  <c r="C39" i="5"/>
  <c r="C31" i="5"/>
  <c r="D20" i="5"/>
  <c r="E20" i="5"/>
  <c r="C20" i="5"/>
  <c r="C10" i="5"/>
  <c r="E47" i="5"/>
  <c r="D47" i="5"/>
  <c r="E31" i="5"/>
  <c r="D31" i="5"/>
  <c r="E10" i="5"/>
  <c r="D10" i="5"/>
  <c r="D3" i="5"/>
  <c r="E3" i="5" s="1"/>
  <c r="F3" i="5" s="1"/>
  <c r="G3" i="5" s="1"/>
  <c r="H3" i="5" s="1"/>
  <c r="I3" i="5" s="1"/>
  <c r="J3" i="5" s="1"/>
  <c r="E25" i="1"/>
  <c r="E31" i="4" s="1"/>
  <c r="C25" i="1"/>
  <c r="C31" i="4" s="1"/>
  <c r="G27" i="4"/>
  <c r="G16" i="1" s="1"/>
  <c r="H27" i="4"/>
  <c r="H16" i="1" s="1"/>
  <c r="I27" i="4"/>
  <c r="I16" i="1" s="1"/>
  <c r="J27" i="4"/>
  <c r="J16" i="1" s="1"/>
  <c r="F27" i="4"/>
  <c r="F16" i="1" s="1"/>
  <c r="G25" i="4"/>
  <c r="D25" i="4"/>
  <c r="E25" i="4"/>
  <c r="D21" i="4"/>
  <c r="E21" i="4"/>
  <c r="C21" i="4"/>
  <c r="D10" i="4"/>
  <c r="E10" i="4"/>
  <c r="D11" i="4"/>
  <c r="E11" i="4"/>
  <c r="D12" i="4"/>
  <c r="E12" i="4"/>
  <c r="C12" i="4"/>
  <c r="C11" i="4"/>
  <c r="C10" i="4"/>
  <c r="C17" i="4"/>
  <c r="D17" i="4"/>
  <c r="D18" i="4"/>
  <c r="D7" i="4"/>
  <c r="D29" i="4" s="1"/>
  <c r="E7" i="4"/>
  <c r="E29" i="4" s="1"/>
  <c r="C7" i="4"/>
  <c r="C29" i="4" s="1"/>
  <c r="D5" i="4"/>
  <c r="D16" i="4" s="1"/>
  <c r="E5" i="4"/>
  <c r="E18" i="4" s="1"/>
  <c r="D6" i="4"/>
  <c r="E6" i="4"/>
  <c r="C6" i="4"/>
  <c r="C5" i="4"/>
  <c r="C18" i="4" s="1"/>
  <c r="D3" i="4"/>
  <c r="E3" i="4" s="1"/>
  <c r="F3" i="4" s="1"/>
  <c r="G3" i="4" s="1"/>
  <c r="H3" i="4" s="1"/>
  <c r="I3" i="4" s="1"/>
  <c r="J3" i="4" s="1"/>
  <c r="G8" i="1"/>
  <c r="H8" i="1"/>
  <c r="I8" i="1"/>
  <c r="J8" i="1"/>
  <c r="F8" i="1"/>
  <c r="G7" i="1"/>
  <c r="H7" i="1"/>
  <c r="I7" i="1"/>
  <c r="I6" i="4" s="1"/>
  <c r="J7" i="1"/>
  <c r="J6" i="4" s="1"/>
  <c r="F7" i="1"/>
  <c r="F6" i="4" s="1"/>
  <c r="F21" i="4" s="1"/>
  <c r="F15" i="1" s="1"/>
  <c r="H21" i="3"/>
  <c r="I21" i="3" s="1"/>
  <c r="J21" i="3" s="1"/>
  <c r="F15" i="3"/>
  <c r="G15" i="3"/>
  <c r="H15" i="3"/>
  <c r="I15" i="3"/>
  <c r="J15" i="3"/>
  <c r="G12" i="3"/>
  <c r="H12" i="3"/>
  <c r="I12" i="3"/>
  <c r="J12" i="3"/>
  <c r="G13" i="3"/>
  <c r="H13" i="3"/>
  <c r="I13" i="3"/>
  <c r="J13" i="3"/>
  <c r="G14" i="3"/>
  <c r="H14" i="3"/>
  <c r="I14" i="3"/>
  <c r="J14" i="3"/>
  <c r="F13" i="3"/>
  <c r="F14" i="3"/>
  <c r="F12" i="3"/>
  <c r="D35" i="3"/>
  <c r="E35" i="3"/>
  <c r="F35" i="3"/>
  <c r="G35" i="3"/>
  <c r="H35" i="3"/>
  <c r="I35" i="3"/>
  <c r="J35" i="3"/>
  <c r="F33" i="3"/>
  <c r="G33" i="3" s="1"/>
  <c r="H33" i="3" s="1"/>
  <c r="I33" i="3" s="1"/>
  <c r="J33" i="3" s="1"/>
  <c r="F34" i="3"/>
  <c r="G34" i="3"/>
  <c r="H34" i="3"/>
  <c r="I34" i="3" s="1"/>
  <c r="J34" i="3" s="1"/>
  <c r="G32" i="3"/>
  <c r="H32" i="3" s="1"/>
  <c r="I32" i="3" s="1"/>
  <c r="J32" i="3" s="1"/>
  <c r="F32" i="3"/>
  <c r="F27" i="3"/>
  <c r="G27" i="3" s="1"/>
  <c r="H27" i="3" s="1"/>
  <c r="I27" i="3" s="1"/>
  <c r="J27" i="3" s="1"/>
  <c r="J29" i="3" s="1"/>
  <c r="F28" i="3"/>
  <c r="G28" i="3" s="1"/>
  <c r="H28" i="3" s="1"/>
  <c r="I28" i="3" s="1"/>
  <c r="J28" i="3" s="1"/>
  <c r="G26" i="3"/>
  <c r="H26" i="3"/>
  <c r="I26" i="3" s="1"/>
  <c r="J26" i="3" s="1"/>
  <c r="F26" i="3"/>
  <c r="E70" i="3"/>
  <c r="D70" i="3"/>
  <c r="E69" i="3"/>
  <c r="D69" i="3"/>
  <c r="E68" i="3"/>
  <c r="D68" i="3"/>
  <c r="E62" i="3"/>
  <c r="E63" i="3"/>
  <c r="E64" i="3"/>
  <c r="D63" i="3"/>
  <c r="D64" i="3"/>
  <c r="D62" i="3"/>
  <c r="I45" i="3"/>
  <c r="F46" i="3"/>
  <c r="G46" i="3" s="1"/>
  <c r="H46" i="3" s="1"/>
  <c r="I46" i="3" s="1"/>
  <c r="J46" i="3" s="1"/>
  <c r="F45" i="3"/>
  <c r="G45" i="3" s="1"/>
  <c r="H45" i="3" s="1"/>
  <c r="J45" i="3" s="1"/>
  <c r="G44" i="3"/>
  <c r="H44" i="3" s="1"/>
  <c r="I44" i="3" s="1"/>
  <c r="J44" i="3" s="1"/>
  <c r="F44" i="3"/>
  <c r="F40" i="3"/>
  <c r="G40" i="3" s="1"/>
  <c r="F38" i="3"/>
  <c r="F7" i="3" s="1"/>
  <c r="F17" i="3" s="1"/>
  <c r="E58" i="3"/>
  <c r="D58" i="3"/>
  <c r="E57" i="3"/>
  <c r="D57" i="3"/>
  <c r="E56" i="3"/>
  <c r="D56" i="3"/>
  <c r="E50" i="3"/>
  <c r="E52" i="3"/>
  <c r="D52" i="3"/>
  <c r="D50" i="3"/>
  <c r="D44" i="3"/>
  <c r="E44" i="3"/>
  <c r="D45" i="3"/>
  <c r="E45" i="3"/>
  <c r="D46" i="3"/>
  <c r="E46" i="3"/>
  <c r="C45" i="3"/>
  <c r="C46" i="3"/>
  <c r="C44" i="3"/>
  <c r="D38" i="3"/>
  <c r="E38" i="3"/>
  <c r="D39" i="3"/>
  <c r="E39" i="3"/>
  <c r="F39" i="3" s="1"/>
  <c r="G39" i="3" s="1"/>
  <c r="H39" i="3" s="1"/>
  <c r="I39" i="3" s="1"/>
  <c r="J39" i="3" s="1"/>
  <c r="J8" i="3" s="1"/>
  <c r="D40" i="3"/>
  <c r="E40" i="3"/>
  <c r="C39" i="3"/>
  <c r="C40" i="3"/>
  <c r="C38" i="3"/>
  <c r="C35" i="3"/>
  <c r="D29" i="3"/>
  <c r="E29" i="3"/>
  <c r="C29" i="3"/>
  <c r="D17" i="3"/>
  <c r="E17" i="3"/>
  <c r="D18" i="3"/>
  <c r="D20" i="3" s="1"/>
  <c r="E18" i="3"/>
  <c r="D19" i="3"/>
  <c r="E19" i="3"/>
  <c r="C18" i="3"/>
  <c r="C19" i="3"/>
  <c r="C17" i="3"/>
  <c r="D15" i="3"/>
  <c r="E15" i="3"/>
  <c r="C15" i="3"/>
  <c r="D10" i="3"/>
  <c r="E10" i="3"/>
  <c r="C10" i="3"/>
  <c r="D3" i="3"/>
  <c r="E3" i="3" s="1"/>
  <c r="F3" i="3" s="1"/>
  <c r="G3" i="3" s="1"/>
  <c r="H3" i="3" s="1"/>
  <c r="I3" i="3" s="1"/>
  <c r="J3" i="3" s="1"/>
  <c r="C22" i="1"/>
  <c r="E21" i="1"/>
  <c r="E22" i="1" s="1"/>
  <c r="E9" i="1"/>
  <c r="D21" i="1"/>
  <c r="D22" i="1" s="1"/>
  <c r="D25" i="1" s="1"/>
  <c r="C21" i="1"/>
  <c r="D9" i="1"/>
  <c r="C9" i="1"/>
  <c r="D3" i="1"/>
  <c r="E3" i="1" s="1"/>
  <c r="F3" i="1" s="1"/>
  <c r="G3" i="1" s="1"/>
  <c r="H3" i="1" s="1"/>
  <c r="I3" i="1" s="1"/>
  <c r="J3" i="1" s="1"/>
  <c r="E17" i="4" l="1"/>
  <c r="C40" i="6"/>
  <c r="C20" i="13"/>
  <c r="C25" i="4"/>
  <c r="C16" i="4"/>
  <c r="F47" i="6"/>
  <c r="G47" i="6" s="1"/>
  <c r="H47" i="6" s="1"/>
  <c r="I47" i="6" s="1"/>
  <c r="J47" i="6" s="1"/>
  <c r="E40" i="6"/>
  <c r="E20" i="13"/>
  <c r="E16" i="4"/>
  <c r="D40" i="6"/>
  <c r="D20" i="13"/>
  <c r="F26" i="9"/>
  <c r="F37" i="9" s="1"/>
  <c r="G15" i="9" s="1"/>
  <c r="D31" i="4"/>
  <c r="D27" i="1"/>
  <c r="C27" i="1"/>
  <c r="E27" i="1"/>
  <c r="F9" i="3"/>
  <c r="F19" i="3" s="1"/>
  <c r="G9" i="3"/>
  <c r="G19" i="3" s="1"/>
  <c r="H40" i="3"/>
  <c r="G38" i="3"/>
  <c r="H38" i="3" s="1"/>
  <c r="H7" i="3" s="1"/>
  <c r="H17" i="3" s="1"/>
  <c r="I41" i="5"/>
  <c r="C21" i="5"/>
  <c r="D48" i="5"/>
  <c r="C48" i="5"/>
  <c r="E48" i="5"/>
  <c r="G12" i="5"/>
  <c r="H12" i="5" s="1"/>
  <c r="I12" i="5" s="1"/>
  <c r="J12" i="5" s="1"/>
  <c r="I35" i="5"/>
  <c r="J35" i="5" s="1"/>
  <c r="H13" i="5"/>
  <c r="I13" i="5" s="1"/>
  <c r="G37" i="5"/>
  <c r="H37" i="5" s="1"/>
  <c r="I37" i="5" s="1"/>
  <c r="J37" i="5" s="1"/>
  <c r="E49" i="6"/>
  <c r="F49" i="6" s="1"/>
  <c r="G49" i="6" s="1"/>
  <c r="E35" i="6"/>
  <c r="D15" i="6"/>
  <c r="E16" i="6"/>
  <c r="E15" i="6"/>
  <c r="D16" i="6"/>
  <c r="E17" i="6"/>
  <c r="D17" i="6"/>
  <c r="G6" i="4"/>
  <c r="G21" i="4" s="1"/>
  <c r="G15" i="1" s="1"/>
  <c r="H6" i="4"/>
  <c r="H25" i="4"/>
  <c r="D51" i="3"/>
  <c r="E51" i="3"/>
  <c r="J18" i="3"/>
  <c r="I8" i="3"/>
  <c r="H8" i="3"/>
  <c r="F8" i="3"/>
  <c r="G8" i="3"/>
  <c r="G29" i="3"/>
  <c r="F29" i="3"/>
  <c r="H29" i="3"/>
  <c r="I29" i="3"/>
  <c r="E20" i="3"/>
  <c r="C20" i="3"/>
  <c r="E29" i="1" l="1"/>
  <c r="E35" i="4"/>
  <c r="C29" i="1"/>
  <c r="C35" i="4"/>
  <c r="D35" i="4"/>
  <c r="D29" i="1"/>
  <c r="I40" i="3"/>
  <c r="H9" i="3"/>
  <c r="H19" i="3" s="1"/>
  <c r="I38" i="3"/>
  <c r="I7" i="3" s="1"/>
  <c r="G7" i="3"/>
  <c r="G17" i="3" s="1"/>
  <c r="J41" i="5"/>
  <c r="C50" i="5"/>
  <c r="J13" i="5"/>
  <c r="H49" i="6"/>
  <c r="F15" i="6"/>
  <c r="G15" i="6" s="1"/>
  <c r="F17" i="6"/>
  <c r="F16" i="6"/>
  <c r="G16" i="6" s="1"/>
  <c r="H21" i="4"/>
  <c r="H15" i="1" s="1"/>
  <c r="I25" i="4"/>
  <c r="F10" i="3"/>
  <c r="F6" i="1" s="1"/>
  <c r="F18" i="3"/>
  <c r="F20" i="3" s="1"/>
  <c r="F23" i="3" s="1"/>
  <c r="G18" i="3"/>
  <c r="H18" i="3"/>
  <c r="I18" i="3"/>
  <c r="C23" i="3"/>
  <c r="D23" i="3"/>
  <c r="E23" i="3"/>
  <c r="F35" i="4" l="1"/>
  <c r="G35" i="4" s="1"/>
  <c r="H35" i="4" s="1"/>
  <c r="I35" i="4" s="1"/>
  <c r="J35" i="4" s="1"/>
  <c r="H20" i="3"/>
  <c r="H23" i="3" s="1"/>
  <c r="H10" i="3"/>
  <c r="H6" i="1" s="1"/>
  <c r="H9" i="1" s="1"/>
  <c r="J40" i="3"/>
  <c r="J9" i="3" s="1"/>
  <c r="J19" i="3" s="1"/>
  <c r="I9" i="3"/>
  <c r="I19" i="3" s="1"/>
  <c r="G10" i="3"/>
  <c r="G6" i="1" s="1"/>
  <c r="G5" i="4" s="1"/>
  <c r="G20" i="3"/>
  <c r="G23" i="3" s="1"/>
  <c r="J38" i="3"/>
  <c r="J7" i="3" s="1"/>
  <c r="I17" i="3"/>
  <c r="F5" i="4"/>
  <c r="F9" i="1"/>
  <c r="I49" i="6"/>
  <c r="G17" i="6"/>
  <c r="H17" i="6" s="1"/>
  <c r="H15" i="6"/>
  <c r="H16" i="6"/>
  <c r="J25" i="4"/>
  <c r="J21" i="4" s="1"/>
  <c r="J15" i="1" s="1"/>
  <c r="I21" i="4"/>
  <c r="I15" i="1" s="1"/>
  <c r="J10" i="3" l="1"/>
  <c r="J6" i="1" s="1"/>
  <c r="J9" i="1" s="1"/>
  <c r="I20" i="3"/>
  <c r="I23" i="3" s="1"/>
  <c r="J17" i="3"/>
  <c r="J20" i="3" s="1"/>
  <c r="J23" i="3" s="1"/>
  <c r="G9" i="1"/>
  <c r="G6" i="6" s="1"/>
  <c r="H5" i="4"/>
  <c r="H10" i="4" s="1"/>
  <c r="H12" i="1" s="1"/>
  <c r="I10" i="3"/>
  <c r="I6" i="1" s="1"/>
  <c r="I5" i="4" s="1"/>
  <c r="I11" i="4" s="1"/>
  <c r="I13" i="1" s="1"/>
  <c r="H6" i="6"/>
  <c r="H7" i="9"/>
  <c r="G11" i="4"/>
  <c r="G13" i="1" s="1"/>
  <c r="G12" i="4"/>
  <c r="G14" i="1" s="1"/>
  <c r="G10" i="4"/>
  <c r="G12" i="1" s="1"/>
  <c r="F7" i="9"/>
  <c r="F7" i="8"/>
  <c r="F6" i="6"/>
  <c r="F11" i="4"/>
  <c r="F13" i="1" s="1"/>
  <c r="F12" i="4"/>
  <c r="F14" i="1" s="1"/>
  <c r="F10" i="4"/>
  <c r="F12" i="1" s="1"/>
  <c r="J49" i="6"/>
  <c r="I15" i="6"/>
  <c r="I17" i="6"/>
  <c r="I16" i="6"/>
  <c r="H18" i="13" l="1"/>
  <c r="H19" i="13" s="1"/>
  <c r="H38" i="6"/>
  <c r="H28" i="6" s="1"/>
  <c r="G18" i="13"/>
  <c r="G19" i="13" s="1"/>
  <c r="J5" i="4"/>
  <c r="J12" i="4" s="1"/>
  <c r="J14" i="1" s="1"/>
  <c r="G7" i="9"/>
  <c r="I9" i="1"/>
  <c r="H12" i="4"/>
  <c r="H14" i="1" s="1"/>
  <c r="I12" i="4"/>
  <c r="I14" i="1" s="1"/>
  <c r="I10" i="4"/>
  <c r="I12" i="1" s="1"/>
  <c r="H11" i="4"/>
  <c r="H13" i="1" s="1"/>
  <c r="H11" i="6"/>
  <c r="H7" i="5" s="1"/>
  <c r="G7" i="6"/>
  <c r="G12" i="6" s="1"/>
  <c r="G8" i="5" s="1"/>
  <c r="G8" i="6"/>
  <c r="G13" i="6" s="1"/>
  <c r="G25" i="5" s="1"/>
  <c r="G38" i="6"/>
  <c r="G11" i="6"/>
  <c r="G7" i="5" s="1"/>
  <c r="H7" i="6"/>
  <c r="H12" i="6" s="1"/>
  <c r="H8" i="5" s="1"/>
  <c r="F7" i="6"/>
  <c r="F12" i="6" s="1"/>
  <c r="F8" i="5" s="1"/>
  <c r="F9" i="8" s="1"/>
  <c r="F8" i="6"/>
  <c r="F13" i="6" s="1"/>
  <c r="F25" i="5" s="1"/>
  <c r="F38" i="6"/>
  <c r="F11" i="6"/>
  <c r="F7" i="5" s="1"/>
  <c r="F8" i="8" s="1"/>
  <c r="F43" i="5"/>
  <c r="G7" i="8"/>
  <c r="H7" i="8" s="1"/>
  <c r="J7" i="9"/>
  <c r="J6" i="6"/>
  <c r="J15" i="6"/>
  <c r="J17" i="6"/>
  <c r="J16" i="6"/>
  <c r="H15" i="8" l="1"/>
  <c r="I18" i="13"/>
  <c r="I19" i="13" s="1"/>
  <c r="J38" i="6"/>
  <c r="J28" i="6" s="1"/>
  <c r="G20" i="13"/>
  <c r="I7" i="6"/>
  <c r="I12" i="6" s="1"/>
  <c r="I8" i="5" s="1"/>
  <c r="I9" i="8" s="1"/>
  <c r="J18" i="13"/>
  <c r="J19" i="13" s="1"/>
  <c r="F20" i="13"/>
  <c r="J10" i="4"/>
  <c r="J12" i="1" s="1"/>
  <c r="J7" i="6" s="1"/>
  <c r="J12" i="6" s="1"/>
  <c r="J8" i="5" s="1"/>
  <c r="J11" i="4"/>
  <c r="J13" i="1" s="1"/>
  <c r="I7" i="8"/>
  <c r="J7" i="8" s="1"/>
  <c r="I8" i="6"/>
  <c r="I13" i="6" s="1"/>
  <c r="I25" i="5" s="1"/>
  <c r="I31" i="5" s="1"/>
  <c r="I9" i="13" s="1"/>
  <c r="H8" i="6"/>
  <c r="I6" i="6"/>
  <c r="I7" i="9"/>
  <c r="H8" i="8"/>
  <c r="H9" i="8"/>
  <c r="F28" i="6"/>
  <c r="F29" i="6" s="1"/>
  <c r="F15" i="8"/>
  <c r="G8" i="8"/>
  <c r="F31" i="5"/>
  <c r="F9" i="13" s="1"/>
  <c r="F11" i="8"/>
  <c r="G28" i="6"/>
  <c r="G15" i="8"/>
  <c r="G43" i="5"/>
  <c r="H43" i="5" s="1"/>
  <c r="J11" i="6"/>
  <c r="J7" i="5" s="1"/>
  <c r="G31" i="5"/>
  <c r="G9" i="13" s="1"/>
  <c r="G11" i="8"/>
  <c r="G9" i="8"/>
  <c r="J46" i="9"/>
  <c r="H62" i="6"/>
  <c r="I62" i="6" s="1"/>
  <c r="J62" i="6" s="1"/>
  <c r="D14" i="5"/>
  <c r="E54" i="6"/>
  <c r="D55" i="6"/>
  <c r="D59" i="6" s="1"/>
  <c r="J9" i="8" l="1"/>
  <c r="J15" i="8"/>
  <c r="I20" i="13"/>
  <c r="H13" i="6"/>
  <c r="H25" i="5" s="1"/>
  <c r="H11" i="8" s="1"/>
  <c r="H20" i="13"/>
  <c r="J8" i="6"/>
  <c r="I43" i="5"/>
  <c r="J43" i="5" s="1"/>
  <c r="I38" i="6"/>
  <c r="I11" i="6"/>
  <c r="I7" i="5" s="1"/>
  <c r="I8" i="8" s="1"/>
  <c r="F44" i="6"/>
  <c r="F32" i="6" s="1"/>
  <c r="F33" i="6" s="1"/>
  <c r="F18" i="5"/>
  <c r="G27" i="6"/>
  <c r="G29" i="6" s="1"/>
  <c r="D62" i="6"/>
  <c r="D15" i="5"/>
  <c r="D16" i="5" s="1"/>
  <c r="D21" i="5" s="1"/>
  <c r="D50" i="5" s="1"/>
  <c r="E14" i="5"/>
  <c r="F54" i="6"/>
  <c r="E55" i="6"/>
  <c r="E62" i="6" s="1"/>
  <c r="F62" i="6" s="1"/>
  <c r="E59" i="6"/>
  <c r="F59" i="6" s="1"/>
  <c r="I11" i="8" l="1"/>
  <c r="H31" i="5"/>
  <c r="H9" i="13" s="1"/>
  <c r="J13" i="6"/>
  <c r="J25" i="5" s="1"/>
  <c r="J31" i="5" s="1"/>
  <c r="J9" i="13" s="1"/>
  <c r="J20" i="13"/>
  <c r="I28" i="6"/>
  <c r="I15" i="8"/>
  <c r="J8" i="8"/>
  <c r="G31" i="6"/>
  <c r="F19" i="5"/>
  <c r="G44" i="6"/>
  <c r="G32" i="6" s="1"/>
  <c r="G18" i="5"/>
  <c r="H27" i="6"/>
  <c r="H29" i="6" s="1"/>
  <c r="F35" i="6"/>
  <c r="F20" i="5" s="1"/>
  <c r="F55" i="6"/>
  <c r="E16" i="5"/>
  <c r="E21" i="5" s="1"/>
  <c r="E50" i="5" s="1"/>
  <c r="E15" i="5"/>
  <c r="F15" i="5" s="1"/>
  <c r="G15" i="5" s="1"/>
  <c r="H15" i="5" s="1"/>
  <c r="I15" i="5" s="1"/>
  <c r="J15" i="5" s="1"/>
  <c r="G59" i="6"/>
  <c r="J11" i="8" l="1"/>
  <c r="G33" i="6"/>
  <c r="G35" i="6" s="1"/>
  <c r="G20" i="5" s="1"/>
  <c r="H44" i="6"/>
  <c r="H32" i="6" s="1"/>
  <c r="H18" i="5"/>
  <c r="I27" i="6"/>
  <c r="I29" i="6" s="1"/>
  <c r="G55" i="6"/>
  <c r="G16" i="8" s="1"/>
  <c r="G18" i="8" s="1"/>
  <c r="H59" i="6"/>
  <c r="I59" i="6" s="1"/>
  <c r="I55" i="6" s="1"/>
  <c r="I16" i="8" s="1"/>
  <c r="I18" i="8" s="1"/>
  <c r="F56" i="6"/>
  <c r="F52" i="6" s="1"/>
  <c r="F42" i="6" s="1"/>
  <c r="F16" i="8"/>
  <c r="F18" i="8" s="1"/>
  <c r="G19" i="5" l="1"/>
  <c r="H31" i="6"/>
  <c r="H33" i="6" s="1"/>
  <c r="I44" i="6"/>
  <c r="I32" i="6" s="1"/>
  <c r="I18" i="5"/>
  <c r="J27" i="6"/>
  <c r="J29" i="6" s="1"/>
  <c r="J18" i="5" s="1"/>
  <c r="F57" i="6"/>
  <c r="F46" i="6"/>
  <c r="F18" i="1" s="1"/>
  <c r="F21" i="1" s="1"/>
  <c r="F22" i="1" s="1"/>
  <c r="F13" i="13" s="1"/>
  <c r="F6" i="8"/>
  <c r="H55" i="6"/>
  <c r="H16" i="8" s="1"/>
  <c r="H18" i="8" s="1"/>
  <c r="J59" i="6"/>
  <c r="J55" i="6" s="1"/>
  <c r="J16" i="8" s="1"/>
  <c r="J18" i="8" s="1"/>
  <c r="J44" i="6" l="1"/>
  <c r="J32" i="6" s="1"/>
  <c r="I31" i="6"/>
  <c r="I33" i="6" s="1"/>
  <c r="H19" i="5"/>
  <c r="H35" i="6"/>
  <c r="H20" i="5" s="1"/>
  <c r="G54" i="6"/>
  <c r="F14" i="5"/>
  <c r="F16" i="5" s="1"/>
  <c r="J31" i="6" l="1"/>
  <c r="J33" i="6" s="1"/>
  <c r="I19" i="5"/>
  <c r="I35" i="6"/>
  <c r="I20" i="5" s="1"/>
  <c r="G56" i="6"/>
  <c r="G52" i="6" s="1"/>
  <c r="G42" i="6" s="1"/>
  <c r="J35" i="6" l="1"/>
  <c r="J20" i="5" s="1"/>
  <c r="J19" i="5"/>
  <c r="G57" i="6"/>
  <c r="G46" i="6"/>
  <c r="G18" i="1" s="1"/>
  <c r="G21" i="1" s="1"/>
  <c r="G22" i="1" s="1"/>
  <c r="G13" i="13" s="1"/>
  <c r="G6" i="8"/>
  <c r="H54" i="6" l="1"/>
  <c r="G14" i="5"/>
  <c r="G16" i="5" s="1"/>
  <c r="H56" i="6" l="1"/>
  <c r="H52" i="6" s="1"/>
  <c r="H42" i="6" s="1"/>
  <c r="H57" i="6" l="1"/>
  <c r="H14" i="5" s="1"/>
  <c r="H16" i="5" s="1"/>
  <c r="H46" i="6"/>
  <c r="H18" i="1" s="1"/>
  <c r="H21" i="1" s="1"/>
  <c r="H22" i="1" s="1"/>
  <c r="H13" i="13" s="1"/>
  <c r="H6" i="8"/>
  <c r="I54" i="6" l="1"/>
  <c r="I56" i="6" s="1"/>
  <c r="I52" i="6" s="1"/>
  <c r="I42" i="6" s="1"/>
  <c r="I57" i="6" l="1"/>
  <c r="I14" i="5" s="1"/>
  <c r="I16" i="5" s="1"/>
  <c r="I46" i="6"/>
  <c r="I18" i="1" s="1"/>
  <c r="I21" i="1" s="1"/>
  <c r="I22" i="1" s="1"/>
  <c r="I13" i="13" s="1"/>
  <c r="I6" i="8"/>
  <c r="J54" i="6" l="1"/>
  <c r="J56" i="6" s="1"/>
  <c r="J52" i="6" s="1"/>
  <c r="J42" i="6" s="1"/>
  <c r="J57" i="6" l="1"/>
  <c r="J14" i="5" s="1"/>
  <c r="J16" i="5" s="1"/>
  <c r="J6" i="8"/>
  <c r="J46" i="6"/>
  <c r="J18" i="1" s="1"/>
  <c r="J21" i="1" s="1"/>
  <c r="J22" i="1" s="1"/>
  <c r="J13" i="13" s="1"/>
  <c r="F6" i="5"/>
  <c r="G6" i="5"/>
  <c r="H6" i="5"/>
  <c r="I6" i="5"/>
  <c r="J6" i="5"/>
  <c r="F10" i="5"/>
  <c r="G10" i="5"/>
  <c r="H10" i="5"/>
  <c r="I10" i="5"/>
  <c r="J10" i="5"/>
  <c r="F21" i="5"/>
  <c r="G21" i="5"/>
  <c r="H21" i="5"/>
  <c r="I21" i="5"/>
  <c r="J21" i="5"/>
  <c r="F33" i="5"/>
  <c r="G33" i="5"/>
  <c r="H33" i="5"/>
  <c r="I33" i="5"/>
  <c r="J33" i="5"/>
  <c r="F39" i="5"/>
  <c r="G39" i="5"/>
  <c r="H39" i="5"/>
  <c r="I39" i="5"/>
  <c r="J39" i="5"/>
  <c r="F44" i="5"/>
  <c r="G44" i="5"/>
  <c r="H44" i="5"/>
  <c r="I44" i="5"/>
  <c r="J44" i="5"/>
  <c r="F47" i="5"/>
  <c r="G47" i="5"/>
  <c r="H47" i="5"/>
  <c r="I47" i="5"/>
  <c r="J47" i="5"/>
  <c r="F48" i="5"/>
  <c r="G48" i="5"/>
  <c r="H48" i="5"/>
  <c r="I48" i="5"/>
  <c r="J48" i="5"/>
  <c r="F50" i="5"/>
  <c r="G50" i="5"/>
  <c r="H50" i="5"/>
  <c r="I50" i="5"/>
  <c r="J50" i="5"/>
  <c r="F5" i="8"/>
  <c r="G5" i="8"/>
  <c r="H5" i="8"/>
  <c r="I5" i="8"/>
  <c r="J5" i="8"/>
  <c r="F13" i="8"/>
  <c r="G13" i="8"/>
  <c r="H13" i="8"/>
  <c r="I13" i="8"/>
  <c r="J13" i="8"/>
  <c r="F20" i="8"/>
  <c r="G20" i="8"/>
  <c r="H20" i="8"/>
  <c r="I20" i="8"/>
  <c r="J20" i="8"/>
  <c r="F23" i="8"/>
  <c r="G23" i="8"/>
  <c r="H23" i="8"/>
  <c r="I23" i="8"/>
  <c r="J23" i="8"/>
  <c r="F24" i="8"/>
  <c r="G24" i="8"/>
  <c r="H24" i="8"/>
  <c r="I24" i="8"/>
  <c r="J24" i="8"/>
  <c r="F26" i="8"/>
  <c r="G26" i="8"/>
  <c r="H26" i="8"/>
  <c r="I26" i="8"/>
  <c r="J26" i="8"/>
  <c r="G27" i="8"/>
  <c r="H27" i="8"/>
  <c r="I27" i="8"/>
  <c r="J27" i="8"/>
  <c r="F28" i="8"/>
  <c r="G28" i="8"/>
  <c r="H28" i="8"/>
  <c r="I28" i="8"/>
  <c r="J28" i="8"/>
  <c r="F5" i="9"/>
  <c r="G5" i="9"/>
  <c r="H5" i="9"/>
  <c r="I5" i="9"/>
  <c r="J5" i="9"/>
  <c r="G6" i="9"/>
  <c r="H6" i="9"/>
  <c r="I6" i="9"/>
  <c r="J6" i="9"/>
  <c r="F8" i="9"/>
  <c r="G8" i="9"/>
  <c r="H8" i="9"/>
  <c r="I8" i="9"/>
  <c r="J8" i="9"/>
  <c r="G12" i="9"/>
  <c r="H12" i="9"/>
  <c r="I12" i="9"/>
  <c r="J12" i="9"/>
  <c r="H15" i="9"/>
  <c r="I15" i="9"/>
  <c r="J15" i="9"/>
  <c r="G16" i="9"/>
  <c r="H16" i="9"/>
  <c r="I16" i="9"/>
  <c r="J16" i="9"/>
  <c r="G17" i="9"/>
  <c r="H17" i="9"/>
  <c r="I17" i="9"/>
  <c r="J17" i="9"/>
  <c r="G18" i="9"/>
  <c r="H18" i="9"/>
  <c r="I18" i="9"/>
  <c r="J18" i="9"/>
  <c r="G19" i="9"/>
  <c r="H19" i="9"/>
  <c r="I19" i="9"/>
  <c r="J19" i="9"/>
  <c r="G20" i="9"/>
  <c r="H20" i="9"/>
  <c r="I20" i="9"/>
  <c r="J20" i="9"/>
  <c r="F24" i="9"/>
  <c r="G24" i="9"/>
  <c r="H24" i="9"/>
  <c r="I24" i="9"/>
  <c r="J24" i="9"/>
  <c r="G26" i="9"/>
  <c r="H26" i="9"/>
  <c r="I26" i="9"/>
  <c r="J26" i="9"/>
  <c r="F27" i="9"/>
  <c r="G27" i="9"/>
  <c r="H27" i="9"/>
  <c r="I27" i="9"/>
  <c r="J27" i="9"/>
  <c r="F28" i="9"/>
  <c r="G28" i="9"/>
  <c r="H28" i="9"/>
  <c r="I28" i="9"/>
  <c r="J28" i="9"/>
  <c r="F29" i="9"/>
  <c r="G29" i="9"/>
  <c r="H29" i="9"/>
  <c r="I29" i="9"/>
  <c r="J29" i="9"/>
  <c r="F30" i="9"/>
  <c r="G30" i="9"/>
  <c r="H30" i="9"/>
  <c r="I30" i="9"/>
  <c r="J30" i="9"/>
  <c r="F31" i="9"/>
  <c r="G31" i="9"/>
  <c r="H31" i="9"/>
  <c r="I31" i="9"/>
  <c r="J31" i="9"/>
  <c r="F35" i="9"/>
  <c r="G35" i="9"/>
  <c r="H35" i="9"/>
  <c r="I35" i="9"/>
  <c r="J35" i="9"/>
  <c r="G37" i="9"/>
  <c r="H37" i="9"/>
  <c r="I37" i="9"/>
  <c r="J37" i="9"/>
  <c r="F38" i="9"/>
  <c r="G38" i="9"/>
  <c r="H38" i="9"/>
  <c r="I38" i="9"/>
  <c r="J38" i="9"/>
  <c r="F39" i="9"/>
  <c r="G39" i="9"/>
  <c r="H39" i="9"/>
  <c r="I39" i="9"/>
  <c r="J39" i="9"/>
  <c r="F40" i="9"/>
  <c r="G40" i="9"/>
  <c r="H40" i="9"/>
  <c r="I40" i="9"/>
  <c r="J40" i="9"/>
  <c r="F41" i="9"/>
  <c r="G41" i="9"/>
  <c r="H41" i="9"/>
  <c r="I41" i="9"/>
  <c r="J41" i="9"/>
  <c r="F42" i="9"/>
  <c r="G42" i="9"/>
  <c r="H42" i="9"/>
  <c r="I42" i="9"/>
  <c r="J42" i="9"/>
  <c r="F45" i="9"/>
  <c r="G45" i="9"/>
  <c r="H45" i="9"/>
  <c r="I45" i="9"/>
  <c r="J45" i="9"/>
  <c r="F46" i="9"/>
  <c r="G46" i="9"/>
  <c r="H46" i="9"/>
  <c r="I46" i="9"/>
  <c r="F47" i="9"/>
  <c r="G47" i="9"/>
  <c r="H47" i="9"/>
  <c r="I47" i="9"/>
  <c r="J47" i="9"/>
  <c r="F49" i="9"/>
  <c r="G49" i="9"/>
  <c r="H49" i="9"/>
  <c r="I49" i="9"/>
  <c r="J49" i="9"/>
  <c r="F33" i="4"/>
  <c r="G33" i="4"/>
  <c r="H33" i="4"/>
  <c r="I33" i="4"/>
  <c r="J33" i="4"/>
  <c r="F23" i="1"/>
  <c r="G23" i="1"/>
  <c r="H23" i="1"/>
  <c r="I23" i="1"/>
  <c r="J23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7" i="13"/>
  <c r="G7" i="13"/>
  <c r="H7" i="13"/>
  <c r="I7" i="13"/>
  <c r="J7" i="13"/>
  <c r="F8" i="13"/>
  <c r="G8" i="13"/>
  <c r="H8" i="13"/>
  <c r="I8" i="13"/>
  <c r="J8" i="13"/>
  <c r="F14" i="13"/>
  <c r="G14" i="13"/>
  <c r="H14" i="13"/>
  <c r="I14" i="13"/>
  <c r="J14" i="13"/>
  <c r="F15" i="13"/>
  <c r="G15" i="13"/>
  <c r="H15" i="13"/>
  <c r="I15" i="13"/>
  <c r="J15" i="13"/>
  <c r="F16" i="13"/>
  <c r="G16" i="13"/>
  <c r="H16" i="13"/>
  <c r="I16" i="13"/>
  <c r="J16" i="13"/>
  <c r="G17" i="13"/>
  <c r="H17" i="13"/>
  <c r="I17" i="13"/>
  <c r="J1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Gajendra Vijay Darade</author>
  </authors>
  <commentList>
    <comment ref="I27" authorId="0" shapeId="0" xr:uid="{678556CD-9760-419B-88DD-95D4A03D4D40}">
      <text>
        <r>
          <rPr>
            <b/>
            <sz val="9"/>
            <color indexed="81"/>
            <rFont val="Tahoma"/>
            <family val="2"/>
          </rPr>
          <t>Gajendra Vijay Darade:
10k Dec 2023
pg no. 59
Table no. 3
Exercisable Option Identified in Last Para</t>
        </r>
      </text>
    </comment>
    <comment ref="I34" authorId="0" shapeId="0" xr:uid="{73CF5DF5-5CEB-40C8-A981-D8F4E59A4815}">
      <text>
        <r>
          <rPr>
            <b/>
            <sz val="9"/>
            <color indexed="81"/>
            <rFont val="Tahoma"/>
            <family val="2"/>
          </rPr>
          <t>Gajendra Vijay Darade:
10k Dec 2023
pg no. 59
Table no. 3
Exercisable Option Identified in Last Para</t>
        </r>
      </text>
    </comment>
  </commentList>
</comments>
</file>

<file path=xl/sharedStrings.xml><?xml version="1.0" encoding="utf-8"?>
<sst xmlns="http://schemas.openxmlformats.org/spreadsheetml/2006/main" count="409" uniqueCount="255">
  <si>
    <t>McDonald's Income Statement</t>
  </si>
  <si>
    <t>Particulars in Millions</t>
  </si>
  <si>
    <t>Historical</t>
  </si>
  <si>
    <t>Forecast</t>
  </si>
  <si>
    <t>REVENUES</t>
  </si>
  <si>
    <t>Sales by Company-operated restaurants</t>
  </si>
  <si>
    <t>Revenues from franchised restaurants</t>
  </si>
  <si>
    <t>Other revenues</t>
  </si>
  <si>
    <t>OPERATING COSTS AND EXPENSES</t>
  </si>
  <si>
    <t>Company-operated restaurant expenses</t>
  </si>
  <si>
    <t>Food &amp; paper</t>
  </si>
  <si>
    <t>Payroll &amp; employee benefits</t>
  </si>
  <si>
    <t>Occupancy &amp; other operating expenses</t>
  </si>
  <si>
    <t>Franchised restaurants-occupancy expenses</t>
  </si>
  <si>
    <t>Other restaurant expenses</t>
  </si>
  <si>
    <t>Selling, general &amp; administrative expenses</t>
  </si>
  <si>
    <t>Depreciation and amortization</t>
  </si>
  <si>
    <t>Other</t>
  </si>
  <si>
    <t>Other operating (income) expense, net</t>
  </si>
  <si>
    <t>Total operating costs and expenses</t>
  </si>
  <si>
    <t>Operating income</t>
  </si>
  <si>
    <t>Interest expense-net of capitalized interest</t>
  </si>
  <si>
    <t>Nonoperating (income) expense, net</t>
  </si>
  <si>
    <t>Income before provision for income taxes</t>
  </si>
  <si>
    <t>Provision for income taxes</t>
  </si>
  <si>
    <t>Net income</t>
  </si>
  <si>
    <t>Divident</t>
  </si>
  <si>
    <t>Retained Earnings</t>
  </si>
  <si>
    <t>-</t>
  </si>
  <si>
    <t xml:space="preserve">Revenue Model </t>
  </si>
  <si>
    <t>Company-operated sales:</t>
  </si>
  <si>
    <t>U.S.</t>
  </si>
  <si>
    <t>International Operated Markets</t>
  </si>
  <si>
    <t>International Developmental Licensed Markets &amp; Corporate</t>
  </si>
  <si>
    <t>Total</t>
  </si>
  <si>
    <t>Franchised revenues:</t>
  </si>
  <si>
    <t>Total Company-operated sales and Franchised revenues:</t>
  </si>
  <si>
    <t>Total Other revenues</t>
  </si>
  <si>
    <t>Total Revenue</t>
  </si>
  <si>
    <t>Company-operated Restaurants:</t>
  </si>
  <si>
    <t>Franchised revenues Restaurants:</t>
  </si>
  <si>
    <t>Revenue per Franchised Restaurants:</t>
  </si>
  <si>
    <t>Revenue per Company - operated Restaurants:</t>
  </si>
  <si>
    <t>Growth Rate in Revenue per Company Restaurant</t>
  </si>
  <si>
    <t>Growth Rate in Revenue per Franchised Restaurant</t>
  </si>
  <si>
    <t>Franchised Restaurants:</t>
  </si>
  <si>
    <t xml:space="preserve">As a % of Revenue By Company Resstaurants </t>
  </si>
  <si>
    <t xml:space="preserve"> </t>
  </si>
  <si>
    <t>As a % of Revenues by franchised restaurants</t>
  </si>
  <si>
    <t>As a % of Other Revenues</t>
  </si>
  <si>
    <t>Effective Tax Rate</t>
  </si>
  <si>
    <t xml:space="preserve">McDonald's Balance Sheet </t>
  </si>
  <si>
    <t>Current assets</t>
  </si>
  <si>
    <t>Cash and equivalents</t>
  </si>
  <si>
    <t>Accounts and notes receivable</t>
  </si>
  <si>
    <t>Inventories, at cost, not in excess of market</t>
  </si>
  <si>
    <t>Prepaid expenses and other current assets</t>
  </si>
  <si>
    <t>Other assets</t>
  </si>
  <si>
    <t>Investments in and advances to affiliates</t>
  </si>
  <si>
    <t>Goodwill</t>
  </si>
  <si>
    <t>Miscellaneous</t>
  </si>
  <si>
    <t>Lease right-of-use asset, net</t>
  </si>
  <si>
    <t>Property and equipment, at cost</t>
  </si>
  <si>
    <t>Accumulated depreciation and amortization</t>
  </si>
  <si>
    <t>Total Current Assets</t>
  </si>
  <si>
    <t>Total Other Assets</t>
  </si>
  <si>
    <t>Net Property and Equipment</t>
  </si>
  <si>
    <t>Total Assets</t>
  </si>
  <si>
    <t>Current liabilities</t>
  </si>
  <si>
    <t>Short-term borrowings and current maturities of long-term debt</t>
  </si>
  <si>
    <t>Accounts payable</t>
  </si>
  <si>
    <t>Lease liability</t>
  </si>
  <si>
    <t>Income taxes</t>
  </si>
  <si>
    <t>Other taxes</t>
  </si>
  <si>
    <t>Accrued interest</t>
  </si>
  <si>
    <t>Accrued payroll and other liabilities</t>
  </si>
  <si>
    <t>Total current liabilities</t>
  </si>
  <si>
    <t>Long-term debt</t>
  </si>
  <si>
    <t>Long-term lease liability</t>
  </si>
  <si>
    <t>Long-term income taxes</t>
  </si>
  <si>
    <t>Deferred revenues - initial franchise fees</t>
  </si>
  <si>
    <t>Other long-term liabilities</t>
  </si>
  <si>
    <t>Deferred income taxes</t>
  </si>
  <si>
    <t>Total Liability</t>
  </si>
  <si>
    <t>Additional paid-in capital</t>
  </si>
  <si>
    <t>Retained earnings</t>
  </si>
  <si>
    <t>Accumulated other comprehensive income (loss)</t>
  </si>
  <si>
    <t>Preferred stock</t>
  </si>
  <si>
    <t>Common stock</t>
  </si>
  <si>
    <t>Treasury stock</t>
  </si>
  <si>
    <t>Total shareholders’ equity</t>
  </si>
  <si>
    <t>Total liabilities and shareholders’ equity</t>
  </si>
  <si>
    <t xml:space="preserve">Difference </t>
  </si>
  <si>
    <t>Working Capital Schedules</t>
  </si>
  <si>
    <t xml:space="preserve">AR as a % of Sales </t>
  </si>
  <si>
    <t>Inventory as a %COGS</t>
  </si>
  <si>
    <t>COGS</t>
  </si>
  <si>
    <t>Accounts payable as a % of operating Exp</t>
  </si>
  <si>
    <t>All Exp</t>
  </si>
  <si>
    <t>PP&amp;E Schedules</t>
  </si>
  <si>
    <t>Opening Gross PP&amp;E</t>
  </si>
  <si>
    <t>Additions During the years</t>
  </si>
  <si>
    <t>Closing Gross PP&amp;E</t>
  </si>
  <si>
    <t>Land</t>
  </si>
  <si>
    <t>Buildings and improvements on owned land</t>
  </si>
  <si>
    <t>Buildings and improvements on leased land</t>
  </si>
  <si>
    <t>Equipment, signs and seating</t>
  </si>
  <si>
    <t>CapEx on the Year</t>
  </si>
  <si>
    <t>CapEx as a % of Sales</t>
  </si>
  <si>
    <t>Opening Accum Dep</t>
  </si>
  <si>
    <t xml:space="preserve">Dep of the year </t>
  </si>
  <si>
    <t>Closing Accum Dep</t>
  </si>
  <si>
    <t>Net PP&amp;E</t>
  </si>
  <si>
    <t>Dep and amortization</t>
  </si>
  <si>
    <t>Dep of the Year</t>
  </si>
  <si>
    <t>Amortization</t>
  </si>
  <si>
    <t>Dep as a % of Gross PP&amp;E</t>
  </si>
  <si>
    <t>Opening Capitalized Softwere</t>
  </si>
  <si>
    <t>Additions During the Year</t>
  </si>
  <si>
    <t>Closing Net Capitalized Softwere</t>
  </si>
  <si>
    <t>Additions to Capitalized Softwere as a % of Sales</t>
  </si>
  <si>
    <t>Amortization Rate</t>
  </si>
  <si>
    <t>D&amp;A in Income Statement</t>
  </si>
  <si>
    <t>Capitalized Softwear</t>
  </si>
  <si>
    <t>Divident Payout Ratio</t>
  </si>
  <si>
    <t>McDonald's Cash Flow Statement</t>
  </si>
  <si>
    <t xml:space="preserve">PAT </t>
  </si>
  <si>
    <t>D&amp;A</t>
  </si>
  <si>
    <t>SBC</t>
  </si>
  <si>
    <t>Change is AR</t>
  </si>
  <si>
    <t>Change in Inventory</t>
  </si>
  <si>
    <t>Change in Prep Exp</t>
  </si>
  <si>
    <t>Change is AP</t>
  </si>
  <si>
    <t>Change in Other Liab</t>
  </si>
  <si>
    <t>Cash From Operation:</t>
  </si>
  <si>
    <t>CapEx on PP&amp;E</t>
  </si>
  <si>
    <t>Additions to Capitalised Softwear</t>
  </si>
  <si>
    <t>Others</t>
  </si>
  <si>
    <t>Cash From Investment:</t>
  </si>
  <si>
    <t>Divident Paid</t>
  </si>
  <si>
    <t>Options Proceeds</t>
  </si>
  <si>
    <t xml:space="preserve">Treasury stock </t>
  </si>
  <si>
    <t>Change in Debt</t>
  </si>
  <si>
    <t xml:space="preserve">Cash From Financing: </t>
  </si>
  <si>
    <t>McDonald's Debt Schedule</t>
  </si>
  <si>
    <t>Free Cash Before Debt:</t>
  </si>
  <si>
    <t xml:space="preserve">Add: Opening Cash Balance </t>
  </si>
  <si>
    <t xml:space="preserve">Less : Minimum Cash Balance  </t>
  </si>
  <si>
    <t>Free Cash For Debt:</t>
  </si>
  <si>
    <t>Rate</t>
  </si>
  <si>
    <t>Amount</t>
  </si>
  <si>
    <t>Due Year</t>
  </si>
  <si>
    <t>Debt</t>
  </si>
  <si>
    <t>Debt item</t>
  </si>
  <si>
    <t>Borrowings</t>
  </si>
  <si>
    <t>Closing Debt:</t>
  </si>
  <si>
    <t>Change in Debt:</t>
  </si>
  <si>
    <t>Opening Debt:</t>
  </si>
  <si>
    <t>Prep Option</t>
  </si>
  <si>
    <t>ST Debt</t>
  </si>
  <si>
    <t>LT Debt</t>
  </si>
  <si>
    <t>Interest Exp</t>
  </si>
  <si>
    <t>Surplus / Deficit</t>
  </si>
  <si>
    <t xml:space="preserve">Opening Cash Balance </t>
  </si>
  <si>
    <t xml:space="preserve">Closing Cash Balance </t>
  </si>
  <si>
    <t>Growth Rate in Revenue per Company Restaurants</t>
  </si>
  <si>
    <t>Best</t>
  </si>
  <si>
    <t>Base</t>
  </si>
  <si>
    <t>Weak</t>
  </si>
  <si>
    <t>Total Debt</t>
  </si>
  <si>
    <t>McDonald's Expenses</t>
  </si>
  <si>
    <t xml:space="preserve">McDonald's Revenue Model </t>
  </si>
  <si>
    <t>McDonald's Balance Sheet Schedules</t>
  </si>
  <si>
    <t>McDonald's Scenario Analysis</t>
  </si>
  <si>
    <t>US</t>
  </si>
  <si>
    <t>Scenario</t>
  </si>
  <si>
    <t>s</t>
  </si>
  <si>
    <t>Total Revenues</t>
  </si>
  <si>
    <t>Liquitity Ratios:</t>
  </si>
  <si>
    <t>Current Ratio</t>
  </si>
  <si>
    <t>Quick Ratio</t>
  </si>
  <si>
    <t>Cash Ratio</t>
  </si>
  <si>
    <t>Profitability Ratios:</t>
  </si>
  <si>
    <t>Operating Profit Margin</t>
  </si>
  <si>
    <t>Net Profit Margin</t>
  </si>
  <si>
    <t>Pretax Margin</t>
  </si>
  <si>
    <t>Return on Assets</t>
  </si>
  <si>
    <t>Return on Capital Employed</t>
  </si>
  <si>
    <t xml:space="preserve">Gross Profit </t>
  </si>
  <si>
    <t>Gross Profit Margin</t>
  </si>
  <si>
    <t>Company-operated Revenue (Worldwide)</t>
  </si>
  <si>
    <t>Franchised Revenues (Worldwide)</t>
  </si>
  <si>
    <t>EBIT</t>
  </si>
  <si>
    <t xml:space="preserve">Tax Rate </t>
  </si>
  <si>
    <t>NOPAT</t>
  </si>
  <si>
    <t>NCC</t>
  </si>
  <si>
    <t xml:space="preserve">Change in CA </t>
  </si>
  <si>
    <t>Change in CL</t>
  </si>
  <si>
    <t>CapEx</t>
  </si>
  <si>
    <t>FCFF | Unlevered FCF |</t>
  </si>
  <si>
    <t>WACC analysis</t>
  </si>
  <si>
    <t>Risk Free Rate</t>
  </si>
  <si>
    <t>Risk premiunm</t>
  </si>
  <si>
    <t>Beta</t>
  </si>
  <si>
    <t>Ke | Cost of Equity |</t>
  </si>
  <si>
    <t>Basic Share Outs</t>
  </si>
  <si>
    <t xml:space="preserve">Dilutions </t>
  </si>
  <si>
    <t xml:space="preserve">Total Diluted Shares </t>
  </si>
  <si>
    <t xml:space="preserve">Market Price </t>
  </si>
  <si>
    <t xml:space="preserve">Market Cap </t>
  </si>
  <si>
    <t xml:space="preserve">Options </t>
  </si>
  <si>
    <t>SP</t>
  </si>
  <si>
    <t>Dilutions</t>
  </si>
  <si>
    <t>Traunch 1</t>
  </si>
  <si>
    <t>Traunch 2</t>
  </si>
  <si>
    <t>Traunch 3</t>
  </si>
  <si>
    <t>Traunch 4</t>
  </si>
  <si>
    <t xml:space="preserve">Total </t>
  </si>
  <si>
    <t xml:space="preserve">Risk free Rate </t>
  </si>
  <si>
    <t xml:space="preserve">Credit Spread </t>
  </si>
  <si>
    <t>Pretax Cost of Debt</t>
  </si>
  <si>
    <t>Post Tax Cost of Debt</t>
  </si>
  <si>
    <t>In the Money</t>
  </si>
  <si>
    <t xml:space="preserve">Company Name </t>
  </si>
  <si>
    <t xml:space="preserve">Lev Beta </t>
  </si>
  <si>
    <t>Shares</t>
  </si>
  <si>
    <t xml:space="preserve">Debt </t>
  </si>
  <si>
    <t>Company A</t>
  </si>
  <si>
    <t>Comapnt B</t>
  </si>
  <si>
    <t>Company C</t>
  </si>
  <si>
    <t>UnL Beta</t>
  </si>
  <si>
    <t>Avg</t>
  </si>
  <si>
    <t>McDonalds</t>
  </si>
  <si>
    <t>Total Capital</t>
  </si>
  <si>
    <t>% Equity</t>
  </si>
  <si>
    <t>% Debt</t>
  </si>
  <si>
    <t>WACC</t>
  </si>
  <si>
    <t xml:space="preserve">Terminal Value  </t>
  </si>
  <si>
    <t>1. Perpetual Mthod</t>
  </si>
  <si>
    <t>2. Multiple Method</t>
  </si>
  <si>
    <t xml:space="preserve">Growth Rate </t>
  </si>
  <si>
    <t>Terminal Value</t>
  </si>
  <si>
    <t>PV of TV</t>
  </si>
  <si>
    <t>Terminal EBITDA</t>
  </si>
  <si>
    <t>Assumed EBITDA Multiple</t>
  </si>
  <si>
    <t xml:space="preserve">Terminal Value </t>
  </si>
  <si>
    <t>Select Method</t>
  </si>
  <si>
    <t xml:space="preserve">Discount Period </t>
  </si>
  <si>
    <t>PV of FCFF</t>
  </si>
  <si>
    <t>Sum of PV of FCFF</t>
  </si>
  <si>
    <t xml:space="preserve">Emplied Enterprise Value </t>
  </si>
  <si>
    <t>Empled Equity Value</t>
  </si>
  <si>
    <t xml:space="preserve">Non Equity Claims </t>
  </si>
  <si>
    <t>Diluted Shares</t>
  </si>
  <si>
    <t xml:space="preserve">Emplied Share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</si>
</sst>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\ &quot;E&quot;"/>
    <numFmt numFmtId="165" formatCode="0\ &quot;A&quot;"/>
    <numFmt numFmtId="166" formatCode="0.0%"/>
    <numFmt numFmtId="167" formatCode="0.0"/>
    <numFmt numFmtId="168" formatCode=".0\2\X"/>
    <numFmt numFmtId="169" formatCode="0.00&quot;X&quot;"/>
    <numFmt numFmtId="192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erial"/>
    </font>
    <font>
      <sz val="14"/>
      <color theme="0"/>
      <name val="Aerial"/>
    </font>
    <font>
      <sz val="11"/>
      <color theme="1"/>
      <name val="Aerial"/>
    </font>
    <font>
      <b/>
      <sz val="11"/>
      <color theme="1"/>
      <name val="Aerial"/>
    </font>
    <font>
      <sz val="11"/>
      <color theme="8" tint="-0.249977111117893"/>
      <name val="Aerial"/>
    </font>
    <font>
      <sz val="11"/>
      <name val="Aerial"/>
    </font>
    <font>
      <sz val="11"/>
      <color rgb="FF0070C0"/>
      <name val="Aerial"/>
    </font>
    <font>
      <sz val="11"/>
      <color theme="9" tint="-0.249977111117893"/>
      <name val="Aerial"/>
    </font>
    <font>
      <b/>
      <sz val="11"/>
      <name val="Aerial"/>
    </font>
    <font>
      <b/>
      <sz val="11"/>
      <color theme="8" tint="-0.249977111117893"/>
      <name val="Aerial"/>
    </font>
    <font>
      <sz val="11"/>
      <color rgb="FF232A31"/>
      <name val="Arial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theme="9" tint="-0.499984740745262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theme="1"/>
      </bottom>
      <diagonal/>
    </border>
    <border>
      <left/>
      <right/>
      <top style="medium">
        <color indexed="64"/>
      </top>
      <bottom style="double">
        <color theme="1"/>
      </bottom>
      <diagonal/>
    </border>
    <border>
      <left/>
      <right style="medium">
        <color indexed="64"/>
      </right>
      <top style="medium">
        <color indexed="64"/>
      </top>
      <bottom style="double">
        <color theme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8">
    <xf numFmtId="0" fontId="0" fillId="0" borderId="0" xfId="0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centerContinuous"/>
    </xf>
    <xf numFmtId="0" fontId="3" fillId="2" borderId="4" xfId="0" applyFont="1" applyFill="1" applyBorder="1" applyAlignment="1">
      <alignment horizontal="centerContinuous"/>
    </xf>
    <xf numFmtId="165" fontId="3" fillId="2" borderId="2" xfId="0" applyNumberFormat="1" applyFont="1" applyFill="1" applyBorder="1"/>
    <xf numFmtId="165" fontId="3" fillId="2" borderId="3" xfId="0" applyNumberFormat="1" applyFont="1" applyFill="1" applyBorder="1"/>
    <xf numFmtId="164" fontId="3" fillId="2" borderId="5" xfId="0" applyNumberFormat="1" applyFont="1" applyFill="1" applyBorder="1"/>
    <xf numFmtId="164" fontId="3" fillId="2" borderId="2" xfId="0" applyNumberFormat="1" applyFont="1" applyFill="1" applyBorder="1"/>
    <xf numFmtId="3" fontId="4" fillId="0" borderId="0" xfId="0" applyNumberFormat="1" applyFont="1"/>
    <xf numFmtId="0" fontId="5" fillId="3" borderId="1" xfId="0" applyFont="1" applyFill="1" applyBorder="1"/>
    <xf numFmtId="3" fontId="5" fillId="3" borderId="1" xfId="0" applyNumberFormat="1" applyFont="1" applyFill="1" applyBorder="1"/>
    <xf numFmtId="9" fontId="4" fillId="0" borderId="0" xfId="1" applyFont="1"/>
    <xf numFmtId="1" fontId="5" fillId="3" borderId="1" xfId="0" applyNumberFormat="1" applyFont="1" applyFill="1" applyBorder="1"/>
    <xf numFmtId="9" fontId="4" fillId="0" borderId="0" xfId="0" applyNumberFormat="1" applyFont="1"/>
    <xf numFmtId="1" fontId="4" fillId="0" borderId="0" xfId="0" applyNumberFormat="1" applyFont="1"/>
    <xf numFmtId="0" fontId="4" fillId="7" borderId="0" xfId="0" applyFont="1" applyFill="1"/>
    <xf numFmtId="0" fontId="5" fillId="7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3" fontId="6" fillId="0" borderId="0" xfId="0" applyNumberFormat="1" applyFont="1" applyBorder="1"/>
    <xf numFmtId="3" fontId="9" fillId="0" borderId="0" xfId="0" applyNumberFormat="1" applyFont="1" applyBorder="1"/>
    <xf numFmtId="3" fontId="9" fillId="0" borderId="10" xfId="0" applyNumberFormat="1" applyFont="1" applyBorder="1"/>
    <xf numFmtId="3" fontId="8" fillId="0" borderId="0" xfId="0" applyNumberFormat="1" applyFont="1" applyBorder="1"/>
    <xf numFmtId="0" fontId="5" fillId="3" borderId="11" xfId="0" applyFont="1" applyFill="1" applyBorder="1"/>
    <xf numFmtId="3" fontId="5" fillId="3" borderId="12" xfId="0" applyNumberFormat="1" applyFont="1" applyFill="1" applyBorder="1"/>
    <xf numFmtId="0" fontId="4" fillId="0" borderId="0" xfId="0" applyFont="1" applyBorder="1"/>
    <xf numFmtId="0" fontId="4" fillId="0" borderId="10" xfId="0" applyFont="1" applyBorder="1"/>
    <xf numFmtId="0" fontId="4" fillId="0" borderId="9" xfId="0" applyFont="1" applyBorder="1" applyAlignment="1">
      <alignment horizontal="left" indent="3"/>
    </xf>
    <xf numFmtId="1" fontId="9" fillId="0" borderId="0" xfId="0" applyNumberFormat="1" applyFont="1" applyBorder="1"/>
    <xf numFmtId="1" fontId="9" fillId="0" borderId="10" xfId="0" applyNumberFormat="1" applyFont="1" applyBorder="1"/>
    <xf numFmtId="0" fontId="5" fillId="0" borderId="9" xfId="0" applyFont="1" applyBorder="1"/>
    <xf numFmtId="3" fontId="5" fillId="0" borderId="0" xfId="0" applyNumberFormat="1" applyFont="1" applyBorder="1"/>
    <xf numFmtId="3" fontId="5" fillId="0" borderId="10" xfId="0" applyNumberFormat="1" applyFont="1" applyBorder="1"/>
    <xf numFmtId="3" fontId="4" fillId="0" borderId="0" xfId="0" applyNumberFormat="1" applyFont="1" applyBorder="1"/>
    <xf numFmtId="3" fontId="4" fillId="0" borderId="10" xfId="0" applyNumberFormat="1" applyFont="1" applyBorder="1"/>
    <xf numFmtId="1" fontId="4" fillId="0" borderId="0" xfId="1" applyNumberFormat="1" applyFont="1" applyBorder="1"/>
    <xf numFmtId="1" fontId="4" fillId="0" borderId="10" xfId="1" applyNumberFormat="1" applyFont="1" applyBorder="1"/>
    <xf numFmtId="1" fontId="4" fillId="0" borderId="0" xfId="0" applyNumberFormat="1" applyFont="1" applyBorder="1"/>
    <xf numFmtId="1" fontId="4" fillId="0" borderId="10" xfId="0" applyNumberFormat="1" applyFont="1" applyBorder="1"/>
    <xf numFmtId="0" fontId="5" fillId="0" borderId="13" xfId="0" applyFont="1" applyBorder="1"/>
    <xf numFmtId="3" fontId="4" fillId="0" borderId="14" xfId="0" applyNumberFormat="1" applyFont="1" applyBorder="1"/>
    <xf numFmtId="3" fontId="4" fillId="0" borderId="15" xfId="0" applyNumberFormat="1" applyFont="1" applyBorder="1"/>
    <xf numFmtId="4" fontId="6" fillId="0" borderId="0" xfId="0" applyNumberFormat="1" applyFont="1" applyBorder="1"/>
    <xf numFmtId="0" fontId="6" fillId="0" borderId="0" xfId="0" applyFont="1" applyBorder="1"/>
    <xf numFmtId="4" fontId="4" fillId="0" borderId="0" xfId="0" applyNumberFormat="1" applyFont="1" applyBorder="1"/>
    <xf numFmtId="4" fontId="4" fillId="0" borderId="10" xfId="0" applyNumberFormat="1" applyFont="1" applyBorder="1"/>
    <xf numFmtId="4" fontId="5" fillId="0" borderId="0" xfId="0" applyNumberFormat="1" applyFont="1" applyBorder="1"/>
    <xf numFmtId="1" fontId="6" fillId="0" borderId="0" xfId="0" applyNumberFormat="1" applyFont="1" applyBorder="1"/>
    <xf numFmtId="1" fontId="5" fillId="3" borderId="12" xfId="0" applyNumberFormat="1" applyFont="1" applyFill="1" applyBorder="1"/>
    <xf numFmtId="1" fontId="10" fillId="0" borderId="0" xfId="0" applyNumberFormat="1" applyFont="1" applyBorder="1"/>
    <xf numFmtId="1" fontId="10" fillId="0" borderId="10" xfId="0" applyNumberFormat="1" applyFont="1" applyBorder="1"/>
    <xf numFmtId="0" fontId="4" fillId="0" borderId="13" xfId="0" applyFont="1" applyBorder="1"/>
    <xf numFmtId="1" fontId="4" fillId="0" borderId="14" xfId="0" applyNumberFormat="1" applyFont="1" applyBorder="1"/>
    <xf numFmtId="1" fontId="4" fillId="0" borderId="15" xfId="0" applyNumberFormat="1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167" fontId="4" fillId="0" borderId="0" xfId="0" applyNumberFormat="1" applyFont="1" applyBorder="1"/>
    <xf numFmtId="167" fontId="4" fillId="0" borderId="10" xfId="0" applyNumberFormat="1" applyFont="1" applyBorder="1"/>
    <xf numFmtId="0" fontId="4" fillId="0" borderId="14" xfId="0" applyFont="1" applyBorder="1"/>
    <xf numFmtId="9" fontId="6" fillId="0" borderId="0" xfId="0" applyNumberFormat="1" applyFont="1" applyBorder="1"/>
    <xf numFmtId="0" fontId="5" fillId="3" borderId="16" xfId="0" applyFont="1" applyFill="1" applyBorder="1"/>
    <xf numFmtId="3" fontId="5" fillId="3" borderId="17" xfId="0" applyNumberFormat="1" applyFont="1" applyFill="1" applyBorder="1"/>
    <xf numFmtId="3" fontId="5" fillId="3" borderId="18" xfId="0" applyNumberFormat="1" applyFont="1" applyFill="1" applyBorder="1"/>
    <xf numFmtId="0" fontId="5" fillId="3" borderId="19" xfId="0" applyFont="1" applyFill="1" applyBorder="1"/>
    <xf numFmtId="3" fontId="5" fillId="3" borderId="19" xfId="0" applyNumberFormat="1" applyFont="1" applyFill="1" applyBorder="1"/>
    <xf numFmtId="0" fontId="4" fillId="5" borderId="6" xfId="0" applyFont="1" applyFill="1" applyBorder="1"/>
    <xf numFmtId="0" fontId="4" fillId="0" borderId="0" xfId="0" applyFont="1" applyBorder="1" applyAlignment="1">
      <alignment horizontal="right"/>
    </xf>
    <xf numFmtId="3" fontId="4" fillId="4" borderId="0" xfId="0" applyNumberFormat="1" applyFont="1" applyFill="1" applyBorder="1"/>
    <xf numFmtId="3" fontId="4" fillId="4" borderId="10" xfId="0" applyNumberFormat="1" applyFont="1" applyFill="1" applyBorder="1"/>
    <xf numFmtId="1" fontId="4" fillId="4" borderId="0" xfId="0" applyNumberFormat="1" applyFont="1" applyFill="1" applyBorder="1"/>
    <xf numFmtId="1" fontId="4" fillId="4" borderId="10" xfId="0" applyNumberFormat="1" applyFont="1" applyFill="1" applyBorder="1"/>
    <xf numFmtId="1" fontId="4" fillId="4" borderId="14" xfId="0" applyNumberFormat="1" applyFont="1" applyFill="1" applyBorder="1"/>
    <xf numFmtId="1" fontId="4" fillId="4" borderId="15" xfId="0" applyNumberFormat="1" applyFont="1" applyFill="1" applyBorder="1"/>
    <xf numFmtId="0" fontId="4" fillId="4" borderId="0" xfId="0" applyFont="1" applyFill="1" applyBorder="1"/>
    <xf numFmtId="0" fontId="5" fillId="3" borderId="20" xfId="0" applyFont="1" applyFill="1" applyBorder="1"/>
    <xf numFmtId="3" fontId="5" fillId="3" borderId="21" xfId="0" applyNumberFormat="1" applyFont="1" applyFill="1" applyBorder="1"/>
    <xf numFmtId="3" fontId="5" fillId="3" borderId="22" xfId="0" applyNumberFormat="1" applyFont="1" applyFill="1" applyBorder="1"/>
    <xf numFmtId="0" fontId="5" fillId="0" borderId="0" xfId="0" applyFont="1" applyBorder="1"/>
    <xf numFmtId="0" fontId="5" fillId="0" borderId="14" xfId="0" applyFont="1" applyBorder="1"/>
    <xf numFmtId="9" fontId="5" fillId="0" borderId="14" xfId="1" applyFont="1" applyBorder="1"/>
    <xf numFmtId="1" fontId="5" fillId="0" borderId="14" xfId="1" applyNumberFormat="1" applyFont="1" applyBorder="1"/>
    <xf numFmtId="1" fontId="5" fillId="0" borderId="15" xfId="1" applyNumberFormat="1" applyFont="1" applyBorder="1"/>
    <xf numFmtId="9" fontId="4" fillId="0" borderId="0" xfId="0" applyNumberFormat="1" applyFont="1" applyBorder="1"/>
    <xf numFmtId="9" fontId="11" fillId="0" borderId="0" xfId="0" applyNumberFormat="1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9" fontId="11" fillId="0" borderId="30" xfId="0" applyNumberFormat="1" applyFont="1" applyBorder="1"/>
    <xf numFmtId="0" fontId="4" fillId="0" borderId="31" xfId="0" applyFont="1" applyBorder="1"/>
    <xf numFmtId="0" fontId="4" fillId="0" borderId="32" xfId="0" applyFont="1" applyBorder="1"/>
    <xf numFmtId="9" fontId="11" fillId="0" borderId="32" xfId="0" applyNumberFormat="1" applyFont="1" applyBorder="1"/>
    <xf numFmtId="9" fontId="11" fillId="0" borderId="33" xfId="0" applyNumberFormat="1" applyFont="1" applyBorder="1"/>
    <xf numFmtId="0" fontId="4" fillId="0" borderId="28" xfId="0" applyFont="1" applyBorder="1"/>
    <xf numFmtId="0" fontId="4" fillId="6" borderId="23" xfId="0" applyFont="1" applyFill="1" applyBorder="1"/>
    <xf numFmtId="0" fontId="4" fillId="0" borderId="23" xfId="0" applyFont="1" applyFill="1" applyBorder="1"/>
    <xf numFmtId="0" fontId="4" fillId="0" borderId="34" xfId="0" applyFont="1" applyBorder="1"/>
    <xf numFmtId="9" fontId="4" fillId="0" borderId="34" xfId="0" applyNumberFormat="1" applyFont="1" applyBorder="1"/>
    <xf numFmtId="9" fontId="4" fillId="0" borderId="25" xfId="0" applyNumberFormat="1" applyFont="1" applyBorder="1"/>
    <xf numFmtId="0" fontId="4" fillId="0" borderId="24" xfId="0" applyFont="1" applyBorder="1"/>
    <xf numFmtId="3" fontId="4" fillId="0" borderId="30" xfId="0" applyNumberFormat="1" applyFont="1" applyBorder="1"/>
    <xf numFmtId="0" fontId="5" fillId="3" borderId="35" xfId="0" applyFont="1" applyFill="1" applyBorder="1"/>
    <xf numFmtId="3" fontId="5" fillId="3" borderId="36" xfId="0" applyNumberFormat="1" applyFont="1" applyFill="1" applyBorder="1"/>
    <xf numFmtId="0" fontId="5" fillId="3" borderId="36" xfId="0" applyFont="1" applyFill="1" applyBorder="1"/>
    <xf numFmtId="1" fontId="5" fillId="3" borderId="36" xfId="0" applyNumberFormat="1" applyFont="1" applyFill="1" applyBorder="1"/>
    <xf numFmtId="2" fontId="4" fillId="0" borderId="0" xfId="0" applyNumberFormat="1" applyFont="1" applyBorder="1"/>
    <xf numFmtId="4" fontId="4" fillId="0" borderId="30" xfId="0" applyNumberFormat="1" applyFont="1" applyBorder="1"/>
    <xf numFmtId="9" fontId="4" fillId="0" borderId="0" xfId="1" applyFont="1" applyBorder="1"/>
    <xf numFmtId="9" fontId="6" fillId="0" borderId="30" xfId="0" applyNumberFormat="1" applyFont="1" applyBorder="1"/>
    <xf numFmtId="0" fontId="6" fillId="0" borderId="30" xfId="0" applyFont="1" applyBorder="1"/>
    <xf numFmtId="0" fontId="6" fillId="0" borderId="32" xfId="0" applyFont="1" applyBorder="1"/>
    <xf numFmtId="0" fontId="6" fillId="0" borderId="33" xfId="0" applyFont="1" applyBorder="1"/>
    <xf numFmtId="166" fontId="7" fillId="0" borderId="0" xfId="1" applyNumberFormat="1" applyFont="1" applyBorder="1"/>
    <xf numFmtId="166" fontId="4" fillId="0" borderId="0" xfId="0" applyNumberFormat="1" applyFont="1" applyBorder="1"/>
    <xf numFmtId="166" fontId="4" fillId="0" borderId="30" xfId="0" applyNumberFormat="1" applyFont="1" applyBorder="1"/>
    <xf numFmtId="1" fontId="4" fillId="0" borderId="30" xfId="0" applyNumberFormat="1" applyFont="1" applyBorder="1"/>
    <xf numFmtId="0" fontId="5" fillId="0" borderId="29" xfId="0" applyFont="1" applyBorder="1"/>
    <xf numFmtId="3" fontId="5" fillId="0" borderId="30" xfId="0" applyNumberFormat="1" applyFont="1" applyBorder="1"/>
    <xf numFmtId="166" fontId="4" fillId="0" borderId="0" xfId="1" applyNumberFormat="1" applyFont="1" applyBorder="1"/>
    <xf numFmtId="166" fontId="6" fillId="0" borderId="0" xfId="0" applyNumberFormat="1" applyFont="1" applyBorder="1"/>
    <xf numFmtId="166" fontId="6" fillId="0" borderId="30" xfId="0" applyNumberFormat="1" applyFont="1" applyBorder="1"/>
    <xf numFmtId="9" fontId="4" fillId="0" borderId="30" xfId="0" applyNumberFormat="1" applyFont="1" applyBorder="1"/>
    <xf numFmtId="9" fontId="4" fillId="0" borderId="32" xfId="1" applyFont="1" applyBorder="1"/>
    <xf numFmtId="9" fontId="4" fillId="0" borderId="32" xfId="0" applyNumberFormat="1" applyFont="1" applyBorder="1"/>
    <xf numFmtId="9" fontId="4" fillId="0" borderId="33" xfId="0" applyNumberFormat="1" applyFont="1" applyBorder="1"/>
    <xf numFmtId="4" fontId="7" fillId="0" borderId="0" xfId="0" applyNumberFormat="1" applyFont="1" applyBorder="1"/>
    <xf numFmtId="4" fontId="7" fillId="0" borderId="10" xfId="0" applyNumberFormat="1" applyFont="1" applyBorder="1"/>
    <xf numFmtId="0" fontId="5" fillId="0" borderId="37" xfId="0" applyFont="1" applyBorder="1"/>
    <xf numFmtId="0" fontId="5" fillId="3" borderId="38" xfId="0" applyFont="1" applyFill="1" applyBorder="1"/>
    <xf numFmtId="0" fontId="5" fillId="3" borderId="39" xfId="0" applyFont="1" applyFill="1" applyBorder="1"/>
    <xf numFmtId="1" fontId="5" fillId="3" borderId="39" xfId="0" applyNumberFormat="1" applyFont="1" applyFill="1" applyBorder="1"/>
    <xf numFmtId="1" fontId="5" fillId="3" borderId="40" xfId="0" applyNumberFormat="1" applyFont="1" applyFill="1" applyBorder="1"/>
    <xf numFmtId="0" fontId="4" fillId="0" borderId="41" xfId="0" applyFont="1" applyBorder="1"/>
    <xf numFmtId="0" fontId="4" fillId="0" borderId="42" xfId="0" applyFont="1" applyBorder="1"/>
    <xf numFmtId="3" fontId="5" fillId="0" borderId="0" xfId="1" applyNumberFormat="1" applyFont="1"/>
    <xf numFmtId="168" fontId="4" fillId="0" borderId="0" xfId="0" applyNumberFormat="1" applyFont="1" applyBorder="1"/>
    <xf numFmtId="169" fontId="4" fillId="0" borderId="0" xfId="0" applyNumberFormat="1" applyFont="1" applyBorder="1"/>
    <xf numFmtId="0" fontId="4" fillId="0" borderId="1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9" fontId="0" fillId="0" borderId="0" xfId="1" applyFont="1" applyBorder="1"/>
    <xf numFmtId="3" fontId="0" fillId="0" borderId="0" xfId="0" applyNumberFormat="1" applyBorder="1"/>
    <xf numFmtId="3" fontId="11" fillId="0" borderId="0" xfId="0" applyNumberFormat="1" applyFont="1" applyBorder="1"/>
    <xf numFmtId="1" fontId="5" fillId="0" borderId="0" xfId="0" applyNumberFormat="1" applyFont="1" applyBorder="1"/>
    <xf numFmtId="1" fontId="5" fillId="0" borderId="10" xfId="0" applyNumberFormat="1" applyFont="1" applyBorder="1"/>
    <xf numFmtId="167" fontId="0" fillId="0" borderId="14" xfId="0" applyNumberFormat="1" applyBorder="1"/>
    <xf numFmtId="9" fontId="4" fillId="0" borderId="8" xfId="1" applyFont="1" applyBorder="1"/>
    <xf numFmtId="9" fontId="4" fillId="0" borderId="15" xfId="1" applyFont="1" applyBorder="1"/>
    <xf numFmtId="3" fontId="9" fillId="0" borderId="7" xfId="0" applyNumberFormat="1" applyFont="1" applyBorder="1"/>
    <xf numFmtId="3" fontId="9" fillId="0" borderId="8" xfId="0" applyNumberFormat="1" applyFont="1" applyBorder="1"/>
    <xf numFmtId="9" fontId="7" fillId="0" borderId="0" xfId="1" applyFont="1" applyBorder="1"/>
    <xf numFmtId="9" fontId="6" fillId="0" borderId="10" xfId="0" applyNumberFormat="1" applyFont="1" applyBorder="1"/>
    <xf numFmtId="9" fontId="4" fillId="0" borderId="14" xfId="1" applyFont="1" applyBorder="1"/>
    <xf numFmtId="9" fontId="4" fillId="0" borderId="14" xfId="0" applyNumberFormat="1" applyFont="1" applyBorder="1"/>
    <xf numFmtId="9" fontId="4" fillId="0" borderId="15" xfId="0" applyNumberFormat="1" applyFont="1" applyBorder="1"/>
    <xf numFmtId="0" fontId="4" fillId="0" borderId="43" xfId="0" applyFont="1" applyBorder="1"/>
    <xf numFmtId="3" fontId="5" fillId="0" borderId="14" xfId="0" applyNumberFormat="1" applyFont="1" applyBorder="1"/>
    <xf numFmtId="3" fontId="5" fillId="0" borderId="15" xfId="0" applyNumberFormat="1" applyFont="1" applyBorder="1"/>
    <xf numFmtId="3" fontId="5" fillId="3" borderId="1" xfId="0" applyNumberFormat="1" applyFont="1" applyFill="1" applyBorder="1" applyAlignment="1">
      <alignment horizontal="center"/>
    </xf>
    <xf numFmtId="0" fontId="12" fillId="8" borderId="0" xfId="0" applyFont="1" applyFill="1"/>
    <xf numFmtId="10" fontId="4" fillId="8" borderId="0" xfId="0" applyNumberFormat="1" applyFont="1" applyFill="1"/>
    <xf numFmtId="0" fontId="4" fillId="8" borderId="0" xfId="0" applyFont="1" applyFill="1"/>
    <xf numFmtId="2" fontId="4" fillId="0" borderId="0" xfId="0" applyNumberFormat="1" applyFont="1"/>
    <xf numFmtId="43" fontId="5" fillId="0" borderId="0" xfId="2" applyFont="1"/>
    <xf numFmtId="2" fontId="5" fillId="0" borderId="0" xfId="0" applyNumberFormat="1" applyFont="1"/>
    <xf numFmtId="0" fontId="5" fillId="8" borderId="11" xfId="0" applyFont="1" applyFill="1" applyBorder="1"/>
    <xf numFmtId="10" fontId="5" fillId="8" borderId="12" xfId="1" applyNumberFormat="1" applyFont="1" applyFill="1" applyBorder="1"/>
    <xf numFmtId="10" fontId="4" fillId="0" borderId="0" xfId="0" applyNumberFormat="1" applyFont="1"/>
    <xf numFmtId="192" fontId="5" fillId="0" borderId="0" xfId="2" applyNumberFormat="1" applyFont="1"/>
    <xf numFmtId="192" fontId="4" fillId="0" borderId="0" xfId="2" applyNumberFormat="1" applyFont="1"/>
    <xf numFmtId="192" fontId="4" fillId="8" borderId="0" xfId="2" applyNumberFormat="1" applyFont="1" applyFill="1"/>
    <xf numFmtId="0" fontId="0" fillId="8" borderId="0" xfId="0" applyFill="1"/>
    <xf numFmtId="9" fontId="0" fillId="8" borderId="0" xfId="0" applyNumberFormat="1" applyFill="1"/>
    <xf numFmtId="43" fontId="4" fillId="0" borderId="0" xfId="0" applyNumberFormat="1" applyFont="1"/>
    <xf numFmtId="192" fontId="4" fillId="0" borderId="0" xfId="0" applyNumberFormat="1" applyFont="1"/>
    <xf numFmtId="0" fontId="5" fillId="3" borderId="11" xfId="0" applyFont="1" applyFill="1" applyBorder="1" applyAlignment="1">
      <alignment horizontal="center"/>
    </xf>
    <xf numFmtId="166" fontId="4" fillId="8" borderId="0" xfId="0" applyNumberFormat="1" applyFont="1" applyFill="1"/>
    <xf numFmtId="0" fontId="5" fillId="8" borderId="1" xfId="0" applyFont="1" applyFill="1" applyBorder="1"/>
    <xf numFmtId="166" fontId="4" fillId="8" borderId="1" xfId="0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IS!$B$9</c:f>
              <c:strCache>
                <c:ptCount val="1"/>
                <c:pt idx="0">
                  <c:v>Total Revenues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erial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IS!$C$3:$J$3</c:f>
              <c:numCache>
                <c:formatCode>0\ "A"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 formatCode="0\ &quot;E&quot;">
                  <c:v>2024</c:v>
                </c:pt>
                <c:pt idx="4" formatCode="0\ &quot;E&quot;">
                  <c:v>2025</c:v>
                </c:pt>
                <c:pt idx="5" formatCode="0\ &quot;E&quot;">
                  <c:v>2026</c:v>
                </c:pt>
                <c:pt idx="6" formatCode="0\ &quot;E&quot;">
                  <c:v>2027</c:v>
                </c:pt>
                <c:pt idx="7" formatCode="0\ &quot;E&quot;">
                  <c:v>2028</c:v>
                </c:pt>
              </c:numCache>
            </c:numRef>
          </c:cat>
          <c:val>
            <c:numRef>
              <c:f>IS!$C$9:$J$9</c:f>
              <c:numCache>
                <c:formatCode>#,##0</c:formatCode>
                <c:ptCount val="8"/>
                <c:pt idx="0">
                  <c:v>23222.899999999998</c:v>
                </c:pt>
                <c:pt idx="1">
                  <c:v>23182.6</c:v>
                </c:pt>
                <c:pt idx="2">
                  <c:v>25493.699999999997</c:v>
                </c:pt>
                <c:pt idx="3">
                  <c:v>28750.651183640883</c:v>
                </c:pt>
                <c:pt idx="4">
                  <c:v>32479.939076878003</c:v>
                </c:pt>
                <c:pt idx="5">
                  <c:v>36782.28553948598</c:v>
                </c:pt>
                <c:pt idx="6">
                  <c:v>41747.79293528066</c:v>
                </c:pt>
                <c:pt idx="7">
                  <c:v>47480.877081468563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1-47C9-86A1-1A0469AAECED}"/>
            </c:ext>
          </c:extLst>
        </c:ser>
        <c:ser>
          <c:idx val="1"/>
          <c:order val="1"/>
          <c:tx>
            <c:strRef>
              <c:f>IS!$B$27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erial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IS!$C$3:$J$3</c:f>
              <c:numCache>
                <c:formatCode>0\ "A"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 formatCode="0\ &quot;E&quot;">
                  <c:v>2024</c:v>
                </c:pt>
                <c:pt idx="4" formatCode="0\ &quot;E&quot;">
                  <c:v>2025</c:v>
                </c:pt>
                <c:pt idx="5" formatCode="0\ &quot;E&quot;">
                  <c:v>2026</c:v>
                </c:pt>
                <c:pt idx="6" formatCode="0\ &quot;E&quot;">
                  <c:v>2027</c:v>
                </c:pt>
                <c:pt idx="7" formatCode="0\ &quot;E&quot;">
                  <c:v>2028</c:v>
                </c:pt>
              </c:numCache>
            </c:numRef>
          </c:cat>
          <c:val>
            <c:numRef>
              <c:f>IS!$C$27:$J$27</c:f>
              <c:numCache>
                <c:formatCode>#,##0</c:formatCode>
                <c:ptCount val="8"/>
                <c:pt idx="0">
                  <c:v>7545.1999999999962</c:v>
                </c:pt>
                <c:pt idx="1">
                  <c:v>6177.3999999999978</c:v>
                </c:pt>
                <c:pt idx="2">
                  <c:v>8468.7999999999956</c:v>
                </c:pt>
                <c:pt idx="3">
                  <c:v>11215.338805977122</c:v>
                </c:pt>
                <c:pt idx="4">
                  <c:v>12544.218093655418</c:v>
                </c:pt>
                <c:pt idx="5">
                  <c:v>13953.346666507929</c:v>
                </c:pt>
                <c:pt idx="6">
                  <c:v>15509.127547936831</c:v>
                </c:pt>
                <c:pt idx="7">
                  <c:v>17227.976890837424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1-47C9-86A1-1A0469AAEC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7338144"/>
        <c:axId val="27338624"/>
      </c:barChart>
      <c:catAx>
        <c:axId val="273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\ 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/>
                </a:solidFill>
                <a:latin typeface="Aerial"/>
                <a:ea typeface="+mn-ea"/>
                <a:cs typeface="+mn-cs"/>
              </a:defRPr>
            </a:pPr>
            <a:endParaRPr lang="en-US"/>
          </a:p>
        </c:txPr>
        <c:crossAx val="27338624"/>
        <c:crosses val="autoZero"/>
        <c:auto val="1"/>
        <c:lblAlgn val="ctr"/>
        <c:lblOffset val="100"/>
        <c:noMultiLvlLbl val="0"/>
      </c:catAx>
      <c:valAx>
        <c:axId val="2733862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73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erial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Revenue!$B$6</c:f>
              <c:strCache>
                <c:ptCount val="1"/>
                <c:pt idx="0">
                  <c:v>Company-operated sales: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erial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Revenue!$C$3:$J$3</c:f>
              <c:numCache>
                <c:formatCode>0\ "A"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 formatCode="0\ &quot;E&quot;">
                  <c:v>2024</c:v>
                </c:pt>
                <c:pt idx="4" formatCode="0\ &quot;E&quot;">
                  <c:v>2025</c:v>
                </c:pt>
                <c:pt idx="5" formatCode="0\ &quot;E&quot;">
                  <c:v>2026</c:v>
                </c:pt>
                <c:pt idx="6" formatCode="0\ &quot;E&quot;">
                  <c:v>2027</c:v>
                </c:pt>
                <c:pt idx="7" formatCode="0\ &quot;E&quot;">
                  <c:v>2028</c:v>
                </c:pt>
              </c:numCache>
            </c:numRef>
          </c:cat>
          <c:val>
            <c:numRef>
              <c:f>Revenue!$C$10:$J$10</c:f>
              <c:numCache>
                <c:formatCode>#,##0</c:formatCode>
                <c:ptCount val="8"/>
                <c:pt idx="0">
                  <c:v>9788</c:v>
                </c:pt>
                <c:pt idx="1">
                  <c:v>8748</c:v>
                </c:pt>
                <c:pt idx="2">
                  <c:v>9742</c:v>
                </c:pt>
                <c:pt idx="3">
                  <c:v>11705.314100421409</c:v>
                </c:pt>
                <c:pt idx="4">
                  <c:v>14059.28171554341</c:v>
                </c:pt>
                <c:pt idx="5">
                  <c:v>16876.677947734035</c:v>
                </c:pt>
                <c:pt idx="6">
                  <c:v>20241.378283370486</c:v>
                </c:pt>
                <c:pt idx="7">
                  <c:v>24248.947562085214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0-4FAA-BE7C-D0A7CAB2A96D}"/>
            </c:ext>
          </c:extLst>
        </c:ser>
        <c:ser>
          <c:idx val="1"/>
          <c:order val="1"/>
          <c:tx>
            <c:strRef>
              <c:f>Revenue!$B$11</c:f>
              <c:strCache>
                <c:ptCount val="1"/>
                <c:pt idx="0">
                  <c:v>Franchised revenues: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erial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Revenue!$C$3:$J$3</c:f>
              <c:numCache>
                <c:formatCode>0\ "A"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 formatCode="0\ &quot;E&quot;">
                  <c:v>2024</c:v>
                </c:pt>
                <c:pt idx="4" formatCode="0\ &quot;E&quot;">
                  <c:v>2025</c:v>
                </c:pt>
                <c:pt idx="5" formatCode="0\ &quot;E&quot;">
                  <c:v>2026</c:v>
                </c:pt>
                <c:pt idx="6" formatCode="0\ &quot;E&quot;">
                  <c:v>2027</c:v>
                </c:pt>
                <c:pt idx="7" formatCode="0\ &quot;E&quot;">
                  <c:v>2028</c:v>
                </c:pt>
              </c:numCache>
            </c:numRef>
          </c:cat>
          <c:val>
            <c:numRef>
              <c:f>Revenue!$C$15:$J$15</c:f>
              <c:numCache>
                <c:formatCode>#,##0</c:formatCode>
                <c:ptCount val="8"/>
                <c:pt idx="0">
                  <c:v>13085</c:v>
                </c:pt>
                <c:pt idx="1">
                  <c:v>14106</c:v>
                </c:pt>
                <c:pt idx="2">
                  <c:v>15436</c:v>
                </c:pt>
                <c:pt idx="3">
                  <c:v>16713.337083219474</c:v>
                </c:pt>
                <c:pt idx="4">
                  <c:v>18090.657361334594</c:v>
                </c:pt>
                <c:pt idx="5">
                  <c:v>19575.607591751948</c:v>
                </c:pt>
                <c:pt idx="6">
                  <c:v>21176.414651910174</c:v>
                </c:pt>
                <c:pt idx="7">
                  <c:v>22901.92951938335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0-4FAA-BE7C-D0A7CAB2A9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19724127"/>
        <c:axId val="1119724607"/>
      </c:barChart>
      <c:catAx>
        <c:axId val="111972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\ 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erial"/>
                <a:ea typeface="+mn-ea"/>
                <a:cs typeface="+mn-cs"/>
              </a:defRPr>
            </a:pPr>
            <a:endParaRPr lang="en-US"/>
          </a:p>
        </c:txPr>
        <c:crossAx val="1119724607"/>
        <c:crosses val="autoZero"/>
        <c:auto val="1"/>
        <c:lblAlgn val="ctr"/>
        <c:lblOffset val="100"/>
        <c:noMultiLvlLbl val="0"/>
      </c:catAx>
      <c:valAx>
        <c:axId val="111972460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11972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erial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e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RATIOS!$B$16</c:f>
              <c:strCache>
                <c:ptCount val="1"/>
                <c:pt idx="0">
                  <c:v>Return on Assets</c:v>
                </c:pt>
              </c:strCache>
            </c:strRef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RATIOS!$C$3:$J$3</c:f>
              <c:numCache>
                <c:formatCode>0\ "A"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 formatCode="0\ &quot;E&quot;">
                  <c:v>2024</c:v>
                </c:pt>
                <c:pt idx="4" formatCode="0\ &quot;E&quot;">
                  <c:v>2025</c:v>
                </c:pt>
                <c:pt idx="5" formatCode="0\ &quot;E&quot;">
                  <c:v>2026</c:v>
                </c:pt>
                <c:pt idx="6" formatCode="0\ &quot;E&quot;">
                  <c:v>2027</c:v>
                </c:pt>
                <c:pt idx="7" formatCode="0\ &quot;E&quot;">
                  <c:v>2028</c:v>
                </c:pt>
              </c:numCache>
            </c:numRef>
          </c:cat>
          <c:val>
            <c:numRef>
              <c:f>RATIOS!$C$16:$J$16</c:f>
              <c:numCache>
                <c:formatCode>0%</c:formatCode>
                <c:ptCount val="8"/>
                <c:pt idx="0">
                  <c:v>0.14010394713142676</c:v>
                </c:pt>
                <c:pt idx="1">
                  <c:v>0.11846593006609457</c:v>
                </c:pt>
                <c:pt idx="2">
                  <c:v>0.1589155432791905</c:v>
                </c:pt>
                <c:pt idx="3">
                  <c:v>0.20339220061846369</c:v>
                </c:pt>
                <c:pt idx="4">
                  <c:v>0.22783030800435752</c:v>
                </c:pt>
                <c:pt idx="5">
                  <c:v>0.24435706071147373</c:v>
                </c:pt>
                <c:pt idx="6">
                  <c:v>0.26040812510559103</c:v>
                </c:pt>
                <c:pt idx="7">
                  <c:v>0.27572135622658944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4-4295-B84F-77FC3E665640}"/>
            </c:ext>
          </c:extLst>
        </c:ser>
        <c:ser>
          <c:idx val="1"/>
          <c:order val="1"/>
          <c:tx>
            <c:strRef>
              <c:f>RATIOS!$B$17</c:f>
              <c:strCache>
                <c:ptCount val="1"/>
                <c:pt idx="0">
                  <c:v>Return on Capital Employed</c:v>
                </c:pt>
              </c:strCache>
            </c:strRef>
          </c:tx>
          <c:spPr>
            <a:ln w="317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RATIOS!$C$3:$J$3</c:f>
              <c:numCache>
                <c:formatCode>0\ "A"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 formatCode="0\ &quot;E&quot;">
                  <c:v>2024</c:v>
                </c:pt>
                <c:pt idx="4" formatCode="0\ &quot;E&quot;">
                  <c:v>2025</c:v>
                </c:pt>
                <c:pt idx="5" formatCode="0\ &quot;E&quot;">
                  <c:v>2026</c:v>
                </c:pt>
                <c:pt idx="6" formatCode="0\ &quot;E&quot;">
                  <c:v>2027</c:v>
                </c:pt>
                <c:pt idx="7" formatCode="0\ &quot;E&quot;">
                  <c:v>2028</c:v>
                </c:pt>
              </c:numCache>
            </c:numRef>
          </c:cat>
          <c:val>
            <c:numRef>
              <c:f>RATIOS!$C$17:$J$17</c:f>
              <c:numCache>
                <c:formatCode>0%</c:formatCode>
                <c:ptCount val="8"/>
                <c:pt idx="1">
                  <c:v>0.20780867795875524</c:v>
                </c:pt>
                <c:pt idx="2">
                  <c:v>0.20094996086504333</c:v>
                </c:pt>
                <c:pt idx="3">
                  <c:v>0.23629985513656512</c:v>
                </c:pt>
                <c:pt idx="4">
                  <c:v>0.31410284950652639</c:v>
                </c:pt>
                <c:pt idx="5">
                  <c:v>0.33315757447192329</c:v>
                </c:pt>
                <c:pt idx="6">
                  <c:v>0.35161635300320926</c:v>
                </c:pt>
                <c:pt idx="7">
                  <c:v>0.36934374321207669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4-4295-B84F-77FC3E6656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5957359"/>
        <c:axId val="1265958319"/>
      </c:lineChart>
      <c:catAx>
        <c:axId val="1265957359"/>
        <c:scaling>
          <c:orientation val="minMax"/>
        </c:scaling>
        <c:delete val="0"/>
        <c:axPos val="b"/>
        <c:numFmt formatCode="0\ &quot;A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erial"/>
                <a:ea typeface="+mn-ea"/>
                <a:cs typeface="+mn-cs"/>
              </a:defRPr>
            </a:pPr>
            <a:endParaRPr lang="en-US"/>
          </a:p>
        </c:txPr>
        <c:crossAx val="1265958319"/>
        <c:crosses val="autoZero"/>
        <c:auto val="1"/>
        <c:lblAlgn val="ctr"/>
        <c:lblOffset val="100"/>
        <c:noMultiLvlLbl val="0"/>
      </c:catAx>
      <c:valAx>
        <c:axId val="12659583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6595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erial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RATIOS!$B$13</c:f>
              <c:strCache>
                <c:ptCount val="1"/>
                <c:pt idx="0">
                  <c:v>Operating Profit Margin</c:v>
                </c:pt>
              </c:strCache>
            </c:strRef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RATIOS!$C$3:$J$3</c:f>
              <c:numCache>
                <c:formatCode>0\ "A"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 formatCode="0\ &quot;E&quot;">
                  <c:v>2024</c:v>
                </c:pt>
                <c:pt idx="4" formatCode="0\ &quot;E&quot;">
                  <c:v>2025</c:v>
                </c:pt>
                <c:pt idx="5" formatCode="0\ &quot;E&quot;">
                  <c:v>2026</c:v>
                </c:pt>
                <c:pt idx="6" formatCode="0\ &quot;E&quot;">
                  <c:v>2027</c:v>
                </c:pt>
                <c:pt idx="7" formatCode="0\ &quot;E&quot;">
                  <c:v>2028</c:v>
                </c:pt>
              </c:numCache>
            </c:numRef>
          </c:cat>
          <c:val>
            <c:numRef>
              <c:f>RATIOS!$C$13:$J$13</c:f>
              <c:numCache>
                <c:formatCode>0%</c:formatCode>
                <c:ptCount val="8"/>
                <c:pt idx="0">
                  <c:v>0.44593913766153226</c:v>
                </c:pt>
                <c:pt idx="1">
                  <c:v>0.40422558298033867</c:v>
                </c:pt>
                <c:pt idx="2">
                  <c:v>0.45684620121834008</c:v>
                </c:pt>
                <c:pt idx="3">
                  <c:v>0.53880860452451673</c:v>
                </c:pt>
                <c:pt idx="4">
                  <c:v>0.52260004853531228</c:v>
                </c:pt>
                <c:pt idx="5">
                  <c:v>0.50599053103801028</c:v>
                </c:pt>
                <c:pt idx="6">
                  <c:v>0.48922475732520904</c:v>
                </c:pt>
                <c:pt idx="7">
                  <c:v>0.47243922184362869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1-4CEA-86A7-C7B07A7F3B5F}"/>
            </c:ext>
          </c:extLst>
        </c:ser>
        <c:ser>
          <c:idx val="1"/>
          <c:order val="1"/>
          <c:tx>
            <c:strRef>
              <c:f>RATIOS!$B$14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17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RATIOS!$C$3:$J$3</c:f>
              <c:numCache>
                <c:formatCode>0\ "A"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 formatCode="0\ &quot;E&quot;">
                  <c:v>2024</c:v>
                </c:pt>
                <c:pt idx="4" formatCode="0\ &quot;E&quot;">
                  <c:v>2025</c:v>
                </c:pt>
                <c:pt idx="5" formatCode="0\ &quot;E&quot;">
                  <c:v>2026</c:v>
                </c:pt>
                <c:pt idx="6" formatCode="0\ &quot;E&quot;">
                  <c:v>2027</c:v>
                </c:pt>
                <c:pt idx="7" formatCode="0\ &quot;E&quot;">
                  <c:v>2028</c:v>
                </c:pt>
              </c:numCache>
            </c:numRef>
          </c:cat>
          <c:val>
            <c:numRef>
              <c:f>RATIOS!$C$14:$J$14</c:f>
              <c:numCache>
                <c:formatCode>0%</c:formatCode>
                <c:ptCount val="8"/>
                <c:pt idx="0">
                  <c:v>0.32490343583273396</c:v>
                </c:pt>
                <c:pt idx="1">
                  <c:v>0.26646709169808386</c:v>
                </c:pt>
                <c:pt idx="2">
                  <c:v>0.33219187485535628</c:v>
                </c:pt>
                <c:pt idx="3">
                  <c:v>0.39008990559346529</c:v>
                </c:pt>
                <c:pt idx="4">
                  <c:v>0.38621433568468311</c:v>
                </c:pt>
                <c:pt idx="5">
                  <c:v>0.37934963697481322</c:v>
                </c:pt>
                <c:pt idx="6">
                  <c:v>0.37149574761903675</c:v>
                </c:pt>
                <c:pt idx="7">
                  <c:v>0.36284032540673888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1-4CEA-86A7-C7B07A7F3B5F}"/>
            </c:ext>
          </c:extLst>
        </c:ser>
        <c:ser>
          <c:idx val="2"/>
          <c:order val="2"/>
          <c:tx>
            <c:strRef>
              <c:f>RATIOS!$B$15</c:f>
              <c:strCache>
                <c:ptCount val="1"/>
                <c:pt idx="0">
                  <c:v>Pretax Margin</c:v>
                </c:pt>
              </c:strCache>
            </c:strRef>
          </c:tx>
          <c:spPr>
            <a:ln w="317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RATIOS!$C$3:$J$3</c:f>
              <c:numCache>
                <c:formatCode>0\ "A"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 formatCode="0\ &quot;E&quot;">
                  <c:v>2024</c:v>
                </c:pt>
                <c:pt idx="4" formatCode="0\ &quot;E&quot;">
                  <c:v>2025</c:v>
                </c:pt>
                <c:pt idx="5" formatCode="0\ &quot;E&quot;">
                  <c:v>2026</c:v>
                </c:pt>
                <c:pt idx="6" formatCode="0\ &quot;E&quot;">
                  <c:v>2027</c:v>
                </c:pt>
                <c:pt idx="7" formatCode="0\ &quot;E&quot;">
                  <c:v>2028</c:v>
                </c:pt>
              </c:numCache>
            </c:numRef>
          </c:cat>
          <c:val>
            <c:numRef>
              <c:f>RATIOS!$C$15:$J$15</c:f>
              <c:numCache>
                <c:formatCode>0%</c:formatCode>
                <c:ptCount val="8"/>
                <c:pt idx="0">
                  <c:v>0.39305599214568365</c:v>
                </c:pt>
                <c:pt idx="1">
                  <c:v>0.33755489030566022</c:v>
                </c:pt>
                <c:pt idx="2">
                  <c:v>0.41273726450064119</c:v>
                </c:pt>
                <c:pt idx="3">
                  <c:v>0.49378469062463953</c:v>
                </c:pt>
                <c:pt idx="4">
                  <c:v>0.48887890592997868</c:v>
                </c:pt>
                <c:pt idx="5">
                  <c:v>0.48018941389216863</c:v>
                </c:pt>
                <c:pt idx="6">
                  <c:v>0.47024778179624904</c:v>
                </c:pt>
                <c:pt idx="7">
                  <c:v>0.45929155114777076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1-4CEA-86A7-C7B07A7F3B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563631"/>
        <c:axId val="1280555951"/>
      </c:lineChart>
      <c:catAx>
        <c:axId val="1280563631"/>
        <c:scaling>
          <c:orientation val="minMax"/>
        </c:scaling>
        <c:delete val="0"/>
        <c:axPos val="b"/>
        <c:numFmt formatCode="0\ &quot;A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erial"/>
                <a:ea typeface="+mn-ea"/>
                <a:cs typeface="+mn-cs"/>
              </a:defRPr>
            </a:pPr>
            <a:endParaRPr lang="en-US"/>
          </a:p>
        </c:txPr>
        <c:crossAx val="1280555951"/>
        <c:crosses val="autoZero"/>
        <c:auto val="1"/>
        <c:lblAlgn val="ctr"/>
        <c:lblOffset val="100"/>
        <c:noMultiLvlLbl val="0"/>
      </c:catAx>
      <c:valAx>
        <c:axId val="1280555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805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3.3333318751829065E-2"/>
          <c:w val="1"/>
          <c:h val="0.20606290198473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erial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30279965004374454"/>
          <c:w val="0.81388888888888888"/>
          <c:h val="0.5747947652376785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C9A-4C6B-B88E-A3ADB6A8F0A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C9A-4C6B-B88E-A3ADB6A8F0A7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9A-4C6B-B88E-A3ADB6A8F0A7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9A-4C6B-B88E-A3ADB6A8F0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erial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Revenue!$B$74:$B$75</c:f>
              <c:strCache>
                <c:ptCount val="2"/>
                <c:pt idx="0">
                  <c:v>Company-operated Revenue (Worldwide)</c:v>
                </c:pt>
                <c:pt idx="1">
                  <c:v>Franchised Revenues (Worldwide)</c:v>
                </c:pt>
              </c:strCache>
            </c:strRef>
          </c:cat>
          <c:val>
            <c:numRef>
              <c:f>Revenue!$C$74:$C$75</c:f>
              <c:numCache>
                <c:formatCode>0%</c:formatCode>
                <c:ptCount val="2"/>
                <c:pt idx="0">
                  <c:v>0.44994952715916997</c:v>
                </c:pt>
                <c:pt idx="1">
                  <c:v>0.55005047284083008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9A-4C6B-B88E-A3ADB6A8F0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erial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RATIOS!$B$7</c:f>
              <c:strCache>
                <c:ptCount val="1"/>
                <c:pt idx="0">
                  <c:v>Current Ratio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RATIOS!$D$3:$J$3</c:f>
              <c:numCache>
                <c:formatCode>0\ "A"</c:formatCode>
                <c:ptCount val="7"/>
                <c:pt idx="0">
                  <c:v>2022</c:v>
                </c:pt>
                <c:pt idx="1">
                  <c:v>2023</c:v>
                </c:pt>
                <c:pt idx="2" formatCode="0\ &quot;E&quot;">
                  <c:v>2024</c:v>
                </c:pt>
                <c:pt idx="3" formatCode="0\ &quot;E&quot;">
                  <c:v>2025</c:v>
                </c:pt>
                <c:pt idx="4" formatCode="0\ &quot;E&quot;">
                  <c:v>2026</c:v>
                </c:pt>
                <c:pt idx="5" formatCode="0\ &quot;E&quot;">
                  <c:v>2027</c:v>
                </c:pt>
                <c:pt idx="6" formatCode="0\ &quot;E&quot;">
                  <c:v>2028</c:v>
                </c:pt>
              </c:numCache>
            </c:numRef>
          </c:cat>
          <c:val>
            <c:numRef>
              <c:f>RATIOS!$D$7:$J$7</c:f>
              <c:numCache>
                <c:formatCode>.0\2\X</c:formatCode>
                <c:ptCount val="7"/>
                <c:pt idx="0">
                  <c:v>1.4266326503774229</c:v>
                </c:pt>
                <c:pt idx="1">
                  <c:v>1.1643679836710892</c:v>
                </c:pt>
                <c:pt idx="2">
                  <c:v>1.0181191312954396</c:v>
                </c:pt>
                <c:pt idx="3">
                  <c:v>1.0793560172070304</c:v>
                </c:pt>
                <c:pt idx="4">
                  <c:v>1.1424096732326099</c:v>
                </c:pt>
                <c:pt idx="5">
                  <c:v>1.2064593851602188</c:v>
                </c:pt>
                <c:pt idx="6">
                  <c:v>1.2706260325870911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0-43AA-9655-9FF6617CFE9F}"/>
            </c:ext>
          </c:extLst>
        </c:ser>
        <c:ser>
          <c:idx val="1"/>
          <c:order val="1"/>
          <c:tx>
            <c:strRef>
              <c:f>RATIOS!$B$8</c:f>
              <c:strCache>
                <c:ptCount val="1"/>
                <c:pt idx="0">
                  <c:v>Quick Ratio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RATIOS!$D$3:$J$3</c:f>
              <c:numCache>
                <c:formatCode>0\ "A"</c:formatCode>
                <c:ptCount val="7"/>
                <c:pt idx="0">
                  <c:v>2022</c:v>
                </c:pt>
                <c:pt idx="1">
                  <c:v>2023</c:v>
                </c:pt>
                <c:pt idx="2" formatCode="0\ &quot;E&quot;">
                  <c:v>2024</c:v>
                </c:pt>
                <c:pt idx="3" formatCode="0\ &quot;E&quot;">
                  <c:v>2025</c:v>
                </c:pt>
                <c:pt idx="4" formatCode="0\ &quot;E&quot;">
                  <c:v>2026</c:v>
                </c:pt>
                <c:pt idx="5" formatCode="0\ &quot;E&quot;">
                  <c:v>2027</c:v>
                </c:pt>
                <c:pt idx="6" formatCode="0\ &quot;E&quot;">
                  <c:v>2028</c:v>
                </c:pt>
              </c:numCache>
            </c:numRef>
          </c:cat>
          <c:val>
            <c:numRef>
              <c:f>RATIOS!$D$8:$J$8</c:f>
              <c:numCache>
                <c:formatCode>0.00"X"</c:formatCode>
                <c:ptCount val="7"/>
                <c:pt idx="0">
                  <c:v>1.2358433497277819</c:v>
                </c:pt>
                <c:pt idx="1">
                  <c:v>1.0303688584341741</c:v>
                </c:pt>
                <c:pt idx="2">
                  <c:v>0.82440083493916094</c:v>
                </c:pt>
                <c:pt idx="3">
                  <c:v>0.89129231901471928</c:v>
                </c:pt>
                <c:pt idx="4">
                  <c:v>0.96041817927163031</c:v>
                </c:pt>
                <c:pt idx="5">
                  <c:v>1.0309060205562259</c:v>
                </c:pt>
                <c:pt idx="6">
                  <c:v>1.1018042668664534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0-43AA-9655-9FF6617CFE9F}"/>
            </c:ext>
          </c:extLst>
        </c:ser>
        <c:ser>
          <c:idx val="2"/>
          <c:order val="2"/>
          <c:tx>
            <c:strRef>
              <c:f>RATIOS!$B$9</c:f>
              <c:strCache>
                <c:ptCount val="1"/>
                <c:pt idx="0">
                  <c:v>Cash Ratio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7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7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7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RATIOS!$D$3:$J$3</c:f>
              <c:numCache>
                <c:formatCode>0\ "A"</c:formatCode>
                <c:ptCount val="7"/>
                <c:pt idx="0">
                  <c:v>2022</c:v>
                </c:pt>
                <c:pt idx="1">
                  <c:v>2023</c:v>
                </c:pt>
                <c:pt idx="2" formatCode="0\ &quot;E&quot;">
                  <c:v>2024</c:v>
                </c:pt>
                <c:pt idx="3" formatCode="0\ &quot;E&quot;">
                  <c:v>2025</c:v>
                </c:pt>
                <c:pt idx="4" formatCode="0\ &quot;E&quot;">
                  <c:v>2026</c:v>
                </c:pt>
                <c:pt idx="5" formatCode="0\ &quot;E&quot;">
                  <c:v>2027</c:v>
                </c:pt>
                <c:pt idx="6" formatCode="0\ &quot;E&quot;">
                  <c:v>2028</c:v>
                </c:pt>
              </c:numCache>
            </c:numRef>
          </c:cat>
          <c:val>
            <c:numRef>
              <c:f>RATIOS!$D$9:$J$9</c:f>
              <c:numCache>
                <c:formatCode>0.00"X"</c:formatCode>
                <c:ptCount val="7"/>
                <c:pt idx="0">
                  <c:v>0.27997685489597851</c:v>
                </c:pt>
                <c:pt idx="1">
                  <c:v>0.1574865140691063</c:v>
                </c:pt>
                <c:pt idx="2">
                  <c:v>0.2242229670586825</c:v>
                </c:pt>
                <c:pt idx="3">
                  <c:v>0.21458250739700108</c:v>
                </c:pt>
                <c:pt idx="4">
                  <c:v>0.20417897455023251</c:v>
                </c:pt>
                <c:pt idx="5">
                  <c:v>0.1930967272078912</c:v>
                </c:pt>
                <c:pt idx="6">
                  <c:v>0.18145756340634692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0-43AA-9655-9FF6617C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9242911"/>
        <c:axId val="1289238591"/>
      </c:barChart>
      <c:catAx>
        <c:axId val="1289242911"/>
        <c:scaling>
          <c:orientation val="minMax"/>
        </c:scaling>
        <c:delete val="0"/>
        <c:axPos val="b"/>
        <c:numFmt formatCode="0\ &quot;A&quot;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erial"/>
                <a:ea typeface="+mn-ea"/>
                <a:cs typeface="+mn-cs"/>
              </a:defRPr>
            </a:pPr>
            <a:endParaRPr lang="en-US"/>
          </a:p>
        </c:txPr>
        <c:crossAx val="1289238591"/>
        <c:crosses val="autoZero"/>
        <c:auto val="1"/>
        <c:lblAlgn val="ctr"/>
        <c:lblOffset val="100"/>
        <c:noMultiLvlLbl val="0"/>
      </c:catAx>
      <c:valAx>
        <c:axId val="12892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.0\2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erial"/>
                <a:ea typeface="+mn-ea"/>
                <a:cs typeface="+mn-cs"/>
              </a:defRPr>
            </a:pPr>
            <a:endParaRPr lang="en-US"/>
          </a:p>
        </c:txPr>
        <c:crossAx val="128924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erial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e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RATIOS!$B$7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RATIOS!$D$3:$J$3</c:f>
              <c:numCache>
                <c:formatCode>0\ "A"</c:formatCode>
                <c:ptCount val="7"/>
                <c:pt idx="0">
                  <c:v>2022</c:v>
                </c:pt>
                <c:pt idx="1">
                  <c:v>2023</c:v>
                </c:pt>
                <c:pt idx="2" formatCode="0\ &quot;E&quot;">
                  <c:v>2024</c:v>
                </c:pt>
                <c:pt idx="3" formatCode="0\ &quot;E&quot;">
                  <c:v>2025</c:v>
                </c:pt>
                <c:pt idx="4" formatCode="0\ &quot;E&quot;">
                  <c:v>2026</c:v>
                </c:pt>
                <c:pt idx="5" formatCode="0\ &quot;E&quot;">
                  <c:v>2027</c:v>
                </c:pt>
                <c:pt idx="6" formatCode="0\ &quot;E&quot;">
                  <c:v>2028</c:v>
                </c:pt>
              </c:numCache>
            </c:numRef>
          </c:cat>
          <c:val>
            <c:numRef>
              <c:f>RATIOS!$D$7:$J$7</c:f>
              <c:numCache>
                <c:formatCode>.0\2\X</c:formatCode>
                <c:ptCount val="7"/>
                <c:pt idx="0">
                  <c:v>1.4266326503774229</c:v>
                </c:pt>
                <c:pt idx="1">
                  <c:v>1.1643679836710892</c:v>
                </c:pt>
                <c:pt idx="2">
                  <c:v>1.0181191312954396</c:v>
                </c:pt>
                <c:pt idx="3">
                  <c:v>1.0793560172070304</c:v>
                </c:pt>
                <c:pt idx="4">
                  <c:v>1.1424096732326099</c:v>
                </c:pt>
                <c:pt idx="5">
                  <c:v>1.2064593851602188</c:v>
                </c:pt>
                <c:pt idx="6">
                  <c:v>1.2706260325870911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1-4D97-960D-453B22740719}"/>
            </c:ext>
          </c:extLst>
        </c:ser>
        <c:ser>
          <c:idx val="1"/>
          <c:order val="1"/>
          <c:tx>
            <c:strRef>
              <c:f>RATIOS!$B$8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RATIOS!$D$3:$J$3</c:f>
              <c:numCache>
                <c:formatCode>0\ "A"</c:formatCode>
                <c:ptCount val="7"/>
                <c:pt idx="0">
                  <c:v>2022</c:v>
                </c:pt>
                <c:pt idx="1">
                  <c:v>2023</c:v>
                </c:pt>
                <c:pt idx="2" formatCode="0\ &quot;E&quot;">
                  <c:v>2024</c:v>
                </c:pt>
                <c:pt idx="3" formatCode="0\ &quot;E&quot;">
                  <c:v>2025</c:v>
                </c:pt>
                <c:pt idx="4" formatCode="0\ &quot;E&quot;">
                  <c:v>2026</c:v>
                </c:pt>
                <c:pt idx="5" formatCode="0\ &quot;E&quot;">
                  <c:v>2027</c:v>
                </c:pt>
                <c:pt idx="6" formatCode="0\ &quot;E&quot;">
                  <c:v>2028</c:v>
                </c:pt>
              </c:numCache>
            </c:numRef>
          </c:cat>
          <c:val>
            <c:numRef>
              <c:f>RATIOS!$D$8:$J$8</c:f>
              <c:numCache>
                <c:formatCode>0.00"X"</c:formatCode>
                <c:ptCount val="7"/>
                <c:pt idx="0">
                  <c:v>1.2358433497277819</c:v>
                </c:pt>
                <c:pt idx="1">
                  <c:v>1.0303688584341741</c:v>
                </c:pt>
                <c:pt idx="2">
                  <c:v>0.82440083493916094</c:v>
                </c:pt>
                <c:pt idx="3">
                  <c:v>0.89129231901471928</c:v>
                </c:pt>
                <c:pt idx="4">
                  <c:v>0.96041817927163031</c:v>
                </c:pt>
                <c:pt idx="5">
                  <c:v>1.0309060205562259</c:v>
                </c:pt>
                <c:pt idx="6">
                  <c:v>1.1018042668664534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1-4D97-960D-453B22740719}"/>
            </c:ext>
          </c:extLst>
        </c:ser>
        <c:ser>
          <c:idx val="2"/>
          <c:order val="2"/>
          <c:tx>
            <c:strRef>
              <c:f>RATIOS!$B$9</c:f>
              <c:strCache>
                <c:ptCount val="1"/>
                <c:pt idx="0">
                  <c:v>Cash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RATIOS!$D$3:$J$3</c:f>
              <c:numCache>
                <c:formatCode>0\ "A"</c:formatCode>
                <c:ptCount val="7"/>
                <c:pt idx="0">
                  <c:v>2022</c:v>
                </c:pt>
                <c:pt idx="1">
                  <c:v>2023</c:v>
                </c:pt>
                <c:pt idx="2" formatCode="0\ &quot;E&quot;">
                  <c:v>2024</c:v>
                </c:pt>
                <c:pt idx="3" formatCode="0\ &quot;E&quot;">
                  <c:v>2025</c:v>
                </c:pt>
                <c:pt idx="4" formatCode="0\ &quot;E&quot;">
                  <c:v>2026</c:v>
                </c:pt>
                <c:pt idx="5" formatCode="0\ &quot;E&quot;">
                  <c:v>2027</c:v>
                </c:pt>
                <c:pt idx="6" formatCode="0\ &quot;E&quot;">
                  <c:v>2028</c:v>
                </c:pt>
              </c:numCache>
            </c:numRef>
          </c:cat>
          <c:val>
            <c:numRef>
              <c:f>RATIOS!$D$9:$J$9</c:f>
              <c:numCache>
                <c:formatCode>0.00"X"</c:formatCode>
                <c:ptCount val="7"/>
                <c:pt idx="0">
                  <c:v>0.27997685489597851</c:v>
                </c:pt>
                <c:pt idx="1">
                  <c:v>0.1574865140691063</c:v>
                </c:pt>
                <c:pt idx="2">
                  <c:v>0.2242229670586825</c:v>
                </c:pt>
                <c:pt idx="3">
                  <c:v>0.21458250739700108</c:v>
                </c:pt>
                <c:pt idx="4">
                  <c:v>0.20417897455023251</c:v>
                </c:pt>
                <c:pt idx="5">
                  <c:v>0.1930967272078912</c:v>
                </c:pt>
                <c:pt idx="6">
                  <c:v>0.18145756340634692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1-4D97-960D-453B2274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242911"/>
        <c:axId val="1289238591"/>
      </c:barChart>
      <c:catAx>
        <c:axId val="1289242911"/>
        <c:scaling>
          <c:orientation val="minMax"/>
        </c:scaling>
        <c:delete val="0"/>
        <c:axPos val="b"/>
        <c:numFmt formatCode="0\ 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38591"/>
        <c:crosses val="autoZero"/>
        <c:auto val="1"/>
        <c:lblAlgn val="ctr"/>
        <c:lblOffset val="100"/>
        <c:noMultiLvlLbl val="0"/>
      </c:catAx>
      <c:valAx>
        <c:axId val="12892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.0\2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4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27634</xdr:colOff>
      <xdr:row>0</xdr:row>
      <xdr:rowOff>119743</xdr:rowOff>
    </xdr:from>
    <xdr:to>
      <xdr:col>13</xdr:col>
      <xdr:colOff>332434</xdr:colOff>
      <xdr:row>36</xdr:row>
      <xdr:rowOff>65315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BB06045-0387-0DDA-EE0E-5113796B4881}"/>
            </a:ext>
          </a:extLst>
        </xdr:cNvPr>
        <xdr:cNvSpPr/>
      </xdr:nvSpPr>
      <xdr:spPr>
        <a:xfrm>
          <a:off x="27634" y="119743"/>
          <a:ext cx="12936415" cy="64870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76199</xdr:colOff>
      <xdr:row>0</xdr:row>
      <xdr:rowOff>0</xdr:rowOff>
    </xdr:from>
    <xdr:to>
      <xdr:col>7</xdr:col>
      <xdr:colOff>233083</xdr:colOff>
      <xdr:row>4</xdr:row>
      <xdr:rowOff>125505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A09CB8C-B835-0833-1025-E881FEB55B10}"/>
            </a:ext>
          </a:extLst>
        </xdr:cNvPr>
        <xdr:cNvSpPr txBox="1"/>
      </xdr:nvSpPr>
      <xdr:spPr>
        <a:xfrm>
          <a:off x="4406152" y="0"/>
          <a:ext cx="4191002" cy="84268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  <a:reflection blurRad="6350" stA="55000" endA="300" endPos="45500" dir="5400000" sy="-100000" algn="bl" rotWithShape="0"/>
              </a:effectLst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McDonald</a:t>
          </a:r>
        </a:p>
      </xdr:txBody>
    </xdr:sp>
    <xdr:clientData/>
  </xdr:twoCellAnchor>
  <xdr:twoCellAnchor>
    <xdr:from>
      <xdr:col>0</xdr:col>
      <xdr:colOff>119743</xdr:colOff>
      <xdr:row>8</xdr:row>
      <xdr:rowOff>147343</xdr:rowOff>
    </xdr:from>
    <xdr:to>
      <xdr:col>1</xdr:col>
      <xdr:colOff>3669765</xdr:colOff>
      <xdr:row>20</xdr:row>
      <xdr:rowOff>109243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C099B0-8C92-4EE0-AB39-DF6353FCE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3916296</xdr:colOff>
      <xdr:row>8</xdr:row>
      <xdr:rowOff>121665</xdr:rowOff>
    </xdr:from>
    <xdr:to>
      <xdr:col>6</xdr:col>
      <xdr:colOff>689001</xdr:colOff>
      <xdr:row>21</xdr:row>
      <xdr:rowOff>97462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3F998-E587-4C0C-988B-B961C294E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69441</xdr:colOff>
      <xdr:row>21</xdr:row>
      <xdr:rowOff>7045</xdr:rowOff>
    </xdr:from>
    <xdr:to>
      <xdr:col>1</xdr:col>
      <xdr:colOff>3668486</xdr:colOff>
      <xdr:row>34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2D90C1-986F-4950-A1E8-9348F3EB4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134470</xdr:colOff>
      <xdr:row>3</xdr:row>
      <xdr:rowOff>71717</xdr:rowOff>
    </xdr:from>
    <xdr:to>
      <xdr:col>13</xdr:col>
      <xdr:colOff>53788</xdr:colOff>
      <xdr:row>6</xdr:row>
      <xdr:rowOff>98611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5C87CEE-7E1F-196F-70B2-33256F1ABA96}"/>
            </a:ext>
          </a:extLst>
        </xdr:cNvPr>
        <xdr:cNvSpPr txBox="1"/>
      </xdr:nvSpPr>
      <xdr:spPr>
        <a:xfrm>
          <a:off x="134470" y="609599"/>
          <a:ext cx="12541624" cy="564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 i="0">
              <a:solidFill>
                <a:schemeClr val="dk1"/>
              </a:solidFill>
              <a:effectLst/>
              <a:latin typeface="Aerial"/>
              <a:ea typeface="+mn-ea"/>
              <a:cs typeface="+mn-cs"/>
            </a:rPr>
            <a:t>McDonald’s is the world’s leading global foodservice retailer with over 37,000 locations in over 100 countries. More than 90% of McDonald’s restaurants worldwide are owned and operated by independent local business men and women.</a:t>
          </a:r>
          <a:endParaRPr lang="en-IN" sz="1400" b="1">
            <a:latin typeface="Aerial"/>
          </a:endParaRPr>
        </a:p>
      </xdr:txBody>
    </xdr:sp>
    <xdr:clientData/>
  </xdr:twoCellAnchor>
  <xdr:twoCellAnchor>
    <xdr:from>
      <xdr:col>1</xdr:col>
      <xdr:colOff>3713951</xdr:colOff>
      <xdr:row>19</xdr:row>
      <xdr:rowOff>161366</xdr:rowOff>
    </xdr:from>
    <xdr:to>
      <xdr:col>7</xdr:col>
      <xdr:colOff>47385</xdr:colOff>
      <xdr:row>33</xdr:row>
      <xdr:rowOff>143436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4209E0-41CF-483B-8C50-3C121E969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566057</xdr:colOff>
      <xdr:row>9</xdr:row>
      <xdr:rowOff>78122</xdr:rowOff>
    </xdr:from>
    <xdr:to>
      <xdr:col>12</xdr:col>
      <xdr:colOff>241406</xdr:colOff>
      <xdr:row>22</xdr:row>
      <xdr:rowOff>87087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675A5B-D8E4-44D0-8333-BA542E209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765203</xdr:colOff>
      <xdr:row>20</xdr:row>
      <xdr:rowOff>73001</xdr:rowOff>
    </xdr:from>
    <xdr:to>
      <xdr:col>12</xdr:col>
      <xdr:colOff>524436</xdr:colOff>
      <xdr:row>34</xdr:row>
      <xdr:rowOff>126789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4D339B-085E-41AC-982A-BA7911B54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555179</xdr:colOff>
      <xdr:row>6</xdr:row>
      <xdr:rowOff>97972</xdr:rowOff>
    </xdr:from>
    <xdr:to>
      <xdr:col>1</xdr:col>
      <xdr:colOff>2405750</xdr:colOff>
      <xdr:row>8</xdr:row>
      <xdr:rowOff>119744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620D80C-4EC7-C408-7AD8-6C1B1D374BCC}"/>
            </a:ext>
          </a:extLst>
        </xdr:cNvPr>
        <xdr:cNvSpPr/>
      </xdr:nvSpPr>
      <xdr:spPr>
        <a:xfrm>
          <a:off x="925293" y="1208315"/>
          <a:ext cx="1850571" cy="391886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97976</xdr:colOff>
      <xdr:row>6</xdr:row>
      <xdr:rowOff>108857</xdr:rowOff>
    </xdr:from>
    <xdr:to>
      <xdr:col>8</xdr:col>
      <xdr:colOff>337462</xdr:colOff>
      <xdr:row>8</xdr:row>
      <xdr:rowOff>130629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8F513F0-699F-4BD4-B7A5-CEFD8405FF66}"/>
            </a:ext>
          </a:extLst>
        </xdr:cNvPr>
        <xdr:cNvSpPr/>
      </xdr:nvSpPr>
      <xdr:spPr>
        <a:xfrm>
          <a:off x="7652662" y="1219200"/>
          <a:ext cx="1850571" cy="39188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2764977</xdr:colOff>
      <xdr:row>6</xdr:row>
      <xdr:rowOff>97971</xdr:rowOff>
    </xdr:from>
    <xdr:to>
      <xdr:col>2</xdr:col>
      <xdr:colOff>653148</xdr:colOff>
      <xdr:row>8</xdr:row>
      <xdr:rowOff>119743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B2EAEAA-B48F-4D1B-A40A-3285F8CDEEBE}"/>
            </a:ext>
          </a:extLst>
        </xdr:cNvPr>
        <xdr:cNvSpPr/>
      </xdr:nvSpPr>
      <xdr:spPr>
        <a:xfrm>
          <a:off x="3135091" y="1208314"/>
          <a:ext cx="1850571" cy="39188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2765996</xdr:colOff>
      <xdr:row>6</xdr:row>
      <xdr:rowOff>101030</xdr:rowOff>
    </xdr:from>
    <xdr:to>
      <xdr:col>2</xdr:col>
      <xdr:colOff>654167</xdr:colOff>
      <xdr:row>8</xdr:row>
      <xdr:rowOff>122802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7DE4888-422D-4A89-858A-61B0978E341F}"/>
            </a:ext>
          </a:extLst>
        </xdr:cNvPr>
        <xdr:cNvSpPr/>
      </xdr:nvSpPr>
      <xdr:spPr>
        <a:xfrm>
          <a:off x="3129411" y="1191276"/>
          <a:ext cx="1850571" cy="385188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587829</xdr:colOff>
      <xdr:row>6</xdr:row>
      <xdr:rowOff>86139</xdr:rowOff>
    </xdr:from>
    <xdr:to>
      <xdr:col>1</xdr:col>
      <xdr:colOff>2373087</xdr:colOff>
      <xdr:row>8</xdr:row>
      <xdr:rowOff>159027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733D4D4-CB9A-BD72-73DE-7A4207FC59EE}"/>
            </a:ext>
          </a:extLst>
        </xdr:cNvPr>
        <xdr:cNvSpPr txBox="1"/>
      </xdr:nvSpPr>
      <xdr:spPr>
        <a:xfrm>
          <a:off x="952264" y="1199322"/>
          <a:ext cx="1785258" cy="443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 cap="none" spc="0">
              <a:ln w="0">
                <a:noFill/>
              </a:ln>
              <a:solidFill>
                <a:schemeClr val="tx1"/>
              </a:solidFill>
              <a:effectLst/>
              <a:latin typeface="AERIAL"/>
            </a:rPr>
            <a:t>SECTOR</a:t>
          </a:r>
        </a:p>
        <a:p>
          <a:pPr algn="ctr"/>
          <a:r>
            <a:rPr lang="en-IN" sz="1100" b="1" cap="none" spc="0">
              <a:ln w="0">
                <a:noFill/>
              </a:ln>
              <a:solidFill>
                <a:schemeClr val="tx1"/>
              </a:solidFill>
              <a:effectLst/>
              <a:latin typeface="AERIAL"/>
            </a:rPr>
            <a:t>CONSUMER</a:t>
          </a:r>
          <a:r>
            <a:rPr lang="en-IN" sz="1100" b="1" cap="none" spc="0" baseline="0">
              <a:ln w="0">
                <a:noFill/>
              </a:ln>
              <a:solidFill>
                <a:schemeClr val="tx1"/>
              </a:solidFill>
              <a:effectLst/>
              <a:latin typeface="AERIAL"/>
            </a:rPr>
            <a:t> CYCLICAL </a:t>
          </a:r>
          <a:endParaRPr lang="en-IN" sz="1100" b="1" cap="none" spc="0">
            <a:ln w="0">
              <a:noFill/>
            </a:ln>
            <a:solidFill>
              <a:schemeClr val="tx1"/>
            </a:solidFill>
            <a:effectLst/>
            <a:latin typeface="AERIAL"/>
          </a:endParaRPr>
        </a:p>
      </xdr:txBody>
    </xdr:sp>
    <xdr:clientData/>
  </xdr:twoCellAnchor>
  <xdr:twoCellAnchor>
    <xdr:from>
      <xdr:col>1</xdr:col>
      <xdr:colOff>2764976</xdr:colOff>
      <xdr:row>6</xdr:row>
      <xdr:rowOff>78093</xdr:rowOff>
    </xdr:from>
    <xdr:to>
      <xdr:col>2</xdr:col>
      <xdr:colOff>649355</xdr:colOff>
      <xdr:row>8</xdr:row>
      <xdr:rowOff>159027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C1B746A-2B7E-416D-9891-1A85A5BE4530}"/>
            </a:ext>
          </a:extLst>
        </xdr:cNvPr>
        <xdr:cNvSpPr txBox="1"/>
      </xdr:nvSpPr>
      <xdr:spPr>
        <a:xfrm>
          <a:off x="3129411" y="1191276"/>
          <a:ext cx="1846779" cy="451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>
              <a:latin typeface="AERIAL"/>
            </a:rPr>
            <a:t>INDUSTRY</a:t>
          </a:r>
        </a:p>
        <a:p>
          <a:pPr algn="ctr"/>
          <a:r>
            <a:rPr lang="en-IN" sz="1100" b="1">
              <a:latin typeface="AERIAL"/>
            </a:rPr>
            <a:t>RESTAURANT</a:t>
          </a:r>
        </a:p>
      </xdr:txBody>
    </xdr:sp>
    <xdr:clientData/>
  </xdr:twoCellAnchor>
  <xdr:twoCellAnchor>
    <xdr:from>
      <xdr:col>3</xdr:col>
      <xdr:colOff>277684</xdr:colOff>
      <xdr:row>6</xdr:row>
      <xdr:rowOff>106054</xdr:rowOff>
    </xdr:from>
    <xdr:to>
      <xdr:col>5</xdr:col>
      <xdr:colOff>510471</xdr:colOff>
      <xdr:row>8</xdr:row>
      <xdr:rowOff>127826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30AF0CC-30D5-4BA3-91DA-256A10FD787D}"/>
            </a:ext>
          </a:extLst>
        </xdr:cNvPr>
        <xdr:cNvSpPr/>
      </xdr:nvSpPr>
      <xdr:spPr>
        <a:xfrm>
          <a:off x="5412392" y="1196300"/>
          <a:ext cx="1850571" cy="385188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300619</xdr:colOff>
      <xdr:row>6</xdr:row>
      <xdr:rowOff>88979</xdr:rowOff>
    </xdr:from>
    <xdr:to>
      <xdr:col>5</xdr:col>
      <xdr:colOff>534421</xdr:colOff>
      <xdr:row>8</xdr:row>
      <xdr:rowOff>165653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0D06E20-47F3-488D-800C-2545C05DAF9B}"/>
            </a:ext>
          </a:extLst>
        </xdr:cNvPr>
        <xdr:cNvSpPr txBox="1"/>
      </xdr:nvSpPr>
      <xdr:spPr>
        <a:xfrm>
          <a:off x="5435327" y="1179225"/>
          <a:ext cx="1851586" cy="440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>
              <a:latin typeface="AERIAL"/>
            </a:rPr>
            <a:t>ENTERPRISE VALUE</a:t>
          </a:r>
        </a:p>
        <a:p>
          <a:pPr algn="ctr"/>
          <a:r>
            <a:rPr lang="en-IN" sz="1100" b="1" i="0">
              <a:solidFill>
                <a:schemeClr val="dk1"/>
              </a:solidFill>
              <a:effectLst/>
              <a:latin typeface="AERIAL"/>
              <a:ea typeface="+mn-ea"/>
              <a:cs typeface="+mn-cs"/>
            </a:rPr>
            <a:t>194.13 B</a:t>
          </a:r>
          <a:endParaRPr lang="en-IN" sz="1100" b="1">
            <a:latin typeface="AERIAL"/>
          </a:endParaRPr>
        </a:p>
      </xdr:txBody>
    </xdr:sp>
    <xdr:clientData/>
  </xdr:twoCellAnchor>
  <xdr:twoCellAnchor>
    <xdr:from>
      <xdr:col>6</xdr:col>
      <xdr:colOff>82062</xdr:colOff>
      <xdr:row>6</xdr:row>
      <xdr:rowOff>111916</xdr:rowOff>
    </xdr:from>
    <xdr:to>
      <xdr:col>8</xdr:col>
      <xdr:colOff>341468</xdr:colOff>
      <xdr:row>8</xdr:row>
      <xdr:rowOff>133688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3CA23724-9CC8-4E30-8EC8-50213B0FAAEF}"/>
            </a:ext>
          </a:extLst>
        </xdr:cNvPr>
        <xdr:cNvSpPr/>
      </xdr:nvSpPr>
      <xdr:spPr>
        <a:xfrm>
          <a:off x="7643447" y="1202162"/>
          <a:ext cx="1877190" cy="385188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781736</xdr:colOff>
      <xdr:row>6</xdr:row>
      <xdr:rowOff>116176</xdr:rowOff>
    </xdr:from>
    <xdr:to>
      <xdr:col>11</xdr:col>
      <xdr:colOff>399061</xdr:colOff>
      <xdr:row>8</xdr:row>
      <xdr:rowOff>137948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258BC3B-2134-487D-8B5E-822D43EAFC5B}"/>
            </a:ext>
          </a:extLst>
        </xdr:cNvPr>
        <xdr:cNvSpPr/>
      </xdr:nvSpPr>
      <xdr:spPr>
        <a:xfrm>
          <a:off x="9960905" y="1206422"/>
          <a:ext cx="1850571" cy="385188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140677</xdr:colOff>
      <xdr:row>6</xdr:row>
      <xdr:rowOff>88979</xdr:rowOff>
    </xdr:from>
    <xdr:to>
      <xdr:col>8</xdr:col>
      <xdr:colOff>337931</xdr:colOff>
      <xdr:row>9</xdr:row>
      <xdr:rowOff>19878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44C3B65-669F-479C-A8F8-1D482CEE2030}"/>
            </a:ext>
          </a:extLst>
        </xdr:cNvPr>
        <xdr:cNvSpPr txBox="1"/>
      </xdr:nvSpPr>
      <xdr:spPr>
        <a:xfrm>
          <a:off x="7702062" y="1179225"/>
          <a:ext cx="1815038" cy="4760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 i="0" u="none" strike="noStrike">
              <a:solidFill>
                <a:schemeClr val="dk1"/>
              </a:solidFill>
              <a:effectLst/>
              <a:latin typeface="AERIAL"/>
              <a:ea typeface="+mn-ea"/>
              <a:cs typeface="+mn-cs"/>
            </a:rPr>
            <a:t>SCENARIO</a:t>
          </a:r>
          <a:r>
            <a:rPr lang="en-IN" sz="1100" b="1" i="0" u="none" strike="noStrike" baseline="0">
              <a:solidFill>
                <a:schemeClr val="dk1"/>
              </a:solidFill>
              <a:effectLst/>
              <a:latin typeface="AERIAL"/>
              <a:ea typeface="+mn-ea"/>
              <a:cs typeface="+mn-cs"/>
            </a:rPr>
            <a:t> ANALYSIS</a:t>
          </a:r>
        </a:p>
        <a:p>
          <a:pPr algn="ctr"/>
          <a:r>
            <a:rPr lang="en-IN" sz="1100" b="1" i="0" u="none" strike="noStrike" baseline="0">
              <a:solidFill>
                <a:schemeClr val="dk1"/>
              </a:solidFill>
              <a:effectLst/>
              <a:latin typeface="AERIAL"/>
              <a:ea typeface="+mn-ea"/>
              <a:cs typeface="+mn-cs"/>
            </a:rPr>
            <a:t>BEST</a:t>
          </a:r>
          <a:endParaRPr lang="en-IN" sz="1100" b="1">
            <a:latin typeface="AERIAL"/>
          </a:endParaRPr>
        </a:p>
      </xdr:txBody>
    </xdr:sp>
    <xdr:clientData/>
  </xdr:twoCellAnchor>
  <xdr:twoCellAnchor>
    <xdr:from>
      <xdr:col>8</xdr:col>
      <xdr:colOff>783775</xdr:colOff>
      <xdr:row>6</xdr:row>
      <xdr:rowOff>93239</xdr:rowOff>
    </xdr:from>
    <xdr:to>
      <xdr:col>11</xdr:col>
      <xdr:colOff>371060</xdr:colOff>
      <xdr:row>8</xdr:row>
      <xdr:rowOff>172279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B8609EF-334D-472E-8DD4-68038F067F54}"/>
            </a:ext>
          </a:extLst>
        </xdr:cNvPr>
        <xdr:cNvSpPr txBox="1"/>
      </xdr:nvSpPr>
      <xdr:spPr>
        <a:xfrm>
          <a:off x="9960905" y="1206422"/>
          <a:ext cx="1820277" cy="45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>
              <a:latin typeface="AERIAL"/>
            </a:rPr>
            <a:t>WACC</a:t>
          </a:r>
          <a:endParaRPr lang="en-IN" sz="1100" b="1" i="0" u="none" strike="noStrike">
            <a:solidFill>
              <a:schemeClr val="dk1"/>
            </a:solidFill>
            <a:effectLst/>
            <a:latin typeface="AERIAL"/>
            <a:ea typeface="+mn-ea"/>
            <a:cs typeface="+mn-cs"/>
          </a:endParaRPr>
        </a:p>
        <a:p>
          <a:pPr algn="ctr"/>
          <a:r>
            <a:rPr lang="en-IN" sz="1100" b="1" i="0" u="none" strike="noStrike">
              <a:solidFill>
                <a:schemeClr val="dk1"/>
              </a:solidFill>
              <a:effectLst/>
              <a:latin typeface="AERIAL"/>
              <a:ea typeface="+mn-ea"/>
              <a:cs typeface="+mn-cs"/>
            </a:rPr>
            <a:t>7.5%</a:t>
          </a:r>
          <a:r>
            <a:rPr lang="en-IN" b="1">
              <a:latin typeface="AERIAL"/>
            </a:rPr>
            <a:t> </a:t>
          </a:r>
          <a:endParaRPr lang="en-IN" sz="1100" b="1">
            <a:latin typeface="AE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129988</xdr:colOff>
      <xdr:row>9</xdr:row>
      <xdr:rowOff>107576</xdr:rowOff>
    </xdr:from>
    <xdr:to>
      <xdr:col>9</xdr:col>
      <xdr:colOff>667870</xdr:colOff>
      <xdr:row>24</xdr:row>
      <xdr:rowOff>125506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7AF98E-C493-7885-F9C7-FB970D530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E895-7900-4239-A483-82328912F942}">
  <dimension ref="C1:C43"/>
  <sheetViews>
    <sheetView tabSelected="1" zoomScale="85" zoomScaleNormal="85" workbookViewId="0">
      <selection activeCell="N12" sqref="N12"/>
    </sheetView>
  </sheetViews>
  <sheetFormatPr defaultRowHeight="13.8"/>
  <cols>
    <col min="1" max="1" width="5.33203125" style="1" customWidth="1"/>
    <col min="2" max="2" width="57.77734375" style="1" customWidth="1"/>
    <col min="3" max="10" width="11.77734375" style="1" customWidth="1"/>
    <col min="11" max="11" width="9" style="1" bestFit="1" customWidth="1"/>
    <col min="12" max="16384" width="8.88671875" style="1"/>
  </cols>
  <sheetData>
    <row r="1" spans="3:3" customFormat="1" ht="14.4"/>
    <row r="2" spans="3:3" customFormat="1" ht="14.4"/>
    <row r="3" spans="3:3" customFormat="1" ht="14.4"/>
    <row r="4" spans="3:3" customFormat="1" ht="14.4"/>
    <row r="5" spans="3:3" customFormat="1" ht="14.4"/>
    <row r="6" spans="3:3" customFormat="1" ht="14.4"/>
    <row r="7" spans="3:3" customFormat="1" ht="14.4">
      <c r="C7" t="s">
        <v>176</v>
      </c>
    </row>
    <row r="8" spans="3:3" customFormat="1" ht="14.4"/>
    <row r="9" spans="3:3" customFormat="1" ht="14.4"/>
    <row r="10" spans="3:3" customFormat="1" ht="14.4"/>
    <row r="11" spans="3:3" customFormat="1" ht="14.4"/>
    <row r="12" spans="3:3" customFormat="1" ht="14.4"/>
    <row r="13" spans="3:3" customFormat="1" ht="14.4"/>
    <row r="14" spans="3:3" customFormat="1" ht="14.4"/>
    <row r="15" spans="3:3" customFormat="1" ht="14.4"/>
    <row r="16" spans="3:3" customFormat="1" ht="14.4"/>
    <row r="17" customFormat="1" ht="14.4"/>
    <row r="18" customFormat="1" ht="14.4"/>
    <row r="19" customFormat="1" ht="14.4"/>
    <row r="20" customFormat="1" ht="14.4"/>
    <row r="21" customFormat="1" ht="14.4"/>
    <row r="22" customFormat="1" ht="14.4"/>
    <row r="23" customFormat="1" ht="14.4"/>
    <row r="24" customFormat="1" ht="14.4"/>
    <row r="25" customFormat="1" ht="14.4"/>
    <row r="26" customFormat="1" ht="14.4"/>
    <row r="27" customFormat="1" ht="14.4"/>
    <row r="28" customFormat="1" ht="14.4"/>
    <row r="29" customFormat="1" ht="14.4"/>
    <row r="30" customFormat="1" ht="14.4"/>
    <row r="31" customFormat="1" ht="14.4"/>
    <row r="32" customFormat="1" ht="14.4"/>
    <row r="33" customFormat="1" ht="14.4"/>
    <row r="34" customFormat="1" ht="14.4"/>
    <row r="35" customFormat="1" ht="14.4"/>
    <row r="36" customFormat="1" ht="14.4"/>
    <row r="37" customFormat="1" ht="14.4"/>
    <row r="38" customFormat="1" ht="14.4"/>
    <row r="39" customFormat="1" ht="14.4"/>
    <row r="40" customFormat="1" ht="14.4"/>
    <row r="41" customFormat="1" ht="14.4"/>
    <row r="42" customFormat="1" ht="14.4"/>
    <row r="43" customFormat="1" ht="14.4"/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00E06-F452-45AA-80F8-EE0C872F72F5}">
  <dimension ref="A1:J35"/>
  <sheetViews>
    <sheetView topLeftCell="A13" zoomScaleNormal="100" workbookViewId="0">
      <selection activeCell="F31" sqref="F31"/>
    </sheetView>
  </sheetViews>
  <sheetFormatPr defaultRowHeight="13.8"/>
  <cols>
    <col min="1" max="1" width="5.33203125" style="1" customWidth="1"/>
    <col min="2" max="2" width="57.77734375" style="1" customWidth="1"/>
    <col min="3" max="10" width="11.77734375" style="1" customWidth="1"/>
    <col min="11" max="11" width="9" style="1" bestFit="1" customWidth="1"/>
    <col min="12" max="16384" width="8.88671875" style="1"/>
  </cols>
  <sheetData>
    <row r="1" spans="1:10" s="5" customFormat="1" ht="17.399999999999999">
      <c r="A1" s="3"/>
      <c r="B1" s="4" t="s">
        <v>170</v>
      </c>
      <c r="C1" s="3"/>
      <c r="D1" s="3"/>
      <c r="E1" s="3"/>
      <c r="F1" s="3"/>
      <c r="G1" s="3"/>
      <c r="H1" s="3"/>
      <c r="I1" s="3"/>
      <c r="J1" s="3"/>
    </row>
    <row r="2" spans="1:10" s="5" customFormat="1" ht="17.399999999999999">
      <c r="A2" s="3"/>
      <c r="B2" s="3"/>
      <c r="C2" s="6" t="s">
        <v>2</v>
      </c>
      <c r="D2" s="6"/>
      <c r="E2" s="7"/>
      <c r="F2" s="6" t="s">
        <v>3</v>
      </c>
      <c r="G2" s="6"/>
      <c r="H2" s="6"/>
      <c r="I2" s="6"/>
      <c r="J2" s="6"/>
    </row>
    <row r="3" spans="1:10" s="5" customFormat="1" ht="17.399999999999999">
      <c r="A3" s="3"/>
      <c r="B3" s="4" t="s">
        <v>1</v>
      </c>
      <c r="C3" s="8">
        <v>2021</v>
      </c>
      <c r="D3" s="8">
        <f>C3+1</f>
        <v>2022</v>
      </c>
      <c r="E3" s="9">
        <f>D3+1</f>
        <v>2023</v>
      </c>
      <c r="F3" s="10">
        <f t="shared" ref="F3:J3" si="0">E3+1</f>
        <v>2024</v>
      </c>
      <c r="G3" s="11">
        <f t="shared" si="0"/>
        <v>2025</v>
      </c>
      <c r="H3" s="11">
        <f t="shared" si="0"/>
        <v>2026</v>
      </c>
      <c r="I3" s="11">
        <f t="shared" si="0"/>
        <v>2027</v>
      </c>
      <c r="J3" s="11">
        <f t="shared" si="0"/>
        <v>2028</v>
      </c>
    </row>
    <row r="4" spans="1:10" ht="14.4" thickBot="1"/>
    <row r="5" spans="1:10">
      <c r="B5" s="21" t="s">
        <v>5</v>
      </c>
      <c r="C5" s="157">
        <f>IS!C6</f>
        <v>9787.4</v>
      </c>
      <c r="D5" s="157">
        <f>IS!D6</f>
        <v>8748.4</v>
      </c>
      <c r="E5" s="157">
        <f>IS!E6</f>
        <v>9741.6</v>
      </c>
      <c r="F5" s="157">
        <f>IS!F6</f>
        <v>11705.314100421409</v>
      </c>
      <c r="G5" s="157">
        <f>IS!G6</f>
        <v>14059.28171554341</v>
      </c>
      <c r="H5" s="157">
        <f>IS!H6</f>
        <v>16876.677947734035</v>
      </c>
      <c r="I5" s="157">
        <f>IS!I6</f>
        <v>20241.378283370486</v>
      </c>
      <c r="J5" s="158">
        <f>IS!J6</f>
        <v>24248.947562085214</v>
      </c>
    </row>
    <row r="6" spans="1:10">
      <c r="B6" s="24" t="s">
        <v>6</v>
      </c>
      <c r="C6" s="26">
        <f>IS!C7</f>
        <v>13085.4</v>
      </c>
      <c r="D6" s="26">
        <f>IS!D7</f>
        <v>14105.8</v>
      </c>
      <c r="E6" s="26">
        <f>IS!E7</f>
        <v>15436.5</v>
      </c>
      <c r="F6" s="26">
        <f>IS!F7</f>
        <v>16713.337083219474</v>
      </c>
      <c r="G6" s="26">
        <f>IS!G7</f>
        <v>18090.657361334594</v>
      </c>
      <c r="H6" s="26">
        <f>IS!H7</f>
        <v>19575.607591751948</v>
      </c>
      <c r="I6" s="26">
        <f>IS!I7</f>
        <v>21176.414651910174</v>
      </c>
      <c r="J6" s="27">
        <f>IS!J7</f>
        <v>22901.92951938335</v>
      </c>
    </row>
    <row r="7" spans="1:10">
      <c r="B7" s="36" t="s">
        <v>7</v>
      </c>
      <c r="C7" s="26">
        <f>IS!C8</f>
        <v>350.1</v>
      </c>
      <c r="D7" s="26">
        <f>IS!D8</f>
        <v>328.4</v>
      </c>
      <c r="E7" s="26">
        <f>IS!E8</f>
        <v>315.60000000000002</v>
      </c>
      <c r="F7" s="26">
        <v>330</v>
      </c>
      <c r="G7" s="26">
        <v>330</v>
      </c>
      <c r="H7" s="26">
        <v>330</v>
      </c>
      <c r="I7" s="26">
        <v>330</v>
      </c>
      <c r="J7" s="27">
        <v>330</v>
      </c>
    </row>
    <row r="8" spans="1:10">
      <c r="B8" s="24"/>
      <c r="C8" s="31"/>
      <c r="D8" s="31"/>
      <c r="E8" s="31"/>
      <c r="F8" s="31"/>
      <c r="G8" s="31"/>
      <c r="H8" s="31"/>
      <c r="I8" s="31"/>
      <c r="J8" s="32"/>
    </row>
    <row r="9" spans="1:10">
      <c r="B9" s="24"/>
      <c r="C9" s="31"/>
      <c r="D9" s="31"/>
      <c r="E9" s="31"/>
      <c r="F9" s="31"/>
      <c r="G9" s="31"/>
      <c r="H9" s="31"/>
      <c r="I9" s="31"/>
      <c r="J9" s="32"/>
    </row>
    <row r="10" spans="1:10">
      <c r="B10" s="33" t="s">
        <v>10</v>
      </c>
      <c r="C10" s="26">
        <f>IS!C12</f>
        <v>3096.8</v>
      </c>
      <c r="D10" s="26">
        <f>IS!D12</f>
        <v>2737.3</v>
      </c>
      <c r="E10" s="26">
        <f>IS!E12</f>
        <v>3039</v>
      </c>
      <c r="F10" s="43">
        <f>F$5*F16</f>
        <v>3628.6473711306367</v>
      </c>
      <c r="G10" s="43">
        <f t="shared" ref="G10:J10" si="1">G$5*G16</f>
        <v>4358.3773318184567</v>
      </c>
      <c r="H10" s="43">
        <f t="shared" si="1"/>
        <v>5231.7701637975506</v>
      </c>
      <c r="I10" s="43">
        <f t="shared" si="1"/>
        <v>6274.8272678448511</v>
      </c>
      <c r="J10" s="44">
        <f t="shared" si="1"/>
        <v>7517.1737442464164</v>
      </c>
    </row>
    <row r="11" spans="1:10">
      <c r="B11" s="33" t="s">
        <v>11</v>
      </c>
      <c r="C11" s="26">
        <f>IS!C13</f>
        <v>2677.2</v>
      </c>
      <c r="D11" s="26">
        <f>IS!D13</f>
        <v>2617.4</v>
      </c>
      <c r="E11" s="26">
        <f>IS!E13</f>
        <v>2885.8</v>
      </c>
      <c r="F11" s="43">
        <f t="shared" ref="F11:J11" si="2">F$5*F17</f>
        <v>3511.5942301264226</v>
      </c>
      <c r="G11" s="43">
        <f t="shared" si="2"/>
        <v>4217.7845146630225</v>
      </c>
      <c r="H11" s="43">
        <f t="shared" si="2"/>
        <v>5063.00338432021</v>
      </c>
      <c r="I11" s="43">
        <f t="shared" si="2"/>
        <v>6072.4134850111459</v>
      </c>
      <c r="J11" s="44">
        <f t="shared" si="2"/>
        <v>7274.6842686255641</v>
      </c>
    </row>
    <row r="12" spans="1:10">
      <c r="B12" s="33" t="s">
        <v>12</v>
      </c>
      <c r="C12" s="26">
        <f>IS!C14</f>
        <v>2273.3000000000002</v>
      </c>
      <c r="D12" s="26">
        <f>IS!D14</f>
        <v>2026.2</v>
      </c>
      <c r="E12" s="26">
        <f>IS!E14</f>
        <v>2299.3000000000002</v>
      </c>
      <c r="F12" s="43">
        <f t="shared" ref="F12:J12" si="3">F$5*F18</f>
        <v>2809.2753841011381</v>
      </c>
      <c r="G12" s="43">
        <f t="shared" si="3"/>
        <v>3374.2276117304182</v>
      </c>
      <c r="H12" s="43">
        <f t="shared" si="3"/>
        <v>4050.4027074561682</v>
      </c>
      <c r="I12" s="43">
        <f t="shared" si="3"/>
        <v>4857.9307880089164</v>
      </c>
      <c r="J12" s="44">
        <f t="shared" si="3"/>
        <v>5819.7474149004511</v>
      </c>
    </row>
    <row r="13" spans="1:10">
      <c r="B13" s="24"/>
      <c r="C13" s="31"/>
      <c r="D13" s="31"/>
      <c r="E13" s="31"/>
      <c r="F13" s="31"/>
      <c r="G13" s="31" t="s">
        <v>47</v>
      </c>
      <c r="H13" s="31"/>
      <c r="I13" s="31"/>
      <c r="J13" s="32"/>
    </row>
    <row r="14" spans="1:10">
      <c r="B14" s="24"/>
      <c r="C14" s="31"/>
      <c r="D14" s="31"/>
      <c r="E14" s="31"/>
      <c r="F14" s="31"/>
      <c r="G14" s="31"/>
      <c r="H14" s="31"/>
      <c r="I14" s="31"/>
      <c r="J14" s="32"/>
    </row>
    <row r="15" spans="1:10">
      <c r="B15" s="24" t="s">
        <v>46</v>
      </c>
      <c r="C15" s="31"/>
      <c r="D15" s="31"/>
      <c r="E15" s="31"/>
      <c r="F15" s="31"/>
      <c r="G15" s="31"/>
      <c r="H15" s="31"/>
      <c r="I15" s="31"/>
      <c r="J15" s="32"/>
    </row>
    <row r="16" spans="1:10">
      <c r="B16" s="33" t="s">
        <v>10</v>
      </c>
      <c r="C16" s="159">
        <f>IS!C12/EXPENSE!C$5</f>
        <v>0.31640680875411248</v>
      </c>
      <c r="D16" s="159">
        <f>IS!D12/EXPENSE!D$5</f>
        <v>0.31289150016002931</v>
      </c>
      <c r="E16" s="159">
        <f>IS!E12/EXPENSE!E$5</f>
        <v>0.31196107415619612</v>
      </c>
      <c r="F16" s="65">
        <v>0.31</v>
      </c>
      <c r="G16" s="65">
        <v>0.31</v>
      </c>
      <c r="H16" s="65">
        <v>0.31</v>
      </c>
      <c r="I16" s="65">
        <v>0.31</v>
      </c>
      <c r="J16" s="160">
        <v>0.31</v>
      </c>
    </row>
    <row r="17" spans="1:10">
      <c r="B17" s="33" t="s">
        <v>11</v>
      </c>
      <c r="C17" s="159">
        <f>IS!C13/EXPENSE!C$5</f>
        <v>0.27353536179169136</v>
      </c>
      <c r="D17" s="159">
        <f>IS!D13/EXPENSE!D$5</f>
        <v>0.2991861368936034</v>
      </c>
      <c r="E17" s="159">
        <f>IS!E13/EXPENSE!E$5</f>
        <v>0.29623470477129016</v>
      </c>
      <c r="F17" s="65">
        <v>0.3</v>
      </c>
      <c r="G17" s="65">
        <v>0.3</v>
      </c>
      <c r="H17" s="65">
        <v>0.3</v>
      </c>
      <c r="I17" s="65">
        <v>0.3</v>
      </c>
      <c r="J17" s="160">
        <v>0.3</v>
      </c>
    </row>
    <row r="18" spans="1:10">
      <c r="B18" s="33" t="s">
        <v>12</v>
      </c>
      <c r="C18" s="159">
        <f>IS!C14/EXPENSE!C$5</f>
        <v>0.23226801806404154</v>
      </c>
      <c r="D18" s="159">
        <f>IS!D14/EXPENSE!D$5</f>
        <v>0.23160806547482971</v>
      </c>
      <c r="E18" s="159">
        <f>IS!E14/EXPENSE!E$5</f>
        <v>0.23602898907776956</v>
      </c>
      <c r="F18" s="65">
        <v>0.24</v>
      </c>
      <c r="G18" s="65">
        <v>0.24</v>
      </c>
      <c r="H18" s="65">
        <v>0.24</v>
      </c>
      <c r="I18" s="65">
        <v>0.24</v>
      </c>
      <c r="J18" s="160">
        <v>0.24</v>
      </c>
    </row>
    <row r="19" spans="1:10">
      <c r="B19" s="24"/>
      <c r="C19" s="31"/>
      <c r="D19" s="31"/>
      <c r="E19" s="31"/>
      <c r="F19" s="31"/>
      <c r="G19" s="31"/>
      <c r="H19" s="31"/>
      <c r="I19" s="31"/>
      <c r="J19" s="32"/>
    </row>
    <row r="20" spans="1:10">
      <c r="B20" s="24"/>
      <c r="C20" s="113"/>
      <c r="D20" s="31"/>
      <c r="E20" s="31"/>
      <c r="F20" s="31"/>
      <c r="G20" s="31"/>
      <c r="H20" s="31"/>
      <c r="I20" s="31"/>
      <c r="J20" s="32"/>
    </row>
    <row r="21" spans="1:10">
      <c r="B21" s="24" t="s">
        <v>13</v>
      </c>
      <c r="C21" s="26">
        <f>IS!C15</f>
        <v>2335</v>
      </c>
      <c r="D21" s="26">
        <f>IS!D15</f>
        <v>2349.6999999999998</v>
      </c>
      <c r="E21" s="26">
        <f>IS!E15</f>
        <v>2474.6</v>
      </c>
      <c r="F21" s="43">
        <f>F6*F25</f>
        <v>2674.1339333151159</v>
      </c>
      <c r="G21" s="43">
        <f>G6*G25</f>
        <v>2894.5051778135348</v>
      </c>
      <c r="H21" s="43">
        <f>H6*H25</f>
        <v>3132.0972146803119</v>
      </c>
      <c r="I21" s="43">
        <f>I6*I25</f>
        <v>3388.2263443056281</v>
      </c>
      <c r="J21" s="44">
        <f>J6*J25</f>
        <v>3664.308723101336</v>
      </c>
    </row>
    <row r="22" spans="1:10">
      <c r="B22" s="24"/>
      <c r="C22" s="31"/>
      <c r="D22" s="31"/>
      <c r="E22" s="31"/>
      <c r="F22" s="31"/>
      <c r="G22" s="31"/>
      <c r="H22" s="31"/>
      <c r="I22" s="31"/>
      <c r="J22" s="32"/>
    </row>
    <row r="23" spans="1:10">
      <c r="B23" s="24"/>
      <c r="C23" s="31"/>
      <c r="D23" s="31"/>
      <c r="E23" s="31"/>
      <c r="F23" s="31"/>
      <c r="G23" s="31"/>
      <c r="H23" s="31"/>
      <c r="I23" s="31"/>
      <c r="J23" s="32"/>
    </row>
    <row r="24" spans="1:10">
      <c r="B24" s="24" t="s">
        <v>48</v>
      </c>
      <c r="C24" s="31"/>
      <c r="D24" s="31"/>
      <c r="E24" s="31"/>
      <c r="F24" s="31"/>
      <c r="G24" s="31"/>
      <c r="H24" s="31"/>
      <c r="I24" s="31"/>
      <c r="J24" s="32"/>
    </row>
    <row r="25" spans="1:10">
      <c r="B25" s="24" t="s">
        <v>13</v>
      </c>
      <c r="C25" s="113">
        <f>C21/C6</f>
        <v>0.17844315038134104</v>
      </c>
      <c r="D25" s="113">
        <f>D21/D6</f>
        <v>0.16657686908931077</v>
      </c>
      <c r="E25" s="113">
        <f>E21/E6</f>
        <v>0.16030836005571211</v>
      </c>
      <c r="F25" s="65">
        <v>0.16</v>
      </c>
      <c r="G25" s="65">
        <f>F25</f>
        <v>0.16</v>
      </c>
      <c r="H25" s="65">
        <f t="shared" ref="H25:J25" si="4">G25</f>
        <v>0.16</v>
      </c>
      <c r="I25" s="65">
        <f t="shared" si="4"/>
        <v>0.16</v>
      </c>
      <c r="J25" s="160">
        <f t="shared" si="4"/>
        <v>0.16</v>
      </c>
    </row>
    <row r="26" spans="1:10">
      <c r="A26" s="1" t="s">
        <v>28</v>
      </c>
      <c r="B26" s="24"/>
      <c r="C26" s="31"/>
      <c r="D26" s="31"/>
      <c r="E26" s="31"/>
      <c r="F26" s="31"/>
      <c r="G26" s="31"/>
      <c r="H26" s="31"/>
      <c r="I26" s="31"/>
      <c r="J26" s="32"/>
    </row>
    <row r="27" spans="1:10">
      <c r="B27" s="24" t="s">
        <v>14</v>
      </c>
      <c r="C27" s="26">
        <v>260.39999999999998</v>
      </c>
      <c r="D27" s="26">
        <v>244.8</v>
      </c>
      <c r="E27" s="26">
        <v>232.5</v>
      </c>
      <c r="F27" s="43">
        <f>F7*F29</f>
        <v>244.2</v>
      </c>
      <c r="G27" s="43">
        <f t="shared" ref="G27:J27" si="5">G7*G29</f>
        <v>244.2</v>
      </c>
      <c r="H27" s="43">
        <f t="shared" si="5"/>
        <v>244.2</v>
      </c>
      <c r="I27" s="43">
        <f t="shared" si="5"/>
        <v>244.2</v>
      </c>
      <c r="J27" s="44">
        <f t="shared" si="5"/>
        <v>244.2</v>
      </c>
    </row>
    <row r="28" spans="1:10">
      <c r="B28" s="24"/>
      <c r="C28" s="31"/>
      <c r="D28" s="31"/>
      <c r="E28" s="31"/>
      <c r="F28" s="31"/>
      <c r="G28" s="31"/>
      <c r="H28" s="31"/>
      <c r="I28" s="31"/>
      <c r="J28" s="32"/>
    </row>
    <row r="29" spans="1:10">
      <c r="B29" s="24" t="s">
        <v>49</v>
      </c>
      <c r="C29" s="113">
        <f>C27/C7</f>
        <v>0.74378748928877447</v>
      </c>
      <c r="D29" s="113">
        <f t="shared" ref="D29:E29" si="6">D27/D7</f>
        <v>0.74543239951278939</v>
      </c>
      <c r="E29" s="113">
        <f t="shared" si="6"/>
        <v>0.73669201520912542</v>
      </c>
      <c r="F29" s="65">
        <v>0.74</v>
      </c>
      <c r="G29" s="65">
        <v>0.74</v>
      </c>
      <c r="H29" s="65">
        <v>0.74</v>
      </c>
      <c r="I29" s="65">
        <v>0.74</v>
      </c>
      <c r="J29" s="160">
        <v>0.74</v>
      </c>
    </row>
    <row r="30" spans="1:10">
      <c r="B30" s="24"/>
      <c r="C30" s="31"/>
      <c r="D30" s="31"/>
      <c r="E30" s="31"/>
      <c r="F30" s="31"/>
      <c r="G30" s="31"/>
      <c r="H30" s="31"/>
      <c r="I30" s="31"/>
      <c r="J30" s="32"/>
    </row>
    <row r="31" spans="1:10">
      <c r="B31" s="24" t="s">
        <v>50</v>
      </c>
      <c r="C31" s="113">
        <f>IS!C26/IS!C25</f>
        <v>0.17339147010813011</v>
      </c>
      <c r="D31" s="113">
        <f>IS!D26/IS!D25</f>
        <v>0.21059626344979177</v>
      </c>
      <c r="E31" s="113">
        <f>IS!E26/IS!E25</f>
        <v>0.19514930337762074</v>
      </c>
      <c r="F31" s="65">
        <v>0.21</v>
      </c>
      <c r="G31" s="65">
        <v>0.21</v>
      </c>
      <c r="H31" s="65">
        <v>0.21</v>
      </c>
      <c r="I31" s="65">
        <v>0.21</v>
      </c>
      <c r="J31" s="160">
        <v>0.21</v>
      </c>
    </row>
    <row r="32" spans="1:10">
      <c r="B32" s="24"/>
      <c r="C32" s="31"/>
      <c r="D32" s="31"/>
      <c r="E32" s="31"/>
      <c r="F32" s="31"/>
      <c r="G32" s="31"/>
      <c r="H32" s="31"/>
      <c r="I32" s="31"/>
      <c r="J32" s="32"/>
    </row>
    <row r="33" spans="2:10">
      <c r="B33" s="24" t="s">
        <v>26</v>
      </c>
      <c r="C33" s="39">
        <f>IS!C28</f>
        <v>3918.6</v>
      </c>
      <c r="D33" s="39">
        <f>IS!D28</f>
        <v>4168.2</v>
      </c>
      <c r="E33" s="39">
        <f>IS!E28</f>
        <v>4532.8</v>
      </c>
      <c r="F33" s="43">
        <f ca="1">F35*IS!F27</f>
        <v>6465.0265816372039</v>
      </c>
      <c r="G33" s="43">
        <f ca="1">G35*IS!G27</f>
        <v>7231.05247414512</v>
      </c>
      <c r="H33" s="43">
        <f ca="1">H35*IS!H27</f>
        <v>8043.3376701644193</v>
      </c>
      <c r="I33" s="43">
        <f ca="1">I35*IS!I27</f>
        <v>8940.1598640940756</v>
      </c>
      <c r="J33" s="44">
        <f ca="1">J35*IS!J27</f>
        <v>9930.9820660733603</v>
      </c>
    </row>
    <row r="34" spans="2:10">
      <c r="B34" s="24"/>
      <c r="C34" s="31"/>
      <c r="D34" s="31"/>
      <c r="E34" s="31"/>
      <c r="F34" s="31"/>
      <c r="G34" s="31"/>
      <c r="H34" s="31"/>
      <c r="I34" s="31"/>
      <c r="J34" s="32"/>
    </row>
    <row r="35" spans="2:10" ht="14.4" thickBot="1">
      <c r="B35" s="57" t="s">
        <v>124</v>
      </c>
      <c r="C35" s="161">
        <f>C33/IS!C27</f>
        <v>0.51935005036314508</v>
      </c>
      <c r="D35" s="161">
        <f>D33/IS!D27</f>
        <v>0.67474989477773839</v>
      </c>
      <c r="E35" s="161">
        <f>E33/IS!E27</f>
        <v>0.53523521632344639</v>
      </c>
      <c r="F35" s="162">
        <f>AVERAGE(C35:E35)</f>
        <v>0.57644505382144329</v>
      </c>
      <c r="G35" s="162">
        <f>F35</f>
        <v>0.57644505382144329</v>
      </c>
      <c r="H35" s="162">
        <f t="shared" ref="H35:J35" si="7">G35</f>
        <v>0.57644505382144329</v>
      </c>
      <c r="I35" s="162">
        <f t="shared" si="7"/>
        <v>0.57644505382144329</v>
      </c>
      <c r="J35" s="163">
        <f t="shared" si="7"/>
        <v>0.57644505382144329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B1CF-48F4-4363-8453-1B2448274568}">
  <dimension ref="A1:J77"/>
  <sheetViews>
    <sheetView zoomScale="85" zoomScaleNormal="85" workbookViewId="0">
      <pane ySplit="3" topLeftCell="A4" activePane="bottomLeft" state="frozen"/>
      <selection activeCell="F38" sqref="F38"/>
      <selection pane="bottomLeft" activeCell="B79" sqref="B79"/>
    </sheetView>
  </sheetViews>
  <sheetFormatPr defaultRowHeight="13.8"/>
  <cols>
    <col min="1" max="1" width="5.33203125" style="1" customWidth="1"/>
    <col min="2" max="2" width="57.77734375" style="1" customWidth="1"/>
    <col min="3" max="10" width="11.77734375" style="1" customWidth="1"/>
    <col min="11" max="11" width="9" style="1" bestFit="1" customWidth="1"/>
    <col min="12" max="16384" width="8.88671875" style="1"/>
  </cols>
  <sheetData>
    <row r="1" spans="1:10" s="5" customFormat="1" ht="17.399999999999999">
      <c r="A1" s="3"/>
      <c r="B1" s="4" t="s">
        <v>171</v>
      </c>
      <c r="C1" s="3"/>
      <c r="D1" s="3"/>
      <c r="E1" s="3"/>
      <c r="F1" s="3"/>
      <c r="G1" s="3"/>
      <c r="H1" s="3"/>
      <c r="I1" s="3"/>
      <c r="J1" s="3"/>
    </row>
    <row r="2" spans="1:10" s="5" customFormat="1" ht="17.399999999999999">
      <c r="A2" s="3"/>
      <c r="B2" s="3"/>
      <c r="C2" s="6" t="s">
        <v>2</v>
      </c>
      <c r="D2" s="6"/>
      <c r="E2" s="7"/>
      <c r="F2" s="6" t="s">
        <v>3</v>
      </c>
      <c r="G2" s="6"/>
      <c r="H2" s="6"/>
      <c r="I2" s="6"/>
      <c r="J2" s="6"/>
    </row>
    <row r="3" spans="1:10" s="5" customFormat="1" ht="17.399999999999999">
      <c r="A3" s="3"/>
      <c r="B3" s="4" t="s">
        <v>1</v>
      </c>
      <c r="C3" s="8">
        <v>2021</v>
      </c>
      <c r="D3" s="8">
        <f>C3+1</f>
        <v>2022</v>
      </c>
      <c r="E3" s="9">
        <f>D3+1</f>
        <v>2023</v>
      </c>
      <c r="F3" s="10">
        <f t="shared" ref="F3:J3" si="0">E3+1</f>
        <v>2024</v>
      </c>
      <c r="G3" s="11">
        <f t="shared" si="0"/>
        <v>2025</v>
      </c>
      <c r="H3" s="11">
        <f t="shared" si="0"/>
        <v>2026</v>
      </c>
      <c r="I3" s="11">
        <f t="shared" si="0"/>
        <v>2027</v>
      </c>
      <c r="J3" s="11">
        <f t="shared" si="0"/>
        <v>2028</v>
      </c>
    </row>
    <row r="4" spans="1:10" ht="14.4" thickBot="1"/>
    <row r="5" spans="1:10" ht="14.4" thickBot="1">
      <c r="B5" s="133" t="s">
        <v>29</v>
      </c>
      <c r="C5" s="91"/>
      <c r="D5" s="91"/>
      <c r="E5" s="91"/>
      <c r="F5" s="91"/>
      <c r="G5" s="91"/>
      <c r="H5" s="91"/>
      <c r="I5" s="91"/>
      <c r="J5" s="99"/>
    </row>
    <row r="6" spans="1:10">
      <c r="B6" s="92" t="s">
        <v>30</v>
      </c>
      <c r="C6" s="31"/>
      <c r="D6" s="31"/>
      <c r="E6" s="31"/>
      <c r="F6" s="31"/>
      <c r="G6" s="31"/>
      <c r="H6" s="31"/>
      <c r="I6" s="31"/>
      <c r="J6" s="93"/>
    </row>
    <row r="7" spans="1:10">
      <c r="B7" s="92" t="s">
        <v>31</v>
      </c>
      <c r="C7" s="25">
        <v>2617</v>
      </c>
      <c r="D7" s="25">
        <v>2836</v>
      </c>
      <c r="E7" s="25">
        <v>3221</v>
      </c>
      <c r="F7" s="39">
        <f>F26*F38</f>
        <v>3763.632700729926</v>
      </c>
      <c r="G7" s="39">
        <f t="shared" ref="G7:J7" si="1">G26*G38</f>
        <v>4396.5827116788305</v>
      </c>
      <c r="H7" s="39">
        <f t="shared" si="1"/>
        <v>5134.7359901459831</v>
      </c>
      <c r="I7" s="39">
        <f t="shared" si="1"/>
        <v>5995.4121411405085</v>
      </c>
      <c r="J7" s="106">
        <f t="shared" si="1"/>
        <v>6998.7595776551061</v>
      </c>
    </row>
    <row r="8" spans="1:10">
      <c r="B8" s="92" t="s">
        <v>32</v>
      </c>
      <c r="C8" s="25">
        <v>6456</v>
      </c>
      <c r="D8" s="25">
        <v>5179</v>
      </c>
      <c r="E8" s="25">
        <v>5702</v>
      </c>
      <c r="F8" s="39">
        <f t="shared" ref="F8:J9" si="2">F27*F39</f>
        <v>7030.11185840708</v>
      </c>
      <c r="G8" s="39">
        <f t="shared" si="2"/>
        <v>8648.9903946902668</v>
      </c>
      <c r="H8" s="39">
        <f t="shared" si="2"/>
        <v>10615.586074725665</v>
      </c>
      <c r="I8" s="39">
        <f t="shared" si="2"/>
        <v>12995.427156988144</v>
      </c>
      <c r="J8" s="106">
        <f t="shared" si="2"/>
        <v>15862.805278078431</v>
      </c>
    </row>
    <row r="9" spans="1:10">
      <c r="B9" s="92" t="s">
        <v>33</v>
      </c>
      <c r="C9" s="49">
        <v>715</v>
      </c>
      <c r="D9" s="49">
        <v>733</v>
      </c>
      <c r="E9" s="49">
        <v>819</v>
      </c>
      <c r="F9" s="39">
        <f t="shared" si="2"/>
        <v>911.56954128440373</v>
      </c>
      <c r="G9" s="39">
        <f t="shared" si="2"/>
        <v>1013.708609174312</v>
      </c>
      <c r="H9" s="39">
        <f t="shared" si="2"/>
        <v>1126.3558828623854</v>
      </c>
      <c r="I9" s="39">
        <f t="shared" si="2"/>
        <v>1250.5389852418352</v>
      </c>
      <c r="J9" s="106">
        <f t="shared" si="2"/>
        <v>1387.3827063516776</v>
      </c>
    </row>
    <row r="10" spans="1:10" ht="14.4" thickBot="1">
      <c r="B10" s="107" t="s">
        <v>34</v>
      </c>
      <c r="C10" s="14">
        <f>SUM(C7:C9)</f>
        <v>9788</v>
      </c>
      <c r="D10" s="14">
        <f t="shared" ref="D10:J10" si="3">SUM(D7:D9)</f>
        <v>8748</v>
      </c>
      <c r="E10" s="14">
        <f t="shared" si="3"/>
        <v>9742</v>
      </c>
      <c r="F10" s="14">
        <f t="shared" si="3"/>
        <v>11705.314100421409</v>
      </c>
      <c r="G10" s="14">
        <f t="shared" si="3"/>
        <v>14059.28171554341</v>
      </c>
      <c r="H10" s="14">
        <f t="shared" si="3"/>
        <v>16876.677947734035</v>
      </c>
      <c r="I10" s="14">
        <f t="shared" si="3"/>
        <v>20241.378283370486</v>
      </c>
      <c r="J10" s="108">
        <f t="shared" si="3"/>
        <v>24248.947562085214</v>
      </c>
    </row>
    <row r="11" spans="1:10" ht="14.4" thickTop="1">
      <c r="B11" s="92" t="s">
        <v>35</v>
      </c>
      <c r="C11" s="31"/>
      <c r="D11" s="31"/>
      <c r="E11" s="31"/>
      <c r="F11" s="31"/>
      <c r="G11" s="31"/>
      <c r="H11" s="31"/>
      <c r="I11" s="31"/>
      <c r="J11" s="93"/>
    </row>
    <row r="12" spans="1:10">
      <c r="B12" s="92" t="s">
        <v>31</v>
      </c>
      <c r="C12" s="25">
        <v>6094</v>
      </c>
      <c r="D12" s="25">
        <v>6585</v>
      </c>
      <c r="E12" s="25">
        <v>7163</v>
      </c>
      <c r="F12" s="31">
        <f>F32*F44</f>
        <v>7736.9485546507995</v>
      </c>
      <c r="G12" s="31">
        <f t="shared" ref="G12:J12" si="4">G32*G44</f>
        <v>8356.8856780457263</v>
      </c>
      <c r="H12" s="31">
        <f t="shared" si="4"/>
        <v>9026.496270434076</v>
      </c>
      <c r="I12" s="31">
        <f t="shared" si="4"/>
        <v>9749.7604892650706</v>
      </c>
      <c r="J12" s="93">
        <f t="shared" si="4"/>
        <v>10530.977406978245</v>
      </c>
    </row>
    <row r="13" spans="1:10">
      <c r="B13" s="92" t="s">
        <v>32</v>
      </c>
      <c r="C13" s="25">
        <v>5638</v>
      </c>
      <c r="D13" s="25">
        <v>5985</v>
      </c>
      <c r="E13" s="25">
        <v>6549</v>
      </c>
      <c r="F13" s="31">
        <f t="shared" ref="F13:J14" si="5">F33*F45</f>
        <v>7050.3968323661447</v>
      </c>
      <c r="G13" s="31">
        <f t="shared" si="5"/>
        <v>7589.8991212635501</v>
      </c>
      <c r="H13" s="31">
        <f t="shared" si="5"/>
        <v>8170.3847861279983</v>
      </c>
      <c r="I13" s="31">
        <f t="shared" si="5"/>
        <v>8794.9479383792786</v>
      </c>
      <c r="J13" s="93">
        <f t="shared" si="5"/>
        <v>9466.9150464937102</v>
      </c>
    </row>
    <row r="14" spans="1:10">
      <c r="B14" s="92" t="s">
        <v>33</v>
      </c>
      <c r="C14" s="25">
        <v>1353</v>
      </c>
      <c r="D14" s="25">
        <v>1536</v>
      </c>
      <c r="E14" s="25">
        <v>1724</v>
      </c>
      <c r="F14" s="31">
        <f t="shared" si="5"/>
        <v>1925.9916962025318</v>
      </c>
      <c r="G14" s="31">
        <f t="shared" si="5"/>
        <v>2143.8725620253167</v>
      </c>
      <c r="H14" s="31">
        <f t="shared" si="5"/>
        <v>2378.7265351898741</v>
      </c>
      <c r="I14" s="31">
        <f t="shared" si="5"/>
        <v>2631.7062242658235</v>
      </c>
      <c r="J14" s="93">
        <f t="shared" si="5"/>
        <v>2904.0370659113933</v>
      </c>
    </row>
    <row r="15" spans="1:10" ht="14.4" thickBot="1">
      <c r="B15" s="107" t="s">
        <v>34</v>
      </c>
      <c r="C15" s="14">
        <f>SUM(C12:C14)</f>
        <v>13085</v>
      </c>
      <c r="D15" s="14">
        <f t="shared" ref="D15:J15" si="6">SUM(D12:D14)</f>
        <v>14106</v>
      </c>
      <c r="E15" s="14">
        <f t="shared" si="6"/>
        <v>15436</v>
      </c>
      <c r="F15" s="14">
        <f t="shared" si="6"/>
        <v>16713.337083219474</v>
      </c>
      <c r="G15" s="14">
        <f t="shared" si="6"/>
        <v>18090.657361334594</v>
      </c>
      <c r="H15" s="14">
        <f t="shared" si="6"/>
        <v>19575.607591751948</v>
      </c>
      <c r="I15" s="14">
        <f t="shared" si="6"/>
        <v>21176.414651910174</v>
      </c>
      <c r="J15" s="108">
        <f t="shared" si="6"/>
        <v>22901.92951938335</v>
      </c>
    </row>
    <row r="16" spans="1:10" ht="14.4" thickTop="1">
      <c r="B16" s="92" t="s">
        <v>36</v>
      </c>
      <c r="C16" s="31"/>
      <c r="D16" s="31"/>
      <c r="E16" s="31"/>
      <c r="F16" s="31"/>
      <c r="G16" s="31"/>
      <c r="H16" s="31"/>
      <c r="I16" s="31"/>
      <c r="J16" s="93"/>
    </row>
    <row r="17" spans="1:10">
      <c r="B17" s="92" t="s">
        <v>31</v>
      </c>
      <c r="C17" s="39">
        <f>SUM(C7,C12)</f>
        <v>8711</v>
      </c>
      <c r="D17" s="39">
        <f t="shared" ref="D17:E17" si="7">SUM(D7,D12)</f>
        <v>9421</v>
      </c>
      <c r="E17" s="39">
        <f t="shared" si="7"/>
        <v>10384</v>
      </c>
      <c r="F17" s="39">
        <f t="shared" ref="F17:J17" si="8">SUM(F7,F12)</f>
        <v>11500.581255380726</v>
      </c>
      <c r="G17" s="39">
        <f t="shared" si="8"/>
        <v>12753.468389724556</v>
      </c>
      <c r="H17" s="39">
        <f t="shared" si="8"/>
        <v>14161.232260580058</v>
      </c>
      <c r="I17" s="39">
        <f t="shared" si="8"/>
        <v>15745.172630405579</v>
      </c>
      <c r="J17" s="106">
        <f t="shared" si="8"/>
        <v>17529.736984633353</v>
      </c>
    </row>
    <row r="18" spans="1:10">
      <c r="B18" s="92" t="s">
        <v>32</v>
      </c>
      <c r="C18" s="39">
        <f t="shared" ref="C18:E19" si="9">SUM(C8,C13)</f>
        <v>12094</v>
      </c>
      <c r="D18" s="39">
        <f t="shared" si="9"/>
        <v>11164</v>
      </c>
      <c r="E18" s="39">
        <f t="shared" si="9"/>
        <v>12251</v>
      </c>
      <c r="F18" s="39">
        <f t="shared" ref="F18:J18" si="10">SUM(F8,F13)</f>
        <v>14080.508690773226</v>
      </c>
      <c r="G18" s="39">
        <f t="shared" si="10"/>
        <v>16238.889515953817</v>
      </c>
      <c r="H18" s="39">
        <f t="shared" si="10"/>
        <v>18785.970860853664</v>
      </c>
      <c r="I18" s="39">
        <f t="shared" si="10"/>
        <v>21790.375095367424</v>
      </c>
      <c r="J18" s="106">
        <f t="shared" si="10"/>
        <v>25329.720324572139</v>
      </c>
    </row>
    <row r="19" spans="1:10">
      <c r="B19" s="92" t="s">
        <v>33</v>
      </c>
      <c r="C19" s="39">
        <f t="shared" si="9"/>
        <v>2068</v>
      </c>
      <c r="D19" s="39">
        <f t="shared" si="9"/>
        <v>2269</v>
      </c>
      <c r="E19" s="39">
        <f t="shared" si="9"/>
        <v>2543</v>
      </c>
      <c r="F19" s="39">
        <f t="shared" ref="F19:J19" si="11">SUM(F9,F14)</f>
        <v>2837.5612374869356</v>
      </c>
      <c r="G19" s="39">
        <f t="shared" si="11"/>
        <v>3157.5811711996284</v>
      </c>
      <c r="H19" s="39">
        <f t="shared" si="11"/>
        <v>3505.0824180522595</v>
      </c>
      <c r="I19" s="39">
        <f t="shared" si="11"/>
        <v>3882.2452095076587</v>
      </c>
      <c r="J19" s="106">
        <f t="shared" si="11"/>
        <v>4291.4197722630706</v>
      </c>
    </row>
    <row r="20" spans="1:10" ht="14.4" thickBot="1">
      <c r="B20" s="107" t="s">
        <v>34</v>
      </c>
      <c r="C20" s="14">
        <f>SUM(C17:C19)</f>
        <v>22873</v>
      </c>
      <c r="D20" s="14">
        <f t="shared" ref="D20:E20" si="12">SUM(D17:D19)</f>
        <v>22854</v>
      </c>
      <c r="E20" s="14">
        <f t="shared" si="12"/>
        <v>25178</v>
      </c>
      <c r="F20" s="14">
        <f t="shared" ref="F20:J20" si="13">SUM(F17:F19)</f>
        <v>28418.651183640886</v>
      </c>
      <c r="G20" s="14">
        <f t="shared" si="13"/>
        <v>32149.939076877999</v>
      </c>
      <c r="H20" s="14">
        <f t="shared" si="13"/>
        <v>36452.28553948598</v>
      </c>
      <c r="I20" s="14">
        <f t="shared" si="13"/>
        <v>41417.79293528066</v>
      </c>
      <c r="J20" s="108">
        <f t="shared" si="13"/>
        <v>47150.877081468563</v>
      </c>
    </row>
    <row r="21" spans="1:10" ht="14.4" thickTop="1">
      <c r="B21" s="92" t="s">
        <v>37</v>
      </c>
      <c r="C21" s="31">
        <v>350</v>
      </c>
      <c r="D21" s="31">
        <v>329</v>
      </c>
      <c r="E21" s="31">
        <v>316</v>
      </c>
      <c r="F21" s="31">
        <v>332</v>
      </c>
      <c r="G21" s="31">
        <v>330</v>
      </c>
      <c r="H21" s="31">
        <f t="shared" ref="H21:J21" si="14">G21</f>
        <v>330</v>
      </c>
      <c r="I21" s="31">
        <f t="shared" si="14"/>
        <v>330</v>
      </c>
      <c r="J21" s="93">
        <f t="shared" si="14"/>
        <v>330</v>
      </c>
    </row>
    <row r="22" spans="1:10">
      <c r="B22" s="92"/>
      <c r="C22" s="31"/>
      <c r="D22" s="31"/>
      <c r="E22" s="31"/>
      <c r="F22" s="31"/>
      <c r="G22" s="31"/>
      <c r="H22" s="31"/>
      <c r="I22" s="31"/>
      <c r="J22" s="93"/>
    </row>
    <row r="23" spans="1:10" ht="14.4" thickBot="1">
      <c r="B23" s="107" t="s">
        <v>38</v>
      </c>
      <c r="C23" s="14">
        <f>SUM(C20:C21)</f>
        <v>23223</v>
      </c>
      <c r="D23" s="14">
        <f>SUM(D20:D21)</f>
        <v>23183</v>
      </c>
      <c r="E23" s="14">
        <f>SUM(E20:E21)</f>
        <v>25494</v>
      </c>
      <c r="F23" s="14">
        <f t="shared" ref="F23:J23" si="15">SUM(F20:F21)</f>
        <v>28750.651183640886</v>
      </c>
      <c r="G23" s="14">
        <f t="shared" si="15"/>
        <v>32479.939076877999</v>
      </c>
      <c r="H23" s="14">
        <f t="shared" si="15"/>
        <v>36782.28553948598</v>
      </c>
      <c r="I23" s="14">
        <f t="shared" si="15"/>
        <v>41747.79293528066</v>
      </c>
      <c r="J23" s="108">
        <f t="shared" si="15"/>
        <v>47480.877081468563</v>
      </c>
    </row>
    <row r="24" spans="1:10" ht="14.4" thickTop="1">
      <c r="B24" s="92"/>
      <c r="C24" s="31"/>
      <c r="D24" s="31"/>
      <c r="E24" s="31"/>
      <c r="F24" s="31"/>
      <c r="G24" s="31"/>
      <c r="H24" s="31"/>
      <c r="I24" s="31"/>
      <c r="J24" s="93"/>
    </row>
    <row r="25" spans="1:10" ht="14.4" thickBot="1">
      <c r="B25" s="107" t="s">
        <v>39</v>
      </c>
      <c r="C25" s="31"/>
      <c r="D25" s="31"/>
      <c r="E25" s="31"/>
      <c r="F25" s="31"/>
      <c r="G25" s="31"/>
      <c r="H25" s="31"/>
      <c r="I25" s="31"/>
      <c r="J25" s="93"/>
    </row>
    <row r="26" spans="1:10" ht="14.4" thickTop="1">
      <c r="A26" s="1" t="s">
        <v>28</v>
      </c>
      <c r="B26" s="92" t="s">
        <v>31</v>
      </c>
      <c r="C26" s="49">
        <v>663</v>
      </c>
      <c r="D26" s="49">
        <v>693</v>
      </c>
      <c r="E26" s="49">
        <v>685</v>
      </c>
      <c r="F26" s="31">
        <f>E26+F62</f>
        <v>696</v>
      </c>
      <c r="G26" s="31">
        <f t="shared" ref="G26:J26" si="16">F26+G62</f>
        <v>707</v>
      </c>
      <c r="H26" s="31">
        <f t="shared" si="16"/>
        <v>718</v>
      </c>
      <c r="I26" s="31">
        <f t="shared" si="16"/>
        <v>729</v>
      </c>
      <c r="J26" s="93">
        <f t="shared" si="16"/>
        <v>740</v>
      </c>
    </row>
    <row r="27" spans="1:10">
      <c r="B27" s="92" t="s">
        <v>47</v>
      </c>
      <c r="C27" s="49">
        <v>1765</v>
      </c>
      <c r="D27" s="49">
        <v>1097</v>
      </c>
      <c r="E27" s="49">
        <v>1130</v>
      </c>
      <c r="F27" s="31">
        <f t="shared" ref="F27:J27" si="17">E27+F63</f>
        <v>1080</v>
      </c>
      <c r="G27" s="31">
        <f t="shared" si="17"/>
        <v>1030</v>
      </c>
      <c r="H27" s="31">
        <f t="shared" si="17"/>
        <v>980</v>
      </c>
      <c r="I27" s="31">
        <f t="shared" si="17"/>
        <v>930</v>
      </c>
      <c r="J27" s="93">
        <f t="shared" si="17"/>
        <v>880</v>
      </c>
    </row>
    <row r="28" spans="1:10">
      <c r="B28" s="92" t="s">
        <v>33</v>
      </c>
      <c r="C28" s="49">
        <v>308</v>
      </c>
      <c r="D28" s="49">
        <v>316</v>
      </c>
      <c r="E28" s="49">
        <v>327</v>
      </c>
      <c r="F28" s="31">
        <f t="shared" ref="F28:J28" si="18">E28+F64</f>
        <v>337</v>
      </c>
      <c r="G28" s="31">
        <f t="shared" si="18"/>
        <v>347</v>
      </c>
      <c r="H28" s="31">
        <f t="shared" si="18"/>
        <v>357</v>
      </c>
      <c r="I28" s="31">
        <f t="shared" si="18"/>
        <v>367</v>
      </c>
      <c r="J28" s="93">
        <f t="shared" si="18"/>
        <v>377</v>
      </c>
    </row>
    <row r="29" spans="1:10" ht="14.4" thickBot="1">
      <c r="B29" s="107" t="s">
        <v>34</v>
      </c>
      <c r="C29" s="13">
        <f>SUM(C26:C28)</f>
        <v>2736</v>
      </c>
      <c r="D29" s="13">
        <f t="shared" ref="D29:E29" si="19">SUM(D26:D28)</f>
        <v>2106</v>
      </c>
      <c r="E29" s="13">
        <f t="shared" si="19"/>
        <v>2142</v>
      </c>
      <c r="F29" s="13">
        <f t="shared" ref="F29" si="20">SUM(F26:F28)</f>
        <v>2113</v>
      </c>
      <c r="G29" s="13">
        <f t="shared" ref="G29" si="21">SUM(G26:G28)</f>
        <v>2084</v>
      </c>
      <c r="H29" s="13">
        <f t="shared" ref="H29" si="22">SUM(H26:H28)</f>
        <v>2055</v>
      </c>
      <c r="I29" s="13">
        <f t="shared" ref="I29" si="23">SUM(I26:I28)</f>
        <v>2026</v>
      </c>
      <c r="J29" s="109">
        <f t="shared" ref="J29" si="24">SUM(J26:J28)</f>
        <v>1997</v>
      </c>
    </row>
    <row r="30" spans="1:10" ht="14.4" thickTop="1">
      <c r="B30" s="92"/>
      <c r="C30" s="31"/>
      <c r="D30" s="31"/>
      <c r="E30" s="31"/>
      <c r="F30" s="31"/>
      <c r="G30" s="31"/>
      <c r="H30" s="31"/>
      <c r="I30" s="31"/>
      <c r="J30" s="93"/>
    </row>
    <row r="31" spans="1:10" ht="14.4" thickBot="1">
      <c r="B31" s="107" t="s">
        <v>40</v>
      </c>
      <c r="C31" s="31"/>
      <c r="D31" s="31"/>
      <c r="E31" s="31"/>
      <c r="F31" s="31"/>
      <c r="G31" s="31"/>
      <c r="H31" s="31"/>
      <c r="I31" s="31"/>
      <c r="J31" s="93"/>
    </row>
    <row r="32" spans="1:10" ht="14.4" thickTop="1">
      <c r="B32" s="92" t="s">
        <v>31</v>
      </c>
      <c r="C32" s="31">
        <v>12775</v>
      </c>
      <c r="D32" s="31">
        <v>12751</v>
      </c>
      <c r="E32" s="31">
        <v>12772</v>
      </c>
      <c r="F32" s="31">
        <f>E32+F68</f>
        <v>12773.5</v>
      </c>
      <c r="G32" s="31">
        <f t="shared" ref="G32:J32" si="25">F32+G68</f>
        <v>12775</v>
      </c>
      <c r="H32" s="31">
        <f t="shared" si="25"/>
        <v>12776.5</v>
      </c>
      <c r="I32" s="31">
        <f t="shared" si="25"/>
        <v>12778</v>
      </c>
      <c r="J32" s="93">
        <f t="shared" si="25"/>
        <v>12779.5</v>
      </c>
    </row>
    <row r="33" spans="2:10">
      <c r="B33" s="92" t="s">
        <v>32</v>
      </c>
      <c r="C33" s="31">
        <v>9020</v>
      </c>
      <c r="D33" s="31">
        <v>9006</v>
      </c>
      <c r="E33" s="31">
        <v>9133</v>
      </c>
      <c r="F33" s="31">
        <f t="shared" ref="F33:J33" si="26">E33+F69</f>
        <v>9189</v>
      </c>
      <c r="G33" s="31">
        <f t="shared" si="26"/>
        <v>9245</v>
      </c>
      <c r="H33" s="31">
        <f t="shared" si="26"/>
        <v>9301</v>
      </c>
      <c r="I33" s="31">
        <f t="shared" si="26"/>
        <v>9357</v>
      </c>
      <c r="J33" s="93">
        <f t="shared" si="26"/>
        <v>9413</v>
      </c>
    </row>
    <row r="34" spans="2:10">
      <c r="B34" s="92" t="s">
        <v>33</v>
      </c>
      <c r="C34" s="31">
        <v>15500</v>
      </c>
      <c r="D34" s="31">
        <v>16412</v>
      </c>
      <c r="E34" s="31">
        <v>17775</v>
      </c>
      <c r="F34" s="31">
        <f t="shared" ref="F34:J34" si="27">E34+F70</f>
        <v>18912</v>
      </c>
      <c r="G34" s="31">
        <f t="shared" si="27"/>
        <v>20049</v>
      </c>
      <c r="H34" s="31">
        <f t="shared" si="27"/>
        <v>21186</v>
      </c>
      <c r="I34" s="31">
        <f t="shared" si="27"/>
        <v>22323</v>
      </c>
      <c r="J34" s="93">
        <f t="shared" si="27"/>
        <v>23460</v>
      </c>
    </row>
    <row r="35" spans="2:10" ht="14.4" thickBot="1">
      <c r="B35" s="107" t="s">
        <v>34</v>
      </c>
      <c r="C35" s="13">
        <f>SUM(C32:C34)</f>
        <v>37295</v>
      </c>
      <c r="D35" s="13">
        <f t="shared" ref="D35:J35" si="28">SUM(D32:D34)</f>
        <v>38169</v>
      </c>
      <c r="E35" s="16">
        <f t="shared" si="28"/>
        <v>39680</v>
      </c>
      <c r="F35" s="16">
        <f t="shared" si="28"/>
        <v>40874.5</v>
      </c>
      <c r="G35" s="16">
        <f t="shared" si="28"/>
        <v>42069</v>
      </c>
      <c r="H35" s="16">
        <f t="shared" si="28"/>
        <v>43263.5</v>
      </c>
      <c r="I35" s="16">
        <f t="shared" si="28"/>
        <v>44458</v>
      </c>
      <c r="J35" s="110">
        <f t="shared" si="28"/>
        <v>45652.5</v>
      </c>
    </row>
    <row r="36" spans="2:10" ht="14.4" thickTop="1">
      <c r="B36" s="92"/>
      <c r="C36" s="31"/>
      <c r="D36" s="31"/>
      <c r="E36" s="31"/>
      <c r="F36" s="31"/>
      <c r="G36" s="31"/>
      <c r="H36" s="31"/>
      <c r="I36" s="31"/>
      <c r="J36" s="93"/>
    </row>
    <row r="37" spans="2:10" ht="14.4" thickBot="1">
      <c r="B37" s="107" t="s">
        <v>42</v>
      </c>
      <c r="C37" s="31"/>
      <c r="D37" s="31"/>
      <c r="E37" s="31"/>
      <c r="F37" s="31"/>
      <c r="G37" s="31"/>
      <c r="H37" s="31"/>
      <c r="I37" s="31"/>
      <c r="J37" s="93"/>
    </row>
    <row r="38" spans="2:10" ht="14.4" thickTop="1">
      <c r="B38" s="92" t="s">
        <v>31</v>
      </c>
      <c r="C38" s="111">
        <f t="shared" ref="C38:E40" si="29">C7/C26</f>
        <v>3.9472096530920062</v>
      </c>
      <c r="D38" s="111">
        <f t="shared" si="29"/>
        <v>4.0923520923520922</v>
      </c>
      <c r="E38" s="111">
        <f t="shared" si="29"/>
        <v>4.7021897810218976</v>
      </c>
      <c r="F38" s="50">
        <f>E38*(1+F50)</f>
        <v>5.4075182481751813</v>
      </c>
      <c r="G38" s="50">
        <f t="shared" ref="G38:J38" si="30">F38*(1+G50)</f>
        <v>6.2186459854014577</v>
      </c>
      <c r="H38" s="50">
        <f t="shared" si="30"/>
        <v>7.1514428832116756</v>
      </c>
      <c r="I38" s="50">
        <f t="shared" si="30"/>
        <v>8.2241593156934272</v>
      </c>
      <c r="J38" s="112">
        <f t="shared" si="30"/>
        <v>9.4577832130474402</v>
      </c>
    </row>
    <row r="39" spans="2:10">
      <c r="B39" s="92" t="s">
        <v>32</v>
      </c>
      <c r="C39" s="111">
        <f t="shared" si="29"/>
        <v>3.6577903682719546</v>
      </c>
      <c r="D39" s="111">
        <f t="shared" si="29"/>
        <v>4.7210574293527801</v>
      </c>
      <c r="E39" s="111">
        <f t="shared" si="29"/>
        <v>5.0460176991150441</v>
      </c>
      <c r="F39" s="50">
        <f t="shared" ref="F39:J39" si="31">E39*(1+F51)</f>
        <v>6.5093628318584074</v>
      </c>
      <c r="G39" s="50">
        <f t="shared" si="31"/>
        <v>8.3970780530973457</v>
      </c>
      <c r="H39" s="50">
        <f t="shared" si="31"/>
        <v>10.832230688495576</v>
      </c>
      <c r="I39" s="50">
        <f t="shared" si="31"/>
        <v>13.973577588159294</v>
      </c>
      <c r="J39" s="112">
        <f t="shared" si="31"/>
        <v>18.02591508872549</v>
      </c>
    </row>
    <row r="40" spans="2:10">
      <c r="B40" s="92" t="s">
        <v>33</v>
      </c>
      <c r="C40" s="111">
        <f t="shared" si="29"/>
        <v>2.3214285714285716</v>
      </c>
      <c r="D40" s="111">
        <f t="shared" si="29"/>
        <v>2.3196202531645569</v>
      </c>
      <c r="E40" s="111">
        <f t="shared" si="29"/>
        <v>2.5045871559633026</v>
      </c>
      <c r="F40" s="50">
        <f t="shared" ref="F40:J40" si="32">E40*(1+F52)</f>
        <v>2.7049541284403671</v>
      </c>
      <c r="G40" s="50">
        <f t="shared" si="32"/>
        <v>2.9213504587155965</v>
      </c>
      <c r="H40" s="50">
        <f t="shared" si="32"/>
        <v>3.1550584954128444</v>
      </c>
      <c r="I40" s="50">
        <f t="shared" si="32"/>
        <v>3.4074631750458724</v>
      </c>
      <c r="J40" s="112">
        <f t="shared" si="32"/>
        <v>3.6800602290495426</v>
      </c>
    </row>
    <row r="41" spans="2:10" ht="14.4" thickBot="1">
      <c r="B41" s="107" t="s">
        <v>34</v>
      </c>
      <c r="C41" s="31"/>
      <c r="D41" s="31"/>
      <c r="E41" s="31"/>
      <c r="F41" s="31"/>
      <c r="G41" s="31"/>
      <c r="H41" s="31"/>
      <c r="I41" s="31"/>
      <c r="J41" s="93"/>
    </row>
    <row r="42" spans="2:10" ht="14.4" thickTop="1">
      <c r="B42" s="92"/>
      <c r="C42" s="31"/>
      <c r="D42" s="31"/>
      <c r="E42" s="31"/>
      <c r="F42" s="31"/>
      <c r="G42" s="31"/>
      <c r="H42" s="31"/>
      <c r="I42" s="31"/>
      <c r="J42" s="93"/>
    </row>
    <row r="43" spans="2:10" ht="14.4" thickBot="1">
      <c r="B43" s="107" t="s">
        <v>41</v>
      </c>
      <c r="C43" s="31"/>
      <c r="D43" s="31"/>
      <c r="E43" s="31"/>
      <c r="F43" s="31"/>
      <c r="G43" s="31"/>
      <c r="H43" s="31"/>
      <c r="I43" s="31"/>
      <c r="J43" s="93"/>
    </row>
    <row r="44" spans="2:10" ht="14.4" thickTop="1">
      <c r="B44" s="92" t="s">
        <v>31</v>
      </c>
      <c r="C44" s="111">
        <f>C12/C32</f>
        <v>0.47702544031311156</v>
      </c>
      <c r="D44" s="111">
        <f t="shared" ref="D44:E44" si="33">D12/D32</f>
        <v>0.51643008391498701</v>
      </c>
      <c r="E44" s="111">
        <f t="shared" si="33"/>
        <v>0.56083620419668023</v>
      </c>
      <c r="F44" s="50">
        <f>E44*(1+F56)</f>
        <v>0.60570310053241472</v>
      </c>
      <c r="G44" s="50">
        <f t="shared" ref="G44:J44" si="34">F44*(1+G56)</f>
        <v>0.6541593485750079</v>
      </c>
      <c r="H44" s="50">
        <f t="shared" si="34"/>
        <v>0.70649209646100863</v>
      </c>
      <c r="I44" s="50">
        <f t="shared" si="34"/>
        <v>0.76301146417788934</v>
      </c>
      <c r="J44" s="112">
        <f t="shared" si="34"/>
        <v>0.82405238131212055</v>
      </c>
    </row>
    <row r="45" spans="2:10">
      <c r="B45" s="92" t="s">
        <v>32</v>
      </c>
      <c r="C45" s="111">
        <f t="shared" ref="C45:E46" si="35">C13/C33</f>
        <v>0.62505543237250549</v>
      </c>
      <c r="D45" s="111">
        <f t="shared" si="35"/>
        <v>0.66455696202531644</v>
      </c>
      <c r="E45" s="111">
        <f t="shared" si="35"/>
        <v>0.71706996605715534</v>
      </c>
      <c r="F45" s="50">
        <f t="shared" ref="F45:J45" si="36">E45*(1+F57)</f>
        <v>0.76726486368115621</v>
      </c>
      <c r="G45" s="50">
        <f t="shared" si="36"/>
        <v>0.82097340413883724</v>
      </c>
      <c r="H45" s="50">
        <f t="shared" si="36"/>
        <v>0.87844154242855588</v>
      </c>
      <c r="I45" s="50">
        <f>H45*(1+I57)</f>
        <v>0.93993245039855489</v>
      </c>
      <c r="J45" s="112">
        <f t="shared" si="36"/>
        <v>1.0057277219264538</v>
      </c>
    </row>
    <row r="46" spans="2:10">
      <c r="B46" s="92" t="s">
        <v>33</v>
      </c>
      <c r="C46" s="111">
        <f t="shared" si="35"/>
        <v>8.729032258064516E-2</v>
      </c>
      <c r="D46" s="111">
        <f t="shared" si="35"/>
        <v>9.3590056056543997E-2</v>
      </c>
      <c r="E46" s="111">
        <f t="shared" si="35"/>
        <v>9.6990154711673701E-2</v>
      </c>
      <c r="F46" s="50">
        <f t="shared" ref="F46:J46" si="37">E46*(1+F58)</f>
        <v>0.1018396624472574</v>
      </c>
      <c r="G46" s="50">
        <f t="shared" si="37"/>
        <v>0.10693164556962027</v>
      </c>
      <c r="H46" s="50">
        <f t="shared" si="37"/>
        <v>0.11227822784810129</v>
      </c>
      <c r="I46" s="50">
        <f t="shared" si="37"/>
        <v>0.11789213924050636</v>
      </c>
      <c r="J46" s="112">
        <f t="shared" si="37"/>
        <v>0.12378674620253168</v>
      </c>
    </row>
    <row r="47" spans="2:10">
      <c r="B47" s="92"/>
      <c r="C47" s="31"/>
      <c r="D47" s="31"/>
      <c r="E47" s="31"/>
      <c r="F47" s="31"/>
      <c r="G47" s="31"/>
      <c r="H47" s="31"/>
      <c r="I47" s="31"/>
      <c r="J47" s="93"/>
    </row>
    <row r="48" spans="2:10">
      <c r="B48" s="92"/>
      <c r="C48" s="31"/>
      <c r="D48" s="31"/>
      <c r="E48" s="31"/>
      <c r="F48" s="31"/>
      <c r="G48" s="31"/>
      <c r="H48" s="31"/>
      <c r="I48" s="31"/>
      <c r="J48" s="93"/>
    </row>
    <row r="49" spans="2:10" ht="14.4" thickBot="1">
      <c r="B49" s="107" t="s">
        <v>43</v>
      </c>
      <c r="C49" s="31"/>
      <c r="D49" s="31"/>
      <c r="E49" s="31"/>
      <c r="F49" s="31"/>
      <c r="G49" s="31"/>
      <c r="H49" s="31"/>
      <c r="I49" s="31"/>
      <c r="J49" s="93"/>
    </row>
    <row r="50" spans="2:10" ht="14.4" thickTop="1">
      <c r="B50" s="92" t="s">
        <v>31</v>
      </c>
      <c r="C50" s="31"/>
      <c r="D50" s="113">
        <f>D38/C38-1</f>
        <v>3.6770896916101359E-2</v>
      </c>
      <c r="E50" s="113">
        <f>E38/D38-1</f>
        <v>0.14901887103250178</v>
      </c>
      <c r="F50" s="65">
        <f>Scenario!F8</f>
        <v>0.15</v>
      </c>
      <c r="G50" s="65">
        <f>Scenario!G8</f>
        <v>0.15</v>
      </c>
      <c r="H50" s="65">
        <f>Scenario!H8</f>
        <v>0.15</v>
      </c>
      <c r="I50" s="65">
        <f>Scenario!I8</f>
        <v>0.15</v>
      </c>
      <c r="J50" s="114">
        <f>Scenario!J8</f>
        <v>0.15</v>
      </c>
    </row>
    <row r="51" spans="2:10">
      <c r="B51" s="92" t="s">
        <v>32</v>
      </c>
      <c r="C51" s="31"/>
      <c r="D51" s="113">
        <f t="shared" ref="D51:E52" si="38">D39/C39-1</f>
        <v>0.29068562001357767</v>
      </c>
      <c r="E51" s="113">
        <f t="shared" si="38"/>
        <v>6.8832094213014727E-2</v>
      </c>
      <c r="F51" s="65">
        <f>Scenario!F14</f>
        <v>0.28999999999999998</v>
      </c>
      <c r="G51" s="65">
        <f>Scenario!G14</f>
        <v>0.28999999999999998</v>
      </c>
      <c r="H51" s="65">
        <f>Scenario!H14</f>
        <v>0.28999999999999998</v>
      </c>
      <c r="I51" s="65">
        <f>Scenario!I14</f>
        <v>0.28999999999999998</v>
      </c>
      <c r="J51" s="114">
        <f>Scenario!J14</f>
        <v>0.28999999999999998</v>
      </c>
    </row>
    <row r="52" spans="2:10">
      <c r="B52" s="92" t="s">
        <v>33</v>
      </c>
      <c r="C52" s="31"/>
      <c r="D52" s="113">
        <f t="shared" si="38"/>
        <v>-7.7896786757558623E-4</v>
      </c>
      <c r="E52" s="113">
        <f t="shared" si="38"/>
        <v>7.9740165463033641E-2</v>
      </c>
      <c r="F52" s="65">
        <f>Scenario!F20</f>
        <v>0.08</v>
      </c>
      <c r="G52" s="65">
        <f>Scenario!G20</f>
        <v>0.08</v>
      </c>
      <c r="H52" s="65">
        <f>Scenario!H20</f>
        <v>0.08</v>
      </c>
      <c r="I52" s="65">
        <f>Scenario!I20</f>
        <v>0.08</v>
      </c>
      <c r="J52" s="114">
        <f>Scenario!J20</f>
        <v>0.08</v>
      </c>
    </row>
    <row r="53" spans="2:10">
      <c r="B53" s="92"/>
      <c r="C53" s="31"/>
      <c r="D53" s="31"/>
      <c r="E53" s="31"/>
      <c r="F53" s="49"/>
      <c r="G53" s="49"/>
      <c r="H53" s="49"/>
      <c r="I53" s="49"/>
      <c r="J53" s="115"/>
    </row>
    <row r="54" spans="2:10">
      <c r="B54" s="92"/>
      <c r="C54" s="31"/>
      <c r="D54" s="31"/>
      <c r="E54" s="31"/>
      <c r="F54" s="49"/>
      <c r="G54" s="49"/>
      <c r="H54" s="49"/>
      <c r="I54" s="49"/>
      <c r="J54" s="115"/>
    </row>
    <row r="55" spans="2:10" ht="14.4" thickBot="1">
      <c r="B55" s="107" t="s">
        <v>44</v>
      </c>
      <c r="C55" s="31"/>
      <c r="D55" s="31"/>
      <c r="E55" s="31"/>
      <c r="F55" s="49"/>
      <c r="G55" s="49"/>
      <c r="H55" s="49"/>
      <c r="I55" s="49"/>
      <c r="J55" s="115"/>
    </row>
    <row r="56" spans="2:10" ht="14.4" thickTop="1">
      <c r="B56" s="92" t="s">
        <v>31</v>
      </c>
      <c r="C56" s="31"/>
      <c r="D56" s="113">
        <f>D44/C44-1</f>
        <v>8.2604910077774596E-2</v>
      </c>
      <c r="E56" s="113">
        <f>E44/D44-1</f>
        <v>8.5986703069380388E-2</v>
      </c>
      <c r="F56" s="65">
        <v>0.08</v>
      </c>
      <c r="G56" s="65">
        <v>0.08</v>
      </c>
      <c r="H56" s="65">
        <v>0.08</v>
      </c>
      <c r="I56" s="65">
        <v>0.08</v>
      </c>
      <c r="J56" s="114">
        <v>0.08</v>
      </c>
    </row>
    <row r="57" spans="2:10">
      <c r="B57" s="92" t="s">
        <v>32</v>
      </c>
      <c r="C57" s="31"/>
      <c r="D57" s="113">
        <f t="shared" ref="D57:E57" si="39">D45/C45-1</f>
        <v>6.3196842403042686E-2</v>
      </c>
      <c r="E57" s="113">
        <f t="shared" si="39"/>
        <v>7.9019567971719384E-2</v>
      </c>
      <c r="F57" s="65">
        <v>7.0000000000000007E-2</v>
      </c>
      <c r="G57" s="65">
        <v>7.0000000000000007E-2</v>
      </c>
      <c r="H57" s="65">
        <v>7.0000000000000007E-2</v>
      </c>
      <c r="I57" s="65">
        <v>7.0000000000000007E-2</v>
      </c>
      <c r="J57" s="114">
        <v>7.0000000000000007E-2</v>
      </c>
    </row>
    <row r="58" spans="2:10">
      <c r="B58" s="92" t="s">
        <v>33</v>
      </c>
      <c r="C58" s="31"/>
      <c r="D58" s="113">
        <f t="shared" ref="D58:E58" si="40">D46/C46-1</f>
        <v>7.2169895695810782E-2</v>
      </c>
      <c r="E58" s="113">
        <f t="shared" si="40"/>
        <v>3.6329699953117744E-2</v>
      </c>
      <c r="F58" s="65">
        <v>0.05</v>
      </c>
      <c r="G58" s="65">
        <v>0.05</v>
      </c>
      <c r="H58" s="65">
        <v>0.05</v>
      </c>
      <c r="I58" s="65">
        <v>0.05</v>
      </c>
      <c r="J58" s="114">
        <v>0.05</v>
      </c>
    </row>
    <row r="59" spans="2:10">
      <c r="B59" s="92"/>
      <c r="C59" s="31"/>
      <c r="D59" s="31"/>
      <c r="E59" s="31"/>
      <c r="F59" s="31"/>
      <c r="G59" s="31"/>
      <c r="H59" s="31"/>
      <c r="I59" s="31"/>
      <c r="J59" s="93"/>
    </row>
    <row r="60" spans="2:10">
      <c r="B60" s="92"/>
      <c r="C60" s="31"/>
      <c r="D60" s="31"/>
      <c r="E60" s="31"/>
      <c r="F60" s="31"/>
      <c r="G60" s="31"/>
      <c r="H60" s="31"/>
      <c r="I60" s="31"/>
      <c r="J60" s="93"/>
    </row>
    <row r="61" spans="2:10" ht="14.4" thickBot="1">
      <c r="B61" s="107" t="s">
        <v>39</v>
      </c>
      <c r="C61" s="31"/>
      <c r="D61" s="31"/>
      <c r="E61" s="31"/>
      <c r="F61" s="31"/>
      <c r="G61" s="31"/>
      <c r="H61" s="31"/>
      <c r="I61" s="31"/>
      <c r="J61" s="93"/>
    </row>
    <row r="62" spans="2:10" ht="14.4" thickTop="1">
      <c r="B62" s="92" t="s">
        <v>31</v>
      </c>
      <c r="C62" s="31"/>
      <c r="D62" s="31">
        <f>D26-C26</f>
        <v>30</v>
      </c>
      <c r="E62" s="31">
        <f>E26-D26</f>
        <v>-8</v>
      </c>
      <c r="F62" s="49">
        <v>11</v>
      </c>
      <c r="G62" s="49">
        <v>11</v>
      </c>
      <c r="H62" s="49">
        <v>11</v>
      </c>
      <c r="I62" s="49">
        <v>11</v>
      </c>
      <c r="J62" s="115">
        <v>11</v>
      </c>
    </row>
    <row r="63" spans="2:10">
      <c r="B63" s="92" t="s">
        <v>32</v>
      </c>
      <c r="C63" s="31"/>
      <c r="D63" s="31">
        <f t="shared" ref="D63:D64" si="41">D27-C27</f>
        <v>-668</v>
      </c>
      <c r="E63" s="31">
        <f t="shared" ref="E63" si="42">E27-D27</f>
        <v>33</v>
      </c>
      <c r="F63" s="49">
        <v>-50</v>
      </c>
      <c r="G63" s="49">
        <v>-50</v>
      </c>
      <c r="H63" s="49">
        <v>-50</v>
      </c>
      <c r="I63" s="49">
        <v>-50</v>
      </c>
      <c r="J63" s="115">
        <v>-50</v>
      </c>
    </row>
    <row r="64" spans="2:10">
      <c r="B64" s="92" t="s">
        <v>33</v>
      </c>
      <c r="C64" s="31"/>
      <c r="D64" s="31">
        <f t="shared" si="41"/>
        <v>8</v>
      </c>
      <c r="E64" s="31">
        <f t="shared" ref="E64" si="43">E28-D28</f>
        <v>11</v>
      </c>
      <c r="F64" s="49">
        <v>10</v>
      </c>
      <c r="G64" s="49">
        <v>10</v>
      </c>
      <c r="H64" s="49">
        <v>10</v>
      </c>
      <c r="I64" s="49">
        <v>10</v>
      </c>
      <c r="J64" s="115">
        <v>10</v>
      </c>
    </row>
    <row r="65" spans="1:10" ht="14.4" thickBot="1">
      <c r="B65" s="107" t="s">
        <v>34</v>
      </c>
      <c r="C65" s="31"/>
      <c r="D65" s="31"/>
      <c r="E65" s="31"/>
      <c r="F65" s="49"/>
      <c r="G65" s="49"/>
      <c r="H65" s="49"/>
      <c r="I65" s="49"/>
      <c r="J65" s="115"/>
    </row>
    <row r="66" spans="1:10" ht="14.4" thickTop="1">
      <c r="B66" s="92"/>
      <c r="C66" s="31"/>
      <c r="D66" s="31"/>
      <c r="E66" s="31"/>
      <c r="F66" s="49"/>
      <c r="G66" s="49"/>
      <c r="H66" s="49"/>
      <c r="I66" s="49"/>
      <c r="J66" s="115"/>
    </row>
    <row r="67" spans="1:10" ht="14.4" thickBot="1">
      <c r="B67" s="107" t="s">
        <v>45</v>
      </c>
      <c r="C67" s="31"/>
      <c r="D67" s="31"/>
      <c r="E67" s="31"/>
      <c r="F67" s="49"/>
      <c r="G67" s="49"/>
      <c r="H67" s="49"/>
      <c r="I67" s="49"/>
      <c r="J67" s="115"/>
    </row>
    <row r="68" spans="1:10" ht="14.4" thickTop="1">
      <c r="B68" s="92" t="s">
        <v>31</v>
      </c>
      <c r="C68" s="31"/>
      <c r="D68" s="31">
        <f>D32-C32</f>
        <v>-24</v>
      </c>
      <c r="E68" s="31">
        <f>E32-D32</f>
        <v>21</v>
      </c>
      <c r="F68" s="49">
        <v>1.5</v>
      </c>
      <c r="G68" s="49">
        <v>1.5</v>
      </c>
      <c r="H68" s="49">
        <v>1.5</v>
      </c>
      <c r="I68" s="49">
        <v>1.5</v>
      </c>
      <c r="J68" s="115">
        <v>1.5</v>
      </c>
    </row>
    <row r="69" spans="1:10">
      <c r="B69" s="92" t="s">
        <v>32</v>
      </c>
      <c r="C69" s="31"/>
      <c r="D69" s="31">
        <f t="shared" ref="D69:E70" si="44">D33-C33</f>
        <v>-14</v>
      </c>
      <c r="E69" s="31">
        <f t="shared" si="44"/>
        <v>127</v>
      </c>
      <c r="F69" s="49">
        <v>56</v>
      </c>
      <c r="G69" s="49">
        <v>56</v>
      </c>
      <c r="H69" s="49">
        <v>56</v>
      </c>
      <c r="I69" s="49">
        <v>56</v>
      </c>
      <c r="J69" s="115">
        <v>56</v>
      </c>
    </row>
    <row r="70" spans="1:10" ht="14.4" thickBot="1">
      <c r="B70" s="95" t="s">
        <v>33</v>
      </c>
      <c r="C70" s="96"/>
      <c r="D70" s="96">
        <f t="shared" ref="D70" si="45">D34-C34</f>
        <v>912</v>
      </c>
      <c r="E70" s="96">
        <f t="shared" si="44"/>
        <v>1363</v>
      </c>
      <c r="F70" s="116">
        <v>1137</v>
      </c>
      <c r="G70" s="116">
        <v>1137</v>
      </c>
      <c r="H70" s="116">
        <v>1137</v>
      </c>
      <c r="I70" s="116">
        <v>1137</v>
      </c>
      <c r="J70" s="117">
        <v>1137</v>
      </c>
    </row>
    <row r="73" spans="1:10" ht="14.4" thickBot="1"/>
    <row r="74" spans="1:10">
      <c r="B74" s="21" t="s">
        <v>190</v>
      </c>
      <c r="C74" s="155">
        <f>D74/($D$74+$D$75)</f>
        <v>0.44994952715916997</v>
      </c>
      <c r="D74" s="60">
        <f>SUM(C10:J10)</f>
        <v>115409.59960915457</v>
      </c>
    </row>
    <row r="75" spans="1:10" ht="14.4" thickBot="1">
      <c r="B75" s="57" t="s">
        <v>191</v>
      </c>
      <c r="C75" s="156">
        <f>D75/($D$74+$D$75)</f>
        <v>0.55005047284083008</v>
      </c>
      <c r="D75" s="46">
        <f>SUM(C15:J15)</f>
        <v>141084.94620759954</v>
      </c>
    </row>
    <row r="76" spans="1:10">
      <c r="A76" s="31"/>
      <c r="B76" s="22"/>
    </row>
    <row r="77" spans="1:10">
      <c r="A77" s="3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E2C5-9E07-4F85-9540-534ED99F8334}">
  <dimension ref="A1:J62"/>
  <sheetViews>
    <sheetView zoomScaleNormal="100" workbookViewId="0">
      <pane ySplit="3" topLeftCell="A48" activePane="bottomLeft" state="frozen"/>
      <selection pane="bottomLeft" activeCell="B3" sqref="B3"/>
    </sheetView>
  </sheetViews>
  <sheetFormatPr defaultRowHeight="13.8"/>
  <cols>
    <col min="1" max="1" width="5.33203125" style="1" customWidth="1"/>
    <col min="2" max="2" width="57.77734375" style="1" customWidth="1"/>
    <col min="3" max="10" width="11.77734375" style="1" customWidth="1"/>
    <col min="11" max="11" width="9" style="1" bestFit="1" customWidth="1"/>
    <col min="12" max="16384" width="8.88671875" style="1"/>
  </cols>
  <sheetData>
    <row r="1" spans="1:10" s="5" customFormat="1" ht="17.399999999999999">
      <c r="A1" s="3"/>
      <c r="B1" s="4" t="s">
        <v>172</v>
      </c>
      <c r="C1" s="3"/>
      <c r="D1" s="3"/>
      <c r="E1" s="3"/>
      <c r="F1" s="3"/>
      <c r="G1" s="3"/>
      <c r="H1" s="3"/>
      <c r="I1" s="3"/>
      <c r="J1" s="3"/>
    </row>
    <row r="2" spans="1:10" s="5" customFormat="1" ht="17.399999999999999">
      <c r="A2" s="3"/>
      <c r="B2" s="3"/>
      <c r="C2" s="6" t="s">
        <v>2</v>
      </c>
      <c r="D2" s="6"/>
      <c r="E2" s="7"/>
      <c r="F2" s="6" t="s">
        <v>3</v>
      </c>
      <c r="G2" s="6"/>
      <c r="H2" s="6"/>
      <c r="I2" s="6"/>
      <c r="J2" s="6"/>
    </row>
    <row r="3" spans="1:10" s="5" customFormat="1" ht="17.399999999999999">
      <c r="A3" s="3"/>
      <c r="B3" s="4" t="s">
        <v>1</v>
      </c>
      <c r="C3" s="8">
        <v>2021</v>
      </c>
      <c r="D3" s="8">
        <f>C3+1</f>
        <v>2022</v>
      </c>
      <c r="E3" s="9">
        <f>D3+1</f>
        <v>2023</v>
      </c>
      <c r="F3" s="10">
        <f t="shared" ref="F3:J3" si="0">E3+1</f>
        <v>2024</v>
      </c>
      <c r="G3" s="11">
        <f t="shared" si="0"/>
        <v>2025</v>
      </c>
      <c r="H3" s="11">
        <f t="shared" si="0"/>
        <v>2026</v>
      </c>
      <c r="I3" s="11">
        <f t="shared" si="0"/>
        <v>2027</v>
      </c>
      <c r="J3" s="11">
        <f t="shared" si="0"/>
        <v>2028</v>
      </c>
    </row>
    <row r="4" spans="1:10" ht="14.4" thickBot="1"/>
    <row r="5" spans="1:10">
      <c r="B5" s="90" t="s">
        <v>93</v>
      </c>
      <c r="C5" s="91"/>
      <c r="D5" s="91"/>
      <c r="E5" s="91"/>
      <c r="F5" s="91"/>
      <c r="G5" s="91"/>
      <c r="H5" s="91"/>
      <c r="I5" s="91"/>
      <c r="J5" s="99"/>
    </row>
    <row r="6" spans="1:10">
      <c r="B6" s="92" t="s">
        <v>38</v>
      </c>
      <c r="C6" s="39">
        <f>IS!C9</f>
        <v>23222.899999999998</v>
      </c>
      <c r="D6" s="39">
        <f>IS!D9</f>
        <v>23182.6</v>
      </c>
      <c r="E6" s="39">
        <f>IS!E9</f>
        <v>25493.699999999997</v>
      </c>
      <c r="F6" s="39">
        <f>IS!F9</f>
        <v>28750.651183640883</v>
      </c>
      <c r="G6" s="39">
        <f>IS!G9</f>
        <v>32479.939076878003</v>
      </c>
      <c r="H6" s="39">
        <f>IS!H9</f>
        <v>36782.28553948598</v>
      </c>
      <c r="I6" s="39">
        <f>IS!I9</f>
        <v>41747.79293528066</v>
      </c>
      <c r="J6" s="106">
        <f>IS!J9</f>
        <v>47480.877081468563</v>
      </c>
    </row>
    <row r="7" spans="1:10">
      <c r="B7" s="92" t="s">
        <v>96</v>
      </c>
      <c r="C7" s="39">
        <f>IS!C12</f>
        <v>3096.8</v>
      </c>
      <c r="D7" s="39">
        <f>IS!D12</f>
        <v>2737.3</v>
      </c>
      <c r="E7" s="39">
        <f>IS!E12</f>
        <v>3039</v>
      </c>
      <c r="F7" s="39">
        <f>IS!F12</f>
        <v>3628.6473711306367</v>
      </c>
      <c r="G7" s="39">
        <f>IS!G12</f>
        <v>4358.3773318184567</v>
      </c>
      <c r="H7" s="39">
        <f>IS!H12</f>
        <v>5231.7701637975506</v>
      </c>
      <c r="I7" s="39">
        <f>IS!I12</f>
        <v>6274.8272678448511</v>
      </c>
      <c r="J7" s="106">
        <f>IS!J12</f>
        <v>7517.1737442464164</v>
      </c>
    </row>
    <row r="8" spans="1:10">
      <c r="B8" s="92" t="s">
        <v>98</v>
      </c>
      <c r="C8" s="39">
        <f>SUM(IS!C12:C16)</f>
        <v>10642.699999999999</v>
      </c>
      <c r="D8" s="39">
        <f>SUM(IS!D12:D16)</f>
        <v>9975.4</v>
      </c>
      <c r="E8" s="39">
        <f>SUM(IS!E12:E16)</f>
        <v>10931.2</v>
      </c>
      <c r="F8" s="39">
        <f>SUM(IS!F12:F16)</f>
        <v>12867.850918673314</v>
      </c>
      <c r="G8" s="39">
        <f>SUM(IS!G12:G16)</f>
        <v>15089.094636025431</v>
      </c>
      <c r="H8" s="39">
        <f>SUM(IS!H12:H16)</f>
        <v>17721.473470254241</v>
      </c>
      <c r="I8" s="39">
        <f>SUM(IS!I12:I16)</f>
        <v>20837.59788517054</v>
      </c>
      <c r="J8" s="106">
        <f>SUM(IS!J12:J16)</f>
        <v>24520.114150873767</v>
      </c>
    </row>
    <row r="9" spans="1:10">
      <c r="B9" s="92"/>
      <c r="C9" s="31"/>
      <c r="D9" s="31"/>
      <c r="E9" s="31"/>
      <c r="F9" s="31"/>
      <c r="G9" s="31"/>
      <c r="H9" s="31"/>
      <c r="I9" s="31"/>
      <c r="J9" s="93"/>
    </row>
    <row r="10" spans="1:10">
      <c r="B10" s="92"/>
      <c r="C10" s="31"/>
      <c r="D10" s="31"/>
      <c r="E10" s="31"/>
      <c r="F10" s="31"/>
      <c r="G10" s="31"/>
      <c r="H10" s="31"/>
      <c r="I10" s="31"/>
      <c r="J10" s="93"/>
    </row>
    <row r="11" spans="1:10">
      <c r="B11" s="92" t="s">
        <v>54</v>
      </c>
      <c r="C11" s="39">
        <f>BS!C7</f>
        <v>1872.4</v>
      </c>
      <c r="D11" s="39">
        <f>BS!D7</f>
        <v>2115</v>
      </c>
      <c r="E11" s="39">
        <f>BS!E7</f>
        <v>2488</v>
      </c>
      <c r="F11" s="39">
        <f>F6*F15</f>
        <v>2534.0399946153543</v>
      </c>
      <c r="G11" s="39">
        <f t="shared" ref="G11:J11" si="1">G6*G15</f>
        <v>2862.7339296687223</v>
      </c>
      <c r="H11" s="39">
        <f t="shared" si="1"/>
        <v>3241.9364018946012</v>
      </c>
      <c r="I11" s="39">
        <f t="shared" si="1"/>
        <v>3679.5889007591022</v>
      </c>
      <c r="J11" s="106">
        <f t="shared" si="1"/>
        <v>4184.8944824010832</v>
      </c>
    </row>
    <row r="12" spans="1:10">
      <c r="B12" s="92" t="s">
        <v>55</v>
      </c>
      <c r="C12" s="39">
        <f>BS!C8</f>
        <v>55.6</v>
      </c>
      <c r="D12" s="39">
        <f>BS!D8</f>
        <v>52</v>
      </c>
      <c r="E12" s="39">
        <f>BS!E8</f>
        <v>52.8</v>
      </c>
      <c r="F12" s="39">
        <f>F16*F7</f>
        <v>66.942952178431909</v>
      </c>
      <c r="G12" s="39">
        <f t="shared" ref="G12:J12" si="2">G16*G7</f>
        <v>80.405345424506038</v>
      </c>
      <c r="H12" s="39">
        <f t="shared" si="2"/>
        <v>96.518097258516306</v>
      </c>
      <c r="I12" s="39">
        <f t="shared" si="2"/>
        <v>115.76089345611308</v>
      </c>
      <c r="J12" s="106">
        <f t="shared" si="2"/>
        <v>138.68027146469589</v>
      </c>
    </row>
    <row r="13" spans="1:10">
      <c r="B13" s="92" t="s">
        <v>70</v>
      </c>
      <c r="C13" s="39">
        <f>BS!C25</f>
        <v>1006.8</v>
      </c>
      <c r="D13" s="39">
        <f>BS!D25</f>
        <v>980.2</v>
      </c>
      <c r="E13" s="39">
        <f>BS!E25</f>
        <v>1102.9000000000001</v>
      </c>
      <c r="F13" s="39">
        <f>F8*F17</f>
        <v>1253.8261177294817</v>
      </c>
      <c r="G13" s="39">
        <f t="shared" ref="G13:J13" si="3">G8*G17</f>
        <v>1470.2611234084059</v>
      </c>
      <c r="H13" s="39">
        <f t="shared" si="3"/>
        <v>1726.7565829046569</v>
      </c>
      <c r="I13" s="39">
        <f t="shared" si="3"/>
        <v>2030.387562328483</v>
      </c>
      <c r="J13" s="106">
        <f t="shared" si="3"/>
        <v>2389.207003281284</v>
      </c>
    </row>
    <row r="14" spans="1:10">
      <c r="B14" s="92"/>
      <c r="C14" s="31"/>
      <c r="D14" s="31"/>
      <c r="E14" s="31"/>
      <c r="F14" s="31"/>
      <c r="G14" s="31"/>
      <c r="H14" s="31"/>
      <c r="I14" s="31"/>
      <c r="J14" s="93"/>
    </row>
    <row r="15" spans="1:10">
      <c r="B15" s="92" t="s">
        <v>94</v>
      </c>
      <c r="C15" s="113"/>
      <c r="D15" s="118">
        <f t="shared" ref="D15:E17" si="4">AVERAGE(C11:D11)/D6</f>
        <v>8.5999844711119558E-2</v>
      </c>
      <c r="E15" s="118">
        <f t="shared" si="4"/>
        <v>9.0277205741026226E-2</v>
      </c>
      <c r="F15" s="119">
        <f>AVERAGE(D15:E15)</f>
        <v>8.8138525226072892E-2</v>
      </c>
      <c r="G15" s="119">
        <f>F15</f>
        <v>8.8138525226072892E-2</v>
      </c>
      <c r="H15" s="119">
        <f t="shared" ref="H15:J15" si="5">G15</f>
        <v>8.8138525226072892E-2</v>
      </c>
      <c r="I15" s="119">
        <f t="shared" si="5"/>
        <v>8.8138525226072892E-2</v>
      </c>
      <c r="J15" s="120">
        <f t="shared" si="5"/>
        <v>8.8138525226072892E-2</v>
      </c>
    </row>
    <row r="16" spans="1:10">
      <c r="B16" s="92" t="s">
        <v>95</v>
      </c>
      <c r="C16" s="113"/>
      <c r="D16" s="118">
        <f t="shared" si="4"/>
        <v>1.9654403974719611E-2</v>
      </c>
      <c r="E16" s="118">
        <f t="shared" si="4"/>
        <v>1.7242513984863442E-2</v>
      </c>
      <c r="F16" s="119">
        <f t="shared" ref="F16:F17" si="6">AVERAGE(D16:E16)</f>
        <v>1.8448458979791527E-2</v>
      </c>
      <c r="G16" s="119">
        <f t="shared" ref="G16:J17" si="7">F16</f>
        <v>1.8448458979791527E-2</v>
      </c>
      <c r="H16" s="119">
        <f t="shared" si="7"/>
        <v>1.8448458979791527E-2</v>
      </c>
      <c r="I16" s="119">
        <f t="shared" si="7"/>
        <v>1.8448458979791527E-2</v>
      </c>
      <c r="J16" s="120">
        <f t="shared" si="7"/>
        <v>1.8448458979791527E-2</v>
      </c>
    </row>
    <row r="17" spans="2:10">
      <c r="B17" s="92" t="s">
        <v>97</v>
      </c>
      <c r="C17" s="31"/>
      <c r="D17" s="118">
        <f t="shared" si="4"/>
        <v>9.9595003709124455E-2</v>
      </c>
      <c r="E17" s="118">
        <f t="shared" si="4"/>
        <v>9.5282311182669804E-2</v>
      </c>
      <c r="F17" s="119">
        <f t="shared" si="6"/>
        <v>9.7438657445897137E-2</v>
      </c>
      <c r="G17" s="119">
        <f t="shared" si="7"/>
        <v>9.7438657445897137E-2</v>
      </c>
      <c r="H17" s="119">
        <f t="shared" si="7"/>
        <v>9.7438657445897137E-2</v>
      </c>
      <c r="I17" s="119">
        <f t="shared" si="7"/>
        <v>9.7438657445897137E-2</v>
      </c>
      <c r="J17" s="120">
        <f t="shared" si="7"/>
        <v>9.7438657445897137E-2</v>
      </c>
    </row>
    <row r="18" spans="2:10">
      <c r="B18" s="92"/>
      <c r="C18" s="31"/>
      <c r="D18" s="31"/>
      <c r="E18" s="31"/>
      <c r="F18" s="31"/>
      <c r="G18" s="31"/>
      <c r="H18" s="31"/>
      <c r="I18" s="31"/>
      <c r="J18" s="93"/>
    </row>
    <row r="19" spans="2:10">
      <c r="B19" s="92" t="s">
        <v>99</v>
      </c>
      <c r="C19" s="31"/>
      <c r="D19" s="31"/>
      <c r="E19" s="31"/>
      <c r="F19" s="31"/>
      <c r="G19" s="31"/>
      <c r="H19" s="31"/>
      <c r="I19" s="31"/>
      <c r="J19" s="93"/>
    </row>
    <row r="20" spans="2:10">
      <c r="B20" s="92"/>
      <c r="C20" s="31"/>
      <c r="D20" s="31"/>
      <c r="E20" s="31"/>
      <c r="F20" s="31"/>
      <c r="G20" s="31"/>
      <c r="H20" s="31"/>
      <c r="I20" s="31"/>
      <c r="J20" s="93"/>
    </row>
    <row r="21" spans="2:10">
      <c r="B21" s="92" t="s">
        <v>103</v>
      </c>
      <c r="C21" s="31"/>
      <c r="D21" s="39">
        <v>6686.3</v>
      </c>
      <c r="E21" s="39">
        <v>7081.3</v>
      </c>
      <c r="F21" s="31"/>
      <c r="G21" s="31"/>
      <c r="H21" s="31"/>
      <c r="I21" s="31"/>
      <c r="J21" s="93"/>
    </row>
    <row r="22" spans="2:10">
      <c r="B22" s="92" t="s">
        <v>104</v>
      </c>
      <c r="C22" s="31"/>
      <c r="D22" s="39">
        <v>18934.2</v>
      </c>
      <c r="E22" s="39">
        <v>20059.3</v>
      </c>
      <c r="F22" s="31"/>
      <c r="G22" s="31"/>
      <c r="H22" s="31"/>
      <c r="I22" s="31"/>
      <c r="J22" s="93"/>
    </row>
    <row r="23" spans="2:10">
      <c r="B23" s="92" t="s">
        <v>105</v>
      </c>
      <c r="C23" s="31"/>
      <c r="D23" s="39">
        <v>12492</v>
      </c>
      <c r="E23" s="39">
        <v>13322.3</v>
      </c>
      <c r="F23" s="31"/>
      <c r="G23" s="31"/>
      <c r="H23" s="31"/>
      <c r="I23" s="31"/>
      <c r="J23" s="93"/>
    </row>
    <row r="24" spans="2:10">
      <c r="B24" s="92" t="s">
        <v>106</v>
      </c>
      <c r="C24" s="31"/>
      <c r="D24" s="39">
        <v>2498.6</v>
      </c>
      <c r="E24" s="39">
        <v>2692.7</v>
      </c>
      <c r="F24" s="31"/>
      <c r="G24" s="31"/>
      <c r="H24" s="31"/>
      <c r="I24" s="31"/>
      <c r="J24" s="93"/>
    </row>
    <row r="25" spans="2:10">
      <c r="B25" s="92" t="s">
        <v>17</v>
      </c>
      <c r="C25" s="31"/>
      <c r="D25" s="39">
        <v>426.5</v>
      </c>
      <c r="E25" s="39">
        <v>414.4</v>
      </c>
      <c r="F25" s="31"/>
      <c r="G25" s="31"/>
      <c r="H25" s="31"/>
      <c r="I25" s="31"/>
      <c r="J25" s="93"/>
    </row>
    <row r="26" spans="2:10">
      <c r="B26" s="92"/>
      <c r="C26" s="31"/>
      <c r="D26" s="31"/>
      <c r="E26" s="31"/>
      <c r="F26" s="31"/>
      <c r="G26" s="31"/>
      <c r="H26" s="31"/>
      <c r="I26" s="31"/>
      <c r="J26" s="93"/>
    </row>
    <row r="27" spans="2:10">
      <c r="B27" s="92" t="s">
        <v>100</v>
      </c>
      <c r="C27" s="31"/>
      <c r="D27" s="31"/>
      <c r="E27" s="31"/>
      <c r="F27" s="39">
        <f>E29</f>
        <v>43569.999999999993</v>
      </c>
      <c r="G27" s="39">
        <f t="shared" ref="G27:J27" si="8">F29</f>
        <v>46157.558606527673</v>
      </c>
      <c r="H27" s="39">
        <f t="shared" si="8"/>
        <v>49080.753123446695</v>
      </c>
      <c r="I27" s="39">
        <f t="shared" si="8"/>
        <v>52391.158822000434</v>
      </c>
      <c r="J27" s="106">
        <f t="shared" si="8"/>
        <v>56148.460186175696</v>
      </c>
    </row>
    <row r="28" spans="2:10">
      <c r="B28" s="92" t="s">
        <v>101</v>
      </c>
      <c r="C28" s="25"/>
      <c r="D28" s="25"/>
      <c r="E28" s="25"/>
      <c r="F28" s="43">
        <f>F38</f>
        <v>2587.5586065276793</v>
      </c>
      <c r="G28" s="43">
        <f t="shared" ref="G28:J28" si="9">G38</f>
        <v>2923.1945169190203</v>
      </c>
      <c r="H28" s="43">
        <f t="shared" si="9"/>
        <v>3310.4056985537381</v>
      </c>
      <c r="I28" s="43">
        <f t="shared" si="9"/>
        <v>3757.3013641752591</v>
      </c>
      <c r="J28" s="121">
        <f t="shared" si="9"/>
        <v>4273.2789373321702</v>
      </c>
    </row>
    <row r="29" spans="2:10" s="2" customFormat="1">
      <c r="B29" s="122" t="s">
        <v>102</v>
      </c>
      <c r="C29" s="83"/>
      <c r="D29" s="37">
        <f>SUM(D21:D25)</f>
        <v>41037.599999999999</v>
      </c>
      <c r="E29" s="37">
        <f>SUM(E21:E25)</f>
        <v>43569.999999999993</v>
      </c>
      <c r="F29" s="37">
        <f>SUM(F27:F28)</f>
        <v>46157.558606527673</v>
      </c>
      <c r="G29" s="37">
        <f t="shared" ref="G29:J29" si="10">SUM(G27:G28)</f>
        <v>49080.753123446695</v>
      </c>
      <c r="H29" s="37">
        <f t="shared" si="10"/>
        <v>52391.158822000434</v>
      </c>
      <c r="I29" s="37">
        <f t="shared" si="10"/>
        <v>56148.460186175696</v>
      </c>
      <c r="J29" s="123">
        <f t="shared" si="10"/>
        <v>60421.739123507868</v>
      </c>
    </row>
    <row r="30" spans="2:10">
      <c r="B30" s="92" t="s">
        <v>47</v>
      </c>
      <c r="C30" s="31" t="s">
        <v>47</v>
      </c>
      <c r="D30" s="39"/>
      <c r="E30" s="31"/>
      <c r="F30" s="31"/>
      <c r="G30" s="31"/>
      <c r="H30" s="31"/>
      <c r="I30" s="31"/>
      <c r="J30" s="93"/>
    </row>
    <row r="31" spans="2:10">
      <c r="B31" s="92" t="s">
        <v>109</v>
      </c>
      <c r="C31" s="31"/>
      <c r="D31" s="31"/>
      <c r="E31" s="31"/>
      <c r="F31" s="39">
        <f>E33</f>
        <v>18662.400000000001</v>
      </c>
      <c r="G31" s="39">
        <f t="shared" ref="G31:J31" si="11">F33</f>
        <v>20254.762024779113</v>
      </c>
      <c r="H31" s="39">
        <f t="shared" si="11"/>
        <v>21944.92136108645</v>
      </c>
      <c r="I31" s="39">
        <f t="shared" si="11"/>
        <v>23745.706110755378</v>
      </c>
      <c r="J31" s="106">
        <f t="shared" si="11"/>
        <v>25671.918861628543</v>
      </c>
    </row>
    <row r="32" spans="2:10">
      <c r="B32" s="92" t="s">
        <v>110</v>
      </c>
      <c r="C32" s="31"/>
      <c r="D32" s="39"/>
      <c r="E32" s="31"/>
      <c r="F32" s="39">
        <f>F44</f>
        <v>1592.3620247791132</v>
      </c>
      <c r="G32" s="39">
        <f t="shared" ref="G32:J32" si="12">G44</f>
        <v>1690.1593363073357</v>
      </c>
      <c r="H32" s="39">
        <f t="shared" si="12"/>
        <v>1800.784749668929</v>
      </c>
      <c r="I32" s="39">
        <f t="shared" si="12"/>
        <v>1926.212750873166</v>
      </c>
      <c r="J32" s="106">
        <f t="shared" si="12"/>
        <v>2068.7285097732342</v>
      </c>
    </row>
    <row r="33" spans="2:10">
      <c r="B33" s="92" t="s">
        <v>111</v>
      </c>
      <c r="C33" s="31" t="s">
        <v>47</v>
      </c>
      <c r="D33" s="25">
        <v>17264</v>
      </c>
      <c r="E33" s="48">
        <v>18662.400000000001</v>
      </c>
      <c r="F33" s="39">
        <f>SUM(F31:F32)</f>
        <v>20254.762024779113</v>
      </c>
      <c r="G33" s="39">
        <f t="shared" ref="G33:J33" si="13">SUM(G31:G32)</f>
        <v>21944.92136108645</v>
      </c>
      <c r="H33" s="39">
        <f t="shared" si="13"/>
        <v>23745.706110755378</v>
      </c>
      <c r="I33" s="39">
        <f t="shared" si="13"/>
        <v>25671.918861628543</v>
      </c>
      <c r="J33" s="106">
        <f t="shared" si="13"/>
        <v>27740.647371401777</v>
      </c>
    </row>
    <row r="34" spans="2:10">
      <c r="B34" s="92"/>
      <c r="C34" s="31"/>
      <c r="D34" s="39"/>
      <c r="E34" s="31"/>
      <c r="F34" s="31"/>
      <c r="G34" s="31"/>
      <c r="H34" s="31"/>
      <c r="I34" s="31"/>
      <c r="J34" s="93"/>
    </row>
    <row r="35" spans="2:10">
      <c r="B35" s="92" t="s">
        <v>112</v>
      </c>
      <c r="C35" s="31"/>
      <c r="D35" s="39">
        <f>D29-D33</f>
        <v>23773.599999999999</v>
      </c>
      <c r="E35" s="39">
        <f t="shared" ref="E35:J35" si="14">E29-E33</f>
        <v>24907.599999999991</v>
      </c>
      <c r="F35" s="39">
        <f t="shared" si="14"/>
        <v>25902.79658174856</v>
      </c>
      <c r="G35" s="39">
        <f t="shared" si="14"/>
        <v>27135.831762360245</v>
      </c>
      <c r="H35" s="39">
        <f t="shared" si="14"/>
        <v>28645.452711245056</v>
      </c>
      <c r="I35" s="39">
        <f t="shared" si="14"/>
        <v>30476.541324547154</v>
      </c>
      <c r="J35" s="106">
        <f t="shared" si="14"/>
        <v>32681.091752106091</v>
      </c>
    </row>
    <row r="36" spans="2:10">
      <c r="B36" s="92"/>
      <c r="C36" s="31"/>
      <c r="D36" s="39"/>
      <c r="E36" s="31"/>
      <c r="F36" s="31"/>
      <c r="G36" s="31"/>
      <c r="H36" s="31"/>
      <c r="I36" s="31"/>
      <c r="J36" s="93"/>
    </row>
    <row r="37" spans="2:10">
      <c r="B37" s="92"/>
      <c r="C37" s="31"/>
      <c r="D37" s="31"/>
      <c r="E37" s="39"/>
      <c r="F37" s="31"/>
      <c r="G37" s="31"/>
      <c r="H37" s="31"/>
      <c r="I37" s="31"/>
      <c r="J37" s="93"/>
    </row>
    <row r="38" spans="2:10">
      <c r="B38" s="92" t="s">
        <v>107</v>
      </c>
      <c r="C38" s="25">
        <v>2040</v>
      </c>
      <c r="D38" s="25">
        <v>1899.2</v>
      </c>
      <c r="E38" s="25">
        <v>2357.4</v>
      </c>
      <c r="F38" s="43">
        <f>F6*F40</f>
        <v>2587.5586065276793</v>
      </c>
      <c r="G38" s="43">
        <f>G6*G40</f>
        <v>2923.1945169190203</v>
      </c>
      <c r="H38" s="43">
        <f>H6*H40</f>
        <v>3310.4056985537381</v>
      </c>
      <c r="I38" s="43">
        <f>I6*I40</f>
        <v>3757.3013641752591</v>
      </c>
      <c r="J38" s="121">
        <f>J6*J40</f>
        <v>4273.2789373321702</v>
      </c>
    </row>
    <row r="39" spans="2:10">
      <c r="B39" s="92"/>
      <c r="C39" s="31"/>
      <c r="D39" s="31"/>
      <c r="E39" s="31"/>
      <c r="F39" s="31"/>
      <c r="G39" s="31"/>
      <c r="H39" s="31"/>
      <c r="I39" s="31"/>
      <c r="J39" s="93"/>
    </row>
    <row r="40" spans="2:10">
      <c r="B40" s="92" t="s">
        <v>108</v>
      </c>
      <c r="C40" s="124">
        <f>C38/C6</f>
        <v>8.7844326074693516E-2</v>
      </c>
      <c r="D40" s="124">
        <f>D38/D6</f>
        <v>8.1923511599216667E-2</v>
      </c>
      <c r="E40" s="124">
        <f>E38/E6</f>
        <v>9.2469904329304894E-2</v>
      </c>
      <c r="F40" s="125">
        <v>0.09</v>
      </c>
      <c r="G40" s="125">
        <v>0.09</v>
      </c>
      <c r="H40" s="125">
        <v>0.09</v>
      </c>
      <c r="I40" s="125">
        <v>0.09</v>
      </c>
      <c r="J40" s="126">
        <v>0.09</v>
      </c>
    </row>
    <row r="41" spans="2:10">
      <c r="B41" s="92"/>
      <c r="C41" s="31"/>
      <c r="D41" s="31"/>
      <c r="E41" s="31"/>
      <c r="F41" s="31"/>
      <c r="G41" s="31"/>
      <c r="H41" s="31"/>
      <c r="I41" s="31"/>
      <c r="J41" s="93"/>
    </row>
    <row r="42" spans="2:10">
      <c r="B42" s="92" t="s">
        <v>113</v>
      </c>
      <c r="C42" s="25">
        <v>1868.1</v>
      </c>
      <c r="D42" s="25">
        <v>1870.6</v>
      </c>
      <c r="E42" s="25">
        <v>1978.2</v>
      </c>
      <c r="F42" s="39">
        <f>F44+F52</f>
        <v>2070.839320309894</v>
      </c>
      <c r="G42" s="39">
        <f t="shared" ref="G42:J42" si="15">G44+G52</f>
        <v>2203.6677845832014</v>
      </c>
      <c r="H42" s="39">
        <f t="shared" si="15"/>
        <v>2375.4729346880385</v>
      </c>
      <c r="I42" s="39">
        <f t="shared" si="15"/>
        <v>2570.117641863224</v>
      </c>
      <c r="J42" s="106">
        <f t="shared" si="15"/>
        <v>2796.3551534282219</v>
      </c>
    </row>
    <row r="43" spans="2:10">
      <c r="B43" s="92"/>
      <c r="C43" s="31"/>
      <c r="D43" s="31"/>
      <c r="E43" s="31"/>
      <c r="F43" s="31"/>
      <c r="G43" s="31"/>
      <c r="H43" s="31"/>
      <c r="I43" s="31"/>
      <c r="J43" s="93"/>
    </row>
    <row r="44" spans="2:10">
      <c r="B44" s="92" t="s">
        <v>114</v>
      </c>
      <c r="C44" s="53">
        <v>1530</v>
      </c>
      <c r="D44" s="53">
        <v>1454</v>
      </c>
      <c r="E44" s="53">
        <v>1501.5</v>
      </c>
      <c r="F44" s="39">
        <f>AVERAGE(E29:F29)*F49</f>
        <v>1592.3620247791132</v>
      </c>
      <c r="G44" s="39">
        <f t="shared" ref="G44:J44" si="16">AVERAGE(F29:G29)*G49</f>
        <v>1690.1593363073357</v>
      </c>
      <c r="H44" s="39">
        <f t="shared" si="16"/>
        <v>1800.784749668929</v>
      </c>
      <c r="I44" s="39">
        <f t="shared" si="16"/>
        <v>1926.212750873166</v>
      </c>
      <c r="J44" s="106">
        <f t="shared" si="16"/>
        <v>2068.7285097732342</v>
      </c>
    </row>
    <row r="45" spans="2:10">
      <c r="B45" s="92"/>
      <c r="C45" s="53"/>
      <c r="D45" s="53"/>
      <c r="E45" s="53"/>
      <c r="F45" s="31"/>
      <c r="G45" s="31"/>
      <c r="H45" s="31"/>
      <c r="I45" s="31"/>
      <c r="J45" s="93"/>
    </row>
    <row r="46" spans="2:10">
      <c r="B46" s="92" t="str">
        <f>IS!B18</f>
        <v>Depreciation and amortization</v>
      </c>
      <c r="C46" s="43">
        <f>IS!C18</f>
        <v>329.7</v>
      </c>
      <c r="D46" s="43">
        <f>IS!D18</f>
        <v>370.4</v>
      </c>
      <c r="E46" s="43">
        <f>IS!E18</f>
        <v>381.7</v>
      </c>
      <c r="F46" s="43">
        <f>F42*F47</f>
        <v>391.70202153888039</v>
      </c>
      <c r="G46" s="43">
        <f t="shared" ref="G46:J46" si="17">G42*G47</f>
        <v>416.826702852143</v>
      </c>
      <c r="H46" s="43">
        <f t="shared" si="17"/>
        <v>449.32387631550222</v>
      </c>
      <c r="I46" s="43">
        <f t="shared" si="17"/>
        <v>486.14118248436233</v>
      </c>
      <c r="J46" s="121">
        <f t="shared" si="17"/>
        <v>528.93430977280605</v>
      </c>
    </row>
    <row r="47" spans="2:10">
      <c r="B47" s="92" t="s">
        <v>122</v>
      </c>
      <c r="C47" s="113">
        <f>C46/C42</f>
        <v>0.17648948129115144</v>
      </c>
      <c r="D47" s="113">
        <f t="shared" ref="D47:E47" si="18">D46/D42</f>
        <v>0.19801133326205494</v>
      </c>
      <c r="E47" s="113">
        <f t="shared" si="18"/>
        <v>0.19295318976847639</v>
      </c>
      <c r="F47" s="88">
        <f>AVERAGE(C47:E47)</f>
        <v>0.18915133477389426</v>
      </c>
      <c r="G47" s="88">
        <f>F47</f>
        <v>0.18915133477389426</v>
      </c>
      <c r="H47" s="88">
        <f t="shared" ref="H47:J47" si="19">G47</f>
        <v>0.18915133477389426</v>
      </c>
      <c r="I47" s="88">
        <f t="shared" si="19"/>
        <v>0.18915133477389426</v>
      </c>
      <c r="J47" s="127">
        <f t="shared" si="19"/>
        <v>0.18915133477389426</v>
      </c>
    </row>
    <row r="48" spans="2:10">
      <c r="B48" s="92"/>
      <c r="C48" s="31"/>
      <c r="D48" s="31"/>
      <c r="E48" s="31"/>
      <c r="F48" s="31"/>
      <c r="G48" s="31"/>
      <c r="H48" s="31"/>
      <c r="I48" s="31"/>
      <c r="J48" s="93"/>
    </row>
    <row r="49" spans="2:10">
      <c r="B49" s="92" t="s">
        <v>116</v>
      </c>
      <c r="C49" s="53"/>
      <c r="D49" s="53"/>
      <c r="E49" s="118">
        <f>E44/AVERAGE(D29:E29)</f>
        <v>3.5493265380415001E-2</v>
      </c>
      <c r="F49" s="125">
        <f>E49</f>
        <v>3.5493265380415001E-2</v>
      </c>
      <c r="G49" s="125">
        <f t="shared" ref="G49:J49" si="20">F49</f>
        <v>3.5493265380415001E-2</v>
      </c>
      <c r="H49" s="125">
        <f t="shared" si="20"/>
        <v>3.5493265380415001E-2</v>
      </c>
      <c r="I49" s="125">
        <f t="shared" si="20"/>
        <v>3.5493265380415001E-2</v>
      </c>
      <c r="J49" s="126">
        <f t="shared" si="20"/>
        <v>3.5493265380415001E-2</v>
      </c>
    </row>
    <row r="50" spans="2:10">
      <c r="B50" s="92"/>
      <c r="C50" s="53"/>
      <c r="D50" s="53"/>
      <c r="E50" s="53"/>
      <c r="F50" s="31"/>
      <c r="G50" s="31"/>
      <c r="H50" s="31"/>
      <c r="I50" s="31"/>
      <c r="J50" s="93"/>
    </row>
    <row r="51" spans="2:10">
      <c r="B51" s="92"/>
      <c r="C51" s="31"/>
      <c r="D51" s="31"/>
      <c r="E51" s="31"/>
      <c r="F51" s="31"/>
      <c r="G51" s="31"/>
      <c r="H51" s="31"/>
      <c r="I51" s="31"/>
      <c r="J51" s="93"/>
    </row>
    <row r="52" spans="2:10">
      <c r="B52" s="92" t="s">
        <v>115</v>
      </c>
      <c r="C52" s="39">
        <f>C42-C44</f>
        <v>338.09999999999991</v>
      </c>
      <c r="D52" s="39">
        <f t="shared" ref="D52:E52" si="21">D42-D44</f>
        <v>416.59999999999991</v>
      </c>
      <c r="E52" s="39">
        <f t="shared" si="21"/>
        <v>476.70000000000005</v>
      </c>
      <c r="F52" s="39">
        <f>F56</f>
        <v>478.47729553078057</v>
      </c>
      <c r="G52" s="39">
        <f t="shared" ref="G52:J52" si="22">G56</f>
        <v>513.5084482758657</v>
      </c>
      <c r="H52" s="39">
        <f t="shared" si="22"/>
        <v>574.68818501910982</v>
      </c>
      <c r="I52" s="39">
        <f t="shared" si="22"/>
        <v>643.90489099005777</v>
      </c>
      <c r="J52" s="106">
        <f t="shared" si="22"/>
        <v>727.62664365498767</v>
      </c>
    </row>
    <row r="53" spans="2:10">
      <c r="B53" s="92"/>
      <c r="C53" s="31"/>
      <c r="D53" s="31"/>
      <c r="E53" s="31"/>
      <c r="F53" s="31"/>
      <c r="G53" s="31"/>
      <c r="H53" s="31"/>
      <c r="I53" s="31"/>
      <c r="J53" s="93"/>
    </row>
    <row r="54" spans="2:10">
      <c r="B54" s="92" t="s">
        <v>117</v>
      </c>
      <c r="C54" s="31"/>
      <c r="D54" s="31">
        <f>C57</f>
        <v>795</v>
      </c>
      <c r="E54" s="31">
        <f>D57</f>
        <v>864.3</v>
      </c>
      <c r="F54" s="43">
        <f>E57</f>
        <v>836</v>
      </c>
      <c r="G54" s="43">
        <f t="shared" ref="G54:J54" si="23">F57</f>
        <v>911.66770682175434</v>
      </c>
      <c r="H54" s="43">
        <f t="shared" si="23"/>
        <v>996.81051724138615</v>
      </c>
      <c r="I54" s="43">
        <f t="shared" si="23"/>
        <v>1115.5711826841543</v>
      </c>
      <c r="J54" s="121">
        <f t="shared" si="23"/>
        <v>1249.9330236865826</v>
      </c>
    </row>
    <row r="55" spans="2:10">
      <c r="B55" s="92" t="s">
        <v>118</v>
      </c>
      <c r="C55" s="31"/>
      <c r="D55" s="39">
        <f>D57+D56-D54</f>
        <v>485.89999999999986</v>
      </c>
      <c r="E55" s="39">
        <f>E57+E56-E54</f>
        <v>448.40000000000009</v>
      </c>
      <c r="F55" s="43">
        <f>F6*F59</f>
        <v>554.14500235253502</v>
      </c>
      <c r="G55" s="43">
        <f t="shared" ref="G55:J55" si="24">G6*G59</f>
        <v>598.65125869549763</v>
      </c>
      <c r="H55" s="43">
        <f t="shared" si="24"/>
        <v>693.44885046187812</v>
      </c>
      <c r="I55" s="43">
        <f t="shared" si="24"/>
        <v>778.26673199248603</v>
      </c>
      <c r="J55" s="121">
        <f t="shared" si="24"/>
        <v>890.14534000455751</v>
      </c>
    </row>
    <row r="56" spans="2:10">
      <c r="B56" s="92" t="s">
        <v>115</v>
      </c>
      <c r="C56" s="39">
        <f>C52</f>
        <v>338.09999999999991</v>
      </c>
      <c r="D56" s="39">
        <f t="shared" ref="D56:E56" si="25">D52</f>
        <v>416.59999999999991</v>
      </c>
      <c r="E56" s="39">
        <f t="shared" si="25"/>
        <v>476.70000000000005</v>
      </c>
      <c r="F56" s="43">
        <f>SUM(F54:F55)*F62</f>
        <v>478.47729553078057</v>
      </c>
      <c r="G56" s="43">
        <f t="shared" ref="G56:J56" si="26">SUM(G54:G55)*G62</f>
        <v>513.5084482758657</v>
      </c>
      <c r="H56" s="43">
        <f t="shared" si="26"/>
        <v>574.68818501910982</v>
      </c>
      <c r="I56" s="43">
        <f t="shared" si="26"/>
        <v>643.90489099005777</v>
      </c>
      <c r="J56" s="121">
        <f t="shared" si="26"/>
        <v>727.62664365498767</v>
      </c>
    </row>
    <row r="57" spans="2:10">
      <c r="B57" s="92" t="s">
        <v>119</v>
      </c>
      <c r="C57" s="49">
        <v>795</v>
      </c>
      <c r="D57" s="49">
        <v>864.3</v>
      </c>
      <c r="E57" s="49">
        <v>836</v>
      </c>
      <c r="F57" s="43">
        <f t="shared" ref="F57:J57" si="27">F54+F55-F56</f>
        <v>911.66770682175434</v>
      </c>
      <c r="G57" s="43">
        <f t="shared" si="27"/>
        <v>996.81051724138615</v>
      </c>
      <c r="H57" s="43">
        <f t="shared" si="27"/>
        <v>1115.5711826841543</v>
      </c>
      <c r="I57" s="43">
        <f t="shared" si="27"/>
        <v>1249.9330236865826</v>
      </c>
      <c r="J57" s="121">
        <f t="shared" si="27"/>
        <v>1412.4517200361524</v>
      </c>
    </row>
    <row r="58" spans="2:10">
      <c r="B58" s="92"/>
      <c r="C58" s="31"/>
      <c r="D58" s="31"/>
      <c r="E58" s="31"/>
      <c r="F58" s="31"/>
      <c r="G58" s="31"/>
      <c r="H58" s="31"/>
      <c r="I58" s="31"/>
      <c r="J58" s="93"/>
    </row>
    <row r="59" spans="2:10">
      <c r="B59" s="92" t="s">
        <v>120</v>
      </c>
      <c r="C59" s="31"/>
      <c r="D59" s="124">
        <f>D55/D6</f>
        <v>2.0959685281202275E-2</v>
      </c>
      <c r="E59" s="124">
        <f>E55/E6</f>
        <v>1.7588659158929466E-2</v>
      </c>
      <c r="F59" s="119">
        <f>AVERAGE(D59:E59)</f>
        <v>1.9274172220065871E-2</v>
      </c>
      <c r="G59" s="88">
        <f t="shared" ref="G59:J59" si="28">AVERAGE(E59:F59)</f>
        <v>1.8431415689497667E-2</v>
      </c>
      <c r="H59" s="88">
        <f t="shared" si="28"/>
        <v>1.8852793954781767E-2</v>
      </c>
      <c r="I59" s="88">
        <f t="shared" si="28"/>
        <v>1.8642104822139717E-2</v>
      </c>
      <c r="J59" s="127">
        <f t="shared" si="28"/>
        <v>1.8747449388460742E-2</v>
      </c>
    </row>
    <row r="60" spans="2:10">
      <c r="B60" s="92"/>
      <c r="C60" s="31"/>
      <c r="D60" s="31"/>
      <c r="E60" s="31"/>
      <c r="F60" s="31"/>
      <c r="G60" s="31"/>
      <c r="H60" s="31"/>
      <c r="I60" s="31"/>
      <c r="J60" s="93"/>
    </row>
    <row r="61" spans="2:10">
      <c r="B61" s="92"/>
      <c r="C61" s="31"/>
      <c r="D61" s="31"/>
      <c r="E61" s="31"/>
      <c r="F61" s="31"/>
      <c r="G61" s="31"/>
      <c r="H61" s="31"/>
      <c r="I61" s="31"/>
      <c r="J61" s="93"/>
    </row>
    <row r="62" spans="2:10" ht="14.4" thickBot="1">
      <c r="B62" s="95" t="s">
        <v>121</v>
      </c>
      <c r="C62" s="96"/>
      <c r="D62" s="128">
        <f>D56/SUM(D54:D55)</f>
        <v>0.32524006557888979</v>
      </c>
      <c r="E62" s="128">
        <f>E56/SUM(E54:E55)</f>
        <v>0.36314466367029791</v>
      </c>
      <c r="F62" s="129">
        <f>AVERAGE(D62:E62)</f>
        <v>0.34419236462459385</v>
      </c>
      <c r="G62" s="129">
        <v>0.34</v>
      </c>
      <c r="H62" s="129">
        <f t="shared" ref="H62:J62" si="29">G62</f>
        <v>0.34</v>
      </c>
      <c r="I62" s="129">
        <f t="shared" si="29"/>
        <v>0.34</v>
      </c>
      <c r="J62" s="130">
        <f t="shared" si="29"/>
        <v>0.34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zoomScaleNormal="100" workbookViewId="0">
      <pane ySplit="3" topLeftCell="A4" activePane="bottomLeft" state="frozen"/>
      <selection activeCell="F38" sqref="F38"/>
      <selection pane="bottomLeft" activeCell="B9" sqref="B9:J9"/>
    </sheetView>
  </sheetViews>
  <sheetFormatPr defaultRowHeight="13.8"/>
  <cols>
    <col min="1" max="1" width="5.33203125" style="1" customWidth="1"/>
    <col min="2" max="2" width="57.77734375" style="1" customWidth="1"/>
    <col min="3" max="10" width="11.77734375" style="1" customWidth="1"/>
    <col min="11" max="11" width="9" style="1" bestFit="1" customWidth="1"/>
    <col min="12" max="16384" width="8.88671875" style="1"/>
  </cols>
  <sheetData>
    <row r="1" spans="1:11" s="5" customFormat="1" ht="17.399999999999999">
      <c r="A1" s="3"/>
      <c r="B1" s="4" t="s">
        <v>0</v>
      </c>
      <c r="C1" s="3"/>
      <c r="D1" s="3"/>
      <c r="E1" s="3"/>
      <c r="F1" s="3"/>
      <c r="G1" s="3"/>
      <c r="H1" s="3"/>
      <c r="I1" s="3"/>
      <c r="J1" s="3"/>
    </row>
    <row r="2" spans="1:11" s="5" customFormat="1" ht="17.399999999999999">
      <c r="A2" s="3"/>
      <c r="B2" s="3"/>
      <c r="C2" s="6" t="s">
        <v>2</v>
      </c>
      <c r="D2" s="6"/>
      <c r="E2" s="7"/>
      <c r="F2" s="6" t="s">
        <v>3</v>
      </c>
      <c r="G2" s="6"/>
      <c r="H2" s="6"/>
      <c r="I2" s="6"/>
      <c r="J2" s="6"/>
    </row>
    <row r="3" spans="1:11" s="5" customFormat="1" ht="18" thickBot="1">
      <c r="A3" s="3"/>
      <c r="B3" s="4" t="s">
        <v>1</v>
      </c>
      <c r="C3" s="8">
        <v>2021</v>
      </c>
      <c r="D3" s="8">
        <f>C3+1</f>
        <v>2022</v>
      </c>
      <c r="E3" s="9">
        <f>D3+1</f>
        <v>2023</v>
      </c>
      <c r="F3" s="10">
        <f t="shared" ref="F3:J3" si="0">E3+1</f>
        <v>2024</v>
      </c>
      <c r="G3" s="11">
        <f t="shared" si="0"/>
        <v>2025</v>
      </c>
      <c r="H3" s="11">
        <f t="shared" si="0"/>
        <v>2026</v>
      </c>
      <c r="I3" s="11">
        <f t="shared" si="0"/>
        <v>2027</v>
      </c>
      <c r="J3" s="11">
        <f t="shared" si="0"/>
        <v>2028</v>
      </c>
    </row>
    <row r="4" spans="1:11" ht="14.4" thickBot="1">
      <c r="A4" s="31"/>
      <c r="B4" s="164"/>
    </row>
    <row r="5" spans="1:11">
      <c r="B5" s="21" t="s">
        <v>4</v>
      </c>
      <c r="C5" s="22"/>
      <c r="D5" s="22"/>
      <c r="E5" s="22"/>
      <c r="F5" s="22"/>
      <c r="G5" s="22"/>
      <c r="H5" s="22"/>
      <c r="I5" s="22"/>
      <c r="J5" s="23"/>
    </row>
    <row r="6" spans="1:11">
      <c r="B6" s="24" t="s">
        <v>5</v>
      </c>
      <c r="C6" s="25">
        <v>9787.4</v>
      </c>
      <c r="D6" s="25">
        <v>8748.4</v>
      </c>
      <c r="E6" s="25">
        <v>9741.6</v>
      </c>
      <c r="F6" s="26">
        <f>Revenue!F10</f>
        <v>11705.314100421409</v>
      </c>
      <c r="G6" s="26">
        <f>Revenue!G10</f>
        <v>14059.28171554341</v>
      </c>
      <c r="H6" s="26">
        <f>Revenue!H10</f>
        <v>16876.677947734035</v>
      </c>
      <c r="I6" s="26">
        <f>Revenue!I10</f>
        <v>20241.378283370486</v>
      </c>
      <c r="J6" s="27">
        <f>Revenue!J10</f>
        <v>24248.947562085214</v>
      </c>
    </row>
    <row r="7" spans="1:11">
      <c r="B7" s="24" t="s">
        <v>6</v>
      </c>
      <c r="C7" s="28">
        <v>13085.4</v>
      </c>
      <c r="D7" s="25">
        <v>14105.8</v>
      </c>
      <c r="E7" s="25">
        <v>15436.5</v>
      </c>
      <c r="F7" s="26">
        <f>Revenue!F15</f>
        <v>16713.337083219474</v>
      </c>
      <c r="G7" s="26">
        <f>Revenue!G15</f>
        <v>18090.657361334594</v>
      </c>
      <c r="H7" s="26">
        <f>Revenue!H15</f>
        <v>19575.607591751948</v>
      </c>
      <c r="I7" s="26">
        <f>Revenue!I15</f>
        <v>21176.414651910174</v>
      </c>
      <c r="J7" s="27">
        <f>Revenue!J15</f>
        <v>22901.92951938335</v>
      </c>
    </row>
    <row r="8" spans="1:11">
      <c r="B8" s="24" t="s">
        <v>7</v>
      </c>
      <c r="C8" s="25">
        <v>350.1</v>
      </c>
      <c r="D8" s="25">
        <v>328.4</v>
      </c>
      <c r="E8" s="25">
        <v>315.60000000000002</v>
      </c>
      <c r="F8" s="26">
        <f>Revenue!F21</f>
        <v>332</v>
      </c>
      <c r="G8" s="26">
        <f>Revenue!G21</f>
        <v>330</v>
      </c>
      <c r="H8" s="26">
        <f>Revenue!H21</f>
        <v>330</v>
      </c>
      <c r="I8" s="26">
        <f>Revenue!I21</f>
        <v>330</v>
      </c>
      <c r="J8" s="27">
        <f>Revenue!J21</f>
        <v>330</v>
      </c>
    </row>
    <row r="9" spans="1:11" ht="14.4" thickBot="1">
      <c r="B9" s="29" t="s">
        <v>177</v>
      </c>
      <c r="C9" s="14">
        <f>SUM(C6:C8)</f>
        <v>23222.899999999998</v>
      </c>
      <c r="D9" s="14">
        <f t="shared" ref="D9:J9" si="1">SUM(D6:D8)</f>
        <v>23182.6</v>
      </c>
      <c r="E9" s="14">
        <f t="shared" si="1"/>
        <v>25493.699999999997</v>
      </c>
      <c r="F9" s="14">
        <f t="shared" si="1"/>
        <v>28750.651183640883</v>
      </c>
      <c r="G9" s="14">
        <f t="shared" si="1"/>
        <v>32479.939076878003</v>
      </c>
      <c r="H9" s="14">
        <f t="shared" si="1"/>
        <v>36782.28553948598</v>
      </c>
      <c r="I9" s="14">
        <f t="shared" si="1"/>
        <v>41747.79293528066</v>
      </c>
      <c r="J9" s="30">
        <f t="shared" si="1"/>
        <v>47480.877081468563</v>
      </c>
      <c r="K9" s="12"/>
    </row>
    <row r="10" spans="1:11" ht="14.4" thickTop="1">
      <c r="B10" s="24" t="s">
        <v>8</v>
      </c>
      <c r="C10" s="31"/>
      <c r="D10" s="31"/>
      <c r="E10" s="31"/>
      <c r="F10" s="31"/>
      <c r="G10" s="31"/>
      <c r="H10" s="31"/>
      <c r="I10" s="31"/>
      <c r="J10" s="32"/>
    </row>
    <row r="11" spans="1:11">
      <c r="B11" s="24" t="s">
        <v>9</v>
      </c>
      <c r="C11" s="31"/>
      <c r="D11" s="31"/>
      <c r="E11" s="31"/>
      <c r="F11" s="31"/>
      <c r="G11" s="31"/>
      <c r="H11" s="31"/>
      <c r="I11" s="31"/>
      <c r="J11" s="32"/>
    </row>
    <row r="12" spans="1:11">
      <c r="B12" s="33" t="s">
        <v>10</v>
      </c>
      <c r="C12" s="25">
        <v>3096.8</v>
      </c>
      <c r="D12" s="25">
        <v>2737.3</v>
      </c>
      <c r="E12" s="25">
        <v>3039</v>
      </c>
      <c r="F12" s="34">
        <f>EXPENSE!F10</f>
        <v>3628.6473711306367</v>
      </c>
      <c r="G12" s="34">
        <f>EXPENSE!G10</f>
        <v>4358.3773318184567</v>
      </c>
      <c r="H12" s="34">
        <f>EXPENSE!H10</f>
        <v>5231.7701637975506</v>
      </c>
      <c r="I12" s="34">
        <f>EXPENSE!I10</f>
        <v>6274.8272678448511</v>
      </c>
      <c r="J12" s="35">
        <f>EXPENSE!J10</f>
        <v>7517.1737442464164</v>
      </c>
    </row>
    <row r="13" spans="1:11">
      <c r="B13" s="33" t="s">
        <v>11</v>
      </c>
      <c r="C13" s="25">
        <v>2677.2</v>
      </c>
      <c r="D13" s="25">
        <v>2617.4</v>
      </c>
      <c r="E13" s="25">
        <v>2885.8</v>
      </c>
      <c r="F13" s="34">
        <f>EXPENSE!F11</f>
        <v>3511.5942301264226</v>
      </c>
      <c r="G13" s="34">
        <f>EXPENSE!G11</f>
        <v>4217.7845146630225</v>
      </c>
      <c r="H13" s="34">
        <f>EXPENSE!H11</f>
        <v>5063.00338432021</v>
      </c>
      <c r="I13" s="34">
        <f>EXPENSE!I11</f>
        <v>6072.4134850111459</v>
      </c>
      <c r="J13" s="35">
        <f>EXPENSE!J11</f>
        <v>7274.6842686255641</v>
      </c>
    </row>
    <row r="14" spans="1:11">
      <c r="B14" s="33" t="s">
        <v>12</v>
      </c>
      <c r="C14" s="25">
        <v>2273.3000000000002</v>
      </c>
      <c r="D14" s="25">
        <v>2026.2</v>
      </c>
      <c r="E14" s="25">
        <v>2299.3000000000002</v>
      </c>
      <c r="F14" s="34">
        <f>EXPENSE!F12</f>
        <v>2809.2753841011381</v>
      </c>
      <c r="G14" s="34">
        <f>EXPENSE!G12</f>
        <v>3374.2276117304182</v>
      </c>
      <c r="H14" s="34">
        <f>EXPENSE!H12</f>
        <v>4050.4027074561682</v>
      </c>
      <c r="I14" s="34">
        <f>EXPENSE!I12</f>
        <v>4857.9307880089164</v>
      </c>
      <c r="J14" s="35">
        <f>EXPENSE!J12</f>
        <v>5819.7474149004511</v>
      </c>
    </row>
    <row r="15" spans="1:11">
      <c r="B15" s="24" t="s">
        <v>13</v>
      </c>
      <c r="C15" s="25">
        <v>2335</v>
      </c>
      <c r="D15" s="25">
        <v>2349.6999999999998</v>
      </c>
      <c r="E15" s="25">
        <v>2474.6</v>
      </c>
      <c r="F15" s="34">
        <f>EXPENSE!F21</f>
        <v>2674.1339333151159</v>
      </c>
      <c r="G15" s="34">
        <f>EXPENSE!G21</f>
        <v>2894.5051778135348</v>
      </c>
      <c r="H15" s="34">
        <f>EXPENSE!H21</f>
        <v>3132.0972146803119</v>
      </c>
      <c r="I15" s="34">
        <f>EXPENSE!I21</f>
        <v>3388.2263443056281</v>
      </c>
      <c r="J15" s="35">
        <f>EXPENSE!J21</f>
        <v>3664.308723101336</v>
      </c>
    </row>
    <row r="16" spans="1:11">
      <c r="B16" s="24" t="s">
        <v>14</v>
      </c>
      <c r="C16" s="25">
        <v>260.39999999999998</v>
      </c>
      <c r="D16" s="25">
        <v>244.8</v>
      </c>
      <c r="E16" s="25">
        <v>232.5</v>
      </c>
      <c r="F16" s="34">
        <f>EXPENSE!F27</f>
        <v>244.2</v>
      </c>
      <c r="G16" s="34">
        <f>EXPENSE!G27</f>
        <v>244.2</v>
      </c>
      <c r="H16" s="34">
        <f>EXPENSE!H27</f>
        <v>244.2</v>
      </c>
      <c r="I16" s="34">
        <f>EXPENSE!I27</f>
        <v>244.2</v>
      </c>
      <c r="J16" s="35">
        <f>EXPENSE!J27</f>
        <v>244.2</v>
      </c>
    </row>
    <row r="17" spans="1:11">
      <c r="B17" s="24" t="s">
        <v>15</v>
      </c>
      <c r="C17" s="25"/>
      <c r="D17" s="25"/>
      <c r="E17" s="25"/>
      <c r="F17" s="31"/>
      <c r="G17" s="31"/>
      <c r="H17" s="31"/>
      <c r="I17" s="31"/>
      <c r="J17" s="32"/>
    </row>
    <row r="18" spans="1:11">
      <c r="B18" s="33" t="s">
        <v>16</v>
      </c>
      <c r="C18" s="25">
        <v>329.7</v>
      </c>
      <c r="D18" s="25">
        <v>370.4</v>
      </c>
      <c r="E18" s="25">
        <v>381.7</v>
      </c>
      <c r="F18" s="34">
        <f>'BS SCHEDULES'!F46</f>
        <v>391.70202153888039</v>
      </c>
      <c r="G18" s="34">
        <f>'BS SCHEDULES'!G46</f>
        <v>416.826702852143</v>
      </c>
      <c r="H18" s="34">
        <f>'BS SCHEDULES'!H46</f>
        <v>449.32387631550222</v>
      </c>
      <c r="I18" s="34">
        <f>'BS SCHEDULES'!I46</f>
        <v>486.14118248436233</v>
      </c>
      <c r="J18" s="35">
        <f>'BS SCHEDULES'!J46</f>
        <v>528.93430977280605</v>
      </c>
    </row>
    <row r="19" spans="1:11">
      <c r="B19" s="33" t="s">
        <v>17</v>
      </c>
      <c r="C19" s="25">
        <v>2377.8000000000002</v>
      </c>
      <c r="D19" s="25">
        <v>2492.1999999999998</v>
      </c>
      <c r="E19" s="25">
        <v>2435.1999999999998</v>
      </c>
      <c r="F19" s="31">
        <v>0</v>
      </c>
      <c r="G19" s="31">
        <v>0</v>
      </c>
      <c r="H19" s="31">
        <v>0</v>
      </c>
      <c r="I19" s="31">
        <v>0</v>
      </c>
      <c r="J19" s="32">
        <v>0</v>
      </c>
    </row>
    <row r="20" spans="1:11">
      <c r="B20" s="24" t="s">
        <v>18</v>
      </c>
      <c r="C20" s="25">
        <v>-483.3</v>
      </c>
      <c r="D20" s="25">
        <v>973.6</v>
      </c>
      <c r="E20" s="25">
        <v>98.9</v>
      </c>
      <c r="F20" s="31">
        <v>0</v>
      </c>
      <c r="G20" s="31">
        <v>0</v>
      </c>
      <c r="H20" s="31">
        <v>0</v>
      </c>
      <c r="I20" s="31">
        <v>0</v>
      </c>
      <c r="J20" s="32">
        <v>0</v>
      </c>
    </row>
    <row r="21" spans="1:11">
      <c r="B21" s="36" t="s">
        <v>19</v>
      </c>
      <c r="C21" s="37">
        <f>SUM(C12:C20)</f>
        <v>12866.900000000001</v>
      </c>
      <c r="D21" s="37">
        <f>SUM(D12:D20)</f>
        <v>13811.6</v>
      </c>
      <c r="E21" s="37">
        <f>SUM(E12:E20)</f>
        <v>13847.000000000002</v>
      </c>
      <c r="F21" s="37">
        <f t="shared" ref="F21:J21" si="2">SUM(F12:F20)</f>
        <v>13259.552940212194</v>
      </c>
      <c r="G21" s="37">
        <f t="shared" si="2"/>
        <v>15505.921338877573</v>
      </c>
      <c r="H21" s="37">
        <f t="shared" si="2"/>
        <v>18170.797346569743</v>
      </c>
      <c r="I21" s="37">
        <f t="shared" si="2"/>
        <v>21323.739067654904</v>
      </c>
      <c r="J21" s="38">
        <f t="shared" si="2"/>
        <v>25049.048460646572</v>
      </c>
    </row>
    <row r="22" spans="1:11" ht="14.4" thickBot="1">
      <c r="B22" s="29" t="s">
        <v>20</v>
      </c>
      <c r="C22" s="14">
        <f>C9-C21</f>
        <v>10355.999999999996</v>
      </c>
      <c r="D22" s="14">
        <f>D9-D21</f>
        <v>9370.9999999999982</v>
      </c>
      <c r="E22" s="14">
        <f>E9-E21</f>
        <v>11646.699999999995</v>
      </c>
      <c r="F22" s="14">
        <f t="shared" ref="F22:J22" si="3">F9-F21</f>
        <v>15491.098243428689</v>
      </c>
      <c r="G22" s="14">
        <f t="shared" si="3"/>
        <v>16974.017738000432</v>
      </c>
      <c r="H22" s="14">
        <f t="shared" si="3"/>
        <v>18611.488192916237</v>
      </c>
      <c r="I22" s="14">
        <f t="shared" si="3"/>
        <v>20424.053867625757</v>
      </c>
      <c r="J22" s="30">
        <f t="shared" si="3"/>
        <v>22431.828620821991</v>
      </c>
    </row>
    <row r="23" spans="1:11" ht="14.4" thickTop="1">
      <c r="B23" s="24" t="s">
        <v>21</v>
      </c>
      <c r="C23" s="25">
        <v>1185.8</v>
      </c>
      <c r="D23" s="25">
        <v>1207</v>
      </c>
      <c r="E23" s="25">
        <v>1360.8</v>
      </c>
      <c r="F23" s="39">
        <f ca="1">Debt!F49</f>
        <v>1294.4668434576481</v>
      </c>
      <c r="G23" s="39">
        <f ca="1">Debt!G49</f>
        <v>1095.2606574239533</v>
      </c>
      <c r="H23" s="39">
        <f ca="1">Debt!H49</f>
        <v>949.02405809607433</v>
      </c>
      <c r="I23" s="39">
        <f ca="1">Debt!I49</f>
        <v>792.24684492090751</v>
      </c>
      <c r="J23" s="40">
        <f ca="1">Debt!J49</f>
        <v>624.26293621765728</v>
      </c>
    </row>
    <row r="24" spans="1:11">
      <c r="B24" s="24" t="s">
        <v>22</v>
      </c>
      <c r="C24" s="25">
        <v>42.3</v>
      </c>
      <c r="D24" s="25">
        <v>338.6</v>
      </c>
      <c r="E24" s="25">
        <v>-236.3</v>
      </c>
      <c r="F24" s="31">
        <v>0</v>
      </c>
      <c r="G24" s="31">
        <v>0</v>
      </c>
      <c r="H24" s="31">
        <v>0</v>
      </c>
      <c r="I24" s="31">
        <v>0</v>
      </c>
      <c r="J24" s="32">
        <v>0</v>
      </c>
    </row>
    <row r="25" spans="1:11" ht="14.4" thickBot="1">
      <c r="B25" s="29" t="s">
        <v>23</v>
      </c>
      <c r="C25" s="14">
        <f>C22-(C23+C24)</f>
        <v>9127.899999999996</v>
      </c>
      <c r="D25" s="14">
        <f t="shared" ref="D25:E25" si="4">D22-(D23+D24)</f>
        <v>7825.3999999999978</v>
      </c>
      <c r="E25" s="14">
        <f t="shared" si="4"/>
        <v>10522.199999999995</v>
      </c>
      <c r="F25" s="14">
        <f ca="1">F22-(F23+F24)</f>
        <v>14196.63139997104</v>
      </c>
      <c r="G25" s="14">
        <f ca="1">G22-(G23+G24)</f>
        <v>15878.757080576479</v>
      </c>
      <c r="H25" s="14">
        <f ca="1">H22-(H23+H24)</f>
        <v>17662.464134820162</v>
      </c>
      <c r="I25" s="14">
        <f ca="1">I22-(I23+I24)</f>
        <v>19631.807022704848</v>
      </c>
      <c r="J25" s="30">
        <f ca="1">J22-(J23+J24)</f>
        <v>21807.565684604335</v>
      </c>
    </row>
    <row r="26" spans="1:11" ht="14.4" thickTop="1">
      <c r="A26" s="1" t="s">
        <v>28</v>
      </c>
      <c r="B26" s="24" t="s">
        <v>24</v>
      </c>
      <c r="C26" s="25">
        <v>1582.7</v>
      </c>
      <c r="D26" s="25">
        <v>1648</v>
      </c>
      <c r="E26" s="25">
        <v>2053.4</v>
      </c>
      <c r="F26" s="41">
        <f ca="1">EXPENSE!F31*IS!F25</f>
        <v>2981.2925939939182</v>
      </c>
      <c r="G26" s="41">
        <f ca="1">EXPENSE!G31*IS!G25</f>
        <v>3334.5389869210603</v>
      </c>
      <c r="H26" s="41">
        <f ca="1">EXPENSE!H31*IS!H25</f>
        <v>3709.117468312234</v>
      </c>
      <c r="I26" s="41">
        <f ca="1">EXPENSE!I31*IS!I25</f>
        <v>4122.6794747680178</v>
      </c>
      <c r="J26" s="42">
        <f ca="1">EXPENSE!J31*IS!J25</f>
        <v>4579.5887937669104</v>
      </c>
    </row>
    <row r="27" spans="1:11" ht="14.4" thickBot="1">
      <c r="B27" s="29" t="s">
        <v>25</v>
      </c>
      <c r="C27" s="14">
        <f>C25-C26</f>
        <v>7545.1999999999962</v>
      </c>
      <c r="D27" s="14">
        <f t="shared" ref="D27:E27" si="5">D25-D26</f>
        <v>6177.3999999999978</v>
      </c>
      <c r="E27" s="14">
        <f t="shared" si="5"/>
        <v>8468.7999999999956</v>
      </c>
      <c r="F27" s="14">
        <f ca="1">F25-F26</f>
        <v>11215.338805977122</v>
      </c>
      <c r="G27" s="14">
        <f ca="1">G25-G26</f>
        <v>12544.218093655418</v>
      </c>
      <c r="H27" s="14">
        <f ca="1">H25-H26</f>
        <v>13953.346666507929</v>
      </c>
      <c r="I27" s="14">
        <f ca="1">I25-I26</f>
        <v>15509.127547936831</v>
      </c>
      <c r="J27" s="30">
        <f ca="1">J25-J26</f>
        <v>17227.976890837424</v>
      </c>
      <c r="K27" s="12"/>
    </row>
    <row r="28" spans="1:11" ht="14.4" thickTop="1">
      <c r="B28" s="36" t="s">
        <v>26</v>
      </c>
      <c r="C28" s="151">
        <v>3918.6</v>
      </c>
      <c r="D28" s="151">
        <v>4168.2</v>
      </c>
      <c r="E28" s="151">
        <v>4532.8</v>
      </c>
      <c r="F28" s="152">
        <f ca="1">EXPENSE!F33</f>
        <v>6465.0265816372039</v>
      </c>
      <c r="G28" s="152">
        <f ca="1">EXPENSE!G33</f>
        <v>7231.05247414512</v>
      </c>
      <c r="H28" s="152">
        <f ca="1">EXPENSE!H33</f>
        <v>8043.3376701644193</v>
      </c>
      <c r="I28" s="152">
        <f ca="1">EXPENSE!I33</f>
        <v>8940.1598640940756</v>
      </c>
      <c r="J28" s="153">
        <f ca="1">EXPENSE!J33</f>
        <v>9930.9820660733603</v>
      </c>
    </row>
    <row r="29" spans="1:11" ht="14.4" thickBot="1">
      <c r="B29" s="45" t="s">
        <v>27</v>
      </c>
      <c r="C29" s="165">
        <f>C27-C28</f>
        <v>3626.5999999999963</v>
      </c>
      <c r="D29" s="165">
        <f t="shared" ref="D29:E29" si="6">D27-D28</f>
        <v>2009.199999999998</v>
      </c>
      <c r="E29" s="165">
        <f t="shared" si="6"/>
        <v>3935.9999999999955</v>
      </c>
      <c r="F29" s="165">
        <f ca="1">F27-F28</f>
        <v>4750.3122243399184</v>
      </c>
      <c r="G29" s="165">
        <f ca="1">G27-G28</f>
        <v>5313.1656195102978</v>
      </c>
      <c r="H29" s="165">
        <f ca="1">H27-H28</f>
        <v>5910.0089963435094</v>
      </c>
      <c r="I29" s="165">
        <f ca="1">I27-I28</f>
        <v>6568.9676838427549</v>
      </c>
      <c r="J29" s="166">
        <f ca="1">J27-J28</f>
        <v>7296.9948247640641</v>
      </c>
    </row>
    <row r="30" spans="1:11">
      <c r="A30" s="31"/>
      <c r="B30" s="22"/>
      <c r="C30" s="22"/>
      <c r="D30" s="22"/>
      <c r="E30" s="22"/>
      <c r="F30" s="22"/>
      <c r="G30" s="22"/>
      <c r="H30" s="22"/>
      <c r="I30" s="22"/>
      <c r="J30" s="22"/>
    </row>
    <row r="31" spans="1:11" s="2" customFormat="1">
      <c r="C31" s="140"/>
      <c r="D31" s="140"/>
      <c r="E31" s="140"/>
      <c r="F31" s="140"/>
      <c r="G31" s="140"/>
      <c r="H31" s="140"/>
      <c r="I31" s="140"/>
      <c r="J31" s="14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6CEB-FEC2-40CD-8FC1-901F4E7D603A}">
  <dimension ref="A1:N50"/>
  <sheetViews>
    <sheetView zoomScaleNormal="100" workbookViewId="0">
      <pane ySplit="3" topLeftCell="A4" activePane="bottomLeft" state="frozen"/>
      <selection activeCell="F38" sqref="F38"/>
      <selection pane="bottomLeft" activeCell="F14" sqref="F14"/>
    </sheetView>
  </sheetViews>
  <sheetFormatPr defaultRowHeight="13.8"/>
  <cols>
    <col min="1" max="1" width="5.33203125" style="1" customWidth="1"/>
    <col min="2" max="2" width="57.77734375" style="1" customWidth="1"/>
    <col min="3" max="10" width="11.77734375" style="1" customWidth="1"/>
    <col min="11" max="11" width="9" style="1" bestFit="1" customWidth="1"/>
    <col min="12" max="16384" width="8.88671875" style="1"/>
  </cols>
  <sheetData>
    <row r="1" spans="1:14" s="5" customFormat="1" ht="17.399999999999999">
      <c r="A1" s="3"/>
      <c r="B1" s="4" t="s">
        <v>51</v>
      </c>
      <c r="C1" s="3"/>
      <c r="D1" s="3"/>
      <c r="E1" s="3"/>
      <c r="F1" s="3"/>
      <c r="G1" s="3"/>
      <c r="H1" s="3"/>
      <c r="I1" s="3"/>
      <c r="J1" s="3"/>
    </row>
    <row r="2" spans="1:14" s="5" customFormat="1" ht="17.399999999999999">
      <c r="A2" s="3"/>
      <c r="B2" s="3"/>
      <c r="C2" s="6" t="s">
        <v>2</v>
      </c>
      <c r="D2" s="6"/>
      <c r="E2" s="7"/>
      <c r="F2" s="6" t="s">
        <v>3</v>
      </c>
      <c r="G2" s="6"/>
      <c r="H2" s="6"/>
      <c r="I2" s="6"/>
      <c r="J2" s="6"/>
    </row>
    <row r="3" spans="1:14" s="5" customFormat="1" ht="17.399999999999999">
      <c r="A3" s="3"/>
      <c r="B3" s="4" t="s">
        <v>1</v>
      </c>
      <c r="C3" s="8">
        <v>2021</v>
      </c>
      <c r="D3" s="8">
        <f>C3+1</f>
        <v>2022</v>
      </c>
      <c r="E3" s="9">
        <f>D3+1</f>
        <v>2023</v>
      </c>
      <c r="F3" s="10">
        <f t="shared" ref="F3:J3" si="0">E3+1</f>
        <v>2024</v>
      </c>
      <c r="G3" s="11">
        <f t="shared" si="0"/>
        <v>2025</v>
      </c>
      <c r="H3" s="11">
        <f t="shared" si="0"/>
        <v>2026</v>
      </c>
      <c r="I3" s="11">
        <f t="shared" si="0"/>
        <v>2027</v>
      </c>
      <c r="J3" s="11">
        <f t="shared" si="0"/>
        <v>2028</v>
      </c>
    </row>
    <row r="4" spans="1:14" ht="14.4" thickBot="1"/>
    <row r="5" spans="1:14">
      <c r="B5" s="21" t="s">
        <v>52</v>
      </c>
      <c r="C5" s="22"/>
      <c r="D5" s="22"/>
      <c r="E5" s="22"/>
      <c r="F5" s="22"/>
      <c r="G5" s="22"/>
      <c r="H5" s="22"/>
      <c r="I5" s="22"/>
      <c r="J5" s="23"/>
    </row>
    <row r="6" spans="1:14">
      <c r="B6" s="24" t="s">
        <v>53</v>
      </c>
      <c r="C6" s="48">
        <v>4709.2</v>
      </c>
      <c r="D6" s="48">
        <v>2583.8000000000002</v>
      </c>
      <c r="E6" s="48">
        <v>4579.3</v>
      </c>
      <c r="F6" s="39">
        <f ca="1">CFS!F28</f>
        <v>1437.5325591820447</v>
      </c>
      <c r="G6" s="39">
        <f ca="1">CFS!G28</f>
        <v>1623.9969538438972</v>
      </c>
      <c r="H6" s="39">
        <f ca="1">CFS!H28</f>
        <v>1839.114276974301</v>
      </c>
      <c r="I6" s="39">
        <f ca="1">CFS!I28</f>
        <v>2087.3896467640325</v>
      </c>
      <c r="J6" s="40">
        <f ca="1">CFS!J28</f>
        <v>2374.0438540734276</v>
      </c>
    </row>
    <row r="7" spans="1:14">
      <c r="B7" s="24" t="s">
        <v>54</v>
      </c>
      <c r="C7" s="48">
        <v>1872.4</v>
      </c>
      <c r="D7" s="48">
        <v>2115</v>
      </c>
      <c r="E7" s="48">
        <v>2488</v>
      </c>
      <c r="F7" s="39">
        <f>'BS SCHEDULES'!F11</f>
        <v>2534.0399946153543</v>
      </c>
      <c r="G7" s="39">
        <f>'BS SCHEDULES'!G11</f>
        <v>2862.7339296687223</v>
      </c>
      <c r="H7" s="39">
        <f>'BS SCHEDULES'!H11</f>
        <v>3241.9364018946012</v>
      </c>
      <c r="I7" s="39">
        <f>'BS SCHEDULES'!I11</f>
        <v>3679.5889007591022</v>
      </c>
      <c r="J7" s="40">
        <f>'BS SCHEDULES'!J11</f>
        <v>4184.8944824010832</v>
      </c>
      <c r="K7" s="12"/>
    </row>
    <row r="8" spans="1:14">
      <c r="B8" s="24" t="s">
        <v>55</v>
      </c>
      <c r="C8" s="49">
        <v>55.6</v>
      </c>
      <c r="D8" s="49">
        <v>52</v>
      </c>
      <c r="E8" s="49">
        <v>52.8</v>
      </c>
      <c r="F8" s="39">
        <f>'BS SCHEDULES'!F12</f>
        <v>66.942952178431909</v>
      </c>
      <c r="G8" s="39">
        <f>'BS SCHEDULES'!G12</f>
        <v>80.405345424506038</v>
      </c>
      <c r="H8" s="39">
        <f>'BS SCHEDULES'!H12</f>
        <v>96.518097258516306</v>
      </c>
      <c r="I8" s="39">
        <f>'BS SCHEDULES'!I12</f>
        <v>115.76089345611308</v>
      </c>
      <c r="J8" s="40">
        <f>'BS SCHEDULES'!J12</f>
        <v>138.68027146469589</v>
      </c>
    </row>
    <row r="9" spans="1:14">
      <c r="B9" s="24" t="s">
        <v>56</v>
      </c>
      <c r="C9" s="49">
        <v>511.3</v>
      </c>
      <c r="D9" s="49">
        <v>673.4</v>
      </c>
      <c r="E9" s="49">
        <v>866.3</v>
      </c>
      <c r="F9" s="39">
        <f>E9</f>
        <v>866.3</v>
      </c>
      <c r="G9" s="39">
        <f t="shared" ref="G9:J9" si="1">F9</f>
        <v>866.3</v>
      </c>
      <c r="H9" s="39">
        <f t="shared" si="1"/>
        <v>866.3</v>
      </c>
      <c r="I9" s="39">
        <f t="shared" si="1"/>
        <v>866.3</v>
      </c>
      <c r="J9" s="40">
        <f t="shared" si="1"/>
        <v>866.3</v>
      </c>
    </row>
    <row r="10" spans="1:14" s="2" customFormat="1" ht="14.4" thickBot="1">
      <c r="B10" s="29" t="s">
        <v>64</v>
      </c>
      <c r="C10" s="14">
        <f>SUM(C6:C9)</f>
        <v>7148.5000000000009</v>
      </c>
      <c r="D10" s="14">
        <f>SUM(D6:D9)</f>
        <v>5424.2</v>
      </c>
      <c r="E10" s="14">
        <f>SUM(E6:E9)</f>
        <v>7986.4000000000005</v>
      </c>
      <c r="F10" s="14">
        <f t="shared" ref="F10:J10" ca="1" si="2">SUM(F6:F9)</f>
        <v>4904.815505975831</v>
      </c>
      <c r="G10" s="14">
        <f t="shared" ca="1" si="2"/>
        <v>5433.4362289371256</v>
      </c>
      <c r="H10" s="14">
        <f t="shared" ca="1" si="2"/>
        <v>6043.8687761274186</v>
      </c>
      <c r="I10" s="14">
        <f t="shared" ca="1" si="2"/>
        <v>6749.039440979248</v>
      </c>
      <c r="J10" s="30">
        <f t="shared" ca="1" si="2"/>
        <v>7563.9186079392066</v>
      </c>
      <c r="K10" s="1"/>
      <c r="L10" s="1"/>
      <c r="M10" s="1"/>
      <c r="N10" s="1"/>
    </row>
    <row r="11" spans="1:14" ht="14.4" thickTop="1">
      <c r="B11" s="24" t="s">
        <v>57</v>
      </c>
      <c r="C11" s="31"/>
      <c r="D11" s="31"/>
      <c r="E11" s="31"/>
      <c r="F11" s="31"/>
      <c r="G11" s="50"/>
      <c r="H11" s="31"/>
      <c r="I11" s="31"/>
      <c r="J11" s="32"/>
    </row>
    <row r="12" spans="1:14">
      <c r="B12" s="24" t="s">
        <v>58</v>
      </c>
      <c r="C12" s="48">
        <v>1201.2</v>
      </c>
      <c r="D12" s="48">
        <v>1064.5</v>
      </c>
      <c r="E12" s="48">
        <v>1080.2</v>
      </c>
      <c r="F12" s="50">
        <f>E12</f>
        <v>1080.2</v>
      </c>
      <c r="G12" s="50">
        <f t="shared" ref="G12:J12" si="3">F12</f>
        <v>1080.2</v>
      </c>
      <c r="H12" s="50">
        <f t="shared" si="3"/>
        <v>1080.2</v>
      </c>
      <c r="I12" s="50">
        <f t="shared" si="3"/>
        <v>1080.2</v>
      </c>
      <c r="J12" s="51">
        <f t="shared" si="3"/>
        <v>1080.2</v>
      </c>
    </row>
    <row r="13" spans="1:14">
      <c r="B13" s="24" t="s">
        <v>59</v>
      </c>
      <c r="C13" s="48">
        <v>2782.5</v>
      </c>
      <c r="D13" s="48">
        <v>2900.4</v>
      </c>
      <c r="E13" s="48">
        <v>3040.4</v>
      </c>
      <c r="F13" s="50">
        <f t="shared" ref="F13:J15" si="4">E13</f>
        <v>3040.4</v>
      </c>
      <c r="G13" s="50">
        <f t="shared" si="4"/>
        <v>3040.4</v>
      </c>
      <c r="H13" s="50">
        <f t="shared" si="4"/>
        <v>3040.4</v>
      </c>
      <c r="I13" s="50">
        <f t="shared" si="4"/>
        <v>3040.4</v>
      </c>
      <c r="J13" s="51">
        <f t="shared" si="4"/>
        <v>3040.4</v>
      </c>
    </row>
    <row r="14" spans="1:14">
      <c r="B14" s="24" t="s">
        <v>123</v>
      </c>
      <c r="C14" s="48">
        <f>'BS SCHEDULES'!C57</f>
        <v>795</v>
      </c>
      <c r="D14" s="48">
        <f>'BS SCHEDULES'!D57</f>
        <v>864.3</v>
      </c>
      <c r="E14" s="48">
        <f>'BS SCHEDULES'!E57</f>
        <v>836</v>
      </c>
      <c r="F14" s="131">
        <f>'BS SCHEDULES'!F57</f>
        <v>911.66770682175434</v>
      </c>
      <c r="G14" s="131">
        <f>'BS SCHEDULES'!G57</f>
        <v>996.81051724138615</v>
      </c>
      <c r="H14" s="131">
        <f>'BS SCHEDULES'!H57</f>
        <v>1115.5711826841543</v>
      </c>
      <c r="I14" s="131">
        <f>'BS SCHEDULES'!I57</f>
        <v>1249.9330236865826</v>
      </c>
      <c r="J14" s="132">
        <f>'BS SCHEDULES'!J57</f>
        <v>1412.4517200361524</v>
      </c>
    </row>
    <row r="15" spans="1:14">
      <c r="B15" s="24" t="s">
        <v>60</v>
      </c>
      <c r="C15" s="48">
        <f>4449.5-C14</f>
        <v>3654.5</v>
      </c>
      <c r="D15" s="48">
        <f>4707.2-D14</f>
        <v>3842.8999999999996</v>
      </c>
      <c r="E15" s="48">
        <f>5617.8-E14</f>
        <v>4781.8</v>
      </c>
      <c r="F15" s="50">
        <f t="shared" si="4"/>
        <v>4781.8</v>
      </c>
      <c r="G15" s="50">
        <f t="shared" si="4"/>
        <v>4781.8</v>
      </c>
      <c r="H15" s="50">
        <f t="shared" si="4"/>
        <v>4781.8</v>
      </c>
      <c r="I15" s="50">
        <f t="shared" si="4"/>
        <v>4781.8</v>
      </c>
      <c r="J15" s="51">
        <f t="shared" si="4"/>
        <v>4781.8</v>
      </c>
    </row>
    <row r="16" spans="1:14" s="2" customFormat="1" ht="14.4" thickBot="1">
      <c r="B16" s="29" t="s">
        <v>65</v>
      </c>
      <c r="C16" s="14">
        <f t="shared" ref="C16:J16" si="5">SUM(C12:C15)</f>
        <v>8433.2000000000007</v>
      </c>
      <c r="D16" s="14">
        <f t="shared" si="5"/>
        <v>8672.0999999999985</v>
      </c>
      <c r="E16" s="14">
        <f t="shared" si="5"/>
        <v>9738.4000000000015</v>
      </c>
      <c r="F16" s="14">
        <f t="shared" si="5"/>
        <v>9814.0677068217556</v>
      </c>
      <c r="G16" s="14">
        <f t="shared" si="5"/>
        <v>9899.2105172413867</v>
      </c>
      <c r="H16" s="14">
        <f t="shared" si="5"/>
        <v>10017.971182684156</v>
      </c>
      <c r="I16" s="14">
        <f t="shared" si="5"/>
        <v>10152.333023686584</v>
      </c>
      <c r="J16" s="30">
        <f t="shared" si="5"/>
        <v>10314.851720036153</v>
      </c>
      <c r="K16" s="1"/>
      <c r="L16" s="1"/>
      <c r="M16" s="1"/>
      <c r="N16" s="1"/>
    </row>
    <row r="17" spans="1:14" ht="14.4" thickTop="1">
      <c r="B17" s="24" t="s">
        <v>61</v>
      </c>
      <c r="C17" s="48">
        <v>13552</v>
      </c>
      <c r="D17" s="48">
        <v>12565.7</v>
      </c>
      <c r="E17" s="48">
        <v>13514.4</v>
      </c>
      <c r="F17" s="50">
        <f>E17</f>
        <v>13514.4</v>
      </c>
      <c r="G17" s="50">
        <f t="shared" ref="G17:J17" si="6">F17</f>
        <v>13514.4</v>
      </c>
      <c r="H17" s="50">
        <f t="shared" si="6"/>
        <v>13514.4</v>
      </c>
      <c r="I17" s="50">
        <f t="shared" si="6"/>
        <v>13514.4</v>
      </c>
      <c r="J17" s="51">
        <f t="shared" si="6"/>
        <v>13514.4</v>
      </c>
    </row>
    <row r="18" spans="1:14">
      <c r="B18" s="24" t="s">
        <v>62</v>
      </c>
      <c r="C18" s="48">
        <v>41916.6</v>
      </c>
      <c r="D18" s="48">
        <v>41037.599999999999</v>
      </c>
      <c r="E18" s="48">
        <v>43570</v>
      </c>
      <c r="F18" s="39">
        <f>'BS SCHEDULES'!F29</f>
        <v>46157.558606527673</v>
      </c>
      <c r="G18" s="39">
        <f>'BS SCHEDULES'!G29</f>
        <v>49080.753123446695</v>
      </c>
      <c r="H18" s="39">
        <f>'BS SCHEDULES'!H29</f>
        <v>52391.158822000434</v>
      </c>
      <c r="I18" s="39">
        <f>'BS SCHEDULES'!I29</f>
        <v>56148.460186175696</v>
      </c>
      <c r="J18" s="40">
        <f>'BS SCHEDULES'!J29</f>
        <v>60421.739123507868</v>
      </c>
    </row>
    <row r="19" spans="1:14">
      <c r="B19" s="24" t="s">
        <v>63</v>
      </c>
      <c r="C19" s="48">
        <v>-17196</v>
      </c>
      <c r="D19" s="48">
        <v>-17264</v>
      </c>
      <c r="E19" s="48">
        <v>-18662.400000000001</v>
      </c>
      <c r="F19" s="39">
        <f>-'BS SCHEDULES'!F33</f>
        <v>-20254.762024779113</v>
      </c>
      <c r="G19" s="39">
        <f>-'BS SCHEDULES'!G33</f>
        <v>-21944.92136108645</v>
      </c>
      <c r="H19" s="39">
        <f>-'BS SCHEDULES'!H33</f>
        <v>-23745.706110755378</v>
      </c>
      <c r="I19" s="39">
        <f>-'BS SCHEDULES'!I33</f>
        <v>-25671.918861628543</v>
      </c>
      <c r="J19" s="40">
        <f>-'BS SCHEDULES'!J33</f>
        <v>-27740.647371401777</v>
      </c>
    </row>
    <row r="20" spans="1:14" s="2" customFormat="1">
      <c r="B20" s="36" t="s">
        <v>66</v>
      </c>
      <c r="C20" s="52">
        <f>SUM(C18:C19)</f>
        <v>24720.6</v>
      </c>
      <c r="D20" s="52">
        <f t="shared" ref="D20:E20" si="7">SUM(D18:D19)</f>
        <v>23773.599999999999</v>
      </c>
      <c r="E20" s="52">
        <f t="shared" si="7"/>
        <v>24907.599999999999</v>
      </c>
      <c r="F20" s="37">
        <f>'BS SCHEDULES'!F35</f>
        <v>25902.79658174856</v>
      </c>
      <c r="G20" s="37">
        <f>'BS SCHEDULES'!G35</f>
        <v>27135.831762360245</v>
      </c>
      <c r="H20" s="37">
        <f>'BS SCHEDULES'!H35</f>
        <v>28645.452711245056</v>
      </c>
      <c r="I20" s="37">
        <f>'BS SCHEDULES'!I35</f>
        <v>30476.541324547154</v>
      </c>
      <c r="J20" s="38">
        <f>'BS SCHEDULES'!J35</f>
        <v>32681.091752106091</v>
      </c>
      <c r="K20" s="1"/>
      <c r="L20" s="1"/>
      <c r="M20" s="1"/>
      <c r="N20" s="1"/>
    </row>
    <row r="21" spans="1:14" s="2" customFormat="1" ht="14.4" thickBot="1">
      <c r="B21" s="29" t="s">
        <v>67</v>
      </c>
      <c r="C21" s="14">
        <f>SUM(C10,C16,C17,C20)</f>
        <v>53854.3</v>
      </c>
      <c r="D21" s="14">
        <f>SUM(D10,D16,D17,D20)</f>
        <v>50435.6</v>
      </c>
      <c r="E21" s="14">
        <f>SUM(E10,E16,E17,E20)</f>
        <v>56146.8</v>
      </c>
      <c r="F21" s="14">
        <f t="shared" ref="F21:J21" ca="1" si="8">SUM(F10,F16,F17,F20)</f>
        <v>54136.079794546145</v>
      </c>
      <c r="G21" s="14">
        <f t="shared" ca="1" si="8"/>
        <v>55982.878508538757</v>
      </c>
      <c r="H21" s="14">
        <f t="shared" ca="1" si="8"/>
        <v>58221.692670056626</v>
      </c>
      <c r="I21" s="14">
        <f t="shared" ca="1" si="8"/>
        <v>60892.313789212989</v>
      </c>
      <c r="J21" s="30">
        <f t="shared" ca="1" si="8"/>
        <v>64074.262080081447</v>
      </c>
      <c r="K21" s="1"/>
      <c r="L21" s="1"/>
      <c r="M21" s="1"/>
      <c r="N21" s="1"/>
    </row>
    <row r="22" spans="1:14" ht="14.4" thickTop="1">
      <c r="B22" s="24"/>
      <c r="C22" s="31"/>
      <c r="D22" s="31"/>
      <c r="E22" s="31"/>
      <c r="F22" s="31"/>
      <c r="G22" s="31"/>
      <c r="H22" s="31"/>
      <c r="I22" s="31"/>
      <c r="J22" s="32"/>
    </row>
    <row r="23" spans="1:14">
      <c r="B23" s="24" t="s">
        <v>68</v>
      </c>
      <c r="C23" s="31"/>
      <c r="D23" s="31"/>
      <c r="E23" s="31"/>
      <c r="F23" s="31"/>
      <c r="G23" s="31"/>
      <c r="H23" s="31"/>
      <c r="I23" s="31"/>
      <c r="J23" s="32"/>
    </row>
    <row r="24" spans="1:14">
      <c r="B24" s="24" t="s">
        <v>69</v>
      </c>
      <c r="C24" s="53">
        <v>0</v>
      </c>
      <c r="D24" s="53">
        <v>0</v>
      </c>
      <c r="E24" s="53">
        <v>2192.4</v>
      </c>
      <c r="F24" s="43"/>
      <c r="G24" s="43"/>
      <c r="H24" s="43"/>
      <c r="I24" s="43"/>
      <c r="J24" s="44"/>
    </row>
    <row r="25" spans="1:14">
      <c r="B25" s="24" t="s">
        <v>70</v>
      </c>
      <c r="C25" s="53">
        <v>1006.8</v>
      </c>
      <c r="D25" s="53">
        <v>980.2</v>
      </c>
      <c r="E25" s="53">
        <v>1102.9000000000001</v>
      </c>
      <c r="F25" s="43">
        <f>'BS SCHEDULES'!F13</f>
        <v>1253.8261177294817</v>
      </c>
      <c r="G25" s="43">
        <f>'BS SCHEDULES'!G13</f>
        <v>1470.2611234084059</v>
      </c>
      <c r="H25" s="43">
        <f>'BS SCHEDULES'!H13</f>
        <v>1726.7565829046569</v>
      </c>
      <c r="I25" s="43">
        <f>'BS SCHEDULES'!I13</f>
        <v>2030.387562328483</v>
      </c>
      <c r="J25" s="44">
        <f>'BS SCHEDULES'!J13</f>
        <v>2389.207003281284</v>
      </c>
    </row>
    <row r="26" spans="1:14">
      <c r="B26" s="24" t="s">
        <v>71</v>
      </c>
      <c r="C26" s="53">
        <v>705.5</v>
      </c>
      <c r="D26" s="53">
        <v>661.1</v>
      </c>
      <c r="E26" s="53">
        <v>688.1</v>
      </c>
      <c r="F26" s="43">
        <f>E26</f>
        <v>688.1</v>
      </c>
      <c r="G26" s="43">
        <f t="shared" ref="G26:J26" si="9">F26</f>
        <v>688.1</v>
      </c>
      <c r="H26" s="43">
        <f t="shared" si="9"/>
        <v>688.1</v>
      </c>
      <c r="I26" s="43">
        <f t="shared" si="9"/>
        <v>688.1</v>
      </c>
      <c r="J26" s="44">
        <f t="shared" si="9"/>
        <v>688.1</v>
      </c>
    </row>
    <row r="27" spans="1:14">
      <c r="B27" s="24" t="s">
        <v>72</v>
      </c>
      <c r="C27" s="53">
        <v>360.7</v>
      </c>
      <c r="D27" s="53">
        <v>274.89999999999998</v>
      </c>
      <c r="E27" s="53">
        <v>705.1</v>
      </c>
      <c r="F27" s="43">
        <f t="shared" ref="F27:J30" si="10">E27</f>
        <v>705.1</v>
      </c>
      <c r="G27" s="43">
        <f t="shared" si="10"/>
        <v>705.1</v>
      </c>
      <c r="H27" s="43">
        <f t="shared" si="10"/>
        <v>705.1</v>
      </c>
      <c r="I27" s="43">
        <f t="shared" si="10"/>
        <v>705.1</v>
      </c>
      <c r="J27" s="44">
        <f t="shared" si="10"/>
        <v>705.1</v>
      </c>
    </row>
    <row r="28" spans="1:14">
      <c r="B28" s="24" t="s">
        <v>73</v>
      </c>
      <c r="C28" s="53">
        <v>236.7</v>
      </c>
      <c r="D28" s="53">
        <v>255.1</v>
      </c>
      <c r="E28" s="53">
        <v>268</v>
      </c>
      <c r="F28" s="43">
        <f t="shared" si="10"/>
        <v>268</v>
      </c>
      <c r="G28" s="43">
        <f t="shared" si="10"/>
        <v>268</v>
      </c>
      <c r="H28" s="43">
        <f t="shared" si="10"/>
        <v>268</v>
      </c>
      <c r="I28" s="43">
        <f t="shared" si="10"/>
        <v>268</v>
      </c>
      <c r="J28" s="44">
        <f t="shared" si="10"/>
        <v>268</v>
      </c>
    </row>
    <row r="29" spans="1:14">
      <c r="B29" s="24" t="s">
        <v>74</v>
      </c>
      <c r="C29" s="53">
        <v>363.3</v>
      </c>
      <c r="D29" s="53">
        <v>393.4</v>
      </c>
      <c r="E29" s="53">
        <v>468.9</v>
      </c>
      <c r="F29" s="43">
        <f t="shared" si="10"/>
        <v>468.9</v>
      </c>
      <c r="G29" s="43">
        <f t="shared" si="10"/>
        <v>468.9</v>
      </c>
      <c r="H29" s="43">
        <f t="shared" si="10"/>
        <v>468.9</v>
      </c>
      <c r="I29" s="43">
        <f t="shared" si="10"/>
        <v>468.9</v>
      </c>
      <c r="J29" s="44">
        <f t="shared" si="10"/>
        <v>468.9</v>
      </c>
    </row>
    <row r="30" spans="1:14">
      <c r="B30" s="24" t="s">
        <v>75</v>
      </c>
      <c r="C30" s="53">
        <v>1347</v>
      </c>
      <c r="D30" s="53">
        <v>1237.4000000000001</v>
      </c>
      <c r="E30" s="53">
        <v>1433.6</v>
      </c>
      <c r="F30" s="43">
        <f t="shared" si="10"/>
        <v>1433.6</v>
      </c>
      <c r="G30" s="43">
        <f t="shared" si="10"/>
        <v>1433.6</v>
      </c>
      <c r="H30" s="43">
        <f t="shared" si="10"/>
        <v>1433.6</v>
      </c>
      <c r="I30" s="43">
        <f t="shared" si="10"/>
        <v>1433.6</v>
      </c>
      <c r="J30" s="44">
        <f t="shared" si="10"/>
        <v>1433.6</v>
      </c>
    </row>
    <row r="31" spans="1:14" s="2" customFormat="1" ht="14.4" thickBot="1">
      <c r="A31" s="2" t="s">
        <v>47</v>
      </c>
      <c r="B31" s="29" t="s">
        <v>76</v>
      </c>
      <c r="C31" s="16">
        <f>SUM(C24:C30)</f>
        <v>4020</v>
      </c>
      <c r="D31" s="16">
        <f>SUM(D24:D30)</f>
        <v>3802.1000000000004</v>
      </c>
      <c r="E31" s="16">
        <f>SUM(E24:E30)</f>
        <v>6859</v>
      </c>
      <c r="F31" s="16">
        <f t="shared" ref="F31:J31" si="11">SUM(F24:F30)</f>
        <v>4817.5261177294815</v>
      </c>
      <c r="G31" s="16">
        <f t="shared" si="11"/>
        <v>5033.9611234084059</v>
      </c>
      <c r="H31" s="16">
        <f t="shared" si="11"/>
        <v>5290.4565829046569</v>
      </c>
      <c r="I31" s="16">
        <f t="shared" si="11"/>
        <v>5594.0875623284828</v>
      </c>
      <c r="J31" s="54">
        <f t="shared" si="11"/>
        <v>5952.9070032812833</v>
      </c>
      <c r="K31" s="1"/>
      <c r="L31" s="1"/>
      <c r="M31" s="1"/>
      <c r="N31" s="1"/>
    </row>
    <row r="32" spans="1:14" ht="14.4" thickTop="1">
      <c r="B32" s="24"/>
      <c r="C32" s="43"/>
      <c r="D32" s="43"/>
      <c r="E32" s="43"/>
      <c r="F32" s="43"/>
      <c r="G32" s="43"/>
      <c r="H32" s="43"/>
      <c r="I32" s="43"/>
      <c r="J32" s="44"/>
    </row>
    <row r="33" spans="2:14">
      <c r="B33" s="24" t="s">
        <v>77</v>
      </c>
      <c r="C33" s="53">
        <v>35622.699999999997</v>
      </c>
      <c r="D33" s="53">
        <v>35903.5</v>
      </c>
      <c r="E33" s="53">
        <v>37152.9</v>
      </c>
      <c r="F33" s="43">
        <f ca="1">Debt!F47</f>
        <v>32235.45875214789</v>
      </c>
      <c r="G33" s="43">
        <f ca="1">Debt!G47</f>
        <v>28329.445407292413</v>
      </c>
      <c r="H33" s="43">
        <f ca="1">Debt!H47</f>
        <v>24148.976723544198</v>
      </c>
      <c r="I33" s="43">
        <f ca="1">Debt!I47</f>
        <v>19660.096402580813</v>
      </c>
      <c r="J33" s="44">
        <f ca="1">Debt!J47</f>
        <v>14859.92825642447</v>
      </c>
    </row>
    <row r="34" spans="2:14">
      <c r="B34" s="24" t="s">
        <v>78</v>
      </c>
      <c r="C34" s="53">
        <v>13020.9</v>
      </c>
      <c r="D34" s="53">
        <v>12134.4</v>
      </c>
      <c r="E34" s="53">
        <v>13057.7</v>
      </c>
      <c r="F34" s="43">
        <f>E34</f>
        <v>13057.7</v>
      </c>
      <c r="G34" s="43">
        <f t="shared" ref="G34:J34" si="12">F34</f>
        <v>13057.7</v>
      </c>
      <c r="H34" s="43">
        <f t="shared" si="12"/>
        <v>13057.7</v>
      </c>
      <c r="I34" s="43">
        <f t="shared" si="12"/>
        <v>13057.7</v>
      </c>
      <c r="J34" s="44">
        <f t="shared" si="12"/>
        <v>13057.7</v>
      </c>
    </row>
    <row r="35" spans="2:14">
      <c r="B35" s="24" t="s">
        <v>79</v>
      </c>
      <c r="C35" s="53">
        <v>1896.8</v>
      </c>
      <c r="D35" s="53">
        <v>791.9</v>
      </c>
      <c r="E35" s="53">
        <v>363.2</v>
      </c>
      <c r="F35" s="43">
        <f t="shared" ref="F35:J38" si="13">E35</f>
        <v>363.2</v>
      </c>
      <c r="G35" s="43">
        <f t="shared" si="13"/>
        <v>363.2</v>
      </c>
      <c r="H35" s="43">
        <f t="shared" si="13"/>
        <v>363.2</v>
      </c>
      <c r="I35" s="43">
        <f t="shared" si="13"/>
        <v>363.2</v>
      </c>
      <c r="J35" s="44">
        <f t="shared" si="13"/>
        <v>363.2</v>
      </c>
    </row>
    <row r="36" spans="2:14">
      <c r="B36" s="24" t="s">
        <v>80</v>
      </c>
      <c r="C36" s="53">
        <v>738.3</v>
      </c>
      <c r="D36" s="53">
        <v>757.8</v>
      </c>
      <c r="E36" s="53">
        <v>790.1</v>
      </c>
      <c r="F36" s="43">
        <f t="shared" si="13"/>
        <v>790.1</v>
      </c>
      <c r="G36" s="43">
        <f t="shared" si="13"/>
        <v>790.1</v>
      </c>
      <c r="H36" s="43">
        <f t="shared" si="13"/>
        <v>790.1</v>
      </c>
      <c r="I36" s="43">
        <f t="shared" si="13"/>
        <v>790.1</v>
      </c>
      <c r="J36" s="44">
        <f t="shared" si="13"/>
        <v>790.1</v>
      </c>
    </row>
    <row r="37" spans="2:14">
      <c r="B37" s="24" t="s">
        <v>81</v>
      </c>
      <c r="C37" s="53">
        <v>1081</v>
      </c>
      <c r="D37" s="53">
        <v>1051.8</v>
      </c>
      <c r="E37" s="53">
        <v>949.7</v>
      </c>
      <c r="F37" s="43">
        <f t="shared" si="13"/>
        <v>949.7</v>
      </c>
      <c r="G37" s="43">
        <f t="shared" si="13"/>
        <v>949.7</v>
      </c>
      <c r="H37" s="43">
        <f t="shared" si="13"/>
        <v>949.7</v>
      </c>
      <c r="I37" s="43">
        <f t="shared" si="13"/>
        <v>949.7</v>
      </c>
      <c r="J37" s="44">
        <f t="shared" si="13"/>
        <v>949.7</v>
      </c>
    </row>
    <row r="38" spans="2:14">
      <c r="B38" s="24" t="s">
        <v>82</v>
      </c>
      <c r="C38" s="53">
        <v>2075.6</v>
      </c>
      <c r="D38" s="53">
        <v>1997.5</v>
      </c>
      <c r="E38" s="53">
        <v>1680.9</v>
      </c>
      <c r="F38" s="43">
        <f t="shared" si="13"/>
        <v>1680.9</v>
      </c>
      <c r="G38" s="43">
        <f t="shared" si="13"/>
        <v>1680.9</v>
      </c>
      <c r="H38" s="43">
        <f t="shared" si="13"/>
        <v>1680.9</v>
      </c>
      <c r="I38" s="43">
        <f t="shared" si="13"/>
        <v>1680.9</v>
      </c>
      <c r="J38" s="44">
        <f t="shared" si="13"/>
        <v>1680.9</v>
      </c>
    </row>
    <row r="39" spans="2:14" ht="14.4" thickBot="1">
      <c r="B39" s="29" t="s">
        <v>83</v>
      </c>
      <c r="C39" s="16">
        <f>SUM(C33:C38)</f>
        <v>54435.3</v>
      </c>
      <c r="D39" s="16">
        <f t="shared" ref="D39:E39" si="14">SUM(D33:D38)</f>
        <v>52636.900000000009</v>
      </c>
      <c r="E39" s="16">
        <f t="shared" si="14"/>
        <v>53994.5</v>
      </c>
      <c r="F39" s="16">
        <f t="shared" ref="F39" ca="1" si="15">SUM(F33:F38)</f>
        <v>49077.058752147888</v>
      </c>
      <c r="G39" s="16">
        <f t="shared" ref="G39" ca="1" si="16">SUM(G33:G38)</f>
        <v>45171.045407292404</v>
      </c>
      <c r="H39" s="16">
        <f t="shared" ref="H39" ca="1" si="17">SUM(H33:H38)</f>
        <v>40990.576723544189</v>
      </c>
      <c r="I39" s="16">
        <f t="shared" ref="I39" ca="1" si="18">SUM(I33:I38)</f>
        <v>36501.696402580812</v>
      </c>
      <c r="J39" s="54">
        <f t="shared" ref="J39" ca="1" si="19">SUM(J33:J38)</f>
        <v>31701.52825642447</v>
      </c>
    </row>
    <row r="40" spans="2:14" ht="14.4" thickTop="1">
      <c r="B40" s="24"/>
      <c r="C40" s="43"/>
      <c r="D40" s="43"/>
      <c r="E40" s="43"/>
      <c r="F40" s="43"/>
      <c r="G40" s="43"/>
      <c r="H40" s="43"/>
      <c r="I40" s="43"/>
      <c r="J40" s="44"/>
    </row>
    <row r="41" spans="2:14">
      <c r="B41" s="24" t="s">
        <v>87</v>
      </c>
      <c r="C41" s="53">
        <v>0</v>
      </c>
      <c r="D41" s="53">
        <v>0</v>
      </c>
      <c r="E41" s="53">
        <v>0</v>
      </c>
      <c r="F41" s="43">
        <f>E41</f>
        <v>0</v>
      </c>
      <c r="G41" s="43">
        <f t="shared" ref="G41:J41" si="20">F41</f>
        <v>0</v>
      </c>
      <c r="H41" s="43">
        <f t="shared" si="20"/>
        <v>0</v>
      </c>
      <c r="I41" s="43">
        <f t="shared" si="20"/>
        <v>0</v>
      </c>
      <c r="J41" s="44">
        <f t="shared" si="20"/>
        <v>0</v>
      </c>
    </row>
    <row r="42" spans="2:14">
      <c r="B42" s="24" t="s">
        <v>88</v>
      </c>
      <c r="C42" s="53">
        <v>16.600000000000001</v>
      </c>
      <c r="D42" s="53">
        <v>16.600000000000001</v>
      </c>
      <c r="E42" s="53">
        <v>16.600000000000001</v>
      </c>
      <c r="F42" s="43">
        <f>E42</f>
        <v>16.600000000000001</v>
      </c>
      <c r="G42" s="43">
        <f t="shared" ref="G42:J42" si="21">F42</f>
        <v>16.600000000000001</v>
      </c>
      <c r="H42" s="43">
        <f t="shared" si="21"/>
        <v>16.600000000000001</v>
      </c>
      <c r="I42" s="43">
        <f t="shared" si="21"/>
        <v>16.600000000000001</v>
      </c>
      <c r="J42" s="44">
        <f t="shared" si="21"/>
        <v>16.600000000000001</v>
      </c>
    </row>
    <row r="43" spans="2:14">
      <c r="B43" s="24" t="s">
        <v>84</v>
      </c>
      <c r="C43" s="53">
        <v>8231.6</v>
      </c>
      <c r="D43" s="53">
        <v>8547.1</v>
      </c>
      <c r="E43" s="53">
        <v>8892.9</v>
      </c>
      <c r="F43" s="43">
        <f>E43+CFS!F7+CFS!F17</f>
        <v>9090.482700328861</v>
      </c>
      <c r="G43" s="43">
        <f>F43+CFS!G7+CFS!G17</f>
        <v>9313.6941339877267</v>
      </c>
      <c r="H43" s="43">
        <f>G43+CFS!H7+CFS!H17</f>
        <v>9566.4725234140533</v>
      </c>
      <c r="I43" s="43">
        <f>H43+CFS!I7+CFS!I17</f>
        <v>9853.3753002672038</v>
      </c>
      <c r="J43" s="44">
        <f>I43+CFS!J7+CFS!J17</f>
        <v>10179.677471575145</v>
      </c>
    </row>
    <row r="44" spans="2:14">
      <c r="B44" s="24" t="s">
        <v>85</v>
      </c>
      <c r="C44" s="53">
        <v>57534.7</v>
      </c>
      <c r="D44" s="53">
        <v>59543.9</v>
      </c>
      <c r="E44" s="53">
        <v>63479.9</v>
      </c>
      <c r="F44" s="43">
        <f ca="1">E44+IS!F29</f>
        <v>68230.212224339921</v>
      </c>
      <c r="G44" s="43">
        <f ca="1">F44+IS!G29</f>
        <v>73543.37784385022</v>
      </c>
      <c r="H44" s="43">
        <f ca="1">G44+IS!H29</f>
        <v>79453.386840193736</v>
      </c>
      <c r="I44" s="43">
        <f ca="1">H44+IS!I29</f>
        <v>86022.354524036491</v>
      </c>
      <c r="J44" s="44">
        <f ca="1">I44+IS!J29</f>
        <v>93319.349348800548</v>
      </c>
    </row>
    <row r="45" spans="2:14">
      <c r="B45" s="24" t="s">
        <v>86</v>
      </c>
      <c r="C45" s="53">
        <v>-2573.6999999999998</v>
      </c>
      <c r="D45" s="53">
        <v>-2486.6</v>
      </c>
      <c r="E45" s="53">
        <v>-2456</v>
      </c>
      <c r="F45" s="43">
        <f>E45</f>
        <v>-2456</v>
      </c>
      <c r="G45" s="43">
        <f t="shared" ref="G45:J45" si="22">F45</f>
        <v>-2456</v>
      </c>
      <c r="H45" s="43">
        <f t="shared" si="22"/>
        <v>-2456</v>
      </c>
      <c r="I45" s="43">
        <f t="shared" si="22"/>
        <v>-2456</v>
      </c>
      <c r="J45" s="44">
        <f t="shared" si="22"/>
        <v>-2456</v>
      </c>
    </row>
    <row r="46" spans="2:14">
      <c r="B46" s="24" t="s">
        <v>89</v>
      </c>
      <c r="C46" s="53">
        <v>-67810.2</v>
      </c>
      <c r="D46" s="53">
        <v>-71624.399999999994</v>
      </c>
      <c r="E46" s="53">
        <v>-74640.100000000006</v>
      </c>
      <c r="F46" s="43">
        <f>E46</f>
        <v>-74640.100000000006</v>
      </c>
      <c r="G46" s="43">
        <f t="shared" ref="G46:J46" si="23">F46</f>
        <v>-74640.100000000006</v>
      </c>
      <c r="H46" s="43">
        <f t="shared" si="23"/>
        <v>-74640.100000000006</v>
      </c>
      <c r="I46" s="43">
        <f t="shared" si="23"/>
        <v>-74640.100000000006</v>
      </c>
      <c r="J46" s="44">
        <f t="shared" si="23"/>
        <v>-74640.100000000006</v>
      </c>
    </row>
    <row r="47" spans="2:14" s="2" customFormat="1">
      <c r="B47" s="36" t="s">
        <v>90</v>
      </c>
      <c r="C47" s="55">
        <f>SUM(C41:C46)</f>
        <v>-4601</v>
      </c>
      <c r="D47" s="55">
        <f>SUM(D41:D46)</f>
        <v>-6003.3999999999942</v>
      </c>
      <c r="E47" s="55">
        <f>SUM(E41:E46)</f>
        <v>-4706.7000000000116</v>
      </c>
      <c r="F47" s="55">
        <f t="shared" ref="F47" ca="1" si="24">SUM(F41:F46)</f>
        <v>241.19492466877273</v>
      </c>
      <c r="G47" s="55">
        <f t="shared" ref="G47" ca="1" si="25">SUM(G41:G46)</f>
        <v>5777.5719778379425</v>
      </c>
      <c r="H47" s="55">
        <f t="shared" ref="H47" ca="1" si="26">SUM(H41:H46)</f>
        <v>11940.359363607786</v>
      </c>
      <c r="I47" s="55">
        <f t="shared" ref="I47" ca="1" si="27">SUM(I41:I46)</f>
        <v>18796.229824303693</v>
      </c>
      <c r="J47" s="56">
        <f t="shared" ref="J47" ca="1" si="28">SUM(J41:J46)</f>
        <v>26419.526820375686</v>
      </c>
      <c r="K47" s="1"/>
      <c r="L47" s="1"/>
      <c r="M47" s="1"/>
      <c r="N47" s="1"/>
    </row>
    <row r="48" spans="2:14" s="2" customFormat="1" ht="14.4" thickBot="1">
      <c r="B48" s="29" t="s">
        <v>91</v>
      </c>
      <c r="C48" s="16">
        <f>SUM(C31+C39+C47)</f>
        <v>53854.3</v>
      </c>
      <c r="D48" s="16">
        <f t="shared" ref="D48:J48" si="29">SUM(D31+D39+D47)</f>
        <v>50435.600000000013</v>
      </c>
      <c r="E48" s="16">
        <f t="shared" si="29"/>
        <v>56146.799999999988</v>
      </c>
      <c r="F48" s="16">
        <f t="shared" ca="1" si="29"/>
        <v>54135.779794546143</v>
      </c>
      <c r="G48" s="16">
        <f t="shared" ca="1" si="29"/>
        <v>55982.578508538754</v>
      </c>
      <c r="H48" s="16">
        <f t="shared" ca="1" si="29"/>
        <v>58221.39267005663</v>
      </c>
      <c r="I48" s="16">
        <f t="shared" ca="1" si="29"/>
        <v>60892.013789212986</v>
      </c>
      <c r="J48" s="54">
        <f t="shared" ca="1" si="29"/>
        <v>64073.962080081437</v>
      </c>
      <c r="K48" s="1"/>
      <c r="L48" s="1"/>
      <c r="M48" s="1"/>
      <c r="N48" s="1"/>
    </row>
    <row r="49" spans="2:10" ht="14.4" thickTop="1">
      <c r="B49" s="24"/>
      <c r="C49" s="43"/>
      <c r="D49" s="43"/>
      <c r="E49" s="43"/>
      <c r="F49" s="43"/>
      <c r="G49" s="43"/>
      <c r="H49" s="43"/>
      <c r="I49" s="43"/>
      <c r="J49" s="44"/>
    </row>
    <row r="50" spans="2:10" ht="14.4" thickBot="1">
      <c r="B50" s="57" t="s">
        <v>92</v>
      </c>
      <c r="C50" s="58">
        <f>C21-C48</f>
        <v>0</v>
      </c>
      <c r="D50" s="58">
        <f>D21-D48</f>
        <v>0</v>
      </c>
      <c r="E50" s="58">
        <f t="shared" ref="E50:J50" si="30">E21-E48</f>
        <v>0</v>
      </c>
      <c r="F50" s="58">
        <f ca="1">F21-F48</f>
        <v>0.30000000000291038</v>
      </c>
      <c r="G50" s="58">
        <f t="shared" ca="1" si="30"/>
        <v>0.30000000000291038</v>
      </c>
      <c r="H50" s="58">
        <f t="shared" ca="1" si="30"/>
        <v>0.29999999999563443</v>
      </c>
      <c r="I50" s="58">
        <f t="shared" ca="1" si="30"/>
        <v>0.30000000000291038</v>
      </c>
      <c r="J50" s="59">
        <f t="shared" ca="1" si="30"/>
        <v>0.30000000001018634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22A6-AD97-4D41-8571-D80662F691B7}">
  <dimension ref="A1:N48"/>
  <sheetViews>
    <sheetView zoomScaleNormal="100" workbookViewId="0">
      <pane ySplit="3" topLeftCell="A4" activePane="bottomLeft" state="frozen"/>
      <selection activeCell="F38" sqref="F38"/>
      <selection pane="bottomLeft" activeCell="B6" sqref="B6"/>
    </sheetView>
  </sheetViews>
  <sheetFormatPr defaultRowHeight="13.8"/>
  <cols>
    <col min="1" max="1" width="5.33203125" style="1" customWidth="1"/>
    <col min="2" max="2" width="57.77734375" style="1" customWidth="1"/>
    <col min="3" max="10" width="11.77734375" style="1" customWidth="1"/>
    <col min="11" max="11" width="9" style="1" bestFit="1" customWidth="1"/>
    <col min="12" max="16384" width="8.88671875" style="1"/>
  </cols>
  <sheetData>
    <row r="1" spans="1:14" s="5" customFormat="1" ht="17.399999999999999">
      <c r="A1" s="3"/>
      <c r="B1" s="4" t="s">
        <v>125</v>
      </c>
      <c r="C1" s="3"/>
      <c r="D1" s="3"/>
      <c r="E1" s="3"/>
      <c r="F1" s="3"/>
      <c r="G1" s="3"/>
      <c r="H1" s="3"/>
      <c r="I1" s="3"/>
      <c r="J1" s="3"/>
    </row>
    <row r="2" spans="1:14" s="5" customFormat="1" ht="17.399999999999999">
      <c r="A2" s="3"/>
      <c r="B2" s="3"/>
      <c r="C2" s="6" t="s">
        <v>2</v>
      </c>
      <c r="D2" s="6"/>
      <c r="E2" s="7"/>
      <c r="F2" s="6" t="s">
        <v>3</v>
      </c>
      <c r="G2" s="6"/>
      <c r="H2" s="6"/>
      <c r="I2" s="6"/>
      <c r="J2" s="6"/>
    </row>
    <row r="3" spans="1:14" s="5" customFormat="1" ht="17.399999999999999">
      <c r="A3" s="3"/>
      <c r="B3" s="4" t="s">
        <v>1</v>
      </c>
      <c r="C3" s="8">
        <v>2021</v>
      </c>
      <c r="D3" s="8">
        <f>C3+1</f>
        <v>2022</v>
      </c>
      <c r="E3" s="9">
        <f>D3+1</f>
        <v>2023</v>
      </c>
      <c r="F3" s="10">
        <f t="shared" ref="F3:J3" si="0">E3+1</f>
        <v>2024</v>
      </c>
      <c r="G3" s="11">
        <f t="shared" si="0"/>
        <v>2025</v>
      </c>
      <c r="H3" s="11">
        <f t="shared" si="0"/>
        <v>2026</v>
      </c>
      <c r="I3" s="11">
        <f t="shared" si="0"/>
        <v>2027</v>
      </c>
      <c r="J3" s="11">
        <f t="shared" si="0"/>
        <v>2028</v>
      </c>
    </row>
    <row r="4" spans="1:14" ht="14.4" thickBot="1"/>
    <row r="5" spans="1:14">
      <c r="B5" s="21" t="s">
        <v>126</v>
      </c>
      <c r="C5" s="22"/>
      <c r="D5" s="22"/>
      <c r="E5" s="22"/>
      <c r="F5" s="60">
        <f ca="1">IS!F27</f>
        <v>11215.338805977122</v>
      </c>
      <c r="G5" s="60">
        <f ca="1">IS!G27</f>
        <v>12544.218093655418</v>
      </c>
      <c r="H5" s="60">
        <f ca="1">IS!H27</f>
        <v>13953.346666507929</v>
      </c>
      <c r="I5" s="60">
        <f ca="1">IS!I27</f>
        <v>15509.127547936831</v>
      </c>
      <c r="J5" s="61">
        <f ca="1">IS!J27</f>
        <v>17227.976890837424</v>
      </c>
    </row>
    <row r="6" spans="1:14">
      <c r="B6" s="24" t="s">
        <v>127</v>
      </c>
      <c r="C6" s="31"/>
      <c r="D6" s="31"/>
      <c r="E6" s="31"/>
      <c r="F6" s="39">
        <f>'BS SCHEDULES'!F42</f>
        <v>2070.839320309894</v>
      </c>
      <c r="G6" s="39">
        <f>'BS SCHEDULES'!G42</f>
        <v>2203.6677845832014</v>
      </c>
      <c r="H6" s="39">
        <f>'BS SCHEDULES'!H42</f>
        <v>2375.4729346880385</v>
      </c>
      <c r="I6" s="39">
        <f>'BS SCHEDULES'!I42</f>
        <v>2570.117641863224</v>
      </c>
      <c r="J6" s="40">
        <f>'BS SCHEDULES'!J42</f>
        <v>2796.3551534282219</v>
      </c>
    </row>
    <row r="7" spans="1:14">
      <c r="B7" s="24" t="s">
        <v>128</v>
      </c>
      <c r="C7" s="49">
        <v>139.19999999999999</v>
      </c>
      <c r="D7" s="49">
        <v>166.7</v>
      </c>
      <c r="E7" s="49">
        <v>175.2</v>
      </c>
      <c r="F7" s="43">
        <f>E7/IS!E9*IS!F9</f>
        <v>197.58270032886097</v>
      </c>
      <c r="G7" s="43">
        <f>F7/IS!F9*IS!G9</f>
        <v>223.21143365886576</v>
      </c>
      <c r="H7" s="43">
        <f>G7/IS!G9*IS!H9</f>
        <v>252.77838942632664</v>
      </c>
      <c r="I7" s="43">
        <f>H7/IS!H9*IS!I9</f>
        <v>286.90277685315084</v>
      </c>
      <c r="J7" s="44">
        <f>I7/IS!I9*IS!J9</f>
        <v>326.30217130794244</v>
      </c>
      <c r="K7" s="12"/>
    </row>
    <row r="8" spans="1:14">
      <c r="B8" s="24" t="s">
        <v>129</v>
      </c>
      <c r="C8" s="31"/>
      <c r="D8" s="31"/>
      <c r="E8" s="31"/>
      <c r="F8" s="39">
        <f>-(BS!F7-BS!E7)</f>
        <v>-46.039994615354317</v>
      </c>
      <c r="G8" s="39">
        <f>-(BS!G7-BS!F7)</f>
        <v>-328.69393505336802</v>
      </c>
      <c r="H8" s="39">
        <f>-(BS!H7-BS!G7)</f>
        <v>-379.20247222587886</v>
      </c>
      <c r="I8" s="39">
        <f>-(BS!I7-BS!H7)</f>
        <v>-437.65249886450101</v>
      </c>
      <c r="J8" s="40">
        <f>-(BS!J7-BS!I7)</f>
        <v>-505.30558164198101</v>
      </c>
    </row>
    <row r="9" spans="1:14">
      <c r="B9" s="24" t="s">
        <v>130</v>
      </c>
      <c r="C9" s="31"/>
      <c r="D9" s="31"/>
      <c r="E9" s="31"/>
      <c r="F9" s="39">
        <f>-(BS!F8-BS!E8)</f>
        <v>-14.142952178431912</v>
      </c>
      <c r="G9" s="39">
        <f>-(BS!G8-BS!F8)</f>
        <v>-13.462393246074129</v>
      </c>
      <c r="H9" s="39">
        <f>-(BS!H8-BS!G8)</f>
        <v>-16.112751834010268</v>
      </c>
      <c r="I9" s="39">
        <f>-(BS!I8-BS!H8)</f>
        <v>-19.242796197596775</v>
      </c>
      <c r="J9" s="40">
        <f>-(BS!J8-BS!I8)</f>
        <v>-22.919378008582811</v>
      </c>
    </row>
    <row r="10" spans="1:14" s="2" customFormat="1">
      <c r="B10" s="24" t="s">
        <v>131</v>
      </c>
      <c r="C10" s="31"/>
      <c r="D10" s="31"/>
      <c r="E10" s="31"/>
      <c r="F10" s="39">
        <f>-(BS!F9-BS!E9)</f>
        <v>0</v>
      </c>
      <c r="G10" s="39">
        <f>-(BS!G9-BS!F9)</f>
        <v>0</v>
      </c>
      <c r="H10" s="39">
        <f>-(BS!H9-BS!G9)</f>
        <v>0</v>
      </c>
      <c r="I10" s="39">
        <f>-(BS!I9-BS!H9)</f>
        <v>0</v>
      </c>
      <c r="J10" s="40">
        <f>-(BS!J9-BS!I9)</f>
        <v>0</v>
      </c>
      <c r="K10" s="1"/>
      <c r="L10" s="1"/>
      <c r="M10" s="1"/>
      <c r="N10" s="1"/>
    </row>
    <row r="11" spans="1:14">
      <c r="B11" s="24" t="s">
        <v>132</v>
      </c>
      <c r="C11" s="31"/>
      <c r="D11" s="31"/>
      <c r="E11" s="31"/>
      <c r="F11" s="39">
        <f>BS!F25-BS!E25</f>
        <v>150.92611772948158</v>
      </c>
      <c r="G11" s="39">
        <f>BS!G25-BS!F25</f>
        <v>216.4350056789242</v>
      </c>
      <c r="H11" s="39">
        <f>BS!H25-BS!G25</f>
        <v>256.49545949625099</v>
      </c>
      <c r="I11" s="39">
        <f>BS!I25-BS!H25</f>
        <v>303.63097942382615</v>
      </c>
      <c r="J11" s="40">
        <f>BS!J25-BS!I25</f>
        <v>358.81944095280096</v>
      </c>
    </row>
    <row r="12" spans="1:14">
      <c r="B12" s="24" t="s">
        <v>133</v>
      </c>
      <c r="C12" s="31"/>
      <c r="D12" s="31"/>
      <c r="E12" s="31"/>
      <c r="F12" s="62">
        <f>SUM(BS!F26:F30)-SUM(BS!E26:E30)</f>
        <v>0</v>
      </c>
      <c r="G12" s="62">
        <f>SUM(BS!G26:G30)-SUM(BS!F26:F30)</f>
        <v>0</v>
      </c>
      <c r="H12" s="62">
        <f>SUM(BS!H26:H30)-SUM(BS!G26:G30)</f>
        <v>0</v>
      </c>
      <c r="I12" s="62">
        <f>SUM(BS!I26:I30)-SUM(BS!H26:H30)</f>
        <v>0</v>
      </c>
      <c r="J12" s="63">
        <f>SUM(BS!J26:J30)-SUM(BS!I26:I30)</f>
        <v>0</v>
      </c>
    </row>
    <row r="13" spans="1:14" ht="14.4" thickBot="1">
      <c r="B13" s="29" t="s">
        <v>134</v>
      </c>
      <c r="C13" s="14"/>
      <c r="D13" s="14"/>
      <c r="E13" s="14"/>
      <c r="F13" s="14">
        <f ca="1">SUM(F5:F12)</f>
        <v>13574.503997551574</v>
      </c>
      <c r="G13" s="14">
        <f t="shared" ref="G13:J13" ca="1" si="1">SUM(G5:G12)</f>
        <v>14845.375989276967</v>
      </c>
      <c r="H13" s="14">
        <f t="shared" ca="1" si="1"/>
        <v>16442.778226058654</v>
      </c>
      <c r="I13" s="14">
        <f t="shared" ca="1" si="1"/>
        <v>18212.883651014938</v>
      </c>
      <c r="J13" s="30">
        <f t="shared" ca="1" si="1"/>
        <v>20181.228696875827</v>
      </c>
    </row>
    <row r="14" spans="1:14" ht="14.4" thickTop="1">
      <c r="B14" s="24"/>
      <c r="C14" s="31"/>
      <c r="D14" s="31"/>
      <c r="E14" s="31"/>
      <c r="F14" s="31"/>
      <c r="G14" s="31"/>
      <c r="H14" s="31"/>
      <c r="I14" s="31"/>
      <c r="J14" s="32"/>
    </row>
    <row r="15" spans="1:14">
      <c r="B15" s="24" t="s">
        <v>135</v>
      </c>
      <c r="C15" s="31"/>
      <c r="D15" s="31"/>
      <c r="E15" s="31"/>
      <c r="F15" s="43">
        <f>-'BS SCHEDULES'!F38</f>
        <v>-2587.5586065276793</v>
      </c>
      <c r="G15" s="43">
        <f>-'BS SCHEDULES'!G38</f>
        <v>-2923.1945169190203</v>
      </c>
      <c r="H15" s="43">
        <f>-'BS SCHEDULES'!H38</f>
        <v>-3310.4056985537381</v>
      </c>
      <c r="I15" s="43">
        <f>-'BS SCHEDULES'!I38</f>
        <v>-3757.3013641752591</v>
      </c>
      <c r="J15" s="44">
        <f>-'BS SCHEDULES'!J38</f>
        <v>-4273.2789373321702</v>
      </c>
    </row>
    <row r="16" spans="1:14" s="2" customFormat="1">
      <c r="B16" s="24" t="s">
        <v>136</v>
      </c>
      <c r="C16" s="31"/>
      <c r="D16" s="31"/>
      <c r="E16" s="31"/>
      <c r="F16" s="43">
        <f>-'BS SCHEDULES'!F55</f>
        <v>-554.14500235253502</v>
      </c>
      <c r="G16" s="43">
        <f>-'BS SCHEDULES'!G55</f>
        <v>-598.65125869549763</v>
      </c>
      <c r="H16" s="43">
        <f>-'BS SCHEDULES'!H55</f>
        <v>-693.44885046187812</v>
      </c>
      <c r="I16" s="43">
        <f>-'BS SCHEDULES'!I55</f>
        <v>-778.26673199248603</v>
      </c>
      <c r="J16" s="44">
        <f>-'BS SCHEDULES'!J55</f>
        <v>-890.14534000455751</v>
      </c>
      <c r="K16" s="1"/>
      <c r="L16" s="1"/>
      <c r="M16" s="1"/>
      <c r="N16" s="1"/>
    </row>
    <row r="17" spans="1:14">
      <c r="B17" s="24" t="s">
        <v>137</v>
      </c>
      <c r="C17" s="31"/>
      <c r="D17" s="31"/>
      <c r="E17" s="31"/>
      <c r="F17" s="31">
        <v>0</v>
      </c>
      <c r="G17" s="31">
        <v>0</v>
      </c>
      <c r="H17" s="31">
        <v>0</v>
      </c>
      <c r="I17" s="31">
        <v>0</v>
      </c>
      <c r="J17" s="32">
        <v>0</v>
      </c>
    </row>
    <row r="18" spans="1:14" ht="14.4" thickBot="1">
      <c r="B18" s="29" t="s">
        <v>138</v>
      </c>
      <c r="C18" s="14"/>
      <c r="D18" s="14"/>
      <c r="E18" s="14"/>
      <c r="F18" s="14">
        <f>SUM(F15:F17)</f>
        <v>-3141.7036088802142</v>
      </c>
      <c r="G18" s="14">
        <f t="shared" ref="G18:J18" si="2">SUM(G15:G17)</f>
        <v>-3521.8457756145181</v>
      </c>
      <c r="H18" s="14">
        <f t="shared" si="2"/>
        <v>-4003.8545490156162</v>
      </c>
      <c r="I18" s="14">
        <f t="shared" si="2"/>
        <v>-4535.5680961677454</v>
      </c>
      <c r="J18" s="30">
        <f t="shared" si="2"/>
        <v>-5163.4242773367278</v>
      </c>
    </row>
    <row r="19" spans="1:14" ht="14.4" thickTop="1">
      <c r="B19" s="24"/>
      <c r="C19" s="31"/>
      <c r="D19" s="31"/>
      <c r="E19" s="31"/>
      <c r="F19" s="31"/>
      <c r="G19" s="31"/>
      <c r="H19" s="31"/>
      <c r="I19" s="31"/>
      <c r="J19" s="32"/>
    </row>
    <row r="20" spans="1:14" s="2" customFormat="1">
      <c r="B20" s="24" t="s">
        <v>139</v>
      </c>
      <c r="C20" s="31"/>
      <c r="D20" s="31"/>
      <c r="E20" s="31"/>
      <c r="F20" s="43">
        <f ca="1">-IS!F28</f>
        <v>-6465.0265816372039</v>
      </c>
      <c r="G20" s="43">
        <f ca="1">-IS!G28</f>
        <v>-7231.05247414512</v>
      </c>
      <c r="H20" s="43">
        <f ca="1">-IS!H28</f>
        <v>-8043.3376701644193</v>
      </c>
      <c r="I20" s="43">
        <f ca="1">-IS!I28</f>
        <v>-8940.1598640940756</v>
      </c>
      <c r="J20" s="44">
        <f ca="1">-IS!J28</f>
        <v>-9930.9820660733603</v>
      </c>
      <c r="K20" s="1"/>
      <c r="L20" s="1"/>
      <c r="M20" s="1"/>
      <c r="N20" s="1"/>
    </row>
    <row r="21" spans="1:14" s="2" customFormat="1">
      <c r="B21" s="24" t="s">
        <v>140</v>
      </c>
      <c r="C21" s="31"/>
      <c r="D21" s="31"/>
      <c r="E21" s="31"/>
      <c r="F21" s="31">
        <v>0</v>
      </c>
      <c r="G21" s="31">
        <v>0</v>
      </c>
      <c r="H21" s="31">
        <v>0</v>
      </c>
      <c r="I21" s="31">
        <v>0</v>
      </c>
      <c r="J21" s="32">
        <v>0</v>
      </c>
      <c r="K21" s="1"/>
      <c r="L21" s="1"/>
      <c r="M21" s="1"/>
      <c r="N21" s="1"/>
    </row>
    <row r="22" spans="1:14">
      <c r="B22" s="24" t="s">
        <v>141</v>
      </c>
      <c r="C22" s="31"/>
      <c r="D22" s="31"/>
      <c r="E22" s="31"/>
      <c r="F22" s="31">
        <v>0</v>
      </c>
      <c r="G22" s="31">
        <v>0</v>
      </c>
      <c r="H22" s="31">
        <v>0</v>
      </c>
      <c r="I22" s="31">
        <v>0</v>
      </c>
      <c r="J22" s="32">
        <v>0</v>
      </c>
    </row>
    <row r="23" spans="1:14">
      <c r="B23" s="24" t="s">
        <v>142</v>
      </c>
      <c r="C23" s="31"/>
      <c r="D23" s="31"/>
      <c r="E23" s="31"/>
      <c r="F23" s="39">
        <f ca="1">Debt!F45-Debt!E45</f>
        <v>-7109.5412478521102</v>
      </c>
      <c r="G23" s="39">
        <f ca="1">Debt!G45-Debt!F45</f>
        <v>-3906.013344855477</v>
      </c>
      <c r="H23" s="39">
        <f ca="1">Debt!H45-Debt!G45</f>
        <v>-4180.468683748215</v>
      </c>
      <c r="I23" s="39">
        <f ca="1">Debt!I45-Debt!H45</f>
        <v>-4488.8803209633843</v>
      </c>
      <c r="J23" s="40">
        <f ca="1">Debt!J45-Debt!I45</f>
        <v>-4800.1681461563439</v>
      </c>
    </row>
    <row r="24" spans="1:14" ht="14.4" thickBot="1">
      <c r="B24" s="29" t="s">
        <v>143</v>
      </c>
      <c r="C24" s="14"/>
      <c r="D24" s="14"/>
      <c r="E24" s="14"/>
      <c r="F24" s="14">
        <f ca="1">SUM(F20:F23)</f>
        <v>-13574.567829489315</v>
      </c>
      <c r="G24" s="14">
        <f t="shared" ref="G24:J24" ca="1" si="3">SUM(G20:G23)</f>
        <v>-11137.065819000596</v>
      </c>
      <c r="H24" s="14">
        <f t="shared" ca="1" si="3"/>
        <v>-12223.806353912634</v>
      </c>
      <c r="I24" s="14">
        <f t="shared" ca="1" si="3"/>
        <v>-13429.04018505746</v>
      </c>
      <c r="J24" s="30">
        <f t="shared" ca="1" si="3"/>
        <v>-14731.150212229704</v>
      </c>
    </row>
    <row r="25" spans="1:14" ht="14.4" thickTop="1">
      <c r="B25" s="24"/>
      <c r="C25" s="31"/>
      <c r="D25" s="31"/>
      <c r="E25" s="31"/>
      <c r="F25" s="31"/>
      <c r="G25" s="31"/>
      <c r="H25" s="31"/>
      <c r="I25" s="31"/>
      <c r="J25" s="32"/>
    </row>
    <row r="26" spans="1:14">
      <c r="B26" s="24" t="s">
        <v>162</v>
      </c>
      <c r="C26" s="31"/>
      <c r="D26" s="31"/>
      <c r="E26" s="31"/>
      <c r="F26" s="39">
        <f ca="1">F13+F18+F24</f>
        <v>-3141.7674408179555</v>
      </c>
      <c r="G26" s="39">
        <f t="shared" ref="G26:J26" ca="1" si="4">G13+G18+G24</f>
        <v>186.46439466185257</v>
      </c>
      <c r="H26" s="39">
        <f t="shared" ca="1" si="4"/>
        <v>215.11732313040375</v>
      </c>
      <c r="I26" s="39">
        <f t="shared" ca="1" si="4"/>
        <v>248.27536978973149</v>
      </c>
      <c r="J26" s="40">
        <f t="shared" ca="1" si="4"/>
        <v>286.65420730939513</v>
      </c>
    </row>
    <row r="27" spans="1:14">
      <c r="B27" s="24" t="s">
        <v>163</v>
      </c>
      <c r="C27" s="31"/>
      <c r="D27" s="31"/>
      <c r="E27" s="31"/>
      <c r="F27" s="39">
        <f>BS!E6</f>
        <v>4579.3</v>
      </c>
      <c r="G27" s="39">
        <f ca="1">BS!F6</f>
        <v>1437.5325591820447</v>
      </c>
      <c r="H27" s="39">
        <f ca="1">BS!G6</f>
        <v>1623.9969538438972</v>
      </c>
      <c r="I27" s="39">
        <f ca="1">BS!H6</f>
        <v>1839.114276974301</v>
      </c>
      <c r="J27" s="40">
        <f ca="1">BS!I6</f>
        <v>2087.3896467640325</v>
      </c>
    </row>
    <row r="28" spans="1:14" ht="14.4" thickBot="1">
      <c r="B28" s="57" t="s">
        <v>164</v>
      </c>
      <c r="C28" s="64"/>
      <c r="D28" s="64"/>
      <c r="E28" s="64"/>
      <c r="F28" s="46">
        <f ca="1">SUM(F26:F27)</f>
        <v>1437.5325591820447</v>
      </c>
      <c r="G28" s="46">
        <f t="shared" ref="G28:J28" ca="1" si="5">SUM(G26:G27)</f>
        <v>1623.9969538438972</v>
      </c>
      <c r="H28" s="46">
        <f t="shared" ca="1" si="5"/>
        <v>1839.114276974301</v>
      </c>
      <c r="I28" s="46">
        <f t="shared" ca="1" si="5"/>
        <v>2087.3896467640325</v>
      </c>
      <c r="J28" s="47">
        <f t="shared" ca="1" si="5"/>
        <v>2374.0438540734276</v>
      </c>
    </row>
    <row r="31" spans="1:14" s="2" customFormat="1">
      <c r="A31" s="2" t="s">
        <v>47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47" spans="2:14" s="2" customForma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s="2" customForma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5217-BE27-43B2-B4EC-54CCA1E90FDB}">
  <dimension ref="A1:L60"/>
  <sheetViews>
    <sheetView zoomScaleNormal="100" workbookViewId="0">
      <pane ySplit="3" topLeftCell="A24" activePane="bottomLeft" state="frozen"/>
      <selection activeCell="F38" sqref="F38"/>
      <selection pane="bottomLeft" activeCell="C42" sqref="C42"/>
    </sheetView>
  </sheetViews>
  <sheetFormatPr defaultRowHeight="13.8"/>
  <cols>
    <col min="1" max="1" width="5.33203125" style="1" customWidth="1"/>
    <col min="2" max="2" width="47.6640625" style="1" customWidth="1"/>
    <col min="3" max="3" width="16.6640625" style="1" customWidth="1"/>
    <col min="4" max="6" width="11.77734375" style="1" customWidth="1"/>
    <col min="7" max="7" width="17.33203125" style="1" bestFit="1" customWidth="1"/>
    <col min="8" max="10" width="11.77734375" style="1" customWidth="1"/>
    <col min="11" max="11" width="9" style="1" bestFit="1" customWidth="1"/>
    <col min="12" max="16384" width="8.88671875" style="1"/>
  </cols>
  <sheetData>
    <row r="1" spans="1:10" s="5" customFormat="1" ht="17.399999999999999">
      <c r="A1" s="3"/>
      <c r="B1" s="4" t="s">
        <v>0</v>
      </c>
      <c r="C1" s="3"/>
      <c r="D1" s="3"/>
      <c r="E1" s="3"/>
      <c r="F1" s="3"/>
      <c r="G1" s="3"/>
      <c r="H1" s="3"/>
      <c r="I1" s="3"/>
      <c r="J1" s="3"/>
    </row>
    <row r="2" spans="1:10" s="5" customFormat="1" ht="17.399999999999999">
      <c r="A2" s="3"/>
      <c r="B2" s="3"/>
      <c r="C2" s="6" t="s">
        <v>2</v>
      </c>
      <c r="D2" s="6"/>
      <c r="E2" s="7"/>
      <c r="F2" s="6" t="s">
        <v>3</v>
      </c>
      <c r="G2" s="6"/>
      <c r="H2" s="6"/>
      <c r="I2" s="6"/>
      <c r="J2" s="6"/>
    </row>
    <row r="3" spans="1:10" s="5" customFormat="1" ht="17.399999999999999">
      <c r="A3" s="3"/>
      <c r="B3" s="4" t="s">
        <v>1</v>
      </c>
      <c r="C3" s="8">
        <v>2021</v>
      </c>
      <c r="D3" s="8">
        <f>C3+1</f>
        <v>2022</v>
      </c>
      <c r="E3" s="9">
        <f>D3+1</f>
        <v>2023</v>
      </c>
      <c r="F3" s="10">
        <f t="shared" ref="F3:J3" si="0">E3+1</f>
        <v>2024</v>
      </c>
      <c r="G3" s="11">
        <f t="shared" si="0"/>
        <v>2025</v>
      </c>
      <c r="H3" s="11">
        <f t="shared" si="0"/>
        <v>2026</v>
      </c>
      <c r="I3" s="11">
        <f t="shared" si="0"/>
        <v>2027</v>
      </c>
      <c r="J3" s="11">
        <f t="shared" si="0"/>
        <v>2028</v>
      </c>
    </row>
    <row r="5" spans="1:10">
      <c r="B5" s="1" t="s">
        <v>192</v>
      </c>
      <c r="F5" s="12">
        <f>IS!F22</f>
        <v>15491.098243428689</v>
      </c>
      <c r="G5" s="12">
        <f>IS!G22</f>
        <v>16974.017738000432</v>
      </c>
      <c r="H5" s="12">
        <f>IS!H22</f>
        <v>18611.488192916237</v>
      </c>
      <c r="I5" s="12">
        <f>IS!I22</f>
        <v>20424.053867625757</v>
      </c>
      <c r="J5" s="12">
        <f>IS!J22</f>
        <v>22431.828620821991</v>
      </c>
    </row>
    <row r="6" spans="1:10">
      <c r="B6" s="1" t="s">
        <v>193</v>
      </c>
      <c r="F6" s="15">
        <f>EXPENSE!F31</f>
        <v>0.21</v>
      </c>
      <c r="G6" s="15">
        <f>EXPENSE!G31</f>
        <v>0.21</v>
      </c>
      <c r="H6" s="15">
        <f>EXPENSE!H31</f>
        <v>0.21</v>
      </c>
      <c r="I6" s="15">
        <f>EXPENSE!I31</f>
        <v>0.21</v>
      </c>
      <c r="J6" s="15">
        <f>EXPENSE!J31</f>
        <v>0.21</v>
      </c>
    </row>
    <row r="7" spans="1:10">
      <c r="B7" s="1" t="s">
        <v>194</v>
      </c>
      <c r="F7" s="12">
        <f>F5*(1-F6)</f>
        <v>12237.967612308665</v>
      </c>
      <c r="G7" s="12">
        <f t="shared" ref="G7:J7" si="1">G5*(1-G6)</f>
        <v>13409.474013020341</v>
      </c>
      <c r="H7" s="12">
        <f t="shared" si="1"/>
        <v>14703.075672403827</v>
      </c>
      <c r="I7" s="12">
        <f t="shared" si="1"/>
        <v>16135.002555424348</v>
      </c>
      <c r="J7" s="12">
        <f t="shared" si="1"/>
        <v>17721.144610449373</v>
      </c>
    </row>
    <row r="8" spans="1:10">
      <c r="B8" s="1" t="s">
        <v>195</v>
      </c>
      <c r="F8" s="12">
        <f>SUM(CFS!F6:F7)</f>
        <v>2268.4220206387549</v>
      </c>
      <c r="G8" s="12">
        <f>SUM(CFS!G6:G7)</f>
        <v>2426.8792182420671</v>
      </c>
      <c r="H8" s="12">
        <f>SUM(CFS!H6:H7)</f>
        <v>2628.2513241143652</v>
      </c>
      <c r="I8" s="12">
        <f>SUM(CFS!I6:I7)</f>
        <v>2857.0204187163749</v>
      </c>
      <c r="J8" s="12">
        <f>SUM(CFS!J6:J7)</f>
        <v>3122.6573247361644</v>
      </c>
    </row>
    <row r="9" spans="1:10">
      <c r="B9" s="1" t="s">
        <v>196</v>
      </c>
      <c r="F9" s="12">
        <f>SUM(CFS!F8:F10)</f>
        <v>-60.182946793786229</v>
      </c>
      <c r="G9" s="12">
        <f>SUM(CFS!G8:G10)</f>
        <v>-342.15632829944218</v>
      </c>
      <c r="H9" s="12">
        <f>SUM(CFS!H8:H10)</f>
        <v>-395.31522405988915</v>
      </c>
      <c r="I9" s="12">
        <f>SUM(CFS!I8:I10)</f>
        <v>-456.89529506209777</v>
      </c>
      <c r="J9" s="12">
        <f>SUM(CFS!J8:J10)</f>
        <v>-528.22495965056385</v>
      </c>
    </row>
    <row r="10" spans="1:10">
      <c r="B10" s="1" t="s">
        <v>197</v>
      </c>
      <c r="F10" s="12">
        <f>SUM(CFS!F11:F12)</f>
        <v>150.92611772948158</v>
      </c>
      <c r="G10" s="12">
        <f>SUM(CFS!G11:G12)</f>
        <v>216.4350056789242</v>
      </c>
      <c r="H10" s="12">
        <f>SUM(CFS!H11:H12)</f>
        <v>256.49545949625099</v>
      </c>
      <c r="I10" s="12">
        <f>SUM(CFS!I11:I12)</f>
        <v>303.63097942382615</v>
      </c>
      <c r="J10" s="12">
        <f>SUM(CFS!J11:J12)</f>
        <v>358.81944095280096</v>
      </c>
    </row>
    <row r="11" spans="1:10">
      <c r="B11" s="1" t="s">
        <v>198</v>
      </c>
      <c r="F11" s="18">
        <f>SUM(CFS!F15:F16)</f>
        <v>-3141.7036088802142</v>
      </c>
      <c r="G11" s="18">
        <f>SUM(CFS!G15:G16)</f>
        <v>-3521.8457756145181</v>
      </c>
      <c r="H11" s="18">
        <f>SUM(CFS!H15:H16)</f>
        <v>-4003.8545490156162</v>
      </c>
      <c r="I11" s="18">
        <f>SUM(CFS!I15:I16)</f>
        <v>-4535.5680961677454</v>
      </c>
      <c r="J11" s="18">
        <f>SUM(CFS!J15:J16)</f>
        <v>-5163.4242773367278</v>
      </c>
    </row>
    <row r="12" spans="1:10" ht="14.4" thickBot="1">
      <c r="A12" s="167">
        <v>1</v>
      </c>
      <c r="B12" s="29" t="s">
        <v>199</v>
      </c>
      <c r="C12" s="14"/>
      <c r="D12" s="14"/>
      <c r="E12" s="14"/>
      <c r="F12" s="14">
        <f>SUM(F7:F11)</f>
        <v>11455.4291950029</v>
      </c>
      <c r="G12" s="14">
        <f t="shared" ref="G12:J12" si="2">SUM(G7:G11)</f>
        <v>12188.786133027372</v>
      </c>
      <c r="H12" s="14">
        <f t="shared" si="2"/>
        <v>13188.652682938939</v>
      </c>
      <c r="I12" s="14">
        <f t="shared" si="2"/>
        <v>14303.190562334705</v>
      </c>
      <c r="J12" s="14">
        <f t="shared" si="2"/>
        <v>15510.972139151045</v>
      </c>
    </row>
    <row r="13" spans="1:10" ht="14.4" thickTop="1"/>
    <row r="14" spans="1:10">
      <c r="B14" s="1" t="s">
        <v>247</v>
      </c>
      <c r="F14" s="1">
        <v>0.5</v>
      </c>
      <c r="G14" s="1">
        <f>F14+1</f>
        <v>1.5</v>
      </c>
      <c r="H14" s="1">
        <f t="shared" ref="H14:J14" si="3">G14+1</f>
        <v>2.5</v>
      </c>
      <c r="I14" s="1">
        <f t="shared" si="3"/>
        <v>3.5</v>
      </c>
      <c r="J14" s="1">
        <f t="shared" si="3"/>
        <v>4.5</v>
      </c>
    </row>
    <row r="16" spans="1:10">
      <c r="B16" s="1" t="s">
        <v>248</v>
      </c>
      <c r="F16" s="18">
        <f>F12/(1+WACC)^F14</f>
        <v>11050.67886234143</v>
      </c>
      <c r="G16" s="18">
        <f>G12/(1+WACC)^G14</f>
        <v>10941.912457360091</v>
      </c>
      <c r="H16" s="18">
        <f>H12/(1+WACC)^H14</f>
        <v>11017.635397360506</v>
      </c>
      <c r="I16" s="18">
        <f>I12/(1+WACC)^I14</f>
        <v>11119.26487031931</v>
      </c>
      <c r="J16" s="18">
        <f>J12/(1+WACC)^J14</f>
        <v>11221.149654435432</v>
      </c>
    </row>
    <row r="17" spans="1:11">
      <c r="B17" s="1" t="s">
        <v>249</v>
      </c>
      <c r="C17" s="18">
        <f>SUM(F16:J16)</f>
        <v>55350.641241816767</v>
      </c>
    </row>
    <row r="18" spans="1:11">
      <c r="B18" s="1" t="s">
        <v>242</v>
      </c>
      <c r="C18" s="18">
        <f>C60</f>
        <v>325413.07349188504</v>
      </c>
    </row>
    <row r="19" spans="1:11">
      <c r="B19" s="1" t="s">
        <v>250</v>
      </c>
      <c r="C19" s="18">
        <f>SUM(C18)</f>
        <v>325413.07349188504</v>
      </c>
    </row>
    <row r="20" spans="1:11">
      <c r="B20" s="1" t="s">
        <v>252</v>
      </c>
      <c r="C20" s="18">
        <f>G37+BS!E41-BS!E6</f>
        <v>32573.600000000002</v>
      </c>
    </row>
    <row r="21" spans="1:11">
      <c r="B21" s="1" t="s">
        <v>251</v>
      </c>
      <c r="C21" s="18">
        <f>C19-C20</f>
        <v>292839.47349188506</v>
      </c>
    </row>
    <row r="22" spans="1:11">
      <c r="B22" s="1" t="s">
        <v>253</v>
      </c>
      <c r="C22" s="18">
        <f>G29</f>
        <v>728.46468035763303</v>
      </c>
    </row>
    <row r="23" spans="1:11">
      <c r="B23" s="2" t="s">
        <v>254</v>
      </c>
      <c r="C23" s="173">
        <f>C21/C22</f>
        <v>401.9954314711843</v>
      </c>
    </row>
    <row r="25" spans="1:11" ht="14.4" thickBot="1">
      <c r="A25" s="167">
        <v>2</v>
      </c>
      <c r="B25" s="184" t="s">
        <v>200</v>
      </c>
      <c r="C25" s="14"/>
      <c r="D25" s="14"/>
      <c r="E25" s="14"/>
      <c r="F25" s="14"/>
      <c r="G25" s="14"/>
      <c r="H25" s="14"/>
      <c r="I25" s="14"/>
      <c r="J25" s="14"/>
    </row>
    <row r="26" spans="1:11" ht="14.4" thickTop="1">
      <c r="I26" s="1" t="s">
        <v>210</v>
      </c>
      <c r="J26" s="1" t="s">
        <v>211</v>
      </c>
      <c r="K26" s="1" t="s">
        <v>212</v>
      </c>
    </row>
    <row r="27" spans="1:11">
      <c r="B27" s="1" t="s">
        <v>201</v>
      </c>
      <c r="C27" s="169">
        <v>3.7999999999999999E-2</v>
      </c>
      <c r="E27" s="1" t="s">
        <v>205</v>
      </c>
      <c r="G27" s="179">
        <v>722.05148799999995</v>
      </c>
      <c r="H27" s="1" t="s">
        <v>213</v>
      </c>
      <c r="I27" s="170">
        <v>7.2</v>
      </c>
      <c r="J27" s="170">
        <v>165.22</v>
      </c>
      <c r="K27" s="171">
        <f>IF(J27&lt;$G$30,I27-I27*J27/$G$30,0)</f>
        <v>2.7867779632721206</v>
      </c>
    </row>
    <row r="28" spans="1:11">
      <c r="B28" s="1" t="s">
        <v>203</v>
      </c>
      <c r="C28" s="168">
        <v>0.71</v>
      </c>
      <c r="E28" s="1" t="s">
        <v>206</v>
      </c>
      <c r="G28" s="179">
        <f>K31+K38</f>
        <v>6.4131923576330916</v>
      </c>
      <c r="H28" s="1" t="s">
        <v>214</v>
      </c>
      <c r="I28" s="170">
        <v>80</v>
      </c>
      <c r="J28" s="170">
        <v>400</v>
      </c>
      <c r="K28" s="171">
        <f t="shared" ref="K28:K30" si="4">IF(J28&lt;$G$30,I28-I28*J28/$G$30,0)</f>
        <v>0</v>
      </c>
    </row>
    <row r="29" spans="1:11">
      <c r="B29" s="1" t="s">
        <v>202</v>
      </c>
      <c r="C29" s="169">
        <v>5.5E-2</v>
      </c>
      <c r="E29" s="1" t="s">
        <v>207</v>
      </c>
      <c r="G29" s="178">
        <f>G27+G28</f>
        <v>728.46468035763303</v>
      </c>
      <c r="H29" s="1" t="s">
        <v>215</v>
      </c>
      <c r="I29" s="170">
        <v>50</v>
      </c>
      <c r="J29" s="170">
        <v>250</v>
      </c>
      <c r="K29" s="171">
        <f t="shared" si="4"/>
        <v>3.626414394360971</v>
      </c>
    </row>
    <row r="30" spans="1:11">
      <c r="E30" s="1" t="s">
        <v>208</v>
      </c>
      <c r="G30" s="179">
        <v>269.55</v>
      </c>
      <c r="H30" s="1" t="s">
        <v>216</v>
      </c>
      <c r="I30" s="170"/>
      <c r="J30" s="170"/>
      <c r="K30" s="171">
        <f t="shared" si="4"/>
        <v>0</v>
      </c>
    </row>
    <row r="31" spans="1:11" ht="14.4" thickBot="1">
      <c r="B31" s="174" t="s">
        <v>204</v>
      </c>
      <c r="C31" s="175">
        <f>C27+C28*C29</f>
        <v>7.7050000000000007E-2</v>
      </c>
      <c r="E31" s="2" t="s">
        <v>209</v>
      </c>
      <c r="F31" s="2"/>
      <c r="G31" s="177">
        <f>G29*G30</f>
        <v>196357.65459039999</v>
      </c>
      <c r="I31" s="2" t="s">
        <v>217</v>
      </c>
      <c r="J31" s="2"/>
      <c r="K31" s="173">
        <f>SUM(K27:K30)</f>
        <v>6.4131923576330916</v>
      </c>
    </row>
    <row r="32" spans="1:11" ht="15" thickTop="1">
      <c r="B32"/>
      <c r="C32"/>
      <c r="E32" s="2"/>
      <c r="F32" s="2"/>
      <c r="G32" s="172"/>
      <c r="I32" s="2"/>
      <c r="J32" s="2"/>
      <c r="K32" s="173"/>
    </row>
    <row r="33" spans="1:12">
      <c r="I33" s="1" t="s">
        <v>210</v>
      </c>
      <c r="J33" s="1" t="s">
        <v>211</v>
      </c>
      <c r="L33" s="1" t="s">
        <v>222</v>
      </c>
    </row>
    <row r="34" spans="1:12">
      <c r="B34" s="1" t="s">
        <v>218</v>
      </c>
      <c r="C34" s="176">
        <f>C27</f>
        <v>3.7999999999999999E-2</v>
      </c>
      <c r="E34" s="1" t="s">
        <v>159</v>
      </c>
      <c r="G34" s="18">
        <f>BS!C24</f>
        <v>0</v>
      </c>
      <c r="H34" s="1" t="s">
        <v>213</v>
      </c>
      <c r="I34" s="170"/>
      <c r="J34" s="170"/>
      <c r="K34" s="171">
        <f>IFERROR(IF(J34&lt;$G$30,I34/J34,0),0)</f>
        <v>0</v>
      </c>
      <c r="L34" s="1">
        <f>IF(J34&lt;$G$30,I34,0)</f>
        <v>0</v>
      </c>
    </row>
    <row r="35" spans="1:12">
      <c r="B35" s="1" t="s">
        <v>219</v>
      </c>
      <c r="C35" s="17">
        <v>0.04</v>
      </c>
      <c r="E35" s="1" t="s">
        <v>160</v>
      </c>
      <c r="G35" s="178">
        <f>BS!E33</f>
        <v>37152.9</v>
      </c>
      <c r="H35" s="1" t="s">
        <v>214</v>
      </c>
      <c r="I35" s="170"/>
      <c r="J35" s="170"/>
      <c r="K35" s="171">
        <f t="shared" ref="K35:K37" si="5">IFERROR(IF(J35&lt;$G$30,I35/J35,0),0)</f>
        <v>0</v>
      </c>
      <c r="L35" s="1">
        <f t="shared" ref="L35:L37" si="6">IF(J35&lt;$G$30,I35,0)</f>
        <v>0</v>
      </c>
    </row>
    <row r="36" spans="1:12">
      <c r="H36" s="1" t="s">
        <v>215</v>
      </c>
      <c r="I36" s="170"/>
      <c r="J36" s="170"/>
      <c r="K36" s="171">
        <f t="shared" si="5"/>
        <v>0</v>
      </c>
      <c r="L36" s="1">
        <f t="shared" si="6"/>
        <v>0</v>
      </c>
    </row>
    <row r="37" spans="1:12">
      <c r="B37" s="1" t="s">
        <v>220</v>
      </c>
      <c r="C37" s="176">
        <f>C34+C35</f>
        <v>7.8E-2</v>
      </c>
      <c r="E37" s="2" t="s">
        <v>169</v>
      </c>
      <c r="F37" s="2"/>
      <c r="G37" s="177">
        <f>SUM(G34:G36)-L38</f>
        <v>37152.9</v>
      </c>
      <c r="H37" s="1" t="s">
        <v>216</v>
      </c>
      <c r="I37" s="170"/>
      <c r="J37" s="170"/>
      <c r="K37" s="171">
        <f t="shared" si="5"/>
        <v>0</v>
      </c>
      <c r="L37" s="1">
        <f t="shared" si="6"/>
        <v>0</v>
      </c>
    </row>
    <row r="38" spans="1:12">
      <c r="B38" s="1" t="s">
        <v>221</v>
      </c>
      <c r="C38" s="176">
        <f>C37*(1-F6)</f>
        <v>6.1620000000000001E-2</v>
      </c>
      <c r="I38" s="2" t="s">
        <v>217</v>
      </c>
      <c r="J38" s="2"/>
      <c r="K38" s="171">
        <f>SUM(K34:K37)</f>
        <v>0</v>
      </c>
      <c r="L38" s="1">
        <f>SUM(L34:L37)</f>
        <v>0</v>
      </c>
    </row>
    <row r="39" spans="1:12">
      <c r="E39" s="1" t="s">
        <v>233</v>
      </c>
      <c r="G39" s="178">
        <f>G31+G37</f>
        <v>233510.55459039999</v>
      </c>
    </row>
    <row r="40" spans="1:12">
      <c r="G40" s="182"/>
    </row>
    <row r="41" spans="1:12">
      <c r="E41" s="1" t="s">
        <v>234</v>
      </c>
      <c r="G41" s="15">
        <f>G31/G39</f>
        <v>0.84089412975285094</v>
      </c>
    </row>
    <row r="42" spans="1:12" ht="14.4" thickBot="1">
      <c r="B42" s="186" t="s">
        <v>236</v>
      </c>
      <c r="C42" s="187">
        <f>C31*G41+C38*G42</f>
        <v>7.4594996422086488E-2</v>
      </c>
      <c r="E42" s="1" t="s">
        <v>235</v>
      </c>
      <c r="G42" s="15">
        <f>G37/G39</f>
        <v>0.15910587024714909</v>
      </c>
    </row>
    <row r="43" spans="1:12" ht="14.4" thickTop="1"/>
    <row r="45" spans="1:12" ht="14.4" thickBot="1">
      <c r="A45" s="167">
        <v>3</v>
      </c>
      <c r="B45" s="184" t="s">
        <v>237</v>
      </c>
      <c r="C45" s="14"/>
      <c r="D45" s="14"/>
      <c r="E45" s="14"/>
      <c r="F45" s="14"/>
      <c r="G45" s="14"/>
      <c r="H45" s="14"/>
      <c r="I45" s="14"/>
      <c r="J45" s="14"/>
    </row>
    <row r="46" spans="1:12" ht="14.4" thickTop="1"/>
    <row r="47" spans="1:12">
      <c r="B47" s="1" t="s">
        <v>238</v>
      </c>
    </row>
    <row r="48" spans="1:12">
      <c r="B48" s="1" t="s">
        <v>240</v>
      </c>
      <c r="C48" s="185">
        <v>0.04</v>
      </c>
    </row>
    <row r="49" spans="2:3">
      <c r="B49" s="1" t="s">
        <v>241</v>
      </c>
      <c r="C49" s="12">
        <f>J12*(1+C48)/(WACC-C48)</f>
        <v>466293.18378591619</v>
      </c>
    </row>
    <row r="50" spans="2:3">
      <c r="B50" s="1" t="s">
        <v>242</v>
      </c>
      <c r="C50" s="18">
        <f>C49/(1+WACC)^5</f>
        <v>325413.07349188504</v>
      </c>
    </row>
    <row r="52" spans="2:3">
      <c r="B52" s="1" t="s">
        <v>239</v>
      </c>
    </row>
    <row r="54" spans="2:3">
      <c r="B54" s="1" t="s">
        <v>243</v>
      </c>
      <c r="C54" s="12">
        <f>J5+CFS!J6</f>
        <v>25228.183774250214</v>
      </c>
    </row>
    <row r="55" spans="2:3">
      <c r="B55" s="1" t="s">
        <v>244</v>
      </c>
      <c r="C55" s="170">
        <v>17</v>
      </c>
    </row>
    <row r="56" spans="2:3">
      <c r="B56" s="1" t="s">
        <v>245</v>
      </c>
      <c r="C56" s="178">
        <f>C54*C55</f>
        <v>428879.12416225363</v>
      </c>
    </row>
    <row r="57" spans="2:3">
      <c r="B57" s="1" t="s">
        <v>242</v>
      </c>
      <c r="C57" s="183">
        <f>C56/(1+WACC)^5</f>
        <v>299302.83950756316</v>
      </c>
    </row>
    <row r="59" spans="2:3">
      <c r="B59" s="1" t="s">
        <v>246</v>
      </c>
      <c r="C59" s="170">
        <v>1</v>
      </c>
    </row>
    <row r="60" spans="2:3">
      <c r="B60" s="1" t="s">
        <v>242</v>
      </c>
      <c r="C60" s="18">
        <f>IF(C59=1,C50,C57)</f>
        <v>325413.07349188504</v>
      </c>
    </row>
  </sheetData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5FBB-B91C-4B67-B3CC-06AB8BE33851}">
  <dimension ref="A1:J51"/>
  <sheetViews>
    <sheetView zoomScaleNormal="100" workbookViewId="0">
      <pane ySplit="3" topLeftCell="A4" activePane="bottomLeft" state="frozen"/>
      <selection activeCell="F38" sqref="F38"/>
      <selection pane="bottomLeft" activeCell="H16" sqref="H16"/>
    </sheetView>
  </sheetViews>
  <sheetFormatPr defaultRowHeight="13.8"/>
  <cols>
    <col min="1" max="1" width="5.33203125" style="1" customWidth="1"/>
    <col min="2" max="2" width="57.77734375" style="1" customWidth="1"/>
    <col min="3" max="6" width="11.77734375" style="1" customWidth="1"/>
    <col min="7" max="7" width="17.33203125" style="1" bestFit="1" customWidth="1"/>
    <col min="8" max="10" width="11.77734375" style="1" customWidth="1"/>
    <col min="11" max="11" width="9" style="1" bestFit="1" customWidth="1"/>
    <col min="12" max="16384" width="8.88671875" style="1"/>
  </cols>
  <sheetData>
    <row r="1" spans="1:10" s="5" customFormat="1" ht="17.399999999999999">
      <c r="A1" s="3"/>
      <c r="B1" s="4" t="s">
        <v>0</v>
      </c>
      <c r="C1" s="3"/>
      <c r="D1" s="3"/>
      <c r="E1" s="3"/>
      <c r="F1" s="3"/>
      <c r="G1" s="3"/>
      <c r="H1" s="3"/>
      <c r="I1" s="3"/>
      <c r="J1" s="3"/>
    </row>
    <row r="2" spans="1:10" s="5" customFormat="1" ht="17.399999999999999">
      <c r="A2" s="3"/>
      <c r="B2" s="3"/>
      <c r="C2" s="6" t="s">
        <v>2</v>
      </c>
      <c r="D2" s="6"/>
      <c r="E2" s="7"/>
      <c r="F2" s="6" t="s">
        <v>3</v>
      </c>
      <c r="G2" s="6"/>
      <c r="H2" s="6"/>
      <c r="I2" s="6"/>
      <c r="J2" s="6"/>
    </row>
    <row r="3" spans="1:10" s="5" customFormat="1" ht="17.399999999999999">
      <c r="A3" s="3"/>
      <c r="B3" s="4" t="s">
        <v>1</v>
      </c>
      <c r="C3" s="8">
        <v>2021</v>
      </c>
      <c r="D3" s="8">
        <f>C3+1</f>
        <v>2022</v>
      </c>
      <c r="E3" s="9">
        <f>D3+1</f>
        <v>2023</v>
      </c>
      <c r="F3" s="10">
        <f t="shared" ref="F3:J3" si="0">E3+1</f>
        <v>2024</v>
      </c>
      <c r="G3" s="11">
        <f t="shared" si="0"/>
        <v>2025</v>
      </c>
      <c r="H3" s="11">
        <f t="shared" si="0"/>
        <v>2026</v>
      </c>
      <c r="I3" s="11">
        <f t="shared" si="0"/>
        <v>2027</v>
      </c>
      <c r="J3" s="11">
        <f t="shared" si="0"/>
        <v>2028</v>
      </c>
    </row>
    <row r="4" spans="1:10" customFormat="1" ht="14.4"/>
    <row r="5" spans="1:10" customFormat="1" ht="14.4"/>
    <row r="6" spans="1:10" customFormat="1" ht="14.4"/>
    <row r="7" spans="1:10" customFormat="1" ht="14.4">
      <c r="B7" t="s">
        <v>223</v>
      </c>
      <c r="C7" t="s">
        <v>224</v>
      </c>
      <c r="D7" t="s">
        <v>225</v>
      </c>
      <c r="E7" t="s">
        <v>208</v>
      </c>
      <c r="F7" t="s">
        <v>209</v>
      </c>
      <c r="G7" t="s">
        <v>226</v>
      </c>
      <c r="H7" t="s">
        <v>193</v>
      </c>
      <c r="I7" t="s">
        <v>230</v>
      </c>
    </row>
    <row r="8" spans="1:10" customFormat="1" ht="14.4">
      <c r="B8" t="s">
        <v>227</v>
      </c>
      <c r="C8" s="180">
        <v>1.4</v>
      </c>
      <c r="D8" s="180">
        <v>1000</v>
      </c>
      <c r="E8" s="180">
        <v>50</v>
      </c>
      <c r="F8">
        <f>D8*E8</f>
        <v>50000</v>
      </c>
      <c r="G8" s="180">
        <v>4000</v>
      </c>
      <c r="H8" s="181">
        <v>0.3</v>
      </c>
      <c r="I8">
        <f>C8/(1+G8/F8*(1-H8))</f>
        <v>1.3257575757575757</v>
      </c>
    </row>
    <row r="9" spans="1:10" customFormat="1" ht="14.4">
      <c r="B9" t="s">
        <v>228</v>
      </c>
      <c r="C9" s="180">
        <v>1.6</v>
      </c>
      <c r="D9" s="180">
        <v>2000</v>
      </c>
      <c r="E9" s="180">
        <v>60</v>
      </c>
      <c r="F9">
        <f>D9*E9</f>
        <v>120000</v>
      </c>
      <c r="G9" s="180">
        <v>8000</v>
      </c>
      <c r="H9" s="181">
        <v>0.32</v>
      </c>
      <c r="I9">
        <f t="shared" ref="I9:I10" si="1">C9/(1+G9/F9*(1-H9))</f>
        <v>1.5306122448979593</v>
      </c>
    </row>
    <row r="10" spans="1:10" customFormat="1" ht="14.4">
      <c r="B10" t="s">
        <v>229</v>
      </c>
      <c r="C10" s="180">
        <v>1.8</v>
      </c>
      <c r="D10" s="180">
        <v>1500</v>
      </c>
      <c r="E10" s="180">
        <v>70</v>
      </c>
      <c r="F10">
        <f>D10*E10</f>
        <v>105000</v>
      </c>
      <c r="G10" s="180">
        <v>4000</v>
      </c>
      <c r="H10" s="181">
        <v>0.35</v>
      </c>
      <c r="I10">
        <f t="shared" si="1"/>
        <v>1.7565055762081785</v>
      </c>
    </row>
    <row r="11" spans="1:10" customFormat="1" ht="14.4"/>
    <row r="12" spans="1:10" customFormat="1" ht="14.4">
      <c r="H12" t="s">
        <v>231</v>
      </c>
      <c r="I12">
        <f>AVERAGE(I8:I10)</f>
        <v>1.5376251322879044</v>
      </c>
    </row>
    <row r="13" spans="1:10" customFormat="1" ht="14.4">
      <c r="B13" s="1"/>
    </row>
    <row r="15" spans="1:10" customFormat="1" ht="14.4">
      <c r="B15" t="s">
        <v>223</v>
      </c>
      <c r="C15" t="s">
        <v>224</v>
      </c>
      <c r="D15" t="s">
        <v>225</v>
      </c>
      <c r="E15" t="s">
        <v>208</v>
      </c>
      <c r="F15" t="s">
        <v>209</v>
      </c>
      <c r="G15" t="s">
        <v>226</v>
      </c>
      <c r="H15" t="s">
        <v>193</v>
      </c>
      <c r="I15" t="s">
        <v>230</v>
      </c>
    </row>
    <row r="16" spans="1:10" customFormat="1" ht="14.4">
      <c r="B16" t="s">
        <v>232</v>
      </c>
      <c r="C16">
        <f>I12</f>
        <v>1.5376251322879044</v>
      </c>
      <c r="D16" s="180">
        <v>722</v>
      </c>
      <c r="E16" s="180">
        <v>270</v>
      </c>
      <c r="F16">
        <f>D16*E16</f>
        <v>194940</v>
      </c>
      <c r="G16" s="180">
        <v>37153</v>
      </c>
      <c r="H16" s="181">
        <v>0.21</v>
      </c>
      <c r="I16">
        <f>C16*(1+G16/F16*(1-H16))</f>
        <v>1.7691355219796816</v>
      </c>
    </row>
    <row r="17" customFormat="1" ht="14.4"/>
    <row r="18" customFormat="1" ht="14.4"/>
    <row r="19" customFormat="1" ht="14.4"/>
    <row r="20" customFormat="1" ht="14.4"/>
    <row r="21" customFormat="1" ht="14.4"/>
    <row r="22" customFormat="1" ht="14.4"/>
    <row r="23" customFormat="1" ht="14.4"/>
    <row r="24" customFormat="1" ht="14.4"/>
    <row r="25" customFormat="1" ht="14.4"/>
    <row r="26" customFormat="1" ht="14.4"/>
    <row r="27" customFormat="1" ht="14.4"/>
    <row r="28" customFormat="1" ht="14.4"/>
    <row r="29" customFormat="1" ht="14.4"/>
    <row r="30" customFormat="1" ht="14.4"/>
    <row r="31" customFormat="1" ht="14.4"/>
    <row r="32" customFormat="1" ht="14.4"/>
    <row r="33" customFormat="1" ht="14.4"/>
    <row r="34" customFormat="1" ht="14.4"/>
    <row r="35" customFormat="1" ht="14.4"/>
    <row r="36" customFormat="1" ht="14.4"/>
    <row r="37" customFormat="1" ht="14.4"/>
    <row r="38" customFormat="1" ht="14.4"/>
    <row r="39" customFormat="1" ht="14.4"/>
    <row r="40" customFormat="1" ht="14.4"/>
    <row r="41" customFormat="1" ht="14.4"/>
    <row r="42" customFormat="1" ht="14.4"/>
    <row r="43" customFormat="1" ht="14.4"/>
    <row r="44" customFormat="1" ht="14.4"/>
    <row r="45" customFormat="1" ht="14.4"/>
    <row r="46" customFormat="1" ht="14.4"/>
    <row r="47" customFormat="1" ht="14.4"/>
    <row r="48" customFormat="1" ht="14.4"/>
    <row r="49" customFormat="1" ht="14.4"/>
    <row r="50" customFormat="1" ht="14.4"/>
    <row r="51" customFormat="1" ht="14.4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379B-961A-4E6C-BD7A-9FBA8A052E77}">
  <dimension ref="A1:K31"/>
  <sheetViews>
    <sheetView zoomScale="85" zoomScaleNormal="85" workbookViewId="0">
      <pane ySplit="3" topLeftCell="A4" activePane="bottomLeft" state="frozen"/>
      <selection activeCell="F38" sqref="F38"/>
      <selection pane="bottomLeft" activeCell="B7" sqref="B7:J9"/>
    </sheetView>
  </sheetViews>
  <sheetFormatPr defaultRowHeight="13.8"/>
  <cols>
    <col min="1" max="1" width="5.33203125" style="1" customWidth="1"/>
    <col min="2" max="2" width="57.77734375" style="1" customWidth="1"/>
    <col min="3" max="10" width="11.77734375" style="1" customWidth="1"/>
    <col min="11" max="11" width="9" style="1" bestFit="1" customWidth="1"/>
    <col min="12" max="16384" width="8.88671875" style="1"/>
  </cols>
  <sheetData>
    <row r="1" spans="1:11" s="5" customFormat="1" ht="17.399999999999999">
      <c r="A1" s="3"/>
      <c r="B1" s="4" t="s">
        <v>0</v>
      </c>
      <c r="C1" s="3"/>
      <c r="D1" s="3"/>
      <c r="E1" s="3"/>
      <c r="F1" s="3"/>
      <c r="G1" s="3"/>
      <c r="H1" s="3"/>
      <c r="I1" s="3"/>
      <c r="J1" s="3"/>
    </row>
    <row r="2" spans="1:11" s="5" customFormat="1" ht="17.399999999999999">
      <c r="A2" s="3"/>
      <c r="B2" s="3"/>
      <c r="C2" s="6" t="s">
        <v>2</v>
      </c>
      <c r="D2" s="6"/>
      <c r="E2" s="7"/>
      <c r="F2" s="6" t="s">
        <v>3</v>
      </c>
      <c r="G2" s="6"/>
      <c r="H2" s="6"/>
      <c r="I2" s="6"/>
      <c r="J2" s="6"/>
    </row>
    <row r="3" spans="1:11" s="5" customFormat="1" ht="17.399999999999999">
      <c r="A3" s="3"/>
      <c r="B3" s="4" t="s">
        <v>1</v>
      </c>
      <c r="C3" s="8">
        <v>2021</v>
      </c>
      <c r="D3" s="8">
        <f>C3+1</f>
        <v>2022</v>
      </c>
      <c r="E3" s="9">
        <f>D3+1</f>
        <v>2023</v>
      </c>
      <c r="F3" s="10">
        <f t="shared" ref="F3:J3" si="0">E3+1</f>
        <v>2024</v>
      </c>
      <c r="G3" s="11">
        <f t="shared" si="0"/>
        <v>2025</v>
      </c>
      <c r="H3" s="11">
        <f t="shared" si="0"/>
        <v>2026</v>
      </c>
      <c r="I3" s="11">
        <f t="shared" si="0"/>
        <v>2027</v>
      </c>
      <c r="J3" s="11">
        <f t="shared" si="0"/>
        <v>2028</v>
      </c>
    </row>
    <row r="4" spans="1:11" customFormat="1" ht="15" thickBot="1"/>
    <row r="5" spans="1:11" customFormat="1" ht="15" thickBot="1">
      <c r="B5" s="134" t="s">
        <v>178</v>
      </c>
      <c r="C5" s="135"/>
      <c r="D5" s="135"/>
      <c r="E5" s="135"/>
      <c r="F5" s="136"/>
      <c r="G5" s="136"/>
      <c r="H5" s="136"/>
      <c r="I5" s="136"/>
      <c r="J5" s="136"/>
      <c r="K5" s="137"/>
    </row>
    <row r="6" spans="1:11" customFormat="1" ht="15" thickTop="1">
      <c r="B6" s="24"/>
      <c r="C6" s="31"/>
      <c r="D6" s="31"/>
      <c r="E6" s="31"/>
      <c r="F6" s="31"/>
      <c r="G6" s="31"/>
      <c r="H6" s="31"/>
      <c r="I6" s="31"/>
      <c r="J6" s="31"/>
      <c r="K6" s="32"/>
    </row>
    <row r="7" spans="1:11" customFormat="1" ht="14.4">
      <c r="B7" s="138" t="s">
        <v>179</v>
      </c>
      <c r="C7" s="141"/>
      <c r="D7" s="141">
        <f>BS!D10/BS!D31</f>
        <v>1.4266326503774229</v>
      </c>
      <c r="E7" s="141">
        <f>BS!E10/BS!E31</f>
        <v>1.1643679836710892</v>
      </c>
      <c r="F7" s="141">
        <f ca="1">BS!F10/BS!F31</f>
        <v>1.0181191312954396</v>
      </c>
      <c r="G7" s="141">
        <f ca="1">BS!G10/BS!G31</f>
        <v>1.0793560172070304</v>
      </c>
      <c r="H7" s="141">
        <f ca="1">BS!H10/BS!H31</f>
        <v>1.1424096732326099</v>
      </c>
      <c r="I7" s="141">
        <f ca="1">BS!I10/BS!I31</f>
        <v>1.2064593851602188</v>
      </c>
      <c r="J7" s="141">
        <f ca="1">BS!J10/BS!J31</f>
        <v>1.2706260325870911</v>
      </c>
      <c r="K7" s="32"/>
    </row>
    <row r="8" spans="1:11" customFormat="1" ht="14.4">
      <c r="B8" s="24" t="s">
        <v>180</v>
      </c>
      <c r="C8" s="142"/>
      <c r="D8" s="142">
        <f>(BS!D6+BS!D7)/BS!D31</f>
        <v>1.2358433497277819</v>
      </c>
      <c r="E8" s="142">
        <f>(BS!E6+BS!E7)/BS!E31</f>
        <v>1.0303688584341741</v>
      </c>
      <c r="F8" s="142">
        <f ca="1">(BS!F6+BS!F7)/BS!F31</f>
        <v>0.82440083493916094</v>
      </c>
      <c r="G8" s="142">
        <f ca="1">(BS!G6+BS!G7)/BS!G31</f>
        <v>0.89129231901471928</v>
      </c>
      <c r="H8" s="142">
        <f ca="1">(BS!H6+BS!H7)/BS!H31</f>
        <v>0.96041817927163031</v>
      </c>
      <c r="I8" s="142">
        <f ca="1">(BS!I6+BS!I7)/BS!I31</f>
        <v>1.0309060205562259</v>
      </c>
      <c r="J8" s="142">
        <f ca="1">(BS!J6+BS!J7)/BS!J31</f>
        <v>1.1018042668664534</v>
      </c>
      <c r="K8" s="32"/>
    </row>
    <row r="9" spans="1:11" customFormat="1" ht="14.4">
      <c r="B9" s="139" t="s">
        <v>181</v>
      </c>
      <c r="C9" s="142"/>
      <c r="D9" s="142">
        <f>BS!D12/BS!D31</f>
        <v>0.27997685489597851</v>
      </c>
      <c r="E9" s="142">
        <f>BS!E12/BS!E31</f>
        <v>0.1574865140691063</v>
      </c>
      <c r="F9" s="142">
        <f>BS!F12/BS!F31</f>
        <v>0.2242229670586825</v>
      </c>
      <c r="G9" s="142">
        <f>BS!G12/BS!G31</f>
        <v>0.21458250739700108</v>
      </c>
      <c r="H9" s="142">
        <f>BS!H12/BS!H31</f>
        <v>0.20417897455023251</v>
      </c>
      <c r="I9" s="142">
        <f>BS!I12/BS!I31</f>
        <v>0.1930967272078912</v>
      </c>
      <c r="J9" s="142">
        <f>BS!J12/BS!J31</f>
        <v>0.18145756340634692</v>
      </c>
      <c r="K9" s="32"/>
    </row>
    <row r="10" spans="1:11" customFormat="1" ht="15" thickBot="1">
      <c r="B10" s="57"/>
      <c r="C10" s="64"/>
      <c r="D10" s="64"/>
      <c r="E10" s="64"/>
      <c r="F10" s="64"/>
      <c r="G10" s="64"/>
      <c r="H10" s="64"/>
      <c r="I10" s="64"/>
      <c r="J10" s="64"/>
      <c r="K10" s="143"/>
    </row>
    <row r="11" spans="1:11" customFormat="1" ht="15" thickBot="1">
      <c r="B11" s="134" t="s">
        <v>182</v>
      </c>
      <c r="C11" s="144"/>
      <c r="D11" s="144"/>
      <c r="E11" s="144"/>
      <c r="F11" s="144"/>
      <c r="G11" s="144"/>
      <c r="H11" s="144"/>
      <c r="I11" s="144"/>
      <c r="J11" s="144"/>
      <c r="K11" s="145"/>
    </row>
    <row r="12" spans="1:11" customFormat="1" ht="15" thickTop="1">
      <c r="B12" s="146"/>
      <c r="C12" s="147"/>
      <c r="D12" s="147"/>
      <c r="E12" s="147"/>
      <c r="F12" s="147"/>
      <c r="G12" s="147"/>
      <c r="H12" s="147"/>
      <c r="I12" s="147"/>
      <c r="J12" s="147"/>
      <c r="K12" s="148"/>
    </row>
    <row r="13" spans="1:11" customFormat="1" ht="14.4">
      <c r="B13" s="138" t="s">
        <v>183</v>
      </c>
      <c r="C13" s="149">
        <f>IS!C22/IS!C9</f>
        <v>0.44593913766153226</v>
      </c>
      <c r="D13" s="149">
        <f>IS!D22/IS!D9</f>
        <v>0.40422558298033867</v>
      </c>
      <c r="E13" s="149">
        <f>IS!E22/IS!E9</f>
        <v>0.45684620121834008</v>
      </c>
      <c r="F13" s="149">
        <f>IS!F22/IS!F9</f>
        <v>0.53880860452451673</v>
      </c>
      <c r="G13" s="149">
        <f>IS!G22/IS!G9</f>
        <v>0.52260004853531228</v>
      </c>
      <c r="H13" s="149">
        <f>IS!H22/IS!H9</f>
        <v>0.50599053103801028</v>
      </c>
      <c r="I13" s="149">
        <f>IS!I22/IS!I9</f>
        <v>0.48922475732520904</v>
      </c>
      <c r="J13" s="149">
        <f>IS!J22/IS!J9</f>
        <v>0.47243922184362869</v>
      </c>
      <c r="K13" s="32"/>
    </row>
    <row r="14" spans="1:11" customFormat="1" ht="14.4">
      <c r="B14" s="24" t="s">
        <v>184</v>
      </c>
      <c r="C14" s="149">
        <f>IS!C27/IS!C9</f>
        <v>0.32490343583273396</v>
      </c>
      <c r="D14" s="149">
        <f>IS!D27/IS!D9</f>
        <v>0.26646709169808386</v>
      </c>
      <c r="E14" s="149">
        <f>IS!E27/IS!E9</f>
        <v>0.33219187485535628</v>
      </c>
      <c r="F14" s="149">
        <f ca="1">IS!F27/IS!F9</f>
        <v>0.39008990559346529</v>
      </c>
      <c r="G14" s="149">
        <f ca="1">IS!G27/IS!G9</f>
        <v>0.38621433568468311</v>
      </c>
      <c r="H14" s="149">
        <f ca="1">IS!H27/IS!H9</f>
        <v>0.37934963697481322</v>
      </c>
      <c r="I14" s="149">
        <f ca="1">IS!I27/IS!I9</f>
        <v>0.37149574761903675</v>
      </c>
      <c r="J14" s="149">
        <f ca="1">IS!J27/IS!J9</f>
        <v>0.36284032540673888</v>
      </c>
      <c r="K14" s="32"/>
    </row>
    <row r="15" spans="1:11" customFormat="1" ht="14.4">
      <c r="B15" s="24" t="s">
        <v>185</v>
      </c>
      <c r="C15" s="149">
        <f>IS!C25/IS!C9</f>
        <v>0.39305599214568365</v>
      </c>
      <c r="D15" s="149">
        <f>IS!D25/IS!D9</f>
        <v>0.33755489030566022</v>
      </c>
      <c r="E15" s="149">
        <f>IS!E25/IS!E9</f>
        <v>0.41273726450064119</v>
      </c>
      <c r="F15" s="149">
        <f ca="1">IS!F25/IS!F9</f>
        <v>0.49378469062463953</v>
      </c>
      <c r="G15" s="149">
        <f ca="1">IS!G25/IS!G9</f>
        <v>0.48887890592997868</v>
      </c>
      <c r="H15" s="149">
        <f ca="1">IS!H25/IS!H9</f>
        <v>0.48018941389216863</v>
      </c>
      <c r="I15" s="149">
        <f ca="1">IS!I25/IS!I9</f>
        <v>0.47024778179624904</v>
      </c>
      <c r="J15" s="149">
        <f ca="1">IS!J25/IS!J9</f>
        <v>0.45929155114777076</v>
      </c>
      <c r="K15" s="32"/>
    </row>
    <row r="16" spans="1:11" customFormat="1" ht="14.4">
      <c r="B16" s="24" t="s">
        <v>186</v>
      </c>
      <c r="C16" s="149">
        <f>IS!C27/AVERAGE(BS!B21:C21)</f>
        <v>0.14010394713142676</v>
      </c>
      <c r="D16" s="149">
        <f>IS!D27/AVERAGE(BS!C21:D21)</f>
        <v>0.11846593006609457</v>
      </c>
      <c r="E16" s="149">
        <f>IS!E27/AVERAGE(BS!D21:E21)</f>
        <v>0.1589155432791905</v>
      </c>
      <c r="F16" s="149">
        <f ca="1">IS!F27/AVERAGE(BS!E21:F21)</f>
        <v>0.20339220061846369</v>
      </c>
      <c r="G16" s="149">
        <f ca="1">IS!G27/AVERAGE(BS!F21:G21)</f>
        <v>0.22783030800435752</v>
      </c>
      <c r="H16" s="149">
        <f ca="1">IS!H27/AVERAGE(BS!G21:H21)</f>
        <v>0.24435706071147373</v>
      </c>
      <c r="I16" s="149">
        <f ca="1">IS!I27/AVERAGE(BS!H21:I21)</f>
        <v>0.26040812510559103</v>
      </c>
      <c r="J16" s="149">
        <f ca="1">IS!J27/AVERAGE(BS!I21:J21)</f>
        <v>0.27572135622658944</v>
      </c>
      <c r="K16" s="32"/>
    </row>
    <row r="17" spans="2:11" customFormat="1" ht="14.4">
      <c r="B17" s="24" t="s">
        <v>187</v>
      </c>
      <c r="C17" s="149"/>
      <c r="D17" s="149">
        <f>IS!C22/(BS!C21-BS!C31)</f>
        <v>0.20780867795875524</v>
      </c>
      <c r="E17" s="149">
        <f>IS!D22/(BS!D21-BS!D31)</f>
        <v>0.20094996086504333</v>
      </c>
      <c r="F17" s="149">
        <f>IS!E22/(BS!E21-BS!E31)</f>
        <v>0.23629985513656512</v>
      </c>
      <c r="G17" s="149">
        <f ca="1">IS!F22/(BS!F21-BS!F31)</f>
        <v>0.31410284950652639</v>
      </c>
      <c r="H17" s="149">
        <f ca="1">IS!G22/(BS!G21-BS!G31)</f>
        <v>0.33315757447192329</v>
      </c>
      <c r="I17" s="149">
        <f ca="1">IS!H22/(BS!H21-BS!H31)</f>
        <v>0.35161635300320926</v>
      </c>
      <c r="J17" s="149">
        <f ca="1">IS!I22/(BS!I21-BS!I31)</f>
        <v>0.36934374321207669</v>
      </c>
      <c r="K17" s="32"/>
    </row>
    <row r="18" spans="2:11" customFormat="1" ht="14.4">
      <c r="B18" s="24" t="s">
        <v>188</v>
      </c>
      <c r="C18" s="147"/>
      <c r="D18" s="150">
        <f>IS!C9-SUM(IS!C12:C14)</f>
        <v>15175.599999999999</v>
      </c>
      <c r="E18" s="150">
        <f>IS!D9-SUM(IS!D12:D14)</f>
        <v>15801.699999999997</v>
      </c>
      <c r="F18" s="150">
        <f>IS!E9-SUM(IS!E12:E14)</f>
        <v>17269.599999999999</v>
      </c>
      <c r="G18" s="150">
        <f>IS!F9-SUM(IS!F12:F14)</f>
        <v>18801.134198282685</v>
      </c>
      <c r="H18" s="150">
        <f>IS!G9-SUM(IS!G12:G14)</f>
        <v>20529.549618666108</v>
      </c>
      <c r="I18" s="150">
        <f>IS!H9-SUM(IS!H12:H14)</f>
        <v>22437.10928391205</v>
      </c>
      <c r="J18" s="150">
        <f>IS!I9-SUM(IS!I12:I14)</f>
        <v>24542.62139441575</v>
      </c>
      <c r="K18" s="32"/>
    </row>
    <row r="19" spans="2:11" customFormat="1" ht="14.4">
      <c r="B19" s="24" t="s">
        <v>189</v>
      </c>
      <c r="C19" s="147"/>
      <c r="D19" s="149">
        <f>D18/IS!C9</f>
        <v>0.6534756641074112</v>
      </c>
      <c r="E19" s="149">
        <f>E18/IS!D9</f>
        <v>0.68161897285032735</v>
      </c>
      <c r="F19" s="149">
        <f>F18/IS!E9</f>
        <v>0.67740657495773471</v>
      </c>
      <c r="G19" s="149">
        <f>G18/IS!F9</f>
        <v>0.65393768225258597</v>
      </c>
      <c r="H19" s="149">
        <f>H18/IS!G9</f>
        <v>0.63206859994638342</v>
      </c>
      <c r="I19" s="149">
        <f>I18/IS!H9</f>
        <v>0.60999769195488662</v>
      </c>
      <c r="J19" s="149">
        <f>J18/IS!I9</f>
        <v>0.58787829652367118</v>
      </c>
      <c r="K19" s="32"/>
    </row>
    <row r="20" spans="2:11" customFormat="1" ht="15" thickBot="1">
      <c r="B20" s="57" t="s">
        <v>183</v>
      </c>
      <c r="C20" s="154">
        <f>'BS SCHEDULES'!C6-'BS SCHEDULES'!C8</f>
        <v>12580.199999999999</v>
      </c>
      <c r="D20" s="154">
        <f>'BS SCHEDULES'!D6-'BS SCHEDULES'!D8</f>
        <v>13207.199999999999</v>
      </c>
      <c r="E20" s="154">
        <f>'BS SCHEDULES'!E6-'BS SCHEDULES'!E8</f>
        <v>14562.499999999996</v>
      </c>
      <c r="F20" s="154">
        <f>'BS SCHEDULES'!F6-'BS SCHEDULES'!F8</f>
        <v>15882.800264967569</v>
      </c>
      <c r="G20" s="154">
        <f>'BS SCHEDULES'!G6-'BS SCHEDULES'!G8</f>
        <v>17390.844440852572</v>
      </c>
      <c r="H20" s="154">
        <f>'BS SCHEDULES'!H6-'BS SCHEDULES'!H8</f>
        <v>19060.812069231739</v>
      </c>
      <c r="I20" s="154">
        <f>'BS SCHEDULES'!I6-'BS SCHEDULES'!I8</f>
        <v>20910.19505011012</v>
      </c>
      <c r="J20" s="154">
        <f>'BS SCHEDULES'!J6-'BS SCHEDULES'!J8</f>
        <v>22960.762930594796</v>
      </c>
      <c r="K20" s="143"/>
    </row>
    <row r="21" spans="2:11" customFormat="1" ht="14.4"/>
    <row r="22" spans="2:11" customFormat="1" ht="14.4"/>
    <row r="23" spans="2:11" customFormat="1" ht="14.4"/>
    <row r="24" spans="2:11" customFormat="1" ht="14.4"/>
    <row r="25" spans="2:11" customFormat="1" ht="14.4"/>
    <row r="26" spans="2:11" customFormat="1" ht="14.4"/>
    <row r="27" spans="2:11" customFormat="1" ht="14.4"/>
    <row r="28" spans="2:11" customFormat="1" ht="14.4"/>
    <row r="29" spans="2:11" customFormat="1" ht="14.4"/>
    <row r="30" spans="2:11" customFormat="1" ht="14.4"/>
    <row r="31" spans="2:11" customFormat="1" ht="14.4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arkers="1" xr2:uid="{AB8AF809-E1A2-44B0-A2D9-77110DC603B9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RATIOS!E7:J7</xm:f>
              <xm:sqref>K7</xm:sqref>
            </x14:sparkline>
            <x14:sparkline>
              <xm:f>RATIOS!E8:J8</xm:f>
              <xm:sqref>K8</xm:sqref>
            </x14:sparkline>
            <x14:sparkline>
              <xm:f>RATIOS!E9:J9</xm:f>
              <xm:sqref>K9</xm:sqref>
            </x14:sparkline>
          </x14:sparklines>
        </x14:sparklineGroup>
        <x14:sparklineGroup type="column" displayEmptyCellsAs="gap" markers="1" high="1" xr2:uid="{F0EA183F-C049-4B5F-85E7-1AD99584AFA2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theme="1"/>
          <x14:colorLow rgb="FFD00000"/>
          <x14:sparklines>
            <x14:sparkline>
              <xm:f>RATIOS!D14:J14</xm:f>
              <xm:sqref>K14</xm:sqref>
            </x14:sparkline>
          </x14:sparklines>
        </x14:sparklineGroup>
        <x14:sparklineGroup type="column" displayEmptyCellsAs="gap" markers="1" high="1" xr2:uid="{225A566A-A8AA-495C-95FC-FB98E4B48261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theme="1"/>
          <x14:colorLow rgb="FFD00000"/>
          <x14:sparklines>
            <x14:sparkline>
              <xm:f>RATIOS!D15:J15</xm:f>
              <xm:sqref>K15</xm:sqref>
            </x14:sparkline>
          </x14:sparklines>
        </x14:sparklineGroup>
        <x14:sparklineGroup type="column" displayEmptyCellsAs="gap" markers="1" high="1" xr2:uid="{74A1BC84-B465-4331-B7E2-D81D9CCA1B93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theme="1"/>
          <x14:colorLow rgb="FFD00000"/>
          <x14:sparklines>
            <x14:sparkline>
              <xm:f>RATIOS!D16:J16</xm:f>
              <xm:sqref>K16</xm:sqref>
            </x14:sparkline>
            <x14:sparkline>
              <xm:f>RATIOS!D17:J17</xm:f>
              <xm:sqref>K17</xm:sqref>
            </x14:sparkline>
          </x14:sparklines>
        </x14:sparklineGroup>
        <x14:sparklineGroup type="column" displayEmptyCellsAs="gap" markers="1" high="1" xr2:uid="{EA20EE2F-E724-4EAE-B68E-AFBC7505A8BC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theme="1"/>
          <x14:colorLow rgb="FFD00000"/>
          <x14:sparklines>
            <x14:sparkline>
              <xm:f>RATIOS!D18:J18</xm:f>
              <xm:sqref>K18</xm:sqref>
            </x14:sparkline>
          </x14:sparklines>
        </x14:sparklineGroup>
        <x14:sparklineGroup type="column" displayEmptyCellsAs="gap" markers="1" high="1" xr2:uid="{D234B6F4-AE19-4055-88A8-1C8A548773A8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theme="1"/>
          <x14:colorLow rgb="FFD00000"/>
          <x14:sparklines>
            <x14:sparkline>
              <xm:f>RATIOS!D19:J19</xm:f>
              <xm:sqref>K19</xm:sqref>
            </x14:sparkline>
          </x14:sparklines>
        </x14:sparklineGroup>
        <x14:sparklineGroup type="column" displayEmptyCellsAs="gap" markers="1" high="1" xr2:uid="{3A2E69C9-1370-4A8A-BE07-8A62755C3BFE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theme="1"/>
          <x14:colorLow rgb="FFD00000"/>
          <x14:sparklines>
            <x14:sparkline>
              <xm:f>RATIOS!D20:J20</xm:f>
              <xm:sqref>K20</xm:sqref>
            </x14:sparkline>
          </x14:sparklines>
        </x14:sparklineGroup>
        <x14:sparklineGroup type="column" displayEmptyCellsAs="gap" markers="1" high="1" xr2:uid="{691D2400-0EE5-4B07-8097-21790171A576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theme="1"/>
          <x14:colorLow rgb="FFD00000"/>
          <x14:sparklines>
            <x14:sparkline>
              <xm:f>RATIOS!D13:J13</xm:f>
              <xm:sqref>K13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2D7-E3D3-4D0B-8616-49DEF9700FF4}">
  <dimension ref="A1:N49"/>
  <sheetViews>
    <sheetView zoomScaleNormal="100" workbookViewId="0">
      <pane ySplit="3" topLeftCell="A6" activePane="bottomLeft" state="frozen"/>
      <selection activeCell="F38" sqref="F38"/>
      <selection pane="bottomLeft" activeCell="F38" sqref="F38"/>
    </sheetView>
  </sheetViews>
  <sheetFormatPr defaultRowHeight="13.8"/>
  <cols>
    <col min="1" max="1" width="5.33203125" style="1" customWidth="1"/>
    <col min="2" max="2" width="57.77734375" style="1" customWidth="1"/>
    <col min="3" max="10" width="11.77734375" style="1" customWidth="1"/>
    <col min="11" max="11" width="9" style="1" bestFit="1" customWidth="1"/>
    <col min="12" max="16384" width="8.88671875" style="1"/>
  </cols>
  <sheetData>
    <row r="1" spans="1:14" s="5" customFormat="1" ht="17.399999999999999">
      <c r="A1" s="3"/>
      <c r="B1" s="4" t="s">
        <v>144</v>
      </c>
      <c r="C1" s="3"/>
      <c r="D1" s="3"/>
      <c r="E1" s="3"/>
      <c r="F1" s="3"/>
      <c r="G1" s="3"/>
      <c r="H1" s="3"/>
      <c r="I1" s="3"/>
      <c r="J1" s="3"/>
    </row>
    <row r="2" spans="1:14" s="5" customFormat="1" ht="17.399999999999999">
      <c r="A2" s="3"/>
      <c r="B2" s="3"/>
      <c r="C2" s="6" t="s">
        <v>2</v>
      </c>
      <c r="D2" s="6"/>
      <c r="E2" s="7"/>
      <c r="F2" s="6" t="s">
        <v>3</v>
      </c>
      <c r="G2" s="6"/>
      <c r="H2" s="6"/>
      <c r="I2" s="6"/>
      <c r="J2" s="6"/>
    </row>
    <row r="3" spans="1:14" s="5" customFormat="1" ht="17.399999999999999">
      <c r="A3" s="3"/>
      <c r="B3" s="4" t="s">
        <v>1</v>
      </c>
      <c r="C3" s="8">
        <v>2021</v>
      </c>
      <c r="D3" s="8">
        <f>C3+1</f>
        <v>2022</v>
      </c>
      <c r="E3" s="9">
        <f>D3+1</f>
        <v>2023</v>
      </c>
      <c r="F3" s="10">
        <f t="shared" ref="F3:J3" si="0">E3+1</f>
        <v>2024</v>
      </c>
      <c r="G3" s="11">
        <f t="shared" si="0"/>
        <v>2025</v>
      </c>
      <c r="H3" s="11">
        <f t="shared" si="0"/>
        <v>2026</v>
      </c>
      <c r="I3" s="11">
        <f t="shared" si="0"/>
        <v>2027</v>
      </c>
      <c r="J3" s="11">
        <f t="shared" si="0"/>
        <v>2028</v>
      </c>
    </row>
    <row r="4" spans="1:14" ht="14.4" thickBot="1"/>
    <row r="5" spans="1:14">
      <c r="B5" s="21" t="s">
        <v>145</v>
      </c>
      <c r="C5" s="22"/>
      <c r="D5" s="22"/>
      <c r="E5" s="22"/>
      <c r="F5" s="60">
        <f ca="1">SUM(CFS!F13,CFS!F18,CFS!F20:F22)</f>
        <v>3967.7738070341557</v>
      </c>
      <c r="G5" s="60">
        <f ca="1">SUM(CFS!G13,CFS!G18,CFS!G20:G22)</f>
        <v>4092.4777395173287</v>
      </c>
      <c r="H5" s="60">
        <f ca="1">SUM(CFS!H13,CFS!H18,CFS!H20:H22)</f>
        <v>4395.5860068786187</v>
      </c>
      <c r="I5" s="60">
        <f ca="1">SUM(CFS!I13,CFS!I18,CFS!I20:I22)</f>
        <v>4737.1556907531158</v>
      </c>
      <c r="J5" s="61">
        <f ca="1">SUM(CFS!J13,CFS!J18,CFS!J20:J22)</f>
        <v>5086.8223534657391</v>
      </c>
    </row>
    <row r="6" spans="1:14">
      <c r="B6" s="24" t="s">
        <v>146</v>
      </c>
      <c r="C6" s="31"/>
      <c r="D6" s="31"/>
      <c r="E6" s="31"/>
      <c r="F6" s="39">
        <f>BS!E6</f>
        <v>4579.3</v>
      </c>
      <c r="G6" s="39">
        <f ca="1">BS!F6</f>
        <v>1437.5325591820447</v>
      </c>
      <c r="H6" s="39">
        <f ca="1">BS!G6</f>
        <v>1623.9969538438972</v>
      </c>
      <c r="I6" s="39">
        <f ca="1">BS!H6</f>
        <v>1839.114276974301</v>
      </c>
      <c r="J6" s="40">
        <f ca="1">BS!I6</f>
        <v>2087.3896467640325</v>
      </c>
    </row>
    <row r="7" spans="1:14">
      <c r="B7" s="24" t="s">
        <v>147</v>
      </c>
      <c r="C7" s="31"/>
      <c r="D7" s="65">
        <v>0.05</v>
      </c>
      <c r="E7" s="31"/>
      <c r="F7" s="43">
        <f>-$D$7*IS!F9</f>
        <v>-1437.5325591820442</v>
      </c>
      <c r="G7" s="43">
        <f>-$D$7*IS!G9</f>
        <v>-1623.9969538439002</v>
      </c>
      <c r="H7" s="43">
        <f>-$D$7*IS!H9</f>
        <v>-1839.1142769742992</v>
      </c>
      <c r="I7" s="43">
        <f>-$D$7*IS!I9</f>
        <v>-2087.3896467640329</v>
      </c>
      <c r="J7" s="44">
        <f>-$D$7*IS!J9</f>
        <v>-2374.0438540734281</v>
      </c>
    </row>
    <row r="8" spans="1:14" ht="14.4" thickBot="1">
      <c r="B8" s="66" t="s">
        <v>148</v>
      </c>
      <c r="C8" s="67"/>
      <c r="D8" s="67"/>
      <c r="E8" s="67"/>
      <c r="F8" s="67">
        <f ca="1">SUM(F5:F7)</f>
        <v>7109.5412478521121</v>
      </c>
      <c r="G8" s="67">
        <f t="shared" ref="G8:J8" ca="1" si="1">SUM(G5:G7)</f>
        <v>3906.0133448554734</v>
      </c>
      <c r="H8" s="67">
        <f t="shared" ca="1" si="1"/>
        <v>4180.4686837482168</v>
      </c>
      <c r="I8" s="67">
        <f t="shared" ca="1" si="1"/>
        <v>4488.8803209633843</v>
      </c>
      <c r="J8" s="68">
        <f t="shared" ca="1" si="1"/>
        <v>4800.1681461563439</v>
      </c>
    </row>
    <row r="10" spans="1:14" s="2" customForma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4.4" thickBot="1">
      <c r="B11" s="69"/>
      <c r="C11" s="70"/>
      <c r="D11" s="70"/>
      <c r="E11" s="70"/>
      <c r="F11" s="70"/>
      <c r="G11" s="70"/>
      <c r="H11" s="70"/>
      <c r="I11" s="70"/>
      <c r="J11" s="70"/>
    </row>
    <row r="12" spans="1:14">
      <c r="B12" s="71" t="s">
        <v>157</v>
      </c>
      <c r="C12" s="22"/>
      <c r="D12" s="22"/>
      <c r="E12" s="22"/>
      <c r="F12" s="60">
        <f>E35</f>
        <v>0</v>
      </c>
      <c r="G12" s="60">
        <f ca="1">F35</f>
        <v>0</v>
      </c>
      <c r="H12" s="60">
        <f ca="1">G35</f>
        <v>0</v>
      </c>
      <c r="I12" s="60">
        <f ca="1">H35</f>
        <v>0</v>
      </c>
      <c r="J12" s="61">
        <f ca="1">I35</f>
        <v>0</v>
      </c>
    </row>
    <row r="13" spans="1:14">
      <c r="B13" s="24" t="s">
        <v>154</v>
      </c>
      <c r="C13" s="31"/>
      <c r="D13" s="31"/>
      <c r="E13" s="31"/>
      <c r="F13" s="31"/>
      <c r="G13" s="31"/>
      <c r="H13" s="31"/>
      <c r="I13" s="31"/>
      <c r="J13" s="32"/>
    </row>
    <row r="14" spans="1:14">
      <c r="B14" s="24" t="s">
        <v>153</v>
      </c>
      <c r="C14" s="31" t="s">
        <v>149</v>
      </c>
      <c r="D14" s="72" t="s">
        <v>151</v>
      </c>
      <c r="E14" s="31"/>
      <c r="F14" s="31"/>
      <c r="G14" s="31"/>
      <c r="H14" s="31"/>
      <c r="I14" s="31"/>
      <c r="J14" s="32"/>
    </row>
    <row r="15" spans="1:14">
      <c r="B15" s="24" t="s">
        <v>152</v>
      </c>
      <c r="C15" s="31"/>
      <c r="D15" s="31">
        <v>2024</v>
      </c>
      <c r="E15" s="31"/>
      <c r="F15" s="39">
        <f t="shared" ref="F15:J20" si="2">E37</f>
        <v>2192.4</v>
      </c>
      <c r="G15" s="39">
        <f t="shared" si="2"/>
        <v>0</v>
      </c>
      <c r="H15" s="39">
        <f t="shared" ca="1" si="2"/>
        <v>0</v>
      </c>
      <c r="I15" s="39">
        <f t="shared" ca="1" si="2"/>
        <v>0</v>
      </c>
      <c r="J15" s="40">
        <f t="shared" ca="1" si="2"/>
        <v>0</v>
      </c>
    </row>
    <row r="16" spans="1:14" s="2" customFormat="1">
      <c r="A16" s="1"/>
      <c r="B16" s="24" t="s">
        <v>152</v>
      </c>
      <c r="C16" s="31"/>
      <c r="D16" s="31">
        <v>2025</v>
      </c>
      <c r="E16" s="31"/>
      <c r="F16" s="39">
        <f t="shared" si="2"/>
        <v>3092.7</v>
      </c>
      <c r="G16" s="39">
        <f t="shared" ca="1" si="2"/>
        <v>0</v>
      </c>
      <c r="H16" s="39">
        <f t="shared" ca="1" si="2"/>
        <v>0</v>
      </c>
      <c r="I16" s="39">
        <f t="shared" ca="1" si="2"/>
        <v>0</v>
      </c>
      <c r="J16" s="40">
        <f t="shared" ca="1" si="2"/>
        <v>0</v>
      </c>
      <c r="K16" s="1"/>
      <c r="L16" s="1"/>
      <c r="M16" s="1"/>
      <c r="N16" s="1"/>
    </row>
    <row r="17" spans="1:14">
      <c r="B17" s="24" t="s">
        <v>152</v>
      </c>
      <c r="C17" s="31"/>
      <c r="D17" s="31">
        <v>2026</v>
      </c>
      <c r="E17" s="31"/>
      <c r="F17" s="39">
        <f t="shared" si="2"/>
        <v>2436</v>
      </c>
      <c r="G17" s="39">
        <f t="shared" ca="1" si="2"/>
        <v>611.5587521478883</v>
      </c>
      <c r="H17" s="39">
        <f t="shared" ca="1" si="2"/>
        <v>0</v>
      </c>
      <c r="I17" s="39">
        <f t="shared" ca="1" si="2"/>
        <v>0</v>
      </c>
      <c r="J17" s="40">
        <f t="shared" ca="1" si="2"/>
        <v>0</v>
      </c>
    </row>
    <row r="18" spans="1:14">
      <c r="B18" s="24" t="s">
        <v>152</v>
      </c>
      <c r="C18" s="31"/>
      <c r="D18" s="31">
        <v>2027</v>
      </c>
      <c r="E18" s="31"/>
      <c r="F18" s="39">
        <f t="shared" si="2"/>
        <v>3113</v>
      </c>
      <c r="G18" s="39">
        <f t="shared" ca="1" si="2"/>
        <v>3113</v>
      </c>
      <c r="H18" s="39">
        <f t="shared" ca="1" si="2"/>
        <v>0</v>
      </c>
      <c r="I18" s="39">
        <f t="shared" ca="1" si="2"/>
        <v>0</v>
      </c>
      <c r="J18" s="40">
        <f t="shared" ca="1" si="2"/>
        <v>0</v>
      </c>
    </row>
    <row r="19" spans="1:14">
      <c r="B19" s="24" t="s">
        <v>152</v>
      </c>
      <c r="C19" s="31"/>
      <c r="D19" s="31">
        <v>2028</v>
      </c>
      <c r="E19" s="31"/>
      <c r="F19" s="39">
        <f t="shared" si="2"/>
        <v>4293.3999999999996</v>
      </c>
      <c r="G19" s="39">
        <f t="shared" ca="1" si="2"/>
        <v>4293.3999999999996</v>
      </c>
      <c r="H19" s="39">
        <f t="shared" ca="1" si="2"/>
        <v>4111.9454072924145</v>
      </c>
      <c r="I19" s="39">
        <f t="shared" ca="1" si="2"/>
        <v>0</v>
      </c>
      <c r="J19" s="40">
        <f t="shared" ca="1" si="2"/>
        <v>0</v>
      </c>
    </row>
    <row r="20" spans="1:14" s="2" customFormat="1" ht="14.4" thickBot="1">
      <c r="A20" s="1"/>
      <c r="B20" s="57" t="s">
        <v>152</v>
      </c>
      <c r="C20" s="64"/>
      <c r="D20" s="64">
        <v>2029</v>
      </c>
      <c r="E20" s="64"/>
      <c r="F20" s="46">
        <f t="shared" si="2"/>
        <v>24217.5</v>
      </c>
      <c r="G20" s="46">
        <f t="shared" ca="1" si="2"/>
        <v>24217.5</v>
      </c>
      <c r="H20" s="46">
        <f t="shared" ca="1" si="2"/>
        <v>24217.5</v>
      </c>
      <c r="I20" s="46">
        <f t="shared" ca="1" si="2"/>
        <v>24148.976723544198</v>
      </c>
      <c r="J20" s="47">
        <f t="shared" ca="1" si="2"/>
        <v>19660.096402580813</v>
      </c>
      <c r="K20" s="1"/>
      <c r="L20" s="1"/>
      <c r="M20" s="1"/>
      <c r="N20" s="1"/>
    </row>
    <row r="21" spans="1:14" s="2" customFormat="1">
      <c r="A21" s="1"/>
      <c r="B21" s="1"/>
      <c r="C21" s="1"/>
      <c r="D21" s="1" t="s">
        <v>47</v>
      </c>
      <c r="E21" s="12"/>
      <c r="F21" s="1"/>
      <c r="G21" s="1"/>
      <c r="H21" s="1"/>
      <c r="I21" s="1"/>
      <c r="J21" s="1"/>
      <c r="K21" s="1"/>
      <c r="L21" s="1"/>
      <c r="M21" s="1"/>
      <c r="N21" s="1"/>
    </row>
    <row r="22" spans="1:14" ht="14.4" thickBot="1">
      <c r="B22" s="69"/>
      <c r="C22" s="70"/>
      <c r="D22" s="70"/>
      <c r="E22" s="70"/>
      <c r="F22" s="70"/>
      <c r="G22" s="70"/>
      <c r="H22" s="70"/>
      <c r="I22" s="70"/>
      <c r="J22" s="70"/>
    </row>
    <row r="23" spans="1:14">
      <c r="B23" s="71" t="s">
        <v>156</v>
      </c>
      <c r="C23" s="22"/>
      <c r="D23" s="22"/>
      <c r="E23" s="22"/>
      <c r="F23" s="22"/>
      <c r="G23" s="22"/>
      <c r="H23" s="22"/>
      <c r="I23" s="22"/>
      <c r="J23" s="23"/>
    </row>
    <row r="24" spans="1:14">
      <c r="B24" s="24" t="s">
        <v>154</v>
      </c>
      <c r="C24" s="31"/>
      <c r="D24" s="31"/>
      <c r="E24" s="31"/>
      <c r="F24" s="73">
        <f ca="1">-MIN(F8+SUM(F26:F31),F12)</f>
        <v>0</v>
      </c>
      <c r="G24" s="73">
        <f ca="1">-MIN(G8+SUM(G26:G31),G12)</f>
        <v>0</v>
      </c>
      <c r="H24" s="73">
        <f ca="1">-MIN(H8+SUM(H26:H31),H12)</f>
        <v>0</v>
      </c>
      <c r="I24" s="73">
        <f ca="1">-MIN(I8+SUM(I26:I31),I12)</f>
        <v>0</v>
      </c>
      <c r="J24" s="74">
        <f ca="1">-MIN(J8+SUM(J26:J31),J12)</f>
        <v>0</v>
      </c>
    </row>
    <row r="25" spans="1:14">
      <c r="B25" s="24" t="s">
        <v>153</v>
      </c>
      <c r="C25" s="31" t="s">
        <v>158</v>
      </c>
      <c r="D25" s="72" t="s">
        <v>151</v>
      </c>
      <c r="E25" s="72"/>
      <c r="F25" s="31"/>
      <c r="G25" s="31"/>
      <c r="H25" s="31"/>
      <c r="I25" s="31"/>
      <c r="J25" s="32"/>
    </row>
    <row r="26" spans="1:14">
      <c r="B26" s="24" t="s">
        <v>152</v>
      </c>
      <c r="C26" s="31">
        <v>1</v>
      </c>
      <c r="D26" s="31">
        <v>2024</v>
      </c>
      <c r="E26" s="39"/>
      <c r="F26" s="75">
        <f>IF(F$3=$D26,-F15,-$C26*MAX(MIN(F$8+SUM(F$25:F25),F15),0))</f>
        <v>-2192.4</v>
      </c>
      <c r="G26" s="75">
        <f ca="1">IF(G$3=$D26,-G15,-$C26*MAX(MIN(G$8+SUM(G$25:G25),G15),0))</f>
        <v>0</v>
      </c>
      <c r="H26" s="75">
        <f ca="1">IF(H$3=$D26,-H15,-$C26*MAX(MIN(H$8+SUM(H$25:H25),H15),0))</f>
        <v>0</v>
      </c>
      <c r="I26" s="75">
        <f ca="1">IF(I$3=$D26,-I15,-$C26*MAX(MIN(I$8+SUM(I$25:I25),I15),0))</f>
        <v>0</v>
      </c>
      <c r="J26" s="76">
        <f ca="1">IF(J$3=$D26,-J15,-$C26*MAX(MIN(J$8+SUM(J$25:J25),J15),0))</f>
        <v>0</v>
      </c>
    </row>
    <row r="27" spans="1:14">
      <c r="B27" s="24" t="s">
        <v>152</v>
      </c>
      <c r="C27" s="31">
        <v>1</v>
      </c>
      <c r="D27" s="31">
        <v>2025</v>
      </c>
      <c r="E27" s="39"/>
      <c r="F27" s="75">
        <f ca="1">IF(F$3=$D27,-F16,-$C27*MAX(MIN(F$8+SUM(F$25:F26),F16),0))</f>
        <v>-3092.7</v>
      </c>
      <c r="G27" s="75">
        <f ca="1">IF(G$3=$D27,-G16,-$C27*MAX(MIN(G$8+SUM(G$25:G26),G16),0))</f>
        <v>0</v>
      </c>
      <c r="H27" s="75">
        <f ca="1">IF(H$3=$D27,-H16,-$C27*MAX(MIN(H$8+SUM(H$25:H26),H16),0))</f>
        <v>0</v>
      </c>
      <c r="I27" s="75">
        <f ca="1">IF(I$3=$D27,-I16,-$C27*MAX(MIN(I$8+SUM(I$25:I26),I16),0))</f>
        <v>0</v>
      </c>
      <c r="J27" s="76">
        <f ca="1">IF(J$3=$D27,-J16,-$C27*MAX(MIN(J$8+SUM(J$25:J26),J16),0))</f>
        <v>0</v>
      </c>
    </row>
    <row r="28" spans="1:14">
      <c r="B28" s="24" t="s">
        <v>152</v>
      </c>
      <c r="C28" s="31">
        <v>1</v>
      </c>
      <c r="D28" s="31">
        <v>2026</v>
      </c>
      <c r="E28" s="39"/>
      <c r="F28" s="75">
        <f ca="1">IF(F$3=$D28,-F17,-$C28*MAX(MIN(F$8+SUM(F$25:F27),F17),0))</f>
        <v>-1824.4412478521117</v>
      </c>
      <c r="G28" s="75">
        <f ca="1">IF(G$3=$D28,-G17,-$C28*MAX(MIN(G$8+SUM(G$25:G27),G17),0))</f>
        <v>-611.5587521478883</v>
      </c>
      <c r="H28" s="75">
        <f ca="1">IF(H$3=$D28,-H17,-$C28*MAX(MIN(H$8+SUM(H$25:H27),H17),0))</f>
        <v>0</v>
      </c>
      <c r="I28" s="75">
        <f ca="1">IF(I$3=$D28,-I17,-$C28*MAX(MIN(I$8+SUM(I$25:I27),I17),0))</f>
        <v>0</v>
      </c>
      <c r="J28" s="76">
        <f ca="1">IF(J$3=$D28,-J17,-$C28*MAX(MIN(J$8+SUM(J$25:J27),J17),0))</f>
        <v>0</v>
      </c>
    </row>
    <row r="29" spans="1:14">
      <c r="B29" s="24" t="s">
        <v>152</v>
      </c>
      <c r="C29" s="31">
        <v>1</v>
      </c>
      <c r="D29" s="31">
        <v>2027</v>
      </c>
      <c r="E29" s="39"/>
      <c r="F29" s="75">
        <f ca="1">IF(F$3=$D29,-F18,-$C29*MAX(MIN(F$8+SUM(F$25:F28),F18),0))</f>
        <v>0</v>
      </c>
      <c r="G29" s="75">
        <f ca="1">IF(G$3=$D29,-G18,-$C29*MAX(MIN(G$8+SUM(G$25:G28),G18),0))</f>
        <v>-3113</v>
      </c>
      <c r="H29" s="75">
        <f ca="1">IF(H$3=$D29,-H18,-$C29*MAX(MIN(H$8+SUM(H$25:H28),H18),0))</f>
        <v>0</v>
      </c>
      <c r="I29" s="75">
        <f ca="1">IF(I$3=$D29,-I18,-$C29*MAX(MIN(I$8+SUM(I$25:I28),I18),0))</f>
        <v>0</v>
      </c>
      <c r="J29" s="76">
        <f ca="1">IF(J$3=$D29,-J18,-$C29*MAX(MIN(J$8+SUM(J$25:J28),J18),0))</f>
        <v>0</v>
      </c>
    </row>
    <row r="30" spans="1:14">
      <c r="B30" s="24" t="s">
        <v>152</v>
      </c>
      <c r="C30" s="31">
        <v>1</v>
      </c>
      <c r="D30" s="31">
        <v>2028</v>
      </c>
      <c r="E30" s="39"/>
      <c r="F30" s="75">
        <f ca="1">IF(F$3=$D30,-F19,-$C30*MAX(MIN(F$8+SUM(F$25:F29),F19),0))</f>
        <v>0</v>
      </c>
      <c r="G30" s="75">
        <f ca="1">IF(G$3=$D30,-G19,-$C30*MAX(MIN(G$8+SUM(G$25:G29),G19),0))</f>
        <v>-181.45459270758511</v>
      </c>
      <c r="H30" s="75">
        <f ca="1">IF(H$3=$D30,-H19,-$C30*MAX(MIN(H$8+SUM(H$25:H29),H19),0))</f>
        <v>-4111.9454072924145</v>
      </c>
      <c r="I30" s="75">
        <f ca="1">IF(I$3=$D30,-I19,-$C30*MAX(MIN(I$8+SUM(I$25:I29),I19),0))</f>
        <v>0</v>
      </c>
      <c r="J30" s="76">
        <f ca="1">IF(J$3=$D30,-J19,-$C30*MAX(MIN(J$8+SUM(J$25:J29),J19),0))</f>
        <v>0</v>
      </c>
    </row>
    <row r="31" spans="1:14" s="2" customFormat="1" ht="14.4" thickBot="1">
      <c r="A31" s="1"/>
      <c r="B31" s="57" t="s">
        <v>152</v>
      </c>
      <c r="C31" s="64">
        <v>1</v>
      </c>
      <c r="D31" s="64">
        <v>2029</v>
      </c>
      <c r="E31" s="58"/>
      <c r="F31" s="77">
        <f ca="1">IF(F$3=$D31,-F20,-$C31*MAX(MIN(F$8+SUM(F$25:F30),F20),0))</f>
        <v>0</v>
      </c>
      <c r="G31" s="77">
        <f ca="1">IF(G$3=$D31,-G20,-$C31*MAX(MIN(G$8+SUM(G$25:G30),G20),0))</f>
        <v>0</v>
      </c>
      <c r="H31" s="77">
        <f ca="1">IF(H$3=$D31,-H20,-$C31*MAX(MIN(H$8+SUM(H$25:H30),H20),0))</f>
        <v>-68.523276455802261</v>
      </c>
      <c r="I31" s="77">
        <f ca="1">IF(I$3=$D31,-I20,-$C31*MAX(MIN(I$8+SUM(I$25:I30),I20),0))</f>
        <v>-4488.8803209633843</v>
      </c>
      <c r="J31" s="78">
        <f ca="1">IF(J$3=$D31,-J20,-$C31*MAX(MIN(J$8+SUM(J$25:J30),J20),0))</f>
        <v>-4800.1681461563439</v>
      </c>
      <c r="K31" s="1"/>
      <c r="L31" s="1"/>
      <c r="M31" s="1"/>
      <c r="N31" s="1"/>
    </row>
    <row r="33" spans="2:14" ht="14.4" thickBot="1">
      <c r="B33" s="69"/>
      <c r="C33" s="70"/>
      <c r="D33" s="70"/>
      <c r="E33" s="70"/>
      <c r="F33" s="70"/>
      <c r="G33" s="70"/>
      <c r="H33" s="70"/>
      <c r="I33" s="70"/>
      <c r="J33" s="70"/>
    </row>
    <row r="34" spans="2:14">
      <c r="B34" s="71" t="s">
        <v>155</v>
      </c>
      <c r="C34" s="22"/>
      <c r="D34" s="22"/>
      <c r="E34" s="22"/>
      <c r="F34" s="22"/>
      <c r="G34" s="22"/>
      <c r="H34" s="22"/>
      <c r="I34" s="22"/>
      <c r="J34" s="23"/>
    </row>
    <row r="35" spans="2:14">
      <c r="B35" s="24" t="s">
        <v>154</v>
      </c>
      <c r="C35" s="31"/>
      <c r="D35" s="31"/>
      <c r="E35" s="79">
        <v>0</v>
      </c>
      <c r="F35" s="39">
        <f ca="1">F12+F24</f>
        <v>0</v>
      </c>
      <c r="G35" s="39">
        <f ca="1">G12+G24</f>
        <v>0</v>
      </c>
      <c r="H35" s="39">
        <f ca="1">H12+H24</f>
        <v>0</v>
      </c>
      <c r="I35" s="39">
        <f ca="1">I12+I24</f>
        <v>0</v>
      </c>
      <c r="J35" s="40">
        <f ca="1">J12+J24</f>
        <v>0</v>
      </c>
    </row>
    <row r="36" spans="2:14">
      <c r="B36" s="24" t="s">
        <v>153</v>
      </c>
      <c r="C36" s="31" t="s">
        <v>149</v>
      </c>
      <c r="D36" s="72" t="s">
        <v>151</v>
      </c>
      <c r="E36" s="72" t="s">
        <v>150</v>
      </c>
      <c r="F36" s="31"/>
      <c r="G36" s="31"/>
      <c r="H36" s="31"/>
      <c r="I36" s="31"/>
      <c r="J36" s="32"/>
    </row>
    <row r="37" spans="2:14">
      <c r="B37" s="24" t="s">
        <v>152</v>
      </c>
      <c r="C37" s="31"/>
      <c r="D37" s="31">
        <v>2024</v>
      </c>
      <c r="E37" s="39">
        <v>2192.4</v>
      </c>
      <c r="F37" s="39">
        <f t="shared" ref="F37:J42" si="3">F15+F26</f>
        <v>0</v>
      </c>
      <c r="G37" s="39">
        <f t="shared" ca="1" si="3"/>
        <v>0</v>
      </c>
      <c r="H37" s="39">
        <f t="shared" ca="1" si="3"/>
        <v>0</v>
      </c>
      <c r="I37" s="39">
        <f t="shared" ca="1" si="3"/>
        <v>0</v>
      </c>
      <c r="J37" s="40">
        <f t="shared" ca="1" si="3"/>
        <v>0</v>
      </c>
    </row>
    <row r="38" spans="2:14">
      <c r="B38" s="24" t="s">
        <v>152</v>
      </c>
      <c r="C38" s="31"/>
      <c r="D38" s="31">
        <v>2025</v>
      </c>
      <c r="E38" s="39">
        <v>3092.7</v>
      </c>
      <c r="F38" s="39">
        <f t="shared" ca="1" si="3"/>
        <v>0</v>
      </c>
      <c r="G38" s="39">
        <f t="shared" ca="1" si="3"/>
        <v>0</v>
      </c>
      <c r="H38" s="39">
        <f t="shared" ca="1" si="3"/>
        <v>0</v>
      </c>
      <c r="I38" s="39">
        <f t="shared" ca="1" si="3"/>
        <v>0</v>
      </c>
      <c r="J38" s="40">
        <f t="shared" ca="1" si="3"/>
        <v>0</v>
      </c>
    </row>
    <row r="39" spans="2:14">
      <c r="B39" s="24" t="s">
        <v>152</v>
      </c>
      <c r="C39" s="31"/>
      <c r="D39" s="31">
        <v>2026</v>
      </c>
      <c r="E39" s="39">
        <v>2436</v>
      </c>
      <c r="F39" s="39">
        <f t="shared" ca="1" si="3"/>
        <v>611.5587521478883</v>
      </c>
      <c r="G39" s="39">
        <f t="shared" ca="1" si="3"/>
        <v>0</v>
      </c>
      <c r="H39" s="39">
        <f t="shared" ca="1" si="3"/>
        <v>0</v>
      </c>
      <c r="I39" s="39">
        <f t="shared" ca="1" si="3"/>
        <v>0</v>
      </c>
      <c r="J39" s="40">
        <f t="shared" ca="1" si="3"/>
        <v>0</v>
      </c>
    </row>
    <row r="40" spans="2:14">
      <c r="B40" s="24" t="s">
        <v>152</v>
      </c>
      <c r="C40" s="31"/>
      <c r="D40" s="31">
        <v>2027</v>
      </c>
      <c r="E40" s="39">
        <v>3113</v>
      </c>
      <c r="F40" s="39">
        <f t="shared" ca="1" si="3"/>
        <v>3113</v>
      </c>
      <c r="G40" s="39">
        <f t="shared" ca="1" si="3"/>
        <v>0</v>
      </c>
      <c r="H40" s="39">
        <f t="shared" ca="1" si="3"/>
        <v>0</v>
      </c>
      <c r="I40" s="39">
        <f t="shared" ca="1" si="3"/>
        <v>0</v>
      </c>
      <c r="J40" s="40">
        <f t="shared" ca="1" si="3"/>
        <v>0</v>
      </c>
    </row>
    <row r="41" spans="2:14">
      <c r="B41" s="24" t="s">
        <v>152</v>
      </c>
      <c r="C41" s="31"/>
      <c r="D41" s="31">
        <v>2028</v>
      </c>
      <c r="E41" s="39">
        <v>4293.3999999999996</v>
      </c>
      <c r="F41" s="39">
        <f t="shared" ca="1" si="3"/>
        <v>4293.3999999999996</v>
      </c>
      <c r="G41" s="39">
        <f t="shared" ca="1" si="3"/>
        <v>4111.9454072924145</v>
      </c>
      <c r="H41" s="39">
        <f t="shared" ca="1" si="3"/>
        <v>0</v>
      </c>
      <c r="I41" s="39">
        <f t="shared" ca="1" si="3"/>
        <v>0</v>
      </c>
      <c r="J41" s="40">
        <f t="shared" ca="1" si="3"/>
        <v>0</v>
      </c>
    </row>
    <row r="42" spans="2:14" ht="14.4" thickBot="1">
      <c r="B42" s="57" t="s">
        <v>152</v>
      </c>
      <c r="C42" s="64"/>
      <c r="D42" s="64">
        <v>2029</v>
      </c>
      <c r="E42" s="58">
        <f>24439.3-61.8-160</f>
        <v>24217.5</v>
      </c>
      <c r="F42" s="46">
        <f t="shared" ca="1" si="3"/>
        <v>24217.5</v>
      </c>
      <c r="G42" s="46">
        <f t="shared" ca="1" si="3"/>
        <v>24217.5</v>
      </c>
      <c r="H42" s="46">
        <f t="shared" ca="1" si="3"/>
        <v>24148.976723544198</v>
      </c>
      <c r="I42" s="46">
        <f t="shared" ca="1" si="3"/>
        <v>19660.096402580813</v>
      </c>
      <c r="J42" s="47">
        <f t="shared" ca="1" si="3"/>
        <v>14859.92825642447</v>
      </c>
    </row>
    <row r="43" spans="2:14">
      <c r="B43" s="24"/>
      <c r="C43" s="31"/>
      <c r="D43" s="31"/>
      <c r="E43" s="31"/>
      <c r="F43" s="31"/>
      <c r="G43" s="31"/>
      <c r="H43" s="31"/>
      <c r="I43" s="31"/>
      <c r="J43" s="32"/>
    </row>
    <row r="44" spans="2:14" ht="14.4" thickBot="1">
      <c r="B44" s="24"/>
      <c r="C44" s="31"/>
      <c r="D44" s="31"/>
      <c r="E44" s="31"/>
      <c r="F44" s="31"/>
      <c r="G44" s="31"/>
      <c r="H44" s="31"/>
      <c r="I44" s="31"/>
      <c r="J44" s="32"/>
    </row>
    <row r="45" spans="2:14" ht="14.4" thickBot="1">
      <c r="B45" s="80" t="s">
        <v>169</v>
      </c>
      <c r="C45" s="81">
        <f>BS!C33+BS!C24</f>
        <v>35622.699999999997</v>
      </c>
      <c r="D45" s="81">
        <f>BS!D33+BS!D24</f>
        <v>35903.5</v>
      </c>
      <c r="E45" s="81">
        <f>SUM(E35,E37:E42)</f>
        <v>39345</v>
      </c>
      <c r="F45" s="81">
        <f t="shared" ref="F45:J45" ca="1" si="4">SUM(F35,F37:F42)</f>
        <v>32235.45875214789</v>
      </c>
      <c r="G45" s="81">
        <f t="shared" ca="1" si="4"/>
        <v>28329.445407292413</v>
      </c>
      <c r="H45" s="81">
        <f t="shared" ca="1" si="4"/>
        <v>24148.976723544198</v>
      </c>
      <c r="I45" s="81">
        <f t="shared" ca="1" si="4"/>
        <v>19660.096402580813</v>
      </c>
      <c r="J45" s="82">
        <f t="shared" ca="1" si="4"/>
        <v>14859.92825642447</v>
      </c>
    </row>
    <row r="46" spans="2:14" s="2" customFormat="1" ht="14.4" thickTop="1">
      <c r="B46" s="36" t="s">
        <v>159</v>
      </c>
      <c r="C46" s="83"/>
      <c r="D46" s="83"/>
      <c r="E46" s="37">
        <f>BS!E24</f>
        <v>2192.4</v>
      </c>
      <c r="F46" s="37">
        <f ca="1">SUMIF($D$37:$D$42,G3,F37:F42)</f>
        <v>0</v>
      </c>
      <c r="G46" s="37">
        <f t="shared" ref="G46:J46" ca="1" si="5">SUMIF($D$37:$D$42,H3,G37:G42)</f>
        <v>0</v>
      </c>
      <c r="H46" s="37">
        <f t="shared" ca="1" si="5"/>
        <v>0</v>
      </c>
      <c r="I46" s="37">
        <f t="shared" ca="1" si="5"/>
        <v>0</v>
      </c>
      <c r="J46" s="38">
        <f t="shared" si="5"/>
        <v>0</v>
      </c>
    </row>
    <row r="47" spans="2:14" s="2" customFormat="1">
      <c r="B47" s="36" t="s">
        <v>160</v>
      </c>
      <c r="C47" s="83"/>
      <c r="D47" s="83"/>
      <c r="E47" s="37">
        <f>E45-E46</f>
        <v>37152.6</v>
      </c>
      <c r="F47" s="37">
        <f t="shared" ref="F47:J47" ca="1" si="6">F45-F46</f>
        <v>32235.45875214789</v>
      </c>
      <c r="G47" s="37">
        <f t="shared" ca="1" si="6"/>
        <v>28329.445407292413</v>
      </c>
      <c r="H47" s="37">
        <f t="shared" ca="1" si="6"/>
        <v>24148.976723544198</v>
      </c>
      <c r="I47" s="37">
        <f t="shared" ca="1" si="6"/>
        <v>19660.096402580813</v>
      </c>
      <c r="J47" s="38">
        <f t="shared" ca="1" si="6"/>
        <v>14859.92825642447</v>
      </c>
    </row>
    <row r="48" spans="2:14" s="2" customFormat="1">
      <c r="B48" s="24"/>
      <c r="C48" s="31"/>
      <c r="D48" s="31"/>
      <c r="E48" s="31"/>
      <c r="F48" s="31"/>
      <c r="G48" s="31"/>
      <c r="H48" s="31"/>
      <c r="I48" s="31"/>
      <c r="J48" s="32"/>
      <c r="K48" s="1"/>
      <c r="L48" s="1"/>
      <c r="M48" s="1"/>
      <c r="N48" s="1"/>
    </row>
    <row r="49" spans="2:10" ht="14.4" thickBot="1">
      <c r="B49" s="45" t="s">
        <v>161</v>
      </c>
      <c r="C49" s="84"/>
      <c r="D49" s="84"/>
      <c r="E49" s="85">
        <f>IS!E23/AVERAGE(Debt!D45:E45)</f>
        <v>3.6168162820521335E-2</v>
      </c>
      <c r="F49" s="86">
        <f ca="1">AVERAGE(E45:F45)*$E$49</f>
        <v>1294.4668434576481</v>
      </c>
      <c r="G49" s="86">
        <f t="shared" ref="G49:J49" ca="1" si="7">AVERAGE(F45:G45)*$E$49</f>
        <v>1095.2606574239533</v>
      </c>
      <c r="H49" s="86">
        <f t="shared" ca="1" si="7"/>
        <v>949.02405809607433</v>
      </c>
      <c r="I49" s="86">
        <f t="shared" ca="1" si="7"/>
        <v>792.24684492090751</v>
      </c>
      <c r="J49" s="87">
        <f t="shared" ca="1" si="7"/>
        <v>624.26293621765728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58EF-03B9-4D44-BA7B-B99AE80FC448}">
  <dimension ref="A1:J24"/>
  <sheetViews>
    <sheetView zoomScaleNormal="100" workbookViewId="0">
      <pane ySplit="3" topLeftCell="A4" activePane="bottomLeft" state="frozen"/>
      <selection activeCell="F38" sqref="F38"/>
      <selection pane="bottomLeft" activeCell="B27" sqref="B27"/>
    </sheetView>
  </sheetViews>
  <sheetFormatPr defaultRowHeight="13.8"/>
  <cols>
    <col min="1" max="1" width="5.33203125" style="1" customWidth="1"/>
    <col min="2" max="2" width="57.77734375" style="1" customWidth="1"/>
    <col min="3" max="10" width="11.77734375" style="1" customWidth="1"/>
    <col min="11" max="11" width="9" style="1" bestFit="1" customWidth="1"/>
    <col min="12" max="16384" width="8.88671875" style="1"/>
  </cols>
  <sheetData>
    <row r="1" spans="1:10" s="5" customFormat="1" ht="17.399999999999999">
      <c r="A1" s="3"/>
      <c r="B1" s="4" t="s">
        <v>173</v>
      </c>
      <c r="C1" s="3"/>
      <c r="D1" s="3"/>
      <c r="E1" s="3"/>
      <c r="F1" s="3"/>
      <c r="G1" s="3"/>
      <c r="H1" s="3"/>
      <c r="I1" s="3"/>
      <c r="J1" s="3"/>
    </row>
    <row r="2" spans="1:10" s="5" customFormat="1" ht="17.399999999999999">
      <c r="A2" s="3"/>
      <c r="B2" s="3"/>
      <c r="C2" s="6" t="s">
        <v>2</v>
      </c>
      <c r="D2" s="6"/>
      <c r="E2" s="7"/>
      <c r="F2" s="6" t="s">
        <v>3</v>
      </c>
      <c r="G2" s="6"/>
      <c r="H2" s="6"/>
      <c r="I2" s="6"/>
      <c r="J2" s="6"/>
    </row>
    <row r="3" spans="1:10" s="5" customFormat="1" ht="17.399999999999999">
      <c r="A3" s="3"/>
      <c r="B3" s="4" t="s">
        <v>1</v>
      </c>
      <c r="C3" s="8">
        <v>2021</v>
      </c>
      <c r="D3" s="8">
        <f>C3+1</f>
        <v>2022</v>
      </c>
      <c r="E3" s="9">
        <f>D3+1</f>
        <v>2023</v>
      </c>
      <c r="F3" s="10">
        <f t="shared" ref="F3:J3" si="0">E3+1</f>
        <v>2024</v>
      </c>
      <c r="G3" s="11">
        <f t="shared" si="0"/>
        <v>2025</v>
      </c>
      <c r="H3" s="11">
        <f t="shared" si="0"/>
        <v>2026</v>
      </c>
      <c r="I3" s="11">
        <f t="shared" si="0"/>
        <v>2027</v>
      </c>
      <c r="J3" s="11">
        <f t="shared" si="0"/>
        <v>2028</v>
      </c>
    </row>
    <row r="5" spans="1:10">
      <c r="B5" s="1" t="s">
        <v>175</v>
      </c>
      <c r="D5" s="19" t="str">
        <f>INDEX(B10:B12,E5)</f>
        <v>Best</v>
      </c>
      <c r="E5" s="20">
        <v>1</v>
      </c>
    </row>
    <row r="6" spans="1:10" ht="14.4" thickBot="1"/>
    <row r="7" spans="1:10" ht="14.4" thickBot="1">
      <c r="B7" s="101" t="s">
        <v>174</v>
      </c>
    </row>
    <row r="8" spans="1:10" ht="14.4" thickBot="1">
      <c r="B8" s="100" t="s">
        <v>165</v>
      </c>
      <c r="C8" s="102"/>
      <c r="D8" s="103">
        <v>0.04</v>
      </c>
      <c r="E8" s="103">
        <v>0.15</v>
      </c>
      <c r="F8" s="103">
        <f>INDEX(F10:F12,$E$5)</f>
        <v>0.15</v>
      </c>
      <c r="G8" s="103">
        <f t="shared" ref="G8:J8" si="1">INDEX(G10:G12,$E$5)</f>
        <v>0.15</v>
      </c>
      <c r="H8" s="103">
        <f t="shared" si="1"/>
        <v>0.15</v>
      </c>
      <c r="I8" s="103">
        <f t="shared" si="1"/>
        <v>0.15</v>
      </c>
      <c r="J8" s="104">
        <f t="shared" si="1"/>
        <v>0.15</v>
      </c>
    </row>
    <row r="9" spans="1:10">
      <c r="B9" s="92"/>
      <c r="C9" s="31"/>
      <c r="D9" s="31"/>
      <c r="E9" s="31"/>
      <c r="F9" s="31"/>
      <c r="G9" s="31"/>
      <c r="H9" s="31"/>
      <c r="I9" s="31"/>
      <c r="J9" s="93"/>
    </row>
    <row r="10" spans="1:10">
      <c r="B10" s="92" t="s">
        <v>166</v>
      </c>
      <c r="C10" s="31"/>
      <c r="D10" s="31"/>
      <c r="E10" s="31"/>
      <c r="F10" s="89">
        <v>0.15</v>
      </c>
      <c r="G10" s="89">
        <v>0.15</v>
      </c>
      <c r="H10" s="89">
        <v>0.15</v>
      </c>
      <c r="I10" s="89">
        <v>0.15</v>
      </c>
      <c r="J10" s="94">
        <v>0.15</v>
      </c>
    </row>
    <row r="11" spans="1:10">
      <c r="B11" s="92" t="s">
        <v>167</v>
      </c>
      <c r="C11" s="31"/>
      <c r="D11" s="31"/>
      <c r="E11" s="31"/>
      <c r="F11" s="89">
        <v>0.1</v>
      </c>
      <c r="G11" s="89">
        <v>0.1</v>
      </c>
      <c r="H11" s="89">
        <v>0.1</v>
      </c>
      <c r="I11" s="89">
        <v>0.1</v>
      </c>
      <c r="J11" s="94">
        <v>0.1</v>
      </c>
    </row>
    <row r="12" spans="1:10" ht="14.4" thickBot="1">
      <c r="B12" s="95" t="s">
        <v>168</v>
      </c>
      <c r="C12" s="96"/>
      <c r="D12" s="96"/>
      <c r="E12" s="96"/>
      <c r="F12" s="97">
        <v>0.04</v>
      </c>
      <c r="G12" s="97">
        <v>0.04</v>
      </c>
      <c r="H12" s="97">
        <v>0.04</v>
      </c>
      <c r="I12" s="97">
        <v>0.04</v>
      </c>
      <c r="J12" s="98">
        <v>0.04</v>
      </c>
    </row>
    <row r="13" spans="1:10" ht="14.4" thickBot="1"/>
    <row r="14" spans="1:10" ht="14.4" thickBot="1">
      <c r="B14" s="100" t="s">
        <v>32</v>
      </c>
      <c r="C14" s="105"/>
      <c r="D14" s="103">
        <f>Revenue!D51</f>
        <v>0.29068562001357767</v>
      </c>
      <c r="E14" s="103">
        <f>Revenue!E51</f>
        <v>6.8832094213014727E-2</v>
      </c>
      <c r="F14" s="103">
        <f>INDEX(F16:F18,$E$5)</f>
        <v>0.28999999999999998</v>
      </c>
      <c r="G14" s="103">
        <f t="shared" ref="G14:J14" si="2">INDEX(G16:G18,$E$5)</f>
        <v>0.28999999999999998</v>
      </c>
      <c r="H14" s="103">
        <f t="shared" si="2"/>
        <v>0.28999999999999998</v>
      </c>
      <c r="I14" s="103">
        <f t="shared" si="2"/>
        <v>0.28999999999999998</v>
      </c>
      <c r="J14" s="104">
        <f t="shared" si="2"/>
        <v>0.28999999999999998</v>
      </c>
    </row>
    <row r="15" spans="1:10">
      <c r="B15" s="90"/>
      <c r="C15" s="91"/>
      <c r="D15" s="91"/>
      <c r="E15" s="91"/>
      <c r="F15" s="91"/>
      <c r="G15" s="91"/>
      <c r="H15" s="91"/>
      <c r="I15" s="91"/>
      <c r="J15" s="99"/>
    </row>
    <row r="16" spans="1:10">
      <c r="B16" s="92" t="s">
        <v>166</v>
      </c>
      <c r="C16" s="31"/>
      <c r="D16" s="31"/>
      <c r="E16" s="31"/>
      <c r="F16" s="89">
        <v>0.28999999999999998</v>
      </c>
      <c r="G16" s="89">
        <v>0.28999999999999998</v>
      </c>
      <c r="H16" s="89">
        <v>0.28999999999999998</v>
      </c>
      <c r="I16" s="89">
        <v>0.28999999999999998</v>
      </c>
      <c r="J16" s="94">
        <v>0.28999999999999998</v>
      </c>
    </row>
    <row r="17" spans="2:10">
      <c r="B17" s="92" t="s">
        <v>167</v>
      </c>
      <c r="C17" s="31"/>
      <c r="D17" s="31"/>
      <c r="E17" s="31"/>
      <c r="F17" s="89">
        <v>0.18</v>
      </c>
      <c r="G17" s="89">
        <v>0.18</v>
      </c>
      <c r="H17" s="89">
        <v>0.18</v>
      </c>
      <c r="I17" s="89">
        <v>0.18</v>
      </c>
      <c r="J17" s="94">
        <v>0.18</v>
      </c>
    </row>
    <row r="18" spans="2:10" ht="14.4" thickBot="1">
      <c r="B18" s="95" t="s">
        <v>168</v>
      </c>
      <c r="C18" s="96"/>
      <c r="D18" s="96"/>
      <c r="E18" s="96"/>
      <c r="F18" s="97">
        <v>7.0000000000000007E-2</v>
      </c>
      <c r="G18" s="97">
        <v>7.0000000000000007E-2</v>
      </c>
      <c r="H18" s="97">
        <v>7.0000000000000007E-2</v>
      </c>
      <c r="I18" s="97">
        <v>7.0000000000000007E-2</v>
      </c>
      <c r="J18" s="98">
        <v>7.0000000000000007E-2</v>
      </c>
    </row>
    <row r="19" spans="2:10" ht="14.4" thickBot="1"/>
    <row r="20" spans="2:10" ht="14.4" thickBot="1">
      <c r="B20" s="100" t="s">
        <v>33</v>
      </c>
      <c r="C20" s="105"/>
      <c r="D20" s="103">
        <f>Revenue!D52</f>
        <v>-7.7896786757558623E-4</v>
      </c>
      <c r="E20" s="103">
        <f>Revenue!E52</f>
        <v>7.9740165463033641E-2</v>
      </c>
      <c r="F20" s="103">
        <f>INDEX(F22:F24,$E$5)</f>
        <v>0.08</v>
      </c>
      <c r="G20" s="103">
        <f t="shared" ref="G20:J20" si="3">INDEX(G22:G24,$E$5)</f>
        <v>0.08</v>
      </c>
      <c r="H20" s="103">
        <f t="shared" si="3"/>
        <v>0.08</v>
      </c>
      <c r="I20" s="103">
        <f t="shared" si="3"/>
        <v>0.08</v>
      </c>
      <c r="J20" s="104">
        <f t="shared" si="3"/>
        <v>0.08</v>
      </c>
    </row>
    <row r="21" spans="2:10">
      <c r="B21" s="90"/>
      <c r="C21" s="91"/>
      <c r="D21" s="91"/>
      <c r="E21" s="91"/>
      <c r="F21" s="91"/>
      <c r="G21" s="91"/>
      <c r="H21" s="91"/>
      <c r="I21" s="91"/>
      <c r="J21" s="99"/>
    </row>
    <row r="22" spans="2:10">
      <c r="B22" s="92" t="s">
        <v>166</v>
      </c>
      <c r="C22" s="31"/>
      <c r="D22" s="31"/>
      <c r="E22" s="31"/>
      <c r="F22" s="89">
        <v>0.08</v>
      </c>
      <c r="G22" s="89">
        <v>0.08</v>
      </c>
      <c r="H22" s="89">
        <v>0.08</v>
      </c>
      <c r="I22" s="89">
        <v>0.08</v>
      </c>
      <c r="J22" s="94">
        <v>0.08</v>
      </c>
    </row>
    <row r="23" spans="2:10">
      <c r="B23" s="92" t="s">
        <v>167</v>
      </c>
      <c r="C23" s="31"/>
      <c r="D23" s="31"/>
      <c r="E23" s="31"/>
      <c r="F23" s="89">
        <v>0.04</v>
      </c>
      <c r="G23" s="89">
        <v>0.04</v>
      </c>
      <c r="H23" s="89">
        <v>0.04</v>
      </c>
      <c r="I23" s="89">
        <v>0.04</v>
      </c>
      <c r="J23" s="94">
        <v>0.04</v>
      </c>
    </row>
    <row r="24" spans="2:10" ht="14.4" thickBot="1">
      <c r="B24" s="95" t="s">
        <v>168</v>
      </c>
      <c r="C24" s="96"/>
      <c r="D24" s="96"/>
      <c r="E24" s="96"/>
      <c r="F24" s="97">
        <v>0.01</v>
      </c>
      <c r="G24" s="97">
        <v>0.01</v>
      </c>
      <c r="H24" s="97">
        <v>0.01</v>
      </c>
      <c r="I24" s="97">
        <v>0.01</v>
      </c>
      <c r="J24" s="98">
        <v>0.01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Dashboard</vt:lpstr>
      <vt:lpstr>IS</vt:lpstr>
      <vt:lpstr>BS</vt:lpstr>
      <vt:lpstr>CFS</vt:lpstr>
      <vt:lpstr>DCF</vt:lpstr>
      <vt:lpstr>Levered Beta</vt:lpstr>
      <vt:lpstr>RATIOS</vt:lpstr>
      <vt:lpstr>Debt</vt:lpstr>
      <vt:lpstr>Scenario</vt:lpstr>
      <vt:lpstr>EXPENSE</vt:lpstr>
      <vt:lpstr>Revenue</vt:lpstr>
      <vt:lpstr>BS SCHEDULES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gajendra darade</dc:creator>
  <cp:lastModifiedBy>gajendra darade</cp:lastModifiedBy>
  <cp:lastPrinted>2024-08-07T21:47:14Z</cp:lastPrinted>
  <dcterms:created xsi:type="dcterms:W3CDTF">2015-06-05T18:17:20Z</dcterms:created>
  <dcterms:modified xsi:type="dcterms:W3CDTF">2024-08-07T21:47:27Z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2024-08-04T09:32:52Z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974199f2-63ee-4d34-86ac-2f872c92c6b0</vt:lpwstr>
  </property>
  <property fmtid="{D5CDD505-2E9C-101B-9397-08002B2CF9AE}" pid="7" name="MSIP_Label_defa4170-0d19-0005-0004-bc88714345d2_ActionId">
    <vt:lpwstr>2423d3de-f4a8-4b8f-8f89-60e5242884d8</vt:lpwstr>
  </property>
  <property fmtid="{D5CDD505-2E9C-101B-9397-08002B2CF9AE}" pid="8" name="MSIP_Label_defa4170-0d19-0005-0004-bc88714345d2_ContentBits">
    <vt:lpwstr>0</vt:lpwstr>
  </property>
</Properties>
</file>