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ajud\OneDrive\Desktop\"/>
    </mc:Choice>
  </mc:AlternateContent>
  <xr:revisionPtr revIDLastSave="0" documentId="13_ncr:1_{3D61CED9-F7B6-4620-B711-1464A98AC2A2}" xr6:coauthVersionLast="47" xr6:coauthVersionMax="47" xr10:uidLastSave="{00000000-0000-0000-0000-000000000000}"/>
  <bookViews>
    <workbookView xWindow="-108" yWindow="-108" windowWidth="23256" windowHeight="12456" tabRatio="898" xr2:uid="{00000000-000D-0000-FFFF-FFFF00000000}"/>
  </bookViews>
  <sheets>
    <sheet name="Dashboard" sheetId="18" r:id="rId1"/>
    <sheet name="IS" sheetId="4" r:id="rId2"/>
    <sheet name="BS" sheetId="6" r:id="rId3"/>
    <sheet name="CF" sheetId="10" r:id="rId4"/>
    <sheet name="DCF" sheetId="13" r:id="rId5"/>
    <sheet name="Ratio " sheetId="17" r:id="rId6"/>
    <sheet name="Scenario " sheetId="12" r:id="rId7"/>
    <sheet name="Revenue " sheetId="3" r:id="rId8"/>
    <sheet name="Debt " sheetId="11" r:id="rId9"/>
    <sheet name="Expense Schedule " sheetId="1" r:id="rId10"/>
    <sheet name="BS1" sheetId="7" r:id="rId11"/>
    <sheet name="BS2" sheetId="8" r:id="rId12"/>
    <sheet name="Sheet1" sheetId="19" r:id="rId13"/>
    <sheet name="Sheet4" sheetId="22" r:id="rId14"/>
    <sheet name="Sheet3" sheetId="21" r:id="rId15"/>
  </sheets>
  <definedNames>
    <definedName name="WACC" localSheetId="0">Dashboard!$C$49</definedName>
    <definedName name="WACC">DCF!$C$49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7" l="1"/>
  <c r="C19" i="4"/>
  <c r="D34" i="17"/>
  <c r="D33" i="17"/>
  <c r="D30" i="17"/>
  <c r="D29" i="17"/>
  <c r="K44" i="3"/>
  <c r="K33" i="3"/>
  <c r="K22" i="3"/>
  <c r="K11" i="3"/>
  <c r="D9" i="19" l="1"/>
  <c r="D8" i="19"/>
  <c r="D7" i="19"/>
  <c r="D6" i="19"/>
  <c r="E7" i="19" l="1"/>
  <c r="E9" i="19"/>
  <c r="E6" i="19"/>
  <c r="E8" i="19"/>
  <c r="D35" i="17"/>
  <c r="E34" i="17"/>
  <c r="E35" i="17" s="1"/>
  <c r="E33" i="17"/>
  <c r="D32" i="17"/>
  <c r="E32" i="17"/>
  <c r="D31" i="17"/>
  <c r="E31" i="17"/>
  <c r="D24" i="17"/>
  <c r="D23" i="17"/>
  <c r="D22" i="17"/>
  <c r="E30" i="17"/>
  <c r="E29" i="17"/>
  <c r="E22" i="17"/>
  <c r="E24" i="17"/>
  <c r="E23" i="17"/>
  <c r="D18" i="4"/>
  <c r="E18" i="4"/>
  <c r="C18" i="4"/>
  <c r="D9" i="17"/>
  <c r="D8" i="17"/>
  <c r="D7" i="17"/>
  <c r="E7" i="17"/>
  <c r="E9" i="17"/>
  <c r="E8" i="17"/>
  <c r="F3" i="17"/>
  <c r="G3" i="17" s="1"/>
  <c r="H3" i="17" s="1"/>
  <c r="I3" i="17" s="1"/>
  <c r="J3" i="17" s="1"/>
  <c r="G17" i="13" l="1"/>
  <c r="H17" i="13" s="1"/>
  <c r="I17" i="13" s="1"/>
  <c r="J17" i="13" s="1"/>
  <c r="K45" i="13"/>
  <c r="K46" i="13"/>
  <c r="K44" i="13"/>
  <c r="L44" i="13"/>
  <c r="L45" i="13"/>
  <c r="L46" i="13"/>
  <c r="F44" i="13"/>
  <c r="F43" i="13"/>
  <c r="C43" i="13"/>
  <c r="C46" i="13" s="1"/>
  <c r="K38" i="13"/>
  <c r="K39" i="13"/>
  <c r="K40" i="13"/>
  <c r="K37" i="13"/>
  <c r="C41" i="13"/>
  <c r="G6" i="13"/>
  <c r="H6" i="13"/>
  <c r="I6" i="13"/>
  <c r="J6" i="13"/>
  <c r="C18" i="1"/>
  <c r="F6" i="13"/>
  <c r="C47" i="13" l="1"/>
  <c r="K41" i="13"/>
  <c r="K48" i="13"/>
  <c r="L48" i="13"/>
  <c r="F46" i="13" s="1"/>
  <c r="C24" i="13" s="1"/>
  <c r="F3" i="13"/>
  <c r="G3" i="13" s="1"/>
  <c r="H3" i="13" s="1"/>
  <c r="I3" i="13" s="1"/>
  <c r="J3" i="13" s="1"/>
  <c r="E60" i="12"/>
  <c r="D60" i="12"/>
  <c r="E54" i="12"/>
  <c r="D54" i="12"/>
  <c r="H63" i="12"/>
  <c r="J64" i="12"/>
  <c r="E45" i="12"/>
  <c r="D45" i="12"/>
  <c r="E39" i="12"/>
  <c r="D39" i="12"/>
  <c r="I48" i="12"/>
  <c r="H48" i="12"/>
  <c r="F47" i="12"/>
  <c r="J49" i="12"/>
  <c r="J13" i="12"/>
  <c r="I13" i="12"/>
  <c r="H13" i="12"/>
  <c r="G13" i="12"/>
  <c r="F13" i="12"/>
  <c r="J12" i="12"/>
  <c r="I12" i="12"/>
  <c r="H12" i="12"/>
  <c r="G12" i="12"/>
  <c r="F12" i="12"/>
  <c r="J11" i="12"/>
  <c r="I11" i="12"/>
  <c r="H11" i="12"/>
  <c r="G11" i="12"/>
  <c r="F11" i="12"/>
  <c r="J19" i="12"/>
  <c r="I19" i="12"/>
  <c r="H19" i="12"/>
  <c r="G19" i="12"/>
  <c r="F19" i="12"/>
  <c r="J18" i="12"/>
  <c r="I18" i="12"/>
  <c r="H18" i="12"/>
  <c r="G18" i="12"/>
  <c r="F18" i="12"/>
  <c r="J17" i="12"/>
  <c r="I17" i="12"/>
  <c r="H17" i="12"/>
  <c r="G17" i="12"/>
  <c r="F17" i="12"/>
  <c r="J28" i="12"/>
  <c r="I28" i="12"/>
  <c r="H28" i="12"/>
  <c r="G28" i="12"/>
  <c r="F28" i="12"/>
  <c r="J27" i="12"/>
  <c r="I27" i="12"/>
  <c r="H27" i="12"/>
  <c r="G27" i="12"/>
  <c r="F27" i="12"/>
  <c r="J26" i="12"/>
  <c r="I26" i="12"/>
  <c r="H26" i="12"/>
  <c r="G26" i="12"/>
  <c r="F26" i="12"/>
  <c r="G32" i="12"/>
  <c r="H32" i="12"/>
  <c r="I32" i="12"/>
  <c r="J32" i="12"/>
  <c r="G33" i="12"/>
  <c r="H33" i="12"/>
  <c r="I33" i="12"/>
  <c r="J33" i="12"/>
  <c r="G34" i="12"/>
  <c r="H34" i="12"/>
  <c r="I34" i="12"/>
  <c r="J34" i="12"/>
  <c r="F34" i="12"/>
  <c r="F33" i="12"/>
  <c r="F32" i="12"/>
  <c r="E30" i="12"/>
  <c r="D30" i="12"/>
  <c r="E24" i="12"/>
  <c r="D24" i="12"/>
  <c r="E15" i="12"/>
  <c r="D15" i="12"/>
  <c r="E6" i="12"/>
  <c r="G9" i="12" s="1" a="1"/>
  <c r="G9" i="12" s="1"/>
  <c r="G17" i="3" s="1"/>
  <c r="E9" i="12"/>
  <c r="D9" i="12"/>
  <c r="F3" i="12"/>
  <c r="G3" i="12" s="1"/>
  <c r="H3" i="12" s="1"/>
  <c r="I3" i="12" s="1"/>
  <c r="J3" i="12" s="1"/>
  <c r="F38" i="13" l="1"/>
  <c r="F39" i="13" s="1"/>
  <c r="J45" i="12" a="1"/>
  <c r="J45" i="12" s="1"/>
  <c r="J40" i="3" s="1"/>
  <c r="J60" i="12" a="1"/>
  <c r="J60" i="12" s="1"/>
  <c r="J51" i="3" s="1"/>
  <c r="F58" i="12"/>
  <c r="F54" i="12" s="1" a="1"/>
  <c r="F54" i="12" s="1"/>
  <c r="F50" i="3" s="1"/>
  <c r="G56" i="12"/>
  <c r="H56" i="12"/>
  <c r="J57" i="12"/>
  <c r="I56" i="12"/>
  <c r="G58" i="12"/>
  <c r="G54" i="12" s="1" a="1"/>
  <c r="G54" i="12" s="1"/>
  <c r="G50" i="3" s="1"/>
  <c r="F62" i="12"/>
  <c r="I63" i="12"/>
  <c r="J56" i="12"/>
  <c r="H58" i="12"/>
  <c r="H54" i="12" s="1" a="1"/>
  <c r="H54" i="12" s="1"/>
  <c r="H50" i="3" s="1"/>
  <c r="G62" i="12"/>
  <c r="J63" i="12"/>
  <c r="F57" i="12"/>
  <c r="I58" i="12"/>
  <c r="I54" i="12" s="1" a="1"/>
  <c r="I54" i="12" s="1"/>
  <c r="I50" i="3" s="1"/>
  <c r="H62" i="12"/>
  <c r="F64" i="12"/>
  <c r="F60" i="12" s="1" a="1"/>
  <c r="F60" i="12" s="1"/>
  <c r="F51" i="3" s="1"/>
  <c r="G57" i="12"/>
  <c r="J58" i="12"/>
  <c r="J54" i="12" s="1" a="1"/>
  <c r="J54" i="12" s="1"/>
  <c r="J50" i="3" s="1"/>
  <c r="I62" i="12"/>
  <c r="G64" i="12"/>
  <c r="G60" i="12" s="1" a="1"/>
  <c r="G60" i="12" s="1"/>
  <c r="G51" i="3" s="1"/>
  <c r="H57" i="12"/>
  <c r="J62" i="12"/>
  <c r="H64" i="12"/>
  <c r="H60" i="12" s="1" a="1"/>
  <c r="H60" i="12" s="1"/>
  <c r="H51" i="3" s="1"/>
  <c r="F56" i="12"/>
  <c r="I57" i="12"/>
  <c r="F63" i="12"/>
  <c r="I64" i="12"/>
  <c r="I60" i="12" s="1" a="1"/>
  <c r="I60" i="12" s="1"/>
  <c r="I51" i="3" s="1"/>
  <c r="G63" i="12"/>
  <c r="I41" i="12"/>
  <c r="H42" i="12"/>
  <c r="F43" i="12"/>
  <c r="F39" i="12" s="1" a="1"/>
  <c r="F39" i="12" s="1"/>
  <c r="F39" i="3" s="1"/>
  <c r="J42" i="12"/>
  <c r="I42" i="12"/>
  <c r="F41" i="12"/>
  <c r="H41" i="12"/>
  <c r="G43" i="12"/>
  <c r="G39" i="12" s="1" a="1"/>
  <c r="G39" i="12" s="1"/>
  <c r="G39" i="3" s="1"/>
  <c r="J41" i="12"/>
  <c r="H43" i="12"/>
  <c r="H39" i="12" s="1" a="1"/>
  <c r="H39" i="12" s="1"/>
  <c r="H39" i="3" s="1"/>
  <c r="G47" i="12"/>
  <c r="J48" i="12"/>
  <c r="F42" i="12"/>
  <c r="I43" i="12"/>
  <c r="I39" i="12" s="1" a="1"/>
  <c r="I39" i="12" s="1"/>
  <c r="I39" i="3" s="1"/>
  <c r="H47" i="12"/>
  <c r="F49" i="12"/>
  <c r="F45" i="12" s="1" a="1"/>
  <c r="F45" i="12" s="1"/>
  <c r="F40" i="3" s="1"/>
  <c r="G42" i="12"/>
  <c r="J43" i="12"/>
  <c r="J39" i="12" s="1" a="1"/>
  <c r="J39" i="12" s="1"/>
  <c r="J39" i="3" s="1"/>
  <c r="I47" i="12"/>
  <c r="G49" i="12"/>
  <c r="G45" i="12" s="1" a="1"/>
  <c r="G45" i="12" s="1"/>
  <c r="G40" i="3" s="1"/>
  <c r="J47" i="12"/>
  <c r="H49" i="12"/>
  <c r="H45" i="12" s="1" a="1"/>
  <c r="H45" i="12" s="1"/>
  <c r="H40" i="3" s="1"/>
  <c r="F48" i="12"/>
  <c r="I49" i="12"/>
  <c r="I45" i="12" s="1" a="1"/>
  <c r="I45" i="12" s="1"/>
  <c r="I40" i="3" s="1"/>
  <c r="G41" i="12"/>
  <c r="G48" i="12"/>
  <c r="J24" i="12" a="1"/>
  <c r="J24" i="12" s="1"/>
  <c r="J28" i="3" s="1"/>
  <c r="F30" i="12" a="1"/>
  <c r="F30" i="12" s="1"/>
  <c r="F29" i="3" s="1"/>
  <c r="G30" i="12" a="1"/>
  <c r="G30" i="12" s="1"/>
  <c r="G29" i="3" s="1"/>
  <c r="I24" i="12" a="1"/>
  <c r="I24" i="12" s="1"/>
  <c r="I28" i="3" s="1"/>
  <c r="H30" i="12" a="1"/>
  <c r="H30" i="12" s="1"/>
  <c r="H29" i="3" s="1"/>
  <c r="F24" i="12" a="1"/>
  <c r="F24" i="12" s="1"/>
  <c r="F28" i="3" s="1"/>
  <c r="I30" i="12" a="1"/>
  <c r="I30" i="12" s="1"/>
  <c r="I29" i="3" s="1"/>
  <c r="H24" i="12" a="1"/>
  <c r="H24" i="12" s="1"/>
  <c r="H28" i="3" s="1"/>
  <c r="G24" i="12" a="1"/>
  <c r="G24" i="12" s="1"/>
  <c r="G28" i="3" s="1"/>
  <c r="J30" i="12" a="1"/>
  <c r="J30" i="12" s="1"/>
  <c r="J29" i="3" s="1"/>
  <c r="F15" i="12" a="1"/>
  <c r="F15" i="12" s="1"/>
  <c r="F18" i="3" s="1"/>
  <c r="H15" i="12" a="1"/>
  <c r="H15" i="12" s="1"/>
  <c r="H18" i="3" s="1"/>
  <c r="I15" i="12" a="1"/>
  <c r="I15" i="12" s="1"/>
  <c r="I18" i="3" s="1"/>
  <c r="G15" i="12" a="1"/>
  <c r="G15" i="12" s="1"/>
  <c r="G18" i="3" s="1"/>
  <c r="J15" i="12" a="1"/>
  <c r="J15" i="12" s="1"/>
  <c r="J18" i="3" s="1"/>
  <c r="F9" i="12" a="1"/>
  <c r="F9" i="12" s="1"/>
  <c r="F17" i="3" s="1"/>
  <c r="J9" i="12" a="1"/>
  <c r="J9" i="12" s="1"/>
  <c r="J17" i="3" s="1"/>
  <c r="I9" i="12" a="1"/>
  <c r="I9" i="12" s="1"/>
  <c r="I17" i="3" s="1"/>
  <c r="H9" i="12" a="1"/>
  <c r="H9" i="12" s="1"/>
  <c r="H17" i="3" s="1"/>
  <c r="F35" i="10"/>
  <c r="F41" i="13" l="1"/>
  <c r="F48" i="13" s="1"/>
  <c r="C26" i="13"/>
  <c r="F49" i="13"/>
  <c r="J68" i="11"/>
  <c r="J22" i="6" s="1"/>
  <c r="C49" i="13" l="1"/>
  <c r="C50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14" i="11"/>
  <c r="F12" i="11"/>
  <c r="E67" i="11"/>
  <c r="E65" i="11"/>
  <c r="F6" i="11"/>
  <c r="F3" i="11"/>
  <c r="G26" i="6"/>
  <c r="H26" i="6" s="1"/>
  <c r="I26" i="6" s="1"/>
  <c r="J26" i="6" s="1"/>
  <c r="F26" i="6"/>
  <c r="G15" i="10"/>
  <c r="H15" i="10"/>
  <c r="I15" i="10"/>
  <c r="J15" i="10"/>
  <c r="G16" i="10"/>
  <c r="H16" i="10"/>
  <c r="I16" i="10"/>
  <c r="J16" i="10"/>
  <c r="F15" i="10"/>
  <c r="F16" i="10"/>
  <c r="G10" i="10"/>
  <c r="H10" i="10"/>
  <c r="I10" i="10"/>
  <c r="J10" i="10"/>
  <c r="G12" i="10"/>
  <c r="H12" i="10"/>
  <c r="I12" i="10"/>
  <c r="J12" i="10"/>
  <c r="F12" i="10"/>
  <c r="G8" i="6"/>
  <c r="H8" i="6"/>
  <c r="I8" i="6" s="1"/>
  <c r="F8" i="6"/>
  <c r="F10" i="10" s="1"/>
  <c r="F3" i="10"/>
  <c r="G3" i="10" s="1"/>
  <c r="H3" i="10" s="1"/>
  <c r="I3" i="10" s="1"/>
  <c r="J3" i="10" s="1"/>
  <c r="D25" i="8"/>
  <c r="E25" i="8"/>
  <c r="C25" i="8"/>
  <c r="C37" i="7" s="1"/>
  <c r="D24" i="8"/>
  <c r="E24" i="8"/>
  <c r="C24" i="8"/>
  <c r="D27" i="8"/>
  <c r="E27" i="8"/>
  <c r="D28" i="8"/>
  <c r="E31" i="8" s="1"/>
  <c r="E28" i="8"/>
  <c r="C28" i="8"/>
  <c r="C27" i="8"/>
  <c r="E20" i="8"/>
  <c r="D20" i="8"/>
  <c r="E19" i="8"/>
  <c r="D19" i="8"/>
  <c r="F20" i="6"/>
  <c r="C16" i="4"/>
  <c r="C14" i="4"/>
  <c r="C10" i="4"/>
  <c r="F14" i="8"/>
  <c r="F8" i="8"/>
  <c r="F10" i="8" s="1"/>
  <c r="D16" i="8"/>
  <c r="E16" i="8"/>
  <c r="F7" i="8" s="1"/>
  <c r="F13" i="8" s="1"/>
  <c r="F16" i="8" s="1"/>
  <c r="D17" i="8"/>
  <c r="E17" i="8"/>
  <c r="C17" i="8"/>
  <c r="C16" i="8"/>
  <c r="F3" i="8"/>
  <c r="G3" i="8" s="1"/>
  <c r="H3" i="8" s="1"/>
  <c r="I3" i="8" s="1"/>
  <c r="J3" i="8" s="1"/>
  <c r="E45" i="7"/>
  <c r="D45" i="7"/>
  <c r="E41" i="7"/>
  <c r="D41" i="7"/>
  <c r="D40" i="7"/>
  <c r="E40" i="7"/>
  <c r="D36" i="7"/>
  <c r="E36" i="7"/>
  <c r="D32" i="7"/>
  <c r="E32" i="7"/>
  <c r="E31" i="7"/>
  <c r="D31" i="7"/>
  <c r="F40" i="7"/>
  <c r="D43" i="7"/>
  <c r="E43" i="7"/>
  <c r="C43" i="7"/>
  <c r="F31" i="7"/>
  <c r="D34" i="7"/>
  <c r="E34" i="7"/>
  <c r="C34" i="7"/>
  <c r="D28" i="7"/>
  <c r="E28" i="7"/>
  <c r="C28" i="7"/>
  <c r="E20" i="7"/>
  <c r="D20" i="7"/>
  <c r="D5" i="7"/>
  <c r="E5" i="7"/>
  <c r="E35" i="7" s="1"/>
  <c r="C5" i="7"/>
  <c r="F8" i="7"/>
  <c r="C12" i="7"/>
  <c r="D12" i="7"/>
  <c r="E12" i="7"/>
  <c r="F3" i="7"/>
  <c r="G3" i="7" s="1"/>
  <c r="H3" i="7" s="1"/>
  <c r="I3" i="7" s="1"/>
  <c r="J3" i="7" s="1"/>
  <c r="G20" i="6"/>
  <c r="H20" i="6"/>
  <c r="I20" i="6" s="1"/>
  <c r="J20" i="6" s="1"/>
  <c r="G21" i="6"/>
  <c r="H21" i="6" s="1"/>
  <c r="I21" i="6" s="1"/>
  <c r="J21" i="6" s="1"/>
  <c r="F21" i="6"/>
  <c r="G14" i="6"/>
  <c r="H14" i="6" s="1"/>
  <c r="I14" i="6" s="1"/>
  <c r="J14" i="6" s="1"/>
  <c r="F14" i="6"/>
  <c r="G10" i="6"/>
  <c r="H10" i="6" s="1"/>
  <c r="I10" i="6" s="1"/>
  <c r="J10" i="6" s="1"/>
  <c r="F10" i="6"/>
  <c r="E10" i="6"/>
  <c r="E11" i="6" s="1"/>
  <c r="E15" i="6" s="1"/>
  <c r="E38" i="6" s="1"/>
  <c r="D10" i="6"/>
  <c r="D11" i="6" s="1"/>
  <c r="D15" i="6" s="1"/>
  <c r="C10" i="6"/>
  <c r="C36" i="6"/>
  <c r="C35" i="6"/>
  <c r="C27" i="6"/>
  <c r="C23" i="6"/>
  <c r="E16" i="4"/>
  <c r="E35" i="6"/>
  <c r="D35" i="6"/>
  <c r="D27" i="6"/>
  <c r="D23" i="6"/>
  <c r="E23" i="6"/>
  <c r="E27" i="6" s="1"/>
  <c r="E36" i="6" s="1"/>
  <c r="F3" i="6"/>
  <c r="G3" i="6" s="1"/>
  <c r="H3" i="6" s="1"/>
  <c r="I3" i="6" s="1"/>
  <c r="J3" i="6" s="1"/>
  <c r="D18" i="1"/>
  <c r="E18" i="1"/>
  <c r="D5" i="1"/>
  <c r="D15" i="1" s="1"/>
  <c r="E5" i="1"/>
  <c r="E16" i="1" s="1"/>
  <c r="C5" i="1"/>
  <c r="C14" i="1" s="1"/>
  <c r="E10" i="4"/>
  <c r="E14" i="4" s="1"/>
  <c r="D10" i="4"/>
  <c r="D14" i="4" s="1"/>
  <c r="D16" i="4" s="1"/>
  <c r="F3" i="4"/>
  <c r="G3" i="4" s="1"/>
  <c r="H3" i="4" s="1"/>
  <c r="I3" i="4" s="1"/>
  <c r="J3" i="4" s="1"/>
  <c r="E51" i="3"/>
  <c r="D51" i="3"/>
  <c r="E50" i="3"/>
  <c r="D50" i="3"/>
  <c r="F48" i="3"/>
  <c r="G48" i="3" s="1"/>
  <c r="H48" i="3" s="1"/>
  <c r="I48" i="3" s="1"/>
  <c r="J48" i="3" s="1"/>
  <c r="F45" i="3"/>
  <c r="F46" i="3" s="1"/>
  <c r="E40" i="3"/>
  <c r="D40" i="3"/>
  <c r="E39" i="3"/>
  <c r="D39" i="3"/>
  <c r="F37" i="3"/>
  <c r="G37" i="3" s="1"/>
  <c r="H37" i="3" s="1"/>
  <c r="I37" i="3" s="1"/>
  <c r="J37" i="3" s="1"/>
  <c r="F34" i="3"/>
  <c r="F35" i="3" s="1"/>
  <c r="F26" i="3"/>
  <c r="G26" i="3" s="1"/>
  <c r="H26" i="3" s="1"/>
  <c r="I26" i="3" s="1"/>
  <c r="J26" i="3" s="1"/>
  <c r="F23" i="3"/>
  <c r="F24" i="3" s="1"/>
  <c r="E29" i="3"/>
  <c r="D29" i="3"/>
  <c r="E28" i="3"/>
  <c r="D28" i="3"/>
  <c r="F15" i="3"/>
  <c r="G15" i="3" s="1"/>
  <c r="H15" i="3" s="1"/>
  <c r="I15" i="3" s="1"/>
  <c r="J15" i="3" s="1"/>
  <c r="E18" i="3"/>
  <c r="D18" i="3"/>
  <c r="F12" i="3"/>
  <c r="F13" i="3" s="1"/>
  <c r="E17" i="3"/>
  <c r="D17" i="3"/>
  <c r="D7" i="3"/>
  <c r="E7" i="3"/>
  <c r="C7" i="3"/>
  <c r="F3" i="3"/>
  <c r="G3" i="3" s="1"/>
  <c r="H3" i="3" s="1"/>
  <c r="I3" i="3" s="1"/>
  <c r="J3" i="3" s="1"/>
  <c r="F3" i="1"/>
  <c r="G3" i="1" s="1"/>
  <c r="H3" i="1" s="1"/>
  <c r="I3" i="1" s="1"/>
  <c r="J3" i="1" s="1"/>
  <c r="F18" i="6" l="1"/>
  <c r="F19" i="10" s="1"/>
  <c r="F11" i="13" s="1"/>
  <c r="G7" i="8"/>
  <c r="G13" i="8" s="1"/>
  <c r="D31" i="8"/>
  <c r="E13" i="17"/>
  <c r="E14" i="17" s="1"/>
  <c r="D13" i="17"/>
  <c r="D14" i="17" s="1"/>
  <c r="D35" i="7"/>
  <c r="D44" i="7"/>
  <c r="D16" i="1"/>
  <c r="C16" i="7"/>
  <c r="C16" i="1"/>
  <c r="E30" i="8"/>
  <c r="C13" i="1"/>
  <c r="C15" i="1"/>
  <c r="E14" i="1"/>
  <c r="E15" i="17"/>
  <c r="E16" i="17" s="1"/>
  <c r="E37" i="7"/>
  <c r="E19" i="4" s="1"/>
  <c r="E13" i="1"/>
  <c r="D13" i="1"/>
  <c r="D14" i="1"/>
  <c r="E16" i="7"/>
  <c r="E18" i="17"/>
  <c r="E17" i="17"/>
  <c r="D19" i="4"/>
  <c r="D15" i="17"/>
  <c r="D16" i="17" s="1"/>
  <c r="E15" i="1"/>
  <c r="D16" i="7"/>
  <c r="D17" i="17"/>
  <c r="D18" i="17"/>
  <c r="D30" i="8"/>
  <c r="G3" i="11"/>
  <c r="H3" i="11" s="1"/>
  <c r="I3" i="11" s="1"/>
  <c r="J3" i="11" s="1"/>
  <c r="E68" i="11"/>
  <c r="E69" i="11" s="1"/>
  <c r="F33" i="11"/>
  <c r="F52" i="11" s="1"/>
  <c r="J8" i="6"/>
  <c r="D38" i="6"/>
  <c r="D36" i="6"/>
  <c r="G45" i="3"/>
  <c r="G46" i="3" s="1"/>
  <c r="G47" i="3" s="1"/>
  <c r="G44" i="3" s="1"/>
  <c r="F47" i="3"/>
  <c r="F44" i="3" s="1"/>
  <c r="G34" i="3"/>
  <c r="G35" i="3" s="1"/>
  <c r="F36" i="3"/>
  <c r="F33" i="3" s="1"/>
  <c r="G23" i="3"/>
  <c r="G24" i="3" s="1"/>
  <c r="F25" i="3"/>
  <c r="F22" i="3" s="1"/>
  <c r="G12" i="3"/>
  <c r="G13" i="3" s="1"/>
  <c r="G14" i="3" s="1"/>
  <c r="G11" i="3" s="1"/>
  <c r="F14" i="3"/>
  <c r="F11" i="3" s="1"/>
  <c r="F5" i="3" l="1"/>
  <c r="F7" i="3" s="1"/>
  <c r="F5" i="4" s="1"/>
  <c r="F74" i="11"/>
  <c r="G14" i="11"/>
  <c r="H45" i="3"/>
  <c r="H46" i="3" s="1"/>
  <c r="G36" i="3"/>
  <c r="G33" i="3" s="1"/>
  <c r="H34" i="3"/>
  <c r="H35" i="3" s="1"/>
  <c r="H36" i="3" s="1"/>
  <c r="H33" i="3" s="1"/>
  <c r="H12" i="3"/>
  <c r="H13" i="3" s="1"/>
  <c r="I12" i="3" s="1"/>
  <c r="I13" i="3" s="1"/>
  <c r="G25" i="3"/>
  <c r="G22" i="3" s="1"/>
  <c r="H23" i="3"/>
  <c r="H24" i="3" s="1"/>
  <c r="F7" i="11" l="1"/>
  <c r="F5" i="7"/>
  <c r="F8" i="10"/>
  <c r="F31" i="6" s="1"/>
  <c r="F5" i="1"/>
  <c r="F7" i="1" s="1"/>
  <c r="F6" i="4" s="1"/>
  <c r="F34" i="17" s="1"/>
  <c r="F35" i="17" s="1"/>
  <c r="G5" i="3"/>
  <c r="G7" i="3" s="1"/>
  <c r="G5" i="4" s="1"/>
  <c r="F24" i="8"/>
  <c r="H14" i="3"/>
  <c r="H11" i="3" s="1"/>
  <c r="I45" i="3"/>
  <c r="I46" i="3" s="1"/>
  <c r="H47" i="3"/>
  <c r="H44" i="3" s="1"/>
  <c r="I34" i="3"/>
  <c r="I35" i="3" s="1"/>
  <c r="I23" i="3"/>
  <c r="I24" i="3" s="1"/>
  <c r="H25" i="3"/>
  <c r="H22" i="3" s="1"/>
  <c r="I14" i="3"/>
  <c r="I11" i="3" s="1"/>
  <c r="J12" i="3"/>
  <c r="J13" i="3" s="1"/>
  <c r="J14" i="3" s="1"/>
  <c r="J11" i="3" s="1"/>
  <c r="G7" i="11" l="1"/>
  <c r="F27" i="8"/>
  <c r="F9" i="6" s="1"/>
  <c r="F11" i="10" s="1"/>
  <c r="F9" i="13" s="1"/>
  <c r="F14" i="7"/>
  <c r="F9" i="7" s="1"/>
  <c r="F32" i="7"/>
  <c r="F33" i="7" s="1"/>
  <c r="F8" i="1"/>
  <c r="F7" i="4" s="1"/>
  <c r="F9" i="1"/>
  <c r="F8" i="4" s="1"/>
  <c r="F10" i="1"/>
  <c r="F9" i="4" s="1"/>
  <c r="F41" i="7"/>
  <c r="F42" i="7" s="1"/>
  <c r="F43" i="7" s="1"/>
  <c r="G40" i="7" s="1"/>
  <c r="G5" i="7"/>
  <c r="G5" i="1"/>
  <c r="G8" i="10"/>
  <c r="G31" i="6" s="1"/>
  <c r="G24" i="8"/>
  <c r="H5" i="3"/>
  <c r="H7" i="3" s="1"/>
  <c r="H5" i="4" s="1"/>
  <c r="F10" i="7"/>
  <c r="F22" i="10"/>
  <c r="J45" i="3"/>
  <c r="J46" i="3" s="1"/>
  <c r="J47" i="3" s="1"/>
  <c r="J44" i="3" s="1"/>
  <c r="I47" i="3"/>
  <c r="I44" i="3" s="1"/>
  <c r="J34" i="3"/>
  <c r="J35" i="3" s="1"/>
  <c r="J36" i="3" s="1"/>
  <c r="J33" i="3" s="1"/>
  <c r="I36" i="3"/>
  <c r="I33" i="3" s="1"/>
  <c r="J23" i="3"/>
  <c r="J24" i="3" s="1"/>
  <c r="J25" i="3" s="1"/>
  <c r="J22" i="3" s="1"/>
  <c r="I25" i="3"/>
  <c r="I22" i="3" s="1"/>
  <c r="C11" i="6"/>
  <c r="C15" i="6" s="1"/>
  <c r="C38" i="6" s="1"/>
  <c r="H5" i="1" l="1"/>
  <c r="F13" i="17"/>
  <c r="F14" i="17" s="1"/>
  <c r="F7" i="10"/>
  <c r="G14" i="7"/>
  <c r="G9" i="7" s="1"/>
  <c r="G22" i="10" s="1"/>
  <c r="G13" i="13" s="1"/>
  <c r="G27" i="8"/>
  <c r="G9" i="6" s="1"/>
  <c r="G11" i="10" s="1"/>
  <c r="G9" i="13" s="1"/>
  <c r="F25" i="8"/>
  <c r="F26" i="7"/>
  <c r="F17" i="10"/>
  <c r="F12" i="13" s="1"/>
  <c r="F25" i="10"/>
  <c r="F13" i="13"/>
  <c r="F10" i="4"/>
  <c r="F5" i="13" s="1"/>
  <c r="F7" i="13" s="1"/>
  <c r="F19" i="8"/>
  <c r="F11" i="8" s="1"/>
  <c r="F17" i="8" s="1"/>
  <c r="F24" i="6" s="1"/>
  <c r="F18" i="10" s="1"/>
  <c r="G41" i="7"/>
  <c r="G42" i="7" s="1"/>
  <c r="I5" i="3"/>
  <c r="I7" i="3" s="1"/>
  <c r="I5" i="4" s="1"/>
  <c r="I5" i="1" s="1"/>
  <c r="I10" i="1" s="1"/>
  <c r="I9" i="4" s="1"/>
  <c r="G10" i="1"/>
  <c r="G9" i="4" s="1"/>
  <c r="G7" i="1"/>
  <c r="G6" i="4" s="1"/>
  <c r="G34" i="17" s="1"/>
  <c r="G35" i="17" s="1"/>
  <c r="G9" i="1"/>
  <c r="G8" i="4" s="1"/>
  <c r="G32" i="7"/>
  <c r="G8" i="1"/>
  <c r="G7" i="4" s="1"/>
  <c r="J5" i="3"/>
  <c r="J7" i="3" s="1"/>
  <c r="J5" i="4" s="1"/>
  <c r="H5" i="7"/>
  <c r="H8" i="10"/>
  <c r="H31" i="6" s="1"/>
  <c r="H7" i="11"/>
  <c r="H24" i="8"/>
  <c r="F34" i="7"/>
  <c r="F25" i="7" s="1"/>
  <c r="H7" i="1"/>
  <c r="H6" i="4" s="1"/>
  <c r="H34" i="17" s="1"/>
  <c r="H35" i="17" s="1"/>
  <c r="H10" i="1"/>
  <c r="H9" i="4" s="1"/>
  <c r="H8" i="1"/>
  <c r="H7" i="4" s="1"/>
  <c r="H9" i="1"/>
  <c r="H8" i="4" s="1"/>
  <c r="F18" i="7"/>
  <c r="G8" i="7"/>
  <c r="G10" i="7" l="1"/>
  <c r="G25" i="10"/>
  <c r="J5" i="7"/>
  <c r="J32" i="7" s="1"/>
  <c r="I5" i="7"/>
  <c r="I14" i="7" s="1"/>
  <c r="I9" i="7" s="1"/>
  <c r="I22" i="10" s="1"/>
  <c r="I13" i="13" s="1"/>
  <c r="G19" i="8"/>
  <c r="G11" i="8" s="1"/>
  <c r="F28" i="7"/>
  <c r="F12" i="6" s="1"/>
  <c r="F28" i="8"/>
  <c r="F19" i="6" s="1"/>
  <c r="F14" i="10" s="1"/>
  <c r="F10" i="13" s="1"/>
  <c r="F37" i="7"/>
  <c r="F19" i="4" s="1"/>
  <c r="G13" i="17"/>
  <c r="G14" i="17" s="1"/>
  <c r="H41" i="7"/>
  <c r="H27" i="8"/>
  <c r="H9" i="6" s="1"/>
  <c r="H11" i="10" s="1"/>
  <c r="H9" i="13" s="1"/>
  <c r="G8" i="8"/>
  <c r="G10" i="8" s="1"/>
  <c r="G16" i="8" s="1"/>
  <c r="I7" i="11"/>
  <c r="I24" i="8"/>
  <c r="H32" i="7"/>
  <c r="G17" i="10"/>
  <c r="G12" i="13" s="1"/>
  <c r="I8" i="10"/>
  <c r="J8" i="10" s="1"/>
  <c r="J7" i="11"/>
  <c r="G10" i="4"/>
  <c r="G5" i="13" s="1"/>
  <c r="G7" i="13" s="1"/>
  <c r="J5" i="1"/>
  <c r="J9" i="1" s="1"/>
  <c r="J8" i="4" s="1"/>
  <c r="J24" i="8"/>
  <c r="G25" i="8"/>
  <c r="H14" i="7"/>
  <c r="H9" i="7" s="1"/>
  <c r="H22" i="10" s="1"/>
  <c r="I8" i="1"/>
  <c r="I7" i="4" s="1"/>
  <c r="I9" i="1"/>
  <c r="I8" i="4" s="1"/>
  <c r="I7" i="1"/>
  <c r="I6" i="4" s="1"/>
  <c r="I34" i="17" s="1"/>
  <c r="I35" i="17" s="1"/>
  <c r="I41" i="7"/>
  <c r="J14" i="7"/>
  <c r="J9" i="7" s="1"/>
  <c r="J22" i="10" s="1"/>
  <c r="J41" i="7"/>
  <c r="G31" i="7"/>
  <c r="G43" i="7"/>
  <c r="G26" i="7" s="1"/>
  <c r="F11" i="7"/>
  <c r="F6" i="10"/>
  <c r="F8" i="13" s="1"/>
  <c r="H10" i="4"/>
  <c r="H5" i="13" s="1"/>
  <c r="H7" i="13" s="1"/>
  <c r="H8" i="7"/>
  <c r="H25" i="8"/>
  <c r="G18" i="7"/>
  <c r="G6" i="10" s="1"/>
  <c r="I32" i="7" l="1"/>
  <c r="H13" i="17"/>
  <c r="H14" i="17" s="1"/>
  <c r="I25" i="10"/>
  <c r="J17" i="10"/>
  <c r="J12" i="13" s="1"/>
  <c r="F15" i="17"/>
  <c r="F16" i="17" s="1"/>
  <c r="H17" i="10"/>
  <c r="H12" i="13" s="1"/>
  <c r="G14" i="8"/>
  <c r="G17" i="8" s="1"/>
  <c r="G28" i="8"/>
  <c r="G19" i="6" s="1"/>
  <c r="G14" i="10" s="1"/>
  <c r="G10" i="13" s="1"/>
  <c r="G37" i="7"/>
  <c r="G19" i="4" s="1"/>
  <c r="I27" i="8"/>
  <c r="I9" i="6" s="1"/>
  <c r="I11" i="10" s="1"/>
  <c r="I9" i="13" s="1"/>
  <c r="H28" i="8"/>
  <c r="H19" i="6" s="1"/>
  <c r="H37" i="7"/>
  <c r="J27" i="8"/>
  <c r="J9" i="6" s="1"/>
  <c r="F15" i="13"/>
  <c r="F19" i="13" s="1"/>
  <c r="H25" i="10"/>
  <c r="H13" i="13"/>
  <c r="J25" i="10"/>
  <c r="J13" i="13"/>
  <c r="I31" i="6"/>
  <c r="J31" i="6" s="1"/>
  <c r="H19" i="8"/>
  <c r="H11" i="8" s="1"/>
  <c r="H10" i="7"/>
  <c r="H18" i="7" s="1"/>
  <c r="H6" i="10" s="1"/>
  <c r="J7" i="1"/>
  <c r="J6" i="4" s="1"/>
  <c r="J34" i="17" s="1"/>
  <c r="J35" i="17" s="1"/>
  <c r="J10" i="1"/>
  <c r="J9" i="4" s="1"/>
  <c r="J8" i="1"/>
  <c r="J7" i="4" s="1"/>
  <c r="I10" i="4"/>
  <c r="I5" i="13" s="1"/>
  <c r="I7" i="13" s="1"/>
  <c r="I25" i="8"/>
  <c r="I17" i="10"/>
  <c r="I12" i="13" s="1"/>
  <c r="I19" i="8"/>
  <c r="I11" i="8" s="1"/>
  <c r="J19" i="8"/>
  <c r="J11" i="8" s="1"/>
  <c r="H40" i="7"/>
  <c r="H42" i="7" s="1"/>
  <c r="H43" i="7" s="1"/>
  <c r="I40" i="7" s="1"/>
  <c r="I42" i="7" s="1"/>
  <c r="I43" i="7" s="1"/>
  <c r="G33" i="7"/>
  <c r="G7" i="10" s="1"/>
  <c r="G8" i="13" s="1"/>
  <c r="H8" i="8"/>
  <c r="G24" i="6"/>
  <c r="G18" i="10" s="1"/>
  <c r="G18" i="6"/>
  <c r="G19" i="10" s="1"/>
  <c r="G11" i="13" s="1"/>
  <c r="H7" i="8"/>
  <c r="H13" i="8" s="1"/>
  <c r="F12" i="7"/>
  <c r="G11" i="7"/>
  <c r="G15" i="17" l="1"/>
  <c r="G16" i="17" s="1"/>
  <c r="H14" i="10"/>
  <c r="H10" i="13" s="1"/>
  <c r="I13" i="17"/>
  <c r="I14" i="17" s="1"/>
  <c r="J11" i="10"/>
  <c r="J9" i="13" s="1"/>
  <c r="H15" i="17"/>
  <c r="H16" i="17" s="1"/>
  <c r="H19" i="4"/>
  <c r="F13" i="6"/>
  <c r="F18" i="17"/>
  <c r="I28" i="8"/>
  <c r="I19" i="6" s="1"/>
  <c r="I14" i="10" s="1"/>
  <c r="I10" i="13" s="1"/>
  <c r="I37" i="7"/>
  <c r="J13" i="17"/>
  <c r="J14" i="17" s="1"/>
  <c r="G15" i="13"/>
  <c r="G19" i="13" s="1"/>
  <c r="I8" i="7"/>
  <c r="I10" i="7" s="1"/>
  <c r="I18" i="7" s="1"/>
  <c r="I6" i="10" s="1"/>
  <c r="J25" i="8"/>
  <c r="J10" i="4"/>
  <c r="J5" i="13" s="1"/>
  <c r="J7" i="13" s="1"/>
  <c r="H26" i="7"/>
  <c r="G34" i="7"/>
  <c r="G25" i="7" s="1"/>
  <c r="G28" i="7" s="1"/>
  <c r="G12" i="6" s="1"/>
  <c r="H14" i="8"/>
  <c r="H17" i="8" s="1"/>
  <c r="H10" i="8"/>
  <c r="H16" i="8" s="1"/>
  <c r="J40" i="7"/>
  <c r="J42" i="7" s="1"/>
  <c r="J43" i="7" s="1"/>
  <c r="J26" i="7" s="1"/>
  <c r="I26" i="7"/>
  <c r="H11" i="7"/>
  <c r="G12" i="7"/>
  <c r="G18" i="17" s="1"/>
  <c r="I15" i="17" l="1"/>
  <c r="I16" i="17" s="1"/>
  <c r="I19" i="4"/>
  <c r="G13" i="6"/>
  <c r="J28" i="8"/>
  <c r="J19" i="6" s="1"/>
  <c r="J14" i="10" s="1"/>
  <c r="J10" i="13" s="1"/>
  <c r="J37" i="7"/>
  <c r="J15" i="17"/>
  <c r="J16" i="17" s="1"/>
  <c r="J8" i="7"/>
  <c r="J10" i="7" s="1"/>
  <c r="J18" i="7" s="1"/>
  <c r="J6" i="10" s="1"/>
  <c r="H31" i="7"/>
  <c r="H33" i="7" s="1"/>
  <c r="H7" i="10" s="1"/>
  <c r="H8" i="13" s="1"/>
  <c r="H24" i="6"/>
  <c r="H18" i="10" s="1"/>
  <c r="I8" i="8"/>
  <c r="H18" i="6"/>
  <c r="H19" i="10" s="1"/>
  <c r="H11" i="13" s="1"/>
  <c r="I7" i="8"/>
  <c r="I13" i="8" s="1"/>
  <c r="H12" i="7"/>
  <c r="I11" i="7"/>
  <c r="J19" i="4" l="1"/>
  <c r="H13" i="6"/>
  <c r="H18" i="17"/>
  <c r="H15" i="13"/>
  <c r="H19" i="13" s="1"/>
  <c r="H34" i="7"/>
  <c r="H25" i="7" s="1"/>
  <c r="H28" i="7" s="1"/>
  <c r="H12" i="6" s="1"/>
  <c r="J11" i="7"/>
  <c r="J12" i="7" s="1"/>
  <c r="J13" i="6" s="1"/>
  <c r="I12" i="7"/>
  <c r="I10" i="8"/>
  <c r="I16" i="8" s="1"/>
  <c r="I14" i="8"/>
  <c r="I17" i="8" s="1"/>
  <c r="I13" i="6" l="1"/>
  <c r="J18" i="17"/>
  <c r="I18" i="17"/>
  <c r="I31" i="7"/>
  <c r="I33" i="7" s="1"/>
  <c r="I7" i="10" s="1"/>
  <c r="I8" i="13" s="1"/>
  <c r="I18" i="6"/>
  <c r="I19" i="10" s="1"/>
  <c r="I11" i="13" s="1"/>
  <c r="J7" i="8"/>
  <c r="J13" i="8" s="1"/>
  <c r="J8" i="8"/>
  <c r="I24" i="6"/>
  <c r="I18" i="10" s="1"/>
  <c r="I15" i="13" l="1"/>
  <c r="I19" i="13" s="1"/>
  <c r="I34" i="7"/>
  <c r="I25" i="7" s="1"/>
  <c r="I28" i="7" s="1"/>
  <c r="I12" i="6" s="1"/>
  <c r="J10" i="8"/>
  <c r="J16" i="8" s="1"/>
  <c r="J18" i="6" s="1"/>
  <c r="J14" i="8"/>
  <c r="J17" i="8" s="1"/>
  <c r="J24" i="6" s="1"/>
  <c r="J18" i="10" s="1"/>
  <c r="J31" i="7" l="1"/>
  <c r="J33" i="7" s="1"/>
  <c r="J7" i="10" s="1"/>
  <c r="J19" i="10"/>
  <c r="J11" i="13" s="1"/>
  <c r="J23" i="6"/>
  <c r="J8" i="13" l="1"/>
  <c r="J15" i="13" s="1"/>
  <c r="C63" i="13"/>
  <c r="C64" i="13" s="1"/>
  <c r="C65" i="13" s="1"/>
  <c r="J34" i="7"/>
  <c r="J25" i="7" s="1"/>
  <c r="J28" i="7" s="1"/>
  <c r="J12" i="6" s="1"/>
  <c r="J19" i="13" l="1"/>
  <c r="C21" i="13" s="1"/>
  <c r="C56" i="13"/>
  <c r="C57" i="13" s="1"/>
  <c r="C69" i="13" s="1"/>
  <c r="C22" i="13" s="1"/>
  <c r="C23" i="13" l="1"/>
  <c r="C25" i="13" s="1"/>
  <c r="C27" i="13" s="1"/>
  <c r="F7" i="6"/>
  <c r="G7" i="6"/>
  <c r="H7" i="6"/>
  <c r="I7" i="6"/>
  <c r="J7" i="6"/>
  <c r="F11" i="6"/>
  <c r="G11" i="6"/>
  <c r="H11" i="6"/>
  <c r="I11" i="6"/>
  <c r="J11" i="6"/>
  <c r="F15" i="6"/>
  <c r="G15" i="6"/>
  <c r="H15" i="6"/>
  <c r="I15" i="6"/>
  <c r="J15" i="6"/>
  <c r="F22" i="6"/>
  <c r="G22" i="6"/>
  <c r="H22" i="6"/>
  <c r="I22" i="6"/>
  <c r="F23" i="6"/>
  <c r="G23" i="6"/>
  <c r="H23" i="6"/>
  <c r="I23" i="6"/>
  <c r="F25" i="6"/>
  <c r="G25" i="6"/>
  <c r="H25" i="6"/>
  <c r="I25" i="6"/>
  <c r="J25" i="6"/>
  <c r="F27" i="6"/>
  <c r="G27" i="6"/>
  <c r="H27" i="6"/>
  <c r="I27" i="6"/>
  <c r="J27" i="6"/>
  <c r="F34" i="6"/>
  <c r="G34" i="6"/>
  <c r="H34" i="6"/>
  <c r="I34" i="6"/>
  <c r="J34" i="6"/>
  <c r="F35" i="6"/>
  <c r="G35" i="6"/>
  <c r="H35" i="6"/>
  <c r="I35" i="6"/>
  <c r="J35" i="6"/>
  <c r="F36" i="6"/>
  <c r="G36" i="6"/>
  <c r="H36" i="6"/>
  <c r="I36" i="6"/>
  <c r="J36" i="6"/>
  <c r="F38" i="6"/>
  <c r="G38" i="6"/>
  <c r="H38" i="6"/>
  <c r="I38" i="6"/>
  <c r="J38" i="6"/>
  <c r="F5" i="10"/>
  <c r="G5" i="10"/>
  <c r="H5" i="10"/>
  <c r="I5" i="10"/>
  <c r="J5" i="10"/>
  <c r="F20" i="10"/>
  <c r="G20" i="10"/>
  <c r="H20" i="10"/>
  <c r="I20" i="10"/>
  <c r="J20" i="10"/>
  <c r="F31" i="10"/>
  <c r="G31" i="10"/>
  <c r="H31" i="10"/>
  <c r="I31" i="10"/>
  <c r="J31" i="10"/>
  <c r="F32" i="10"/>
  <c r="G32" i="10"/>
  <c r="H32" i="10"/>
  <c r="I32" i="10"/>
  <c r="J32" i="10"/>
  <c r="F34" i="10"/>
  <c r="G34" i="10"/>
  <c r="H34" i="10"/>
  <c r="I34" i="10"/>
  <c r="J34" i="10"/>
  <c r="G35" i="10"/>
  <c r="H35" i="10"/>
  <c r="I35" i="10"/>
  <c r="J35" i="10"/>
  <c r="F36" i="10"/>
  <c r="G36" i="10"/>
  <c r="H36" i="10"/>
  <c r="I36" i="10"/>
  <c r="J36" i="10"/>
  <c r="F5" i="11"/>
  <c r="G5" i="11"/>
  <c r="H5" i="11"/>
  <c r="I5" i="11"/>
  <c r="J5" i="11"/>
  <c r="G6" i="11"/>
  <c r="H6" i="11"/>
  <c r="I6" i="11"/>
  <c r="J6" i="11"/>
  <c r="F8" i="11"/>
  <c r="G8" i="11"/>
  <c r="H8" i="11"/>
  <c r="I8" i="11"/>
  <c r="J8" i="11"/>
  <c r="G12" i="11"/>
  <c r="H12" i="11"/>
  <c r="I12" i="11"/>
  <c r="J12" i="11"/>
  <c r="H14" i="11"/>
  <c r="I14" i="11"/>
  <c r="J14" i="11"/>
  <c r="G15" i="11"/>
  <c r="H15" i="11"/>
  <c r="I15" i="11"/>
  <c r="J15" i="11"/>
  <c r="G16" i="11"/>
  <c r="H16" i="11"/>
  <c r="I16" i="11"/>
  <c r="J16" i="11"/>
  <c r="G17" i="11"/>
  <c r="H17" i="11"/>
  <c r="I17" i="11"/>
  <c r="J17" i="11"/>
  <c r="G18" i="11"/>
  <c r="H18" i="11"/>
  <c r="I18" i="11"/>
  <c r="J18" i="11"/>
  <c r="G19" i="11"/>
  <c r="H19" i="11"/>
  <c r="I19" i="11"/>
  <c r="J19" i="11"/>
  <c r="G20" i="11"/>
  <c r="H20" i="11"/>
  <c r="I20" i="11"/>
  <c r="J20" i="11"/>
  <c r="G21" i="11"/>
  <c r="H21" i="11"/>
  <c r="I21" i="11"/>
  <c r="J21" i="11"/>
  <c r="G22" i="11"/>
  <c r="H22" i="11"/>
  <c r="I22" i="11"/>
  <c r="J22" i="11"/>
  <c r="G23" i="11"/>
  <c r="H23" i="11"/>
  <c r="I23" i="11"/>
  <c r="J23" i="11"/>
  <c r="G24" i="11"/>
  <c r="H24" i="11"/>
  <c r="I24" i="11"/>
  <c r="J24" i="11"/>
  <c r="G25" i="11"/>
  <c r="H25" i="11"/>
  <c r="I25" i="11"/>
  <c r="J25" i="11"/>
  <c r="G26" i="11"/>
  <c r="H26" i="11"/>
  <c r="I26" i="11"/>
  <c r="J26" i="11"/>
  <c r="G27" i="11"/>
  <c r="H27" i="11"/>
  <c r="I27" i="11"/>
  <c r="J27" i="11"/>
  <c r="F31" i="11"/>
  <c r="G31" i="11"/>
  <c r="H31" i="11"/>
  <c r="I31" i="11"/>
  <c r="J31" i="11"/>
  <c r="G33" i="11"/>
  <c r="H33" i="11"/>
  <c r="I33" i="11"/>
  <c r="J33" i="11"/>
  <c r="F34" i="11"/>
  <c r="G34" i="11"/>
  <c r="H34" i="11"/>
  <c r="I34" i="11"/>
  <c r="J34" i="11"/>
  <c r="F35" i="11"/>
  <c r="G35" i="11"/>
  <c r="H35" i="11"/>
  <c r="I35" i="11"/>
  <c r="J35" i="11"/>
  <c r="F36" i="11"/>
  <c r="G36" i="11"/>
  <c r="H36" i="11"/>
  <c r="I36" i="11"/>
  <c r="J36" i="11"/>
  <c r="F37" i="11"/>
  <c r="G37" i="11"/>
  <c r="H37" i="11"/>
  <c r="I37" i="11"/>
  <c r="J37" i="11"/>
  <c r="F38" i="11"/>
  <c r="G38" i="11"/>
  <c r="H38" i="11"/>
  <c r="I38" i="11"/>
  <c r="J38" i="11"/>
  <c r="F39" i="11"/>
  <c r="G39" i="11"/>
  <c r="H39" i="11"/>
  <c r="I39" i="11"/>
  <c r="J39" i="11"/>
  <c r="F40" i="11"/>
  <c r="G40" i="11"/>
  <c r="H40" i="11"/>
  <c r="I40" i="11"/>
  <c r="J40" i="11"/>
  <c r="F41" i="11"/>
  <c r="G41" i="11"/>
  <c r="H41" i="11"/>
  <c r="I41" i="11"/>
  <c r="J41" i="11"/>
  <c r="F42" i="11"/>
  <c r="G42" i="11"/>
  <c r="H42" i="11"/>
  <c r="I42" i="11"/>
  <c r="J42" i="11"/>
  <c r="F43" i="11"/>
  <c r="G43" i="11"/>
  <c r="H43" i="11"/>
  <c r="I43" i="11"/>
  <c r="J43" i="11"/>
  <c r="F44" i="11"/>
  <c r="G44" i="11"/>
  <c r="H44" i="11"/>
  <c r="I44" i="11"/>
  <c r="J44" i="11"/>
  <c r="F45" i="11"/>
  <c r="G45" i="11"/>
  <c r="H45" i="11"/>
  <c r="I45" i="11"/>
  <c r="J45" i="11"/>
  <c r="F46" i="11"/>
  <c r="G46" i="11"/>
  <c r="H46" i="11"/>
  <c r="I46" i="11"/>
  <c r="J46" i="11"/>
  <c r="F50" i="11"/>
  <c r="G50" i="11"/>
  <c r="H50" i="11"/>
  <c r="I50" i="11"/>
  <c r="J50" i="11"/>
  <c r="G52" i="11"/>
  <c r="H52" i="11"/>
  <c r="I52" i="11"/>
  <c r="J52" i="11"/>
  <c r="F53" i="11"/>
  <c r="G53" i="11"/>
  <c r="H53" i="11"/>
  <c r="I53" i="11"/>
  <c r="J53" i="11"/>
  <c r="F54" i="11"/>
  <c r="G54" i="11"/>
  <c r="H54" i="11"/>
  <c r="I54" i="11"/>
  <c r="J54" i="11"/>
  <c r="F55" i="11"/>
  <c r="G55" i="11"/>
  <c r="H55" i="11"/>
  <c r="I55" i="11"/>
  <c r="J55" i="11"/>
  <c r="F56" i="11"/>
  <c r="G56" i="11"/>
  <c r="H56" i="11"/>
  <c r="I56" i="11"/>
  <c r="J56" i="11"/>
  <c r="F57" i="11"/>
  <c r="G57" i="11"/>
  <c r="H57" i="11"/>
  <c r="I57" i="11"/>
  <c r="J57" i="11"/>
  <c r="F58" i="11"/>
  <c r="G58" i="11"/>
  <c r="H58" i="11"/>
  <c r="I58" i="11"/>
  <c r="J58" i="11"/>
  <c r="F59" i="11"/>
  <c r="G59" i="11"/>
  <c r="H59" i="11"/>
  <c r="I59" i="11"/>
  <c r="J59" i="11"/>
  <c r="F60" i="11"/>
  <c r="G60" i="11"/>
  <c r="H60" i="11"/>
  <c r="I60" i="11"/>
  <c r="J60" i="11"/>
  <c r="F61" i="11"/>
  <c r="G61" i="11"/>
  <c r="H61" i="11"/>
  <c r="I61" i="11"/>
  <c r="J61" i="11"/>
  <c r="F62" i="11"/>
  <c r="G62" i="11"/>
  <c r="H62" i="11"/>
  <c r="I62" i="11"/>
  <c r="J62" i="11"/>
  <c r="F63" i="11"/>
  <c r="G63" i="11"/>
  <c r="H63" i="11"/>
  <c r="I63" i="11"/>
  <c r="J63" i="11"/>
  <c r="F64" i="11"/>
  <c r="G64" i="11"/>
  <c r="H64" i="11"/>
  <c r="I64" i="11"/>
  <c r="J64" i="11"/>
  <c r="F65" i="11"/>
  <c r="G65" i="11"/>
  <c r="H65" i="11"/>
  <c r="I65" i="11"/>
  <c r="J65" i="11"/>
  <c r="F67" i="11"/>
  <c r="G67" i="11"/>
  <c r="H67" i="11"/>
  <c r="I67" i="11"/>
  <c r="J67" i="11"/>
  <c r="F68" i="11"/>
  <c r="G68" i="11"/>
  <c r="H68" i="11"/>
  <c r="I68" i="11"/>
  <c r="F69" i="11"/>
  <c r="G69" i="11"/>
  <c r="H69" i="11"/>
  <c r="I69" i="11"/>
  <c r="J69" i="11"/>
  <c r="F72" i="11"/>
  <c r="G72" i="11"/>
  <c r="H72" i="11"/>
  <c r="I72" i="11"/>
  <c r="J72" i="11"/>
  <c r="G74" i="11"/>
  <c r="H74" i="11"/>
  <c r="I74" i="11"/>
  <c r="J74" i="11"/>
  <c r="F75" i="11"/>
  <c r="G75" i="11"/>
  <c r="H75" i="11"/>
  <c r="I75" i="11"/>
  <c r="J75" i="11"/>
  <c r="F76" i="11"/>
  <c r="G76" i="11"/>
  <c r="H76" i="11"/>
  <c r="I76" i="11"/>
  <c r="J76" i="11"/>
  <c r="F77" i="11"/>
  <c r="G77" i="11"/>
  <c r="H77" i="11"/>
  <c r="I77" i="11"/>
  <c r="J77" i="11"/>
  <c r="F78" i="11"/>
  <c r="G78" i="11"/>
  <c r="H78" i="11"/>
  <c r="I78" i="11"/>
  <c r="J78" i="11"/>
  <c r="F79" i="11"/>
  <c r="G79" i="11"/>
  <c r="H79" i="11"/>
  <c r="I79" i="11"/>
  <c r="J79" i="11"/>
  <c r="F80" i="11"/>
  <c r="G80" i="11"/>
  <c r="H80" i="11"/>
  <c r="I80" i="11"/>
  <c r="J80" i="11"/>
  <c r="F81" i="11"/>
  <c r="G81" i="11"/>
  <c r="H81" i="11"/>
  <c r="I81" i="11"/>
  <c r="J81" i="11"/>
  <c r="F82" i="11"/>
  <c r="G82" i="11"/>
  <c r="H82" i="11"/>
  <c r="I82" i="11"/>
  <c r="J82" i="11"/>
  <c r="F83" i="11"/>
  <c r="G83" i="11"/>
  <c r="H83" i="11"/>
  <c r="I83" i="11"/>
  <c r="J83" i="11"/>
  <c r="F84" i="11"/>
  <c r="G84" i="11"/>
  <c r="H84" i="11"/>
  <c r="I84" i="11"/>
  <c r="J84" i="11"/>
  <c r="F85" i="11"/>
  <c r="G85" i="11"/>
  <c r="H85" i="11"/>
  <c r="I85" i="11"/>
  <c r="J85" i="11"/>
  <c r="F86" i="11"/>
  <c r="G86" i="11"/>
  <c r="H86" i="11"/>
  <c r="I86" i="11"/>
  <c r="J86" i="11"/>
  <c r="F87" i="11"/>
  <c r="G87" i="11"/>
  <c r="H87" i="11"/>
  <c r="I87" i="11"/>
  <c r="J87" i="11"/>
  <c r="F89" i="11"/>
  <c r="G89" i="11"/>
  <c r="H89" i="11"/>
  <c r="I89" i="11"/>
  <c r="J89" i="11"/>
  <c r="F12" i="4"/>
  <c r="G12" i="4"/>
  <c r="H12" i="4"/>
  <c r="I12" i="4"/>
  <c r="J12" i="4"/>
  <c r="F14" i="4"/>
  <c r="G14" i="4"/>
  <c r="H14" i="4"/>
  <c r="I14" i="4"/>
  <c r="J14" i="4"/>
  <c r="F15" i="4"/>
  <c r="G15" i="4"/>
  <c r="H15" i="4"/>
  <c r="I15" i="4"/>
  <c r="J15" i="4"/>
  <c r="F16" i="4"/>
  <c r="G16" i="4"/>
  <c r="H16" i="4"/>
  <c r="I16" i="4"/>
  <c r="J16" i="4"/>
  <c r="F18" i="4"/>
  <c r="G18" i="4"/>
  <c r="H18" i="4"/>
  <c r="I18" i="4"/>
  <c r="J18" i="4"/>
  <c r="F7" i="17"/>
  <c r="G7" i="17"/>
  <c r="H7" i="17"/>
  <c r="I7" i="17"/>
  <c r="J7" i="17"/>
  <c r="F8" i="17"/>
  <c r="G8" i="17"/>
  <c r="H8" i="17"/>
  <c r="I8" i="17"/>
  <c r="J8" i="17"/>
  <c r="F9" i="17"/>
  <c r="G9" i="17"/>
  <c r="H9" i="17"/>
  <c r="I9" i="17"/>
  <c r="J9" i="17"/>
  <c r="F17" i="17"/>
  <c r="G17" i="17"/>
  <c r="H17" i="17"/>
  <c r="I17" i="17"/>
  <c r="J17" i="17"/>
  <c r="F22" i="17"/>
  <c r="G22" i="17"/>
  <c r="H22" i="17"/>
  <c r="I22" i="17"/>
  <c r="J22" i="17"/>
  <c r="F23" i="17"/>
  <c r="G23" i="17"/>
  <c r="H23" i="17"/>
  <c r="I23" i="17"/>
  <c r="J23" i="17"/>
  <c r="F24" i="17"/>
  <c r="G24" i="17"/>
  <c r="H24" i="17"/>
  <c r="I24" i="17"/>
  <c r="J24" i="17"/>
  <c r="F29" i="17"/>
  <c r="G29" i="17"/>
  <c r="H29" i="17"/>
  <c r="I29" i="17"/>
  <c r="J29" i="17"/>
  <c r="F30" i="17"/>
  <c r="G30" i="17"/>
  <c r="H30" i="17"/>
  <c r="I30" i="17"/>
  <c r="J30" i="17"/>
  <c r="F31" i="17"/>
  <c r="G31" i="17"/>
  <c r="H31" i="17"/>
  <c r="I31" i="17"/>
  <c r="J31" i="17"/>
  <c r="F32" i="17"/>
  <c r="G32" i="17"/>
  <c r="H32" i="17"/>
  <c r="I32" i="17"/>
  <c r="J32" i="17"/>
  <c r="F33" i="17"/>
  <c r="G33" i="17"/>
  <c r="H33" i="17"/>
  <c r="I33" i="17"/>
  <c r="J33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<sst xmlns="http://schemas.openxmlformats.org/spreadsheetml/2006/main" count="442" uniqueCount="241">
  <si>
    <t xml:space="preserve">Historical </t>
  </si>
  <si>
    <t xml:space="preserve"> </t>
  </si>
  <si>
    <t>Forecast</t>
  </si>
  <si>
    <t>Revenues</t>
  </si>
  <si>
    <t>Cost of revenues</t>
  </si>
  <si>
    <t>Marketing</t>
  </si>
  <si>
    <t>Technology and development</t>
  </si>
  <si>
    <t>General and administrative</t>
  </si>
  <si>
    <t>Operating income</t>
  </si>
  <si>
    <t>Other income (expense):</t>
  </si>
  <si>
    <t>Interest expense</t>
  </si>
  <si>
    <t>Interest and other income (expense)</t>
  </si>
  <si>
    <t>Income before income taxes</t>
  </si>
  <si>
    <t>Provision for income taxes</t>
  </si>
  <si>
    <t>Net income</t>
  </si>
  <si>
    <t>Netflix Income Statement</t>
  </si>
  <si>
    <t>Streaming revenues</t>
  </si>
  <si>
    <t>DVD revenues (1)</t>
  </si>
  <si>
    <t>Total revenues</t>
  </si>
  <si>
    <t>United States and Canada (UCAN)</t>
  </si>
  <si>
    <t>Paid net membership additions (losses)</t>
  </si>
  <si>
    <t>Paid memberships at end of period (1)</t>
  </si>
  <si>
    <t>Average paying memberships</t>
  </si>
  <si>
    <t>Average monthly revenue per paying membership</t>
  </si>
  <si>
    <t>Europe, Middle East, and Africa (EMEA)</t>
  </si>
  <si>
    <t>Latin America (LATAM)</t>
  </si>
  <si>
    <t>Paid net membership additions</t>
  </si>
  <si>
    <t>Asia-Pacific (APAC)</t>
  </si>
  <si>
    <t xml:space="preserve">Members Added during the Year </t>
  </si>
  <si>
    <t>Growth Rate in Membership fees</t>
  </si>
  <si>
    <t>Revenue</t>
  </si>
  <si>
    <t>As a % of Renveue</t>
  </si>
  <si>
    <t>Effective Tax Rate</t>
  </si>
  <si>
    <t>Assets</t>
  </si>
  <si>
    <t>Current assets:</t>
  </si>
  <si>
    <t>Cash and cash equivalents</t>
  </si>
  <si>
    <t>Short-term investments</t>
  </si>
  <si>
    <t>Other current assets</t>
  </si>
  <si>
    <t>Total current assets</t>
  </si>
  <si>
    <t>Content assets, net</t>
  </si>
  <si>
    <t>Property and equipment,</t>
  </si>
  <si>
    <t>Other non-current assets</t>
  </si>
  <si>
    <t>Total assets</t>
  </si>
  <si>
    <t>Current liabilities:</t>
  </si>
  <si>
    <t>Current content liabilities</t>
  </si>
  <si>
    <t>Accounts payable</t>
  </si>
  <si>
    <t>Accrued expenses and other liabilities</t>
  </si>
  <si>
    <t>Deferred revenue</t>
  </si>
  <si>
    <t>Short-term debt</t>
  </si>
  <si>
    <t>Total current liabilities</t>
  </si>
  <si>
    <t>Non-current content liabilities</t>
  </si>
  <si>
    <t>Long-term debt</t>
  </si>
  <si>
    <t>Other non-current liabilities</t>
  </si>
  <si>
    <t>Total liabilities</t>
  </si>
  <si>
    <t>—</t>
  </si>
  <si>
    <t>Accumulated other comprehensive loss</t>
  </si>
  <si>
    <t>Retained earnings</t>
  </si>
  <si>
    <t>Total stockholders’ equity</t>
  </si>
  <si>
    <t>Total liabilities and stockholders’ equity</t>
  </si>
  <si>
    <t>Stockholders’ equity</t>
  </si>
  <si>
    <t>Preferred stock</t>
  </si>
  <si>
    <t>Common stock</t>
  </si>
  <si>
    <t xml:space="preserve">Treasury stock </t>
  </si>
  <si>
    <t>Difference</t>
  </si>
  <si>
    <t>Netflix Balance Sheet</t>
  </si>
  <si>
    <t xml:space="preserve">Trade Receivable  </t>
  </si>
  <si>
    <t xml:space="preserve">Gross PP&amp;E Opening  </t>
  </si>
  <si>
    <t>Additions</t>
  </si>
  <si>
    <t>Gross PP&amp;E Closing</t>
  </si>
  <si>
    <t>Accum Dep</t>
  </si>
  <si>
    <t>Net PP&amp;E</t>
  </si>
  <si>
    <t>Capex</t>
  </si>
  <si>
    <t>Capex as a % of Revenue</t>
  </si>
  <si>
    <t>D&amp;A</t>
  </si>
  <si>
    <t>D&amp;A as a % of Gross PP&amp;E</t>
  </si>
  <si>
    <t>Content Asset Schedule</t>
  </si>
  <si>
    <t>Licensed content, net</t>
  </si>
  <si>
    <t>Produced content, net</t>
  </si>
  <si>
    <t>Total Content Asset, net</t>
  </si>
  <si>
    <t xml:space="preserve">Opening Licensed Content  </t>
  </si>
  <si>
    <t xml:space="preserve">Addition During the Year </t>
  </si>
  <si>
    <t xml:space="preserve">Amortization </t>
  </si>
  <si>
    <t xml:space="preserve">Closing Licensed Content  </t>
  </si>
  <si>
    <t xml:space="preserve">Opening Produced Content, Net </t>
  </si>
  <si>
    <t xml:space="preserve">Closing Produced Content  </t>
  </si>
  <si>
    <t>Additions as a % of Revenue</t>
  </si>
  <si>
    <t>Additions as a % of Licensed</t>
  </si>
  <si>
    <t>Current content liabilities Opening</t>
  </si>
  <si>
    <t>Non-current content liabilities Opening</t>
  </si>
  <si>
    <t>Current content liabilities Additions</t>
  </si>
  <si>
    <t xml:space="preserve">Non-current content liabilities Additions </t>
  </si>
  <si>
    <t xml:space="preserve">Current content liabilities Paid </t>
  </si>
  <si>
    <t>Non-current content liabilities Paid</t>
  </si>
  <si>
    <t xml:space="preserve">Current content liabilities Closing </t>
  </si>
  <si>
    <t xml:space="preserve">Non-current content liabilities Closing </t>
  </si>
  <si>
    <t>Added Content Asset</t>
  </si>
  <si>
    <t>Non Current Content Liability as a  % of Content Asset Added</t>
  </si>
  <si>
    <t>Content Liability</t>
  </si>
  <si>
    <t>Working Capital Schedule</t>
  </si>
  <si>
    <t xml:space="preserve">TR as a % of Revenue </t>
  </si>
  <si>
    <t>AP as a % of Exp</t>
  </si>
  <si>
    <t>Expense</t>
  </si>
  <si>
    <t xml:space="preserve">Netflix Cash Flow Statement </t>
  </si>
  <si>
    <t>PAT</t>
  </si>
  <si>
    <t>SBC</t>
  </si>
  <si>
    <t xml:space="preserve">Change in short term investment </t>
  </si>
  <si>
    <t>Change in short term AR</t>
  </si>
  <si>
    <t>Change in short term Other CA</t>
  </si>
  <si>
    <t>Change in Current Liability</t>
  </si>
  <si>
    <t>Change in Current Asset</t>
  </si>
  <si>
    <t>Addition to Content Asset</t>
  </si>
  <si>
    <t>Change in Content Liability</t>
  </si>
  <si>
    <t>Cash from Operaions</t>
  </si>
  <si>
    <t>Capex on PP&amp;E</t>
  </si>
  <si>
    <t xml:space="preserve">Additions to Intangibles </t>
  </si>
  <si>
    <t>Other</t>
  </si>
  <si>
    <t>Cash From Investment</t>
  </si>
  <si>
    <t>Divident Paid</t>
  </si>
  <si>
    <t>Options Proceeds</t>
  </si>
  <si>
    <t>Share Buyback</t>
  </si>
  <si>
    <t xml:space="preserve">Equity Issue </t>
  </si>
  <si>
    <t>Change in Debt</t>
  </si>
  <si>
    <t xml:space="preserve">Cash From Financing </t>
  </si>
  <si>
    <t>Surplus/Deficit</t>
  </si>
  <si>
    <t>Opening Cash Balance</t>
  </si>
  <si>
    <t>Closing Cash Balance</t>
  </si>
  <si>
    <t xml:space="preserve">Amotization of Content </t>
  </si>
  <si>
    <t>Netflix Debt Schedule</t>
  </si>
  <si>
    <t>Free Cash Before Debt</t>
  </si>
  <si>
    <t xml:space="preserve">Add Opening Cash Bslance </t>
  </si>
  <si>
    <t xml:space="preserve">less Minimum Cash Balance </t>
  </si>
  <si>
    <t>Free Cash for Debt</t>
  </si>
  <si>
    <t>Closing Debt</t>
  </si>
  <si>
    <t>Debt</t>
  </si>
  <si>
    <t>Rate of Interest</t>
  </si>
  <si>
    <t xml:space="preserve"> Due Year </t>
  </si>
  <si>
    <t xml:space="preserve"> Amount </t>
  </si>
  <si>
    <t>Senior Notes</t>
  </si>
  <si>
    <t>Borrowings</t>
  </si>
  <si>
    <t>Opening Debt</t>
  </si>
  <si>
    <t>Prep Option</t>
  </si>
  <si>
    <t>ST Debt</t>
  </si>
  <si>
    <t>LT Debt</t>
  </si>
  <si>
    <t>Rate</t>
  </si>
  <si>
    <t>Due Year</t>
  </si>
  <si>
    <t>Total</t>
  </si>
  <si>
    <t>Amount</t>
  </si>
  <si>
    <t>Int Exp</t>
  </si>
  <si>
    <t xml:space="preserve">Total Interest </t>
  </si>
  <si>
    <t>Change in LT Content Liab</t>
  </si>
  <si>
    <t>Netflix Revenue Model</t>
  </si>
  <si>
    <t>Netflix Scenario Analysis</t>
  </si>
  <si>
    <t xml:space="preserve">Best </t>
  </si>
  <si>
    <t xml:space="preserve">Base </t>
  </si>
  <si>
    <t>Weak</t>
  </si>
  <si>
    <t>EBIT</t>
  </si>
  <si>
    <t>Tax Rate</t>
  </si>
  <si>
    <t>CapEx</t>
  </si>
  <si>
    <t>NOPAT | EBIT*[1-TaxRate]</t>
  </si>
  <si>
    <t>NCC | Dep, Amortization, SBC</t>
  </si>
  <si>
    <t>Change in CA</t>
  </si>
  <si>
    <t>Change in CL</t>
  </si>
  <si>
    <t xml:space="preserve">Change in Content Liability </t>
  </si>
  <si>
    <t>Additions to Content Asset</t>
  </si>
  <si>
    <t>Netflix DCF Valuations</t>
  </si>
  <si>
    <r>
      <rPr>
        <sz val="14"/>
        <color theme="0"/>
        <rFont val="Aerial"/>
      </rPr>
      <t>Particular in Millions</t>
    </r>
    <r>
      <rPr>
        <sz val="16"/>
        <color theme="1"/>
        <rFont val="Aerial"/>
      </rPr>
      <t xml:space="preserve"> </t>
    </r>
  </si>
  <si>
    <t>WACC: Ke *We + Kd * Wd + Kd * Wd + KPs * WPS</t>
  </si>
  <si>
    <t>Risk Free Rate</t>
  </si>
  <si>
    <t>Beta</t>
  </si>
  <si>
    <t>Risk Premium</t>
  </si>
  <si>
    <t xml:space="preserve">Ke | Cost of Equity </t>
  </si>
  <si>
    <t>Basic Share Outs</t>
  </si>
  <si>
    <t>Dilutions</t>
  </si>
  <si>
    <t>Total Diluted Shares</t>
  </si>
  <si>
    <t>Market Price</t>
  </si>
  <si>
    <t>Market Cap</t>
  </si>
  <si>
    <t xml:space="preserve">Option </t>
  </si>
  <si>
    <t xml:space="preserve">Strike Price </t>
  </si>
  <si>
    <t>Traunch 1</t>
  </si>
  <si>
    <t>Traunch 2</t>
  </si>
  <si>
    <t>Traunch 3</t>
  </si>
  <si>
    <t>Traunch 4</t>
  </si>
  <si>
    <t>SP</t>
  </si>
  <si>
    <t xml:space="preserve">Credit Spread </t>
  </si>
  <si>
    <t>Pretax Cost of Debt</t>
  </si>
  <si>
    <t xml:space="preserve">Post Tax Cost of Debt </t>
  </si>
  <si>
    <t>Total Debt</t>
  </si>
  <si>
    <t xml:space="preserve">In the Money </t>
  </si>
  <si>
    <t xml:space="preserve">% Equity </t>
  </si>
  <si>
    <t>% Debt</t>
  </si>
  <si>
    <t>WACC</t>
  </si>
  <si>
    <t>Terminal Value</t>
  </si>
  <si>
    <t>Terminal Value:</t>
  </si>
  <si>
    <t>WACC Aanlysis:</t>
  </si>
  <si>
    <t>FCFF | UnLevered FCF |:</t>
  </si>
  <si>
    <t>1. Perpetual Method</t>
  </si>
  <si>
    <t>2. Multiple Method</t>
  </si>
  <si>
    <t>Growth Rate</t>
  </si>
  <si>
    <t>Tv = FCFF6th/ WACC- G</t>
  </si>
  <si>
    <t>Pv of TV</t>
  </si>
  <si>
    <t>Terminal EBITDA Multiple</t>
  </si>
  <si>
    <t xml:space="preserve">Terminal EBITDA </t>
  </si>
  <si>
    <t xml:space="preserve">Terminal Value </t>
  </si>
  <si>
    <t>PV of TV</t>
  </si>
  <si>
    <t>Select Method</t>
  </si>
  <si>
    <t>Discount Period</t>
  </si>
  <si>
    <t>PV of FCFF</t>
  </si>
  <si>
    <t>Sum of  PV of FCFF</t>
  </si>
  <si>
    <t>Emplied Enterprise Value</t>
  </si>
  <si>
    <t>Less: Non Equity Claims</t>
  </si>
  <si>
    <t>Emplied Equity Value</t>
  </si>
  <si>
    <t>Diluted Shares</t>
  </si>
  <si>
    <t>Emplied Share Price</t>
  </si>
  <si>
    <t>Netflix Ratio Analysis</t>
  </si>
  <si>
    <t>Liquitity Ratios:</t>
  </si>
  <si>
    <t>Current Ratio</t>
  </si>
  <si>
    <t>Quick Ratio</t>
  </si>
  <si>
    <t>Cash Ratio</t>
  </si>
  <si>
    <t>Activity Ratios:</t>
  </si>
  <si>
    <t>Account Receivable Turnover Ratio</t>
  </si>
  <si>
    <t>Collection Period</t>
  </si>
  <si>
    <t>Accounts Payable Turnover Ratio</t>
  </si>
  <si>
    <t>Payment Period</t>
  </si>
  <si>
    <t>Total Assets Turnover Ratio</t>
  </si>
  <si>
    <t>PP&amp;E Turnover Ratio</t>
  </si>
  <si>
    <t>Solvency Ratios:</t>
  </si>
  <si>
    <t>Interest Coverage Ratio</t>
  </si>
  <si>
    <t>Debt to Asset Ratio</t>
  </si>
  <si>
    <t>Debt to Equity Ratio</t>
  </si>
  <si>
    <t>Profitability Ratios:</t>
  </si>
  <si>
    <t>Operating Profit Margin</t>
  </si>
  <si>
    <t>Net Profit Margin</t>
  </si>
  <si>
    <t>Pretax Margin</t>
  </si>
  <si>
    <t>Return on Assets</t>
  </si>
  <si>
    <t>Return on Capital Employed</t>
  </si>
  <si>
    <t>Return on Equity</t>
  </si>
  <si>
    <t xml:space="preserve">Gross Profit </t>
  </si>
  <si>
    <t>Gross Profit Margin</t>
  </si>
  <si>
    <t>Netflix Balance Schedule  1</t>
  </si>
  <si>
    <t>Netflix Balance Schedule 2</t>
  </si>
  <si>
    <t>Netflix Expense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</si>
</sst>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.0\2\X"/>
    <numFmt numFmtId="167" formatCode="0.00&quot;X&quot;"/>
    <numFmt numFmtId="168" formatCode="0.0&quot; Times&quot;"/>
    <numFmt numFmtId="169" formatCode="0&quot; Days&quot;"/>
    <numFmt numFmtId="170" formatCode="0.0"/>
    <numFmt numFmtId="171" formatCode="0.0&quot;X&quot;"/>
    <numFmt numFmtId="172" formatCode="0&quot; Times&quot;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Aerial"/>
    </font>
    <font>
      <sz val="16"/>
      <color theme="1"/>
      <name val="Aerial"/>
    </font>
    <font>
      <sz val="14"/>
      <color theme="0"/>
      <name val="Aerial"/>
    </font>
    <font>
      <sz val="11"/>
      <color theme="1"/>
      <name val="Aerial"/>
    </font>
    <font>
      <b/>
      <sz val="11"/>
      <color theme="1"/>
      <name val="Aerial"/>
    </font>
    <font>
      <sz val="8"/>
      <name val="Calibri"/>
      <family val="2"/>
      <scheme val="minor"/>
    </font>
    <font>
      <sz val="11"/>
      <color rgb="FF0070C0"/>
      <name val="Aerial"/>
    </font>
    <font>
      <sz val="11"/>
      <color theme="9" tint="-0.249977111117893"/>
      <name val="Aerial"/>
    </font>
    <font>
      <sz val="18"/>
      <color theme="1"/>
      <name val="Aerial"/>
    </font>
    <font>
      <b/>
      <sz val="11"/>
      <color theme="9" tint="-0.249977111117893"/>
      <name val="Aerial"/>
    </font>
    <font>
      <sz val="11"/>
      <name val="Aerial"/>
    </font>
    <font>
      <b/>
      <sz val="11"/>
      <color rgb="FF0070C0"/>
      <name val="Aerial"/>
    </font>
    <font>
      <b/>
      <sz val="11"/>
      <name val="Aerial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1"/>
      </bottom>
      <diagonal/>
    </border>
    <border>
      <left/>
      <right/>
      <top style="double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theme="1"/>
      </bottom>
      <diagonal/>
    </border>
    <border>
      <left/>
      <right/>
      <top style="medium">
        <color indexed="64"/>
      </top>
      <bottom style="double">
        <color theme="1"/>
      </bottom>
      <diagonal/>
    </border>
    <border>
      <left/>
      <right style="medium">
        <color indexed="64"/>
      </right>
      <top style="medium">
        <color indexed="64"/>
      </top>
      <bottom style="double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theme="1"/>
      </top>
      <bottom style="double">
        <color theme="1"/>
      </bottom>
      <diagonal/>
    </border>
    <border>
      <left/>
      <right style="medium">
        <color indexed="64"/>
      </right>
      <top/>
      <bottom style="double">
        <color theme="1"/>
      </bottom>
      <diagonal/>
    </border>
    <border>
      <left/>
      <right style="medium">
        <color indexed="64"/>
      </right>
      <top style="double">
        <color theme="1"/>
      </top>
      <bottom/>
      <diagonal/>
    </border>
    <border>
      <left/>
      <right style="medium">
        <color indexed="64"/>
      </right>
      <top style="thin">
        <color theme="1"/>
      </top>
      <bottom style="double">
        <color theme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thin">
        <color theme="1"/>
      </top>
      <bottom style="medium">
        <color indexed="64"/>
      </bottom>
      <diagonal/>
    </border>
    <border>
      <left/>
      <right/>
      <top style="thin">
        <color theme="1"/>
      </top>
      <bottom style="medium">
        <color indexed="64"/>
      </bottom>
      <diagonal/>
    </border>
    <border>
      <left/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2">
    <xf numFmtId="0" fontId="0" fillId="0" borderId="0" xfId="0"/>
    <xf numFmtId="0" fontId="5" fillId="0" borderId="0" xfId="0" applyFont="1"/>
    <xf numFmtId="0" fontId="5" fillId="6" borderId="0" xfId="0" applyFont="1" applyFill="1" applyBorder="1"/>
    <xf numFmtId="4" fontId="5" fillId="6" borderId="0" xfId="0" applyNumberFormat="1" applyFont="1" applyFill="1" applyBorder="1"/>
    <xf numFmtId="0" fontId="5" fillId="0" borderId="0" xfId="0" applyFont="1" applyBorder="1"/>
    <xf numFmtId="9" fontId="5" fillId="0" borderId="0" xfId="2" applyFont="1"/>
    <xf numFmtId="0" fontId="6" fillId="2" borderId="1" xfId="0" applyFont="1" applyFill="1" applyBorder="1"/>
    <xf numFmtId="3" fontId="6" fillId="2" borderId="1" xfId="0" applyNumberFormat="1" applyFont="1" applyFill="1" applyBorder="1"/>
    <xf numFmtId="0" fontId="2" fillId="4" borderId="0" xfId="0" applyFont="1" applyFill="1"/>
    <xf numFmtId="0" fontId="5" fillId="4" borderId="0" xfId="0" applyFont="1" applyFill="1"/>
    <xf numFmtId="0" fontId="5" fillId="4" borderId="0" xfId="0" applyFont="1" applyFill="1" applyBorder="1"/>
    <xf numFmtId="1" fontId="6" fillId="2" borderId="1" xfId="0" applyNumberFormat="1" applyFont="1" applyFill="1" applyBorder="1"/>
    <xf numFmtId="9" fontId="5" fillId="0" borderId="0" xfId="2" applyNumberFormat="1" applyFont="1"/>
    <xf numFmtId="9" fontId="8" fillId="0" borderId="0" xfId="0" applyNumberFormat="1" applyFont="1"/>
    <xf numFmtId="164" fontId="5" fillId="0" borderId="0" xfId="2" applyNumberFormat="1" applyFont="1"/>
    <xf numFmtId="165" fontId="5" fillId="0" borderId="0" xfId="1" applyNumberFormat="1" applyFont="1"/>
    <xf numFmtId="0" fontId="3" fillId="4" borderId="0" xfId="0" applyFont="1" applyFill="1"/>
    <xf numFmtId="0" fontId="4" fillId="4" borderId="7" xfId="0" applyFont="1" applyFill="1" applyBorder="1"/>
    <xf numFmtId="0" fontId="4" fillId="4" borderId="3" xfId="0" applyFont="1" applyFill="1" applyBorder="1"/>
    <xf numFmtId="0" fontId="4" fillId="4" borderId="6" xfId="0" applyFont="1" applyFill="1" applyBorder="1"/>
    <xf numFmtId="9" fontId="5" fillId="0" borderId="0" xfId="2" applyFont="1" applyFill="1" applyBorder="1"/>
    <xf numFmtId="0" fontId="4" fillId="4" borderId="4" xfId="0" applyFont="1" applyFill="1" applyBorder="1"/>
    <xf numFmtId="0" fontId="2" fillId="4" borderId="4" xfId="0" applyFont="1" applyFill="1" applyBorder="1" applyAlignment="1">
      <alignment horizontal="centerContinuous"/>
    </xf>
    <xf numFmtId="0" fontId="2" fillId="4" borderId="2" xfId="0" applyFont="1" applyFill="1" applyBorder="1" applyAlignment="1">
      <alignment horizontal="centerContinuous"/>
    </xf>
    <xf numFmtId="0" fontId="2" fillId="4" borderId="5" xfId="0" applyFont="1" applyFill="1" applyBorder="1" applyAlignment="1">
      <alignment horizontal="centerContinuous"/>
    </xf>
    <xf numFmtId="0" fontId="5" fillId="4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5" fillId="4" borderId="4" xfId="0" applyFont="1" applyFill="1" applyBorder="1"/>
    <xf numFmtId="166" fontId="5" fillId="0" borderId="0" xfId="0" applyNumberFormat="1" applyFont="1" applyBorder="1"/>
    <xf numFmtId="167" fontId="5" fillId="0" borderId="0" xfId="0" applyNumberFormat="1" applyFont="1" applyBorder="1"/>
    <xf numFmtId="2" fontId="5" fillId="0" borderId="0" xfId="0" applyNumberFormat="1" applyFont="1" applyBorder="1"/>
    <xf numFmtId="172" fontId="5" fillId="0" borderId="0" xfId="0" applyNumberFormat="1" applyFont="1" applyBorder="1"/>
    <xf numFmtId="169" fontId="5" fillId="0" borderId="0" xfId="0" applyNumberFormat="1" applyFont="1" applyBorder="1"/>
    <xf numFmtId="168" fontId="5" fillId="0" borderId="0" xfId="0" applyNumberFormat="1" applyFont="1" applyBorder="1"/>
    <xf numFmtId="170" fontId="5" fillId="0" borderId="0" xfId="0" applyNumberFormat="1" applyFont="1" applyBorder="1"/>
    <xf numFmtId="171" fontId="5" fillId="0" borderId="0" xfId="0" applyNumberFormat="1" applyFont="1" applyBorder="1"/>
    <xf numFmtId="9" fontId="5" fillId="0" borderId="0" xfId="0" applyNumberFormat="1" applyFont="1" applyBorder="1"/>
    <xf numFmtId="9" fontId="5" fillId="0" borderId="0" xfId="2" applyFont="1" applyBorder="1"/>
    <xf numFmtId="3" fontId="5" fillId="0" borderId="0" xfId="0" applyNumberFormat="1" applyFont="1" applyBorder="1"/>
    <xf numFmtId="0" fontId="5" fillId="0" borderId="8" xfId="0" applyFont="1" applyBorder="1"/>
    <xf numFmtId="0" fontId="6" fillId="2" borderId="9" xfId="0" applyFont="1" applyFill="1" applyBorder="1"/>
    <xf numFmtId="0" fontId="6" fillId="2" borderId="10" xfId="0" applyFont="1" applyFill="1" applyBorder="1"/>
    <xf numFmtId="1" fontId="6" fillId="2" borderId="10" xfId="0" applyNumberFormat="1" applyFont="1" applyFill="1" applyBorder="1"/>
    <xf numFmtId="0" fontId="6" fillId="2" borderId="11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6" fillId="2" borderId="16" xfId="0" applyFont="1" applyFill="1" applyBorder="1"/>
    <xf numFmtId="0" fontId="6" fillId="2" borderId="17" xfId="0" applyFont="1" applyFill="1" applyBorder="1"/>
    <xf numFmtId="0" fontId="5" fillId="0" borderId="18" xfId="0" applyFont="1" applyBorder="1"/>
    <xf numFmtId="0" fontId="6" fillId="2" borderId="19" xfId="0" applyFont="1" applyFill="1" applyBorder="1"/>
    <xf numFmtId="0" fontId="5" fillId="0" borderId="20" xfId="0" applyFont="1" applyBorder="1"/>
    <xf numFmtId="170" fontId="5" fillId="0" borderId="21" xfId="0" applyNumberFormat="1" applyFont="1" applyBorder="1"/>
    <xf numFmtId="0" fontId="5" fillId="0" borderId="22" xfId="0" applyFont="1" applyBorder="1"/>
    <xf numFmtId="0" fontId="4" fillId="4" borderId="0" xfId="0" applyFont="1" applyFill="1" applyBorder="1"/>
    <xf numFmtId="1" fontId="6" fillId="2" borderId="11" xfId="0" applyNumberFormat="1" applyFont="1" applyFill="1" applyBorder="1"/>
    <xf numFmtId="9" fontId="5" fillId="0" borderId="21" xfId="2" applyFont="1" applyBorder="1"/>
    <xf numFmtId="0" fontId="5" fillId="0" borderId="23" xfId="0" applyFont="1" applyBorder="1"/>
    <xf numFmtId="0" fontId="5" fillId="0" borderId="24" xfId="0" applyFont="1" applyBorder="1"/>
    <xf numFmtId="3" fontId="5" fillId="0" borderId="24" xfId="0" applyNumberFormat="1" applyFont="1" applyBorder="1"/>
    <xf numFmtId="3" fontId="5" fillId="0" borderId="25" xfId="0" applyNumberFormat="1" applyFont="1" applyBorder="1"/>
    <xf numFmtId="9" fontId="5" fillId="0" borderId="13" xfId="0" applyNumberFormat="1" applyFont="1" applyBorder="1"/>
    <xf numFmtId="1" fontId="5" fillId="0" borderId="0" xfId="0" applyNumberFormat="1" applyFont="1" applyBorder="1"/>
    <xf numFmtId="1" fontId="5" fillId="0" borderId="13" xfId="0" applyNumberFormat="1" applyFont="1" applyBorder="1"/>
    <xf numFmtId="3" fontId="5" fillId="0" borderId="13" xfId="0" applyNumberFormat="1" applyFont="1" applyBorder="1"/>
    <xf numFmtId="0" fontId="0" fillId="0" borderId="0" xfId="0" applyBorder="1"/>
    <xf numFmtId="0" fontId="6" fillId="0" borderId="12" xfId="0" applyFont="1" applyBorder="1"/>
    <xf numFmtId="1" fontId="6" fillId="0" borderId="0" xfId="0" applyNumberFormat="1" applyFont="1" applyBorder="1"/>
    <xf numFmtId="0" fontId="6" fillId="0" borderId="0" xfId="0" applyFont="1" applyBorder="1"/>
    <xf numFmtId="10" fontId="5" fillId="0" borderId="0" xfId="0" applyNumberFormat="1" applyFont="1" applyBorder="1"/>
    <xf numFmtId="0" fontId="6" fillId="0" borderId="13" xfId="0" applyFont="1" applyBorder="1"/>
    <xf numFmtId="9" fontId="5" fillId="6" borderId="0" xfId="0" applyNumberFormat="1" applyFont="1" applyFill="1" applyBorder="1"/>
    <xf numFmtId="3" fontId="6" fillId="0" borderId="0" xfId="0" applyNumberFormat="1" applyFont="1" applyBorder="1"/>
    <xf numFmtId="1" fontId="6" fillId="0" borderId="13" xfId="0" applyNumberFormat="1" applyFont="1" applyBorder="1"/>
    <xf numFmtId="1" fontId="5" fillId="0" borderId="21" xfId="0" applyNumberFormat="1" applyFont="1" applyBorder="1"/>
    <xf numFmtId="0" fontId="5" fillId="0" borderId="21" xfId="0" applyFont="1" applyBorder="1"/>
    <xf numFmtId="0" fontId="4" fillId="4" borderId="26" xfId="0" applyFont="1" applyFill="1" applyBorder="1"/>
    <xf numFmtId="0" fontId="5" fillId="0" borderId="25" xfId="0" applyFont="1" applyBorder="1"/>
    <xf numFmtId="3" fontId="8" fillId="0" borderId="0" xfId="0" applyNumberFormat="1" applyFont="1" applyBorder="1"/>
    <xf numFmtId="1" fontId="9" fillId="0" borderId="0" xfId="0" applyNumberFormat="1" applyFont="1" applyBorder="1"/>
    <xf numFmtId="3" fontId="9" fillId="0" borderId="0" xfId="0" applyNumberFormat="1" applyFont="1" applyBorder="1"/>
    <xf numFmtId="3" fontId="9" fillId="0" borderId="13" xfId="0" applyNumberFormat="1" applyFont="1" applyBorder="1"/>
    <xf numFmtId="1" fontId="9" fillId="0" borderId="13" xfId="0" applyNumberFormat="1" applyFont="1" applyBorder="1"/>
    <xf numFmtId="3" fontId="6" fillId="2" borderId="19" xfId="0" applyNumberFormat="1" applyFont="1" applyFill="1" applyBorder="1"/>
    <xf numFmtId="3" fontId="8" fillId="0" borderId="13" xfId="0" applyNumberFormat="1" applyFont="1" applyBorder="1"/>
    <xf numFmtId="1" fontId="5" fillId="0" borderId="0" xfId="2" applyNumberFormat="1" applyFont="1" applyBorder="1"/>
    <xf numFmtId="1" fontId="5" fillId="0" borderId="13" xfId="2" applyNumberFormat="1" applyFont="1" applyBorder="1"/>
    <xf numFmtId="0" fontId="6" fillId="0" borderId="20" xfId="0" applyFont="1" applyBorder="1"/>
    <xf numFmtId="3" fontId="5" fillId="0" borderId="21" xfId="0" applyNumberFormat="1" applyFont="1" applyBorder="1"/>
    <xf numFmtId="3" fontId="5" fillId="0" borderId="22" xfId="0" applyNumberFormat="1" applyFont="1" applyBorder="1"/>
    <xf numFmtId="3" fontId="8" fillId="0" borderId="24" xfId="0" applyNumberFormat="1" applyFont="1" applyBorder="1"/>
    <xf numFmtId="1" fontId="9" fillId="0" borderId="24" xfId="0" applyNumberFormat="1" applyFont="1" applyBorder="1"/>
    <xf numFmtId="3" fontId="9" fillId="0" borderId="24" xfId="0" applyNumberFormat="1" applyFont="1" applyBorder="1"/>
    <xf numFmtId="3" fontId="9" fillId="0" borderId="25" xfId="0" applyNumberFormat="1" applyFont="1" applyBorder="1"/>
    <xf numFmtId="0" fontId="5" fillId="0" borderId="27" xfId="0" applyFont="1" applyBorder="1"/>
    <xf numFmtId="165" fontId="9" fillId="0" borderId="0" xfId="1" applyNumberFormat="1" applyFont="1" applyBorder="1"/>
    <xf numFmtId="165" fontId="5" fillId="0" borderId="0" xfId="0" applyNumberFormat="1" applyFont="1" applyBorder="1"/>
    <xf numFmtId="165" fontId="5" fillId="0" borderId="13" xfId="0" applyNumberFormat="1" applyFont="1" applyBorder="1"/>
    <xf numFmtId="0" fontId="9" fillId="0" borderId="0" xfId="0" applyFont="1" applyBorder="1"/>
    <xf numFmtId="0" fontId="5" fillId="0" borderId="28" xfId="0" applyFont="1" applyBorder="1"/>
    <xf numFmtId="3" fontId="5" fillId="0" borderId="8" xfId="0" applyNumberFormat="1" applyFont="1" applyBorder="1"/>
    <xf numFmtId="0" fontId="5" fillId="0" borderId="12" xfId="0" applyFont="1" applyBorder="1" applyAlignment="1">
      <alignment horizontal="left" indent="2"/>
    </xf>
    <xf numFmtId="0" fontId="5" fillId="0" borderId="12" xfId="0" applyFont="1" applyBorder="1" applyAlignment="1">
      <alignment horizontal="left"/>
    </xf>
    <xf numFmtId="1" fontId="6" fillId="2" borderId="19" xfId="0" applyNumberFormat="1" applyFont="1" applyFill="1" applyBorder="1"/>
    <xf numFmtId="0" fontId="6" fillId="2" borderId="29" xfId="0" applyFont="1" applyFill="1" applyBorder="1"/>
    <xf numFmtId="0" fontId="6" fillId="2" borderId="30" xfId="0" applyFont="1" applyFill="1" applyBorder="1"/>
    <xf numFmtId="1" fontId="6" fillId="2" borderId="30" xfId="0" applyNumberFormat="1" applyFont="1" applyFill="1" applyBorder="1"/>
    <xf numFmtId="1" fontId="6" fillId="2" borderId="31" xfId="0" applyNumberFormat="1" applyFont="1" applyFill="1" applyBorder="1"/>
    <xf numFmtId="0" fontId="5" fillId="3" borderId="0" xfId="0" applyFont="1" applyFill="1" applyBorder="1"/>
    <xf numFmtId="0" fontId="5" fillId="0" borderId="0" xfId="0" applyFont="1" applyBorder="1" applyAlignment="1">
      <alignment horizontal="right"/>
    </xf>
    <xf numFmtId="10" fontId="8" fillId="0" borderId="0" xfId="0" applyNumberFormat="1" applyFont="1" applyBorder="1"/>
    <xf numFmtId="0" fontId="8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horizontal="center" vertical="center"/>
    </xf>
    <xf numFmtId="2" fontId="5" fillId="0" borderId="13" xfId="0" applyNumberFormat="1" applyFont="1" applyBorder="1"/>
    <xf numFmtId="10" fontId="8" fillId="0" borderId="21" xfId="0" applyNumberFormat="1" applyFont="1" applyBorder="1"/>
    <xf numFmtId="0" fontId="8" fillId="0" borderId="21" xfId="0" applyFont="1" applyBorder="1"/>
    <xf numFmtId="0" fontId="5" fillId="0" borderId="21" xfId="0" applyFont="1" applyBorder="1" applyAlignment="1">
      <alignment horizontal="center" vertical="center"/>
    </xf>
    <xf numFmtId="1" fontId="5" fillId="0" borderId="22" xfId="0" applyNumberFormat="1" applyFont="1" applyBorder="1"/>
    <xf numFmtId="0" fontId="10" fillId="5" borderId="33" xfId="0" applyFont="1" applyFill="1" applyBorder="1" applyAlignment="1">
      <alignment horizontal="center"/>
    </xf>
    <xf numFmtId="0" fontId="10" fillId="0" borderId="33" xfId="0" applyFont="1" applyBorder="1"/>
    <xf numFmtId="9" fontId="5" fillId="0" borderId="13" xfId="2" applyFont="1" applyBorder="1"/>
    <xf numFmtId="9" fontId="8" fillId="0" borderId="0" xfId="0" applyNumberFormat="1" applyFont="1" applyBorder="1"/>
    <xf numFmtId="9" fontId="8" fillId="0" borderId="13" xfId="0" applyNumberFormat="1" applyFont="1" applyBorder="1"/>
    <xf numFmtId="164" fontId="5" fillId="0" borderId="0" xfId="2" applyNumberFormat="1" applyFont="1" applyBorder="1"/>
    <xf numFmtId="9" fontId="5" fillId="0" borderId="0" xfId="2" applyNumberFormat="1" applyFont="1" applyBorder="1"/>
    <xf numFmtId="9" fontId="8" fillId="0" borderId="21" xfId="0" applyNumberFormat="1" applyFont="1" applyBorder="1"/>
    <xf numFmtId="9" fontId="8" fillId="0" borderId="22" xfId="0" applyNumberFormat="1" applyFont="1" applyBorder="1"/>
    <xf numFmtId="0" fontId="6" fillId="0" borderId="23" xfId="0" applyFont="1" applyBorder="1"/>
    <xf numFmtId="3" fontId="11" fillId="0" borderId="24" xfId="0" applyNumberFormat="1" applyFont="1" applyBorder="1"/>
    <xf numFmtId="3" fontId="11" fillId="0" borderId="25" xfId="0" applyNumberFormat="1" applyFont="1" applyBorder="1"/>
    <xf numFmtId="9" fontId="12" fillId="0" borderId="0" xfId="2" applyFont="1" applyBorder="1"/>
    <xf numFmtId="9" fontId="6" fillId="0" borderId="21" xfId="2" applyFont="1" applyBorder="1"/>
    <xf numFmtId="9" fontId="13" fillId="0" borderId="21" xfId="0" applyNumberFormat="1" applyFont="1" applyBorder="1"/>
    <xf numFmtId="9" fontId="13" fillId="0" borderId="22" xfId="0" applyNumberFormat="1" applyFont="1" applyBorder="1"/>
    <xf numFmtId="3" fontId="12" fillId="0" borderId="0" xfId="0" applyNumberFormat="1" applyFont="1" applyBorder="1"/>
    <xf numFmtId="3" fontId="12" fillId="0" borderId="13" xfId="0" applyNumberFormat="1" applyFont="1" applyBorder="1"/>
    <xf numFmtId="164" fontId="5" fillId="0" borderId="21" xfId="2" applyNumberFormat="1" applyFont="1" applyBorder="1"/>
    <xf numFmtId="9" fontId="5" fillId="0" borderId="22" xfId="2" applyFont="1" applyBorder="1"/>
    <xf numFmtId="0" fontId="6" fillId="0" borderId="21" xfId="0" applyFont="1" applyBorder="1"/>
    <xf numFmtId="2" fontId="6" fillId="0" borderId="21" xfId="0" applyNumberFormat="1" applyFont="1" applyBorder="1"/>
    <xf numFmtId="2" fontId="6" fillId="0" borderId="22" xfId="0" applyNumberFormat="1" applyFont="1" applyBorder="1"/>
    <xf numFmtId="0" fontId="6" fillId="0" borderId="32" xfId="0" applyFont="1" applyBorder="1"/>
    <xf numFmtId="0" fontId="6" fillId="0" borderId="34" xfId="0" applyFont="1" applyBorder="1"/>
    <xf numFmtId="1" fontId="6" fillId="0" borderId="21" xfId="0" applyNumberFormat="1" applyFont="1" applyBorder="1"/>
    <xf numFmtId="1" fontId="5" fillId="0" borderId="24" xfId="0" applyNumberFormat="1" applyFont="1" applyBorder="1"/>
    <xf numFmtId="1" fontId="5" fillId="0" borderId="25" xfId="0" applyNumberFormat="1" applyFont="1" applyBorder="1"/>
    <xf numFmtId="3" fontId="6" fillId="2" borderId="10" xfId="0" applyNumberFormat="1" applyFont="1" applyFill="1" applyBorder="1"/>
    <xf numFmtId="3" fontId="6" fillId="2" borderId="11" xfId="0" applyNumberFormat="1" applyFont="1" applyFill="1" applyBorder="1"/>
    <xf numFmtId="3" fontId="5" fillId="0" borderId="0" xfId="0" applyNumberFormat="1" applyFont="1" applyFill="1" applyBorder="1"/>
    <xf numFmtId="3" fontId="5" fillId="0" borderId="13" xfId="0" applyNumberFormat="1" applyFont="1" applyFill="1" applyBorder="1"/>
    <xf numFmtId="1" fontId="5" fillId="0" borderId="0" xfId="0" applyNumberFormat="1" applyFont="1" applyFill="1" applyBorder="1"/>
    <xf numFmtId="1" fontId="5" fillId="0" borderId="13" xfId="0" applyNumberFormat="1" applyFont="1" applyFill="1" applyBorder="1"/>
    <xf numFmtId="0" fontId="5" fillId="0" borderId="13" xfId="0" applyFont="1" applyFill="1" applyBorder="1"/>
    <xf numFmtId="3" fontId="5" fillId="0" borderId="0" xfId="0" applyNumberFormat="1" applyFont="1"/>
    <xf numFmtId="3" fontId="0" fillId="0" borderId="0" xfId="0" applyNumberFormat="1"/>
    <xf numFmtId="9" fontId="0" fillId="0" borderId="0" xfId="2" applyFont="1"/>
    <xf numFmtId="0" fontId="6" fillId="0" borderId="0" xfId="0" applyFont="1"/>
    <xf numFmtId="3" fontId="6" fillId="0" borderId="24" xfId="0" applyNumberFormat="1" applyFont="1" applyBorder="1"/>
    <xf numFmtId="3" fontId="14" fillId="0" borderId="24" xfId="0" applyNumberFormat="1" applyFont="1" applyBorder="1"/>
    <xf numFmtId="3" fontId="14" fillId="0" borderId="25" xfId="0" applyNumberFormat="1" applyFont="1" applyBorder="1"/>
    <xf numFmtId="3" fontId="6" fillId="0" borderId="13" xfId="0" applyNumberFormat="1" applyFont="1" applyBorder="1"/>
    <xf numFmtId="0" fontId="2" fillId="4" borderId="24" xfId="0" applyFont="1" applyFill="1" applyBorder="1"/>
    <xf numFmtId="0" fontId="6" fillId="2" borderId="31" xfId="0" applyFont="1" applyFill="1" applyBorder="1"/>
    <xf numFmtId="0" fontId="6" fillId="2" borderId="20" xfId="0" applyFont="1" applyFill="1" applyBorder="1"/>
    <xf numFmtId="0" fontId="6" fillId="2" borderId="21" xfId="0" applyFont="1" applyFill="1" applyBorder="1"/>
    <xf numFmtId="1" fontId="6" fillId="2" borderId="21" xfId="0" applyNumberFormat="1" applyFont="1" applyFill="1" applyBorder="1"/>
    <xf numFmtId="2" fontId="6" fillId="0" borderId="13" xfId="0" applyNumberFormat="1" applyFont="1" applyBorder="1"/>
    <xf numFmtId="2" fontId="5" fillId="6" borderId="25" xfId="0" applyNumberFormat="1" applyFont="1" applyFill="1" applyBorder="1"/>
    <xf numFmtId="2" fontId="5" fillId="6" borderId="13" xfId="0" applyNumberFormat="1" applyFont="1" applyFill="1" applyBorder="1"/>
    <xf numFmtId="0" fontId="5" fillId="6" borderId="13" xfId="0" applyNumberFormat="1" applyFont="1" applyFill="1" applyBorder="1"/>
    <xf numFmtId="10" fontId="5" fillId="6" borderId="13" xfId="0" applyNumberFormat="1" applyFont="1" applyFill="1" applyBorder="1"/>
    <xf numFmtId="0" fontId="5" fillId="6" borderId="13" xfId="0" applyFont="1" applyFill="1" applyBorder="1"/>
    <xf numFmtId="164" fontId="5" fillId="6" borderId="13" xfId="0" applyNumberFormat="1" applyFont="1" applyFill="1" applyBorder="1"/>
    <xf numFmtId="10" fontId="6" fillId="0" borderId="13" xfId="0" applyNumberFormat="1" applyFont="1" applyBorder="1"/>
    <xf numFmtId="10" fontId="5" fillId="0" borderId="13" xfId="0" applyNumberFormat="1" applyFont="1" applyBorder="1"/>
    <xf numFmtId="9" fontId="5" fillId="6" borderId="13" xfId="0" applyNumberFormat="1" applyFont="1" applyFill="1" applyBorder="1"/>
    <xf numFmtId="9" fontId="5" fillId="0" borderId="22" xfId="0" applyNumberFormat="1" applyFont="1" applyBorder="1"/>
    <xf numFmtId="0" fontId="6" fillId="0" borderId="24" xfId="0" applyFont="1" applyBorder="1"/>
    <xf numFmtId="0" fontId="6" fillId="0" borderId="25" xfId="0" applyFont="1" applyBorder="1"/>
    <xf numFmtId="1" fontId="6" fillId="0" borderId="22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22/10/relationships/richValueRel" Target="richData/richValueRel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50702560109"/>
          <c:y val="0.20290155557684139"/>
          <c:w val="0.86398495292719357"/>
          <c:h val="0.541986509900539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'Ratio '!$B$7</c:f>
              <c:strCache>
                <c:ptCount val="1"/>
                <c:pt idx="0">
                  <c:v>Current Ratio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'!$D$7:$J$7</c:f>
              <c:numCache>
                <c:formatCode>.0\2\X</c:formatCode>
                <c:ptCount val="7"/>
                <c:pt idx="0">
                  <c:v>1.1683902885068089</c:v>
                </c:pt>
                <c:pt idx="1">
                  <c:v>1.1193453531369857</c:v>
                </c:pt>
                <c:pt idx="2">
                  <c:v>1.540127477496563</c:v>
                </c:pt>
                <c:pt idx="3">
                  <c:v>1.961578034844647</c:v>
                </c:pt>
                <c:pt idx="4">
                  <c:v>2.2024007153168008</c:v>
                </c:pt>
                <c:pt idx="5">
                  <c:v>2.0669240477576065</c:v>
                </c:pt>
                <c:pt idx="6">
                  <c:v>2.8722395281937634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C-4E07-A77E-A2AE47E615C5}"/>
            </c:ext>
          </c:extLst>
        </c:ser>
        <c:ser>
          <c:idx val="1"/>
          <c:order val="1"/>
          <c:tx>
            <c:strRef>
              <c:f>'Ratio '!$B$8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'!$D$8:$J$8</c:f>
              <c:numCache>
                <c:formatCode>0.00"X"</c:formatCode>
                <c:ptCount val="7"/>
                <c:pt idx="0">
                  <c:v>0.77368479583970395</c:v>
                </c:pt>
                <c:pt idx="1">
                  <c:v>0.94845891189759657</c:v>
                </c:pt>
                <c:pt idx="2">
                  <c:v>1.3631766914832029</c:v>
                </c:pt>
                <c:pt idx="3">
                  <c:v>1.7894828616558016</c:v>
                </c:pt>
                <c:pt idx="4">
                  <c:v>2.0503863905011586</c:v>
                </c:pt>
                <c:pt idx="5">
                  <c:v>1.9493410991960942</c:v>
                </c:pt>
                <c:pt idx="6">
                  <c:v>2.72625276851808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C-4E07-A77E-A2AE47E6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5"/>
        <c:axId val="105827199"/>
        <c:axId val="105842079"/>
      </c:barChart>
      <c:lineChart>
        <c:grouping val="standard"/>
        <c:varyColors val="0"/>
        <c:ser>
          <c:idx val="2"/>
          <c:order val="2"/>
          <c:tx>
            <c:strRef>
              <c:f>'Ratio '!$B$9</c:f>
              <c:strCache>
                <c:ptCount val="1"/>
                <c:pt idx="0">
                  <c:v>Cash Ratio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'!$D$9:$J$9</c:f>
              <c:numCache>
                <c:formatCode>0.00"X"</c:formatCode>
                <c:ptCount val="7"/>
                <c:pt idx="0">
                  <c:v>0.64899670582705227</c:v>
                </c:pt>
                <c:pt idx="1">
                  <c:v>0.8032039392121687</c:v>
                </c:pt>
                <c:pt idx="2">
                  <c:v>1.2240247863618399</c:v>
                </c:pt>
                <c:pt idx="3">
                  <c:v>1.6325313060202813</c:v>
                </c:pt>
                <c:pt idx="4">
                  <c:v>1.889444826798135</c:v>
                </c:pt>
                <c:pt idx="5">
                  <c:v>1.8046887145992536</c:v>
                </c:pt>
                <c:pt idx="6">
                  <c:v>2.5173770461598042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0C-4E07-A77E-A2AE47E6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827199"/>
        <c:axId val="105842079"/>
      </c:lineChart>
      <c:catAx>
        <c:axId val="10582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erial"/>
                <a:ea typeface="+mn-ea"/>
                <a:cs typeface="+mn-cs"/>
              </a:defRPr>
            </a:pPr>
            <a:endParaRPr lang="en-US"/>
          </a:p>
        </c:txPr>
        <c:crossAx val="105842079"/>
        <c:crosses val="autoZero"/>
        <c:auto val="1"/>
        <c:lblAlgn val="ctr"/>
        <c:lblOffset val="100"/>
        <c:noMultiLvlLbl val="0"/>
      </c:catAx>
      <c:valAx>
        <c:axId val="10584207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.0\2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erial"/>
                <a:ea typeface="+mn-ea"/>
                <a:cs typeface="+mn-cs"/>
              </a:defRPr>
            </a:pPr>
            <a:endParaRPr lang="en-US"/>
          </a:p>
        </c:txPr>
        <c:crossAx val="10582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erial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400">
          <a:latin typeface="Ae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sz="1400" b="0">
                <a:solidFill>
                  <a:schemeClr val="tx1"/>
                </a:solidFill>
                <a:latin typeface="Aerial"/>
              </a:rPr>
              <a:t>Revenue</a:t>
            </a:r>
            <a:r>
              <a:rPr lang="en-IN" sz="1400" b="0" baseline="0">
                <a:solidFill>
                  <a:schemeClr val="tx1"/>
                </a:solidFill>
                <a:latin typeface="Aerial"/>
              </a:rPr>
              <a:t> v/s Net Income</a:t>
            </a:r>
            <a:endParaRPr lang="en-IN" sz="1400" b="0">
              <a:solidFill>
                <a:schemeClr val="tx1"/>
              </a:solidFill>
              <a:latin typeface="Aerial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IS!$B$5</c:f>
              <c:strCache>
                <c:ptCount val="1"/>
                <c:pt idx="0">
                  <c:v>Revenues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IS!$C$3:$J$3</c:f>
              <c:numCache>
                <c:formatCode>General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</c:numCache>
            </c:numRef>
          </c:cat>
          <c:val>
            <c:numRef>
              <c:f>IS!$C$5:$J$5</c:f>
              <c:numCache>
                <c:formatCode>#,##0</c:formatCode>
                <c:ptCount val="8"/>
                <c:pt idx="0">
                  <c:v>29697.844000000001</c:v>
                </c:pt>
                <c:pt idx="1">
                  <c:v>31615.55</c:v>
                </c:pt>
                <c:pt idx="2">
                  <c:v>33723.296999999999</c:v>
                </c:pt>
                <c:pt idx="3" formatCode="0">
                  <c:v>39690.707321621237</c:v>
                </c:pt>
                <c:pt idx="4">
                  <c:v>46030.862535061868</c:v>
                </c:pt>
                <c:pt idx="5">
                  <c:v>53436.238515280653</c:v>
                </c:pt>
                <c:pt idx="6">
                  <c:v>62091.682602091147</c:v>
                </c:pt>
                <c:pt idx="7">
                  <c:v>72214.876643108408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4-423A-92FB-17B47925EC1F}"/>
            </c:ext>
          </c:extLst>
        </c:ser>
        <c:ser>
          <c:idx val="1"/>
          <c:order val="1"/>
          <c:tx>
            <c:strRef>
              <c:f>IS!$B$16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IS!$C$3:$J$3</c:f>
              <c:numCache>
                <c:formatCode>General</c:formatCode>
                <c:ptCount val="8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</c:numCache>
            </c:numRef>
          </c:cat>
          <c:val>
            <c:numRef>
              <c:f>IS!$C$16:$J$16</c:f>
              <c:numCache>
                <c:formatCode>#,##0</c:formatCode>
                <c:ptCount val="8"/>
                <c:pt idx="0">
                  <c:v>5116.2280000000019</c:v>
                </c:pt>
                <c:pt idx="1">
                  <c:v>4491.9239999999991</c:v>
                </c:pt>
                <c:pt idx="2">
                  <c:v>5407.9900000000007</c:v>
                </c:pt>
                <c:pt idx="3">
                  <c:v>6645.654720208051</c:v>
                </c:pt>
                <c:pt idx="4">
                  <c:v>7571.6280928644646</c:v>
                </c:pt>
                <c:pt idx="5">
                  <c:v>8651.7614928379444</c:v>
                </c:pt>
                <c:pt idx="6">
                  <c:v>9935.3581256199432</c:v>
                </c:pt>
                <c:pt idx="7">
                  <c:v>11381.523626395585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F4-423A-92FB-17B47925E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9"/>
        <c:overlap val="16"/>
        <c:axId val="216926767"/>
        <c:axId val="216933967"/>
      </c:barChart>
      <c:catAx>
        <c:axId val="21692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erial"/>
                <a:ea typeface="+mn-ea"/>
                <a:cs typeface="+mn-cs"/>
              </a:defRPr>
            </a:pPr>
            <a:endParaRPr lang="en-US"/>
          </a:p>
        </c:txPr>
        <c:crossAx val="216933967"/>
        <c:crosses val="autoZero"/>
        <c:auto val="1"/>
        <c:lblAlgn val="ctr"/>
        <c:lblOffset val="100"/>
        <c:noMultiLvlLbl val="0"/>
      </c:catAx>
      <c:valAx>
        <c:axId val="216933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erial"/>
                <a:ea typeface="+mn-ea"/>
                <a:cs typeface="+mn-cs"/>
              </a:defRPr>
            </a:pPr>
            <a:endParaRPr lang="en-US"/>
          </a:p>
        </c:txPr>
        <c:crossAx val="216926767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b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erial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erial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429869162558839E-2"/>
          <c:y val="0.23183064150635446"/>
          <c:w val="0.6961922197615551"/>
          <c:h val="0.70116538159434461"/>
        </c:manualLayout>
      </c:layout>
      <c:pie3DChart>
        <c:varyColors val="1"/>
        <c:ser>
          <c:idx val="0"/>
          <c:order val="0"/>
          <c:tx>
            <c:strRef>
              <c:f>'Ratio '!$B$33</c:f>
              <c:strCache>
                <c:ptCount val="1"/>
                <c:pt idx="0">
                  <c:v>Return on Equity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FFE-40A4-9ED3-6A71C8820E7E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FFE-40A4-9ED3-6A71C8820E7E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FFE-40A4-9ED3-6A71C8820E7E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FFE-40A4-9ED3-6A71C8820E7E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6FFE-40A4-9ED3-6A71C8820E7E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6FFE-40A4-9ED3-6A71C8820E7E}"/>
              </c:ext>
            </c:extLst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6FFE-40A4-9ED3-6A71C8820E7E}"/>
              </c:ext>
            </c:extLst>
          </c:dPt>
          <c:dLbls>
            <c:dLbl>
              <c:idx val="0"/>
              <c:layout>
                <c:manualLayout>
                  <c:x val="4.5454545454545456E-2"/>
                  <c:y val="-3.05283049369016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/>
                      </a:solidFill>
                      <a:latin typeface="Aerial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FFE-40A4-9ED3-6A71C8820E7E}"/>
                </c:ext>
              </c:extLst>
            </c:dLbl>
            <c:dLbl>
              <c:idx val="1"/>
              <c:layout>
                <c:manualLayout>
                  <c:x val="7.5775731678333017E-3"/>
                  <c:y val="-2.591032230517346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/>
                      </a:solidFill>
                      <a:latin typeface="Aerial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FFE-40A4-9ED3-6A71C8820E7E}"/>
                </c:ext>
              </c:extLst>
            </c:dLbl>
            <c:dLbl>
              <c:idx val="2"/>
              <c:layout>
                <c:manualLayout>
                  <c:x val="2.5252525252524327E-3"/>
                  <c:y val="1.144811435133812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/>
                      </a:solidFill>
                      <a:latin typeface="Aerial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FFE-40A4-9ED3-6A71C8820E7E}"/>
                </c:ext>
              </c:extLst>
            </c:dLbl>
            <c:dLbl>
              <c:idx val="3"/>
              <c:layout>
                <c:manualLayout>
                  <c:x val="-2.0206861780888825E-2"/>
                  <c:y val="1.110442384507434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/>
                      </a:solidFill>
                      <a:latin typeface="Aerial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FFE-40A4-9ED3-6A71C8820E7E}"/>
                </c:ext>
              </c:extLst>
            </c:dLbl>
            <c:dLbl>
              <c:idx val="4"/>
              <c:layout>
                <c:manualLayout>
                  <c:x val="-2.2732719503499903E-2"/>
                  <c:y val="3.331327153522303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/>
                      </a:solidFill>
                      <a:latin typeface="Aerial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FFE-40A4-9ED3-6A71C8820E7E}"/>
                </c:ext>
              </c:extLst>
            </c:dLbl>
            <c:dLbl>
              <c:idx val="5"/>
              <c:layout>
                <c:manualLayout>
                  <c:x val="-1.7681004058277702E-2"/>
                  <c:y val="-7.77309669155204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/>
                      </a:solidFill>
                      <a:latin typeface="Aerial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FFE-40A4-9ED3-6A71C8820E7E}"/>
                </c:ext>
              </c:extLst>
            </c:dLbl>
            <c:dLbl>
              <c:idx val="6"/>
              <c:layout>
                <c:manualLayout>
                  <c:x val="-2.5258577226111006E-2"/>
                  <c:y val="-7.402949230049561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spc="0" baseline="0">
                      <a:solidFill>
                        <a:schemeClr val="tx1"/>
                      </a:solidFill>
                      <a:latin typeface="Aerial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FFE-40A4-9ED3-6A71C8820E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spc="0" baseline="0">
                    <a:solidFill>
                      <a:schemeClr val="tx1"/>
                    </a:solidFill>
                    <a:latin typeface="Aerial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'!$D$33:$J$33</c:f>
              <c:numCache>
                <c:formatCode>0%</c:formatCode>
                <c:ptCount val="7"/>
                <c:pt idx="0">
                  <c:v>0.21619277598771855</c:v>
                </c:pt>
                <c:pt idx="1">
                  <c:v>0.26267280859777103</c:v>
                </c:pt>
                <c:pt idx="2">
                  <c:v>0.24049366698035907</c:v>
                </c:pt>
                <c:pt idx="3">
                  <c:v>0.21227928256460216</c:v>
                </c:pt>
                <c:pt idx="4">
                  <c:v>0.19287107266930287</c:v>
                </c:pt>
                <c:pt idx="5">
                  <c:v>0.17928050131143455</c:v>
                </c:pt>
                <c:pt idx="6">
                  <c:v>0.1685497529770596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FE-40A4-9ED3-6A71C8820E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78509504493746"/>
          <c:y val="9.1869164579113538E-2"/>
          <c:w val="0.16606338980354729"/>
          <c:h val="0.7686753750459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erial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'Ratio '!$B$31</c:f>
              <c:strCache>
                <c:ptCount val="1"/>
                <c:pt idx="0">
                  <c:v>Return on Assets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'!$D$31:$J$31</c:f>
              <c:numCache>
                <c:formatCode>0%</c:formatCode>
                <c:ptCount val="7"/>
                <c:pt idx="0">
                  <c:v>9.6414497315399986E-2</c:v>
                </c:pt>
                <c:pt idx="1">
                  <c:v>0.11113058731226645</c:v>
                </c:pt>
                <c:pt idx="2">
                  <c:v>0.12866602807688907</c:v>
                </c:pt>
                <c:pt idx="3">
                  <c:v>0.12946060651737665</c:v>
                </c:pt>
                <c:pt idx="4">
                  <c:v>0.12876984930986651</c:v>
                </c:pt>
                <c:pt idx="5">
                  <c:v>0.12846035351745122</c:v>
                </c:pt>
                <c:pt idx="6">
                  <c:v>0.12939734146539575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3-4099-944E-61F7B7680C08}"/>
            </c:ext>
          </c:extLst>
        </c:ser>
        <c:ser>
          <c:idx val="1"/>
          <c:order val="1"/>
          <c:tx>
            <c:strRef>
              <c:f>'Ratio '!$B$32</c:f>
              <c:strCache>
                <c:ptCount val="1"/>
                <c:pt idx="0">
                  <c:v>Return on Capital Employed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'!$D$32:$J$32</c:f>
              <c:numCache>
                <c:formatCode>0%</c:formatCode>
                <c:ptCount val="7"/>
                <c:pt idx="0">
                  <c:v>0.12115492715706752</c:v>
                </c:pt>
                <c:pt idx="1">
                  <c:v>0.1568589736531785</c:v>
                </c:pt>
                <c:pt idx="2">
                  <c:v>0.16992176562888767</c:v>
                </c:pt>
                <c:pt idx="3">
                  <c:v>0.16617584192317189</c:v>
                </c:pt>
                <c:pt idx="4">
                  <c:v>0.16413872991573852</c:v>
                </c:pt>
                <c:pt idx="5">
                  <c:v>0.16737841730758193</c:v>
                </c:pt>
                <c:pt idx="6">
                  <c:v>0.16165127582417224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73-4099-944E-61F7B7680C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12574479"/>
        <c:axId val="1112575439"/>
      </c:lineChart>
      <c:catAx>
        <c:axId val="11125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tx1"/>
                </a:solidFill>
                <a:latin typeface="Aerial"/>
                <a:ea typeface="+mn-ea"/>
                <a:cs typeface="+mn-cs"/>
              </a:defRPr>
            </a:pPr>
            <a:endParaRPr lang="en-US"/>
          </a:p>
        </c:txPr>
        <c:crossAx val="1112575439"/>
        <c:crosses val="autoZero"/>
        <c:auto val="1"/>
        <c:lblAlgn val="ctr"/>
        <c:lblOffset val="100"/>
        <c:noMultiLvlLbl val="0"/>
      </c:catAx>
      <c:valAx>
        <c:axId val="111257543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125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erial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94044465791702E-2"/>
          <c:y val="0.26536331385611966"/>
          <c:w val="0.93877758514604859"/>
          <c:h val="0.5318916229957289"/>
        </c:manualLayout>
      </c:layout>
      <c:lineChart>
        <c:grouping val="standard"/>
        <c:varyColors val="0"/>
        <c:ser>
          <c:idx val="0"/>
          <c:order val="0"/>
          <c:tx>
            <c:strRef>
              <c:f>'Ratio '!$B$28</c:f>
              <c:strCache>
                <c:ptCount val="1"/>
                <c:pt idx="0">
                  <c:v>Operating Profit Margin</c:v>
                </c:pt>
              </c:strCache>
            </c:strRef>
          </c:tx>
          <c:spPr>
            <a:ln w="3175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  <a:effectLst/>
            </c:spPr>
          </c:marker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'!$D$28:$J$28</c:f>
              <c:numCache>
                <c:formatCode>0%</c:formatCode>
                <c:ptCount val="7"/>
                <c:pt idx="0">
                  <c:v>0.18</c:v>
                </c:pt>
                <c:pt idx="1">
                  <c:v>0.21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6-414E-AB3B-073AE43072FB}"/>
            </c:ext>
          </c:extLst>
        </c:ser>
        <c:ser>
          <c:idx val="1"/>
          <c:order val="1"/>
          <c:tx>
            <c:strRef>
              <c:f>'Ratio '!$B$29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50800" dist="50800" dir="5400000" algn="ctr" rotWithShape="0">
                <a:schemeClr val="bg2">
                  <a:lumMod val="75000"/>
                </a:schemeClr>
              </a:outerShdw>
            </a:effectLst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>
                <a:outerShdw blurRad="50800" dist="50800" dir="5400000" algn="ctr" rotWithShape="0">
                  <a:schemeClr val="bg2">
                    <a:lumMod val="75000"/>
                  </a:schemeClr>
                </a:outerShdw>
              </a:effectLst>
            </c:spPr>
          </c:marker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'!$D$29:$J$29</c:f>
              <c:numCache>
                <c:formatCode>0%</c:formatCode>
                <c:ptCount val="7"/>
                <c:pt idx="0">
                  <c:v>0.14207957792921519</c:v>
                </c:pt>
                <c:pt idx="1">
                  <c:v>0.16036362043723071</c:v>
                </c:pt>
                <c:pt idx="2">
                  <c:v>0.1674360365099333</c:v>
                </c:pt>
                <c:pt idx="3">
                  <c:v>0.16449025014678204</c:v>
                </c:pt>
                <c:pt idx="4">
                  <c:v>0.16190813075968816</c:v>
                </c:pt>
                <c:pt idx="5">
                  <c:v>0.1600110950332877</c:v>
                </c:pt>
                <c:pt idx="6">
                  <c:v>0.15760635696497785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6-414E-AB3B-073AE43072FB}"/>
            </c:ext>
          </c:extLst>
        </c:ser>
        <c:ser>
          <c:idx val="2"/>
          <c:order val="2"/>
          <c:tx>
            <c:strRef>
              <c:f>'Ratio '!$B$30</c:f>
              <c:strCache>
                <c:ptCount val="1"/>
                <c:pt idx="0">
                  <c:v>Pretax Margin</c:v>
                </c:pt>
              </c:strCache>
            </c:strRef>
          </c:tx>
          <c:spPr>
            <a:ln w="31750" cap="rnd">
              <a:solidFill>
                <a:schemeClr val="tx1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circle"/>
            <c:size val="17"/>
            <c:spPr>
              <a:solidFill>
                <a:schemeClr val="tx1"/>
              </a:solidFill>
              <a:ln>
                <a:noFill/>
              </a:ln>
              <a:effectLst>
                <a:outerShdw blurRad="50800" dist="50800" dir="5400000" algn="ctr" rotWithShape="0">
                  <a:schemeClr val="bg1"/>
                </a:outerShdw>
              </a:effectLst>
            </c:spPr>
          </c:marker>
          <c:cat>
            <c:numRef>
              <c:f>'Ratio '!$D$3:$J$3</c:f>
              <c:numCache>
                <c:formatCode>General</c:formatCode>
                <c:ptCount val="7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  <c:pt idx="4">
                  <c:v>2026</c:v>
                </c:pt>
                <c:pt idx="5">
                  <c:v>2027</c:v>
                </c:pt>
                <c:pt idx="6">
                  <c:v>2028</c:v>
                </c:pt>
              </c:numCache>
            </c:numRef>
          </c:cat>
          <c:val>
            <c:numRef>
              <c:f>'Ratio '!$D$30:$J$30</c:f>
              <c:numCache>
                <c:formatCode>0%</c:formatCode>
                <c:ptCount val="7"/>
                <c:pt idx="0">
                  <c:v>0.16649809982745831</c:v>
                </c:pt>
                <c:pt idx="1">
                  <c:v>0.18400944012087553</c:v>
                </c:pt>
                <c:pt idx="2">
                  <c:v>0.19698357236462744</c:v>
                </c:pt>
                <c:pt idx="3">
                  <c:v>0.19351794134915534</c:v>
                </c:pt>
                <c:pt idx="4">
                  <c:v>0.19048015383492722</c:v>
                </c:pt>
                <c:pt idx="5">
                  <c:v>0.18824834709798552</c:v>
                </c:pt>
                <c:pt idx="6">
                  <c:v>0.18541924348820923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66-414E-AB3B-073AE4307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576399"/>
        <c:axId val="1112589359"/>
      </c:lineChart>
      <c:catAx>
        <c:axId val="111257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cap="all" baseline="0">
                <a:solidFill>
                  <a:schemeClr val="tx1"/>
                </a:solidFill>
                <a:latin typeface="Aerial"/>
                <a:ea typeface="+mn-ea"/>
                <a:cs typeface="+mn-cs"/>
              </a:defRPr>
            </a:pPr>
            <a:endParaRPr lang="en-US"/>
          </a:p>
        </c:txPr>
        <c:crossAx val="1112589359"/>
        <c:crosses val="autoZero"/>
        <c:auto val="1"/>
        <c:lblAlgn val="ctr"/>
        <c:lblOffset val="100"/>
        <c:noMultiLvlLbl val="0"/>
      </c:catAx>
      <c:valAx>
        <c:axId val="1112589359"/>
        <c:scaling>
          <c:orientation val="minMax"/>
        </c:scaling>
        <c:delete val="1"/>
        <c:axPos val="l"/>
        <c:majorGridlines>
          <c:spPr>
            <a:ln w="6350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11257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3.7456810380550376E-2"/>
          <c:w val="1"/>
          <c:h val="0.246634908665844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Aerial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erial"/>
                <a:ea typeface="+mn-ea"/>
                <a:cs typeface="+mn-cs"/>
              </a:defRPr>
            </a:pPr>
            <a:r>
              <a:rPr lang="en-IN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erial"/>
              </a:rPr>
              <a:t>Revenue</a:t>
            </a:r>
            <a:r>
              <a:rPr lang="en-IN" sz="14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erial"/>
              </a:rPr>
              <a:t> by Segments</a:t>
            </a:r>
            <a:endPara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erial"/>
            </a:endParaRPr>
          </a:p>
        </c:rich>
      </c:tx>
      <c:layout>
        <c:manualLayout>
          <c:xMode val="edge"/>
          <c:yMode val="edge"/>
          <c:x val="0.31295373402301591"/>
          <c:y val="3.44570408425967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erial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 w="0" cap="flat">
              <a:noFill/>
              <a:round/>
            </a:ln>
            <a:effectLst>
              <a:outerShdw dist="50800" sx="1000" sy="1000" algn="ctr" rotWithShape="0">
                <a:srgbClr val="000000">
                  <a:alpha val="43137"/>
                </a:srgbClr>
              </a:outerShdw>
            </a:effectLst>
          </c:spPr>
          <c:dPt>
            <c:idx val="0"/>
            <c:bubble3D val="0"/>
            <c:spPr>
              <a:solidFill>
                <a:schemeClr val="tx1"/>
              </a:solidFill>
              <a:ln w="0" cap="flat">
                <a:noFill/>
                <a:round/>
              </a:ln>
              <a:effectLst>
                <a:outerShdw dist="508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FB1-4139-9536-0EC37FA68852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0" cap="flat">
                <a:noFill/>
                <a:round/>
              </a:ln>
              <a:effectLst>
                <a:outerShdw dist="508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FB1-4139-9536-0EC37FA68852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0" cap="flat">
                <a:noFill/>
                <a:round/>
              </a:ln>
              <a:effectLst>
                <a:outerShdw dist="508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FB1-4139-9536-0EC37FA68852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0" cap="flat">
                <a:noFill/>
                <a:round/>
              </a:ln>
              <a:effectLst>
                <a:outerShdw dist="508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FB1-4139-9536-0EC37FA68852}"/>
              </c:ext>
            </c:extLst>
          </c:dPt>
          <c:dLbls>
            <c:dLbl>
              <c:idx val="0"/>
              <c:layout>
                <c:manualLayout>
                  <c:x val="-0.10000000000000005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B1-4139-9536-0EC37FA68852}"/>
                </c:ext>
              </c:extLst>
            </c:dLbl>
            <c:dLbl>
              <c:idx val="1"/>
              <c:layout>
                <c:manualLayout>
                  <c:x val="4.9999999999999947E-2"/>
                  <c:y val="-0.14351851851851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1-4139-9536-0EC37FA68852}"/>
                </c:ext>
              </c:extLst>
            </c:dLbl>
            <c:dLbl>
              <c:idx val="2"/>
              <c:layout>
                <c:manualLayout>
                  <c:x val="0.1027777777777778"/>
                  <c:y val="3.703703703703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B1-4139-9536-0EC37FA68852}"/>
                </c:ext>
              </c:extLst>
            </c:dLbl>
            <c:dLbl>
              <c:idx val="3"/>
              <c:layout>
                <c:manualLayout>
                  <c:x val="7.6866880650085678E-2"/>
                  <c:y val="0.153630965364393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B1-4139-9536-0EC37FA6885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erial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Sheet1!$C$6:$C$9</c:f>
              <c:strCache>
                <c:ptCount val="4"/>
                <c:pt idx="0">
                  <c:v>United States and Canada (UCAN)</c:v>
                </c:pt>
                <c:pt idx="1">
                  <c:v>Europe, Middle East, and Africa (EMEA)</c:v>
                </c:pt>
                <c:pt idx="2">
                  <c:v>Latin America (LATAM)</c:v>
                </c:pt>
                <c:pt idx="3">
                  <c:v>Asia-Pacific (APAC)</c:v>
                </c:pt>
              </c:strCache>
            </c:strRef>
          </c:cat>
          <c:val>
            <c:numRef>
              <c:f>Sheet1!$E$6:$E$9</c:f>
              <c:numCache>
                <c:formatCode>0%</c:formatCode>
                <c:ptCount val="4"/>
                <c:pt idx="0">
                  <c:v>0.4418039332964091</c:v>
                </c:pt>
                <c:pt idx="1">
                  <c:v>0.21187371951359474</c:v>
                </c:pt>
                <c:pt idx="2">
                  <c:v>0.21187371951359474</c:v>
                </c:pt>
                <c:pt idx="3">
                  <c:v>0.13444862767640131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B1-4139-9536-0EC37FA68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1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958360992437001"/>
          <c:y val="0.15554746299108821"/>
          <c:w val="0.32569227973033277"/>
          <c:h val="0.700735023245690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erial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erial"/>
                <a:ea typeface="+mn-ea"/>
                <a:cs typeface="+mn-cs"/>
              </a:defRPr>
            </a:pPr>
            <a:r>
              <a:rPr lang="en-IN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erial"/>
              </a:rPr>
              <a:t>Revenue</a:t>
            </a:r>
            <a:r>
              <a:rPr lang="en-IN" sz="14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erial"/>
              </a:rPr>
              <a:t> by Segments</a:t>
            </a:r>
            <a:endParaRPr lang="en-IN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erial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erial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1B2-4BC9-B166-23760BA54DFA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1B2-4BC9-B166-23760BA54DF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1B2-4BC9-B166-23760BA54DFA}"/>
              </c:ext>
            </c:extLst>
          </c:dPt>
          <c:dPt>
            <c:idx val="3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1B2-4BC9-B166-23760BA54DFA}"/>
              </c:ext>
            </c:extLst>
          </c:dPt>
          <c:dLbls>
            <c:dLbl>
              <c:idx val="0"/>
              <c:layout>
                <c:manualLayout>
                  <c:x val="-0.10000000000000005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B2-4BC9-B166-23760BA54DFA}"/>
                </c:ext>
              </c:extLst>
            </c:dLbl>
            <c:dLbl>
              <c:idx val="1"/>
              <c:layout>
                <c:manualLayout>
                  <c:x val="4.9999999999999947E-2"/>
                  <c:y val="-0.1435185185185185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B2-4BC9-B166-23760BA54DFA}"/>
                </c:ext>
              </c:extLst>
            </c:dLbl>
            <c:dLbl>
              <c:idx val="2"/>
              <c:layout>
                <c:manualLayout>
                  <c:x val="0.1027777777777778"/>
                  <c:y val="3.70370370370370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1B2-4BC9-B166-23760BA54DFA}"/>
                </c:ext>
              </c:extLst>
            </c:dLbl>
            <c:dLbl>
              <c:idx val="3"/>
              <c:layout>
                <c:manualLayout>
                  <c:x val="6.9444444444444448E-2"/>
                  <c:y val="0.1342592592592592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1B2-4BC9-B166-23760BA54D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Sheet1!$C$6:$C$9</c:f>
              <c:strCache>
                <c:ptCount val="4"/>
                <c:pt idx="0">
                  <c:v>United States and Canada (UCAN)</c:v>
                </c:pt>
                <c:pt idx="1">
                  <c:v>Europe, Middle East, and Africa (EMEA)</c:v>
                </c:pt>
                <c:pt idx="2">
                  <c:v>Latin America (LATAM)</c:v>
                </c:pt>
                <c:pt idx="3">
                  <c:v>Asia-Pacific (APAC)</c:v>
                </c:pt>
              </c:strCache>
            </c:strRef>
          </c:cat>
          <c:val>
            <c:numRef>
              <c:f>Sheet1!$E$6:$E$9</c:f>
              <c:numCache>
                <c:formatCode>0%</c:formatCode>
                <c:ptCount val="4"/>
                <c:pt idx="0">
                  <c:v>0.4418039332964091</c:v>
                </c:pt>
                <c:pt idx="1">
                  <c:v>0.21187371951359474</c:v>
                </c:pt>
                <c:pt idx="2">
                  <c:v>0.21187371951359474</c:v>
                </c:pt>
                <c:pt idx="3">
                  <c:v>0.13444862767640131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B2-4BC9-B166-23760BA54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erial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14</xdr:col>
      <xdr:colOff>0</xdr:colOff>
      <xdr:row>56</xdr:row>
      <xdr:rowOff>83128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F07FD5-E13F-F93D-7AA0-50E5E3B2ED80}"/>
            </a:ext>
          </a:extLst>
        </xdr:cNvPr>
        <xdr:cNvSpPr/>
      </xdr:nvSpPr>
      <xdr:spPr>
        <a:xfrm>
          <a:off x="0" y="1"/>
          <a:ext cx="15004473" cy="1016923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SS</a:t>
          </a:r>
        </a:p>
      </xdr:txBody>
    </xdr:sp>
    <xdr:clientData/>
  </xdr:twoCellAnchor>
  <xdr:twoCellAnchor editAs="oneCell">
    <xdr:from>
      <xdr:col>0</xdr:col>
      <xdr:colOff>0</xdr:colOff>
      <xdr:row>2</xdr:row>
      <xdr:rowOff>108858</xdr:rowOff>
    </xdr:from>
    <xdr:to>
      <xdr:col>13</xdr:col>
      <xdr:colOff>152400</xdr:colOff>
      <xdr:row>58</xdr:row>
      <xdr:rowOff>34637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147E522-33EE-F96B-8DA4-F592C4334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8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6000"/>
                  </a14:imgEffect>
                  <a14:imgEffect>
                    <a14:brightnessContrast bright="-100000"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8972"/>
          <a:ext cx="16056429" cy="10288979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554263</xdr:colOff>
      <xdr:row>0</xdr:row>
      <xdr:rowOff>87087</xdr:rowOff>
    </xdr:from>
    <xdr:to>
      <xdr:col>8</xdr:col>
      <xdr:colOff>727281</xdr:colOff>
      <xdr:row>5</xdr:row>
      <xdr:rowOff>134344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3B3B51-98EF-75C6-F72D-6399C6F3FDBE}"/>
            </a:ext>
          </a:extLst>
        </xdr:cNvPr>
        <xdr:cNvSpPr txBox="1"/>
      </xdr:nvSpPr>
      <xdr:spPr>
        <a:xfrm>
          <a:off x="5681434" y="87087"/>
          <a:ext cx="5561447" cy="972543"/>
        </a:xfrm>
        <a:prstGeom prst="rect">
          <a:avLst/>
        </a:prstGeom>
        <a:noFill/>
        <a:ln>
          <a:noFill/>
        </a:ln>
        <a:effectLst>
          <a:reflection blurRad="6350" stA="52000" endA="300" endPos="35000" dir="5400000" sy="-100000" algn="bl" rotWithShape="0"/>
        </a:effectLst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Deflate">
            <a:avLst>
              <a:gd name="adj" fmla="val 15392"/>
            </a:avLst>
          </a:prstTxWarp>
        </a:bodyPr>
        <a:lstStyle/>
        <a:p>
          <a:pPr algn="ctr"/>
          <a:r>
            <a:rPr lang="en-IN" sz="1200" b="0" cap="none" spc="0">
              <a:ln w="0"/>
              <a:solidFill>
                <a:srgbClr val="C00000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Arial Black" panose="020B0A04020102020204" pitchFamily="34" charset="0"/>
              <a:cs typeface="Aharoni" panose="02010803020104030203" pitchFamily="2" charset="-79"/>
            </a:rPr>
            <a:t>NETFLIX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0</xdr:colOff>
      <xdr:row>0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66A6DD5-AD98-4FF5-A2A7-AB1DDF9434F9}"/>
            </a:ext>
          </a:extLst>
        </xdr:cNvPr>
        <xdr:cNvCxnSpPr/>
      </xdr:nvCxnSpPr>
      <xdr:spPr>
        <a:xfrm>
          <a:off x="0" y="0"/>
          <a:ext cx="10515600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76200</xdr:rowOff>
    </xdr:from>
    <xdr:to>
      <xdr:col>13</xdr:col>
      <xdr:colOff>435429</xdr:colOff>
      <xdr:row>10</xdr:row>
      <xdr:rowOff>97972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D185D137-77CF-5F94-31A9-0DC9F2ABCA06}"/>
            </a:ext>
          </a:extLst>
        </xdr:cNvPr>
        <xdr:cNvSpPr txBox="1"/>
      </xdr:nvSpPr>
      <xdr:spPr>
        <a:xfrm>
          <a:off x="0" y="1001486"/>
          <a:ext cx="16339458" cy="947057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800" b="1" i="0" u="none" cap="none" spc="0">
              <a:ln>
                <a:noFill/>
              </a:ln>
              <a:solidFill>
                <a:schemeClr val="tx1"/>
              </a:solidFill>
              <a:effectLst/>
              <a:latin typeface="Aerial"/>
              <a:ea typeface="+mn-ea"/>
              <a:cs typeface="+mn-cs"/>
            </a:rPr>
            <a:t>Netflix is one of the world's leading entertainment services with 278 million paid memberships in over 190 countries enjoying TV series, films and games across a wide variety of genres and languages. Members can play, pause and resume watching as much as they want, anytime, anywhere, and can change their plans at any time.</a:t>
          </a:r>
          <a:endParaRPr lang="en-IN" sz="1800" b="1" i="0" u="none" cap="none" spc="0">
            <a:ln>
              <a:noFill/>
            </a:ln>
            <a:solidFill>
              <a:schemeClr val="tx1"/>
            </a:solidFill>
            <a:effectLst/>
            <a:latin typeface="Aerial"/>
          </a:endParaRPr>
        </a:p>
      </xdr:txBody>
    </xdr:sp>
    <xdr:clientData/>
  </xdr:twoCellAnchor>
  <xdr:twoCellAnchor>
    <xdr:from>
      <xdr:col>1</xdr:col>
      <xdr:colOff>166252</xdr:colOff>
      <xdr:row>15</xdr:row>
      <xdr:rowOff>116774</xdr:rowOff>
    </xdr:from>
    <xdr:to>
      <xdr:col>3</xdr:col>
      <xdr:colOff>506678</xdr:colOff>
      <xdr:row>32</xdr:row>
      <xdr:rowOff>13854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BC71EF56-992C-4742-B0BE-0440FEB9D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548246</xdr:colOff>
      <xdr:row>16</xdr:row>
      <xdr:rowOff>38596</xdr:rowOff>
    </xdr:from>
    <xdr:to>
      <xdr:col>8</xdr:col>
      <xdr:colOff>332509</xdr:colOff>
      <xdr:row>30</xdr:row>
      <xdr:rowOff>163286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8AA43B52-3547-48AA-9D25-6FBC0D7E9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374073</xdr:colOff>
      <xdr:row>30</xdr:row>
      <xdr:rowOff>94015</xdr:rowOff>
    </xdr:from>
    <xdr:to>
      <xdr:col>3</xdr:col>
      <xdr:colOff>498764</xdr:colOff>
      <xdr:row>49</xdr:row>
      <xdr:rowOff>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F57B73-8DFB-434D-9AF4-0CCE47C8E3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677245</xdr:colOff>
      <xdr:row>32</xdr:row>
      <xdr:rowOff>171259</xdr:rowOff>
    </xdr:from>
    <xdr:to>
      <xdr:col>8</xdr:col>
      <xdr:colOff>661760</xdr:colOff>
      <xdr:row>48</xdr:row>
      <xdr:rowOff>49713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C4CEDE-DE28-415B-9C05-A27FE3C61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734291</xdr:colOff>
      <xdr:row>19</xdr:row>
      <xdr:rowOff>106877</xdr:rowOff>
    </xdr:from>
    <xdr:to>
      <xdr:col>12</xdr:col>
      <xdr:colOff>969819</xdr:colOff>
      <xdr:row>30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0804F2-4DB4-42AC-AD41-5B7C78148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792677</xdr:colOff>
      <xdr:row>9</xdr:row>
      <xdr:rowOff>43876</xdr:rowOff>
    </xdr:from>
    <xdr:to>
      <xdr:col>12</xdr:col>
      <xdr:colOff>459574</xdr:colOff>
      <xdr:row>16</xdr:row>
      <xdr:rowOff>120076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EEE9D0D1-F70F-254E-5670-CC88D1B927F7}"/>
            </a:ext>
          </a:extLst>
        </xdr:cNvPr>
        <xdr:cNvGrpSpPr/>
      </xdr:nvGrpSpPr>
      <xdr:grpSpPr>
        <a:xfrm>
          <a:off x="1028204" y="1664858"/>
          <a:ext cx="14297297" cy="1336963"/>
          <a:chOff x="422564" y="1567876"/>
          <a:chExt cx="13844415" cy="1139466"/>
        </a:xfrm>
      </xdr:grpSpPr>
      <xdr:sp macro="" textlink="">
        <xdr:nvSpPr>
          <xdr:cNvPr id="26" name="Equals 25">
            <a:extLst>
              <a:ext uri="{FF2B5EF4-FFF2-40B4-BE49-F238E27FC236}">
                <a16:creationId xmlns:a16="http://schemas.microsoft.com/office/drawing/2014/main" id="{A397E764-3D52-3355-B0CC-0A1D88799523}"/>
              </a:ext>
            </a:extLst>
          </xdr:cNvPr>
          <xdr:cNvSpPr/>
        </xdr:nvSpPr>
        <xdr:spPr>
          <a:xfrm>
            <a:off x="422564" y="1577440"/>
            <a:ext cx="2964873" cy="1129902"/>
          </a:xfrm>
          <a:prstGeom prst="mathEqual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ln>
                <a:noFill/>
              </a:ln>
              <a:solidFill>
                <a:schemeClr val="tx1"/>
              </a:solidFill>
            </a:endParaRPr>
          </a:p>
        </xdr:txBody>
      </xdr:sp>
      <xdr:sp macro="" textlink="">
        <xdr:nvSpPr>
          <xdr:cNvPr id="29" name="Equals 28">
            <a:extLst>
              <a:ext uri="{FF2B5EF4-FFF2-40B4-BE49-F238E27FC236}">
                <a16:creationId xmlns:a16="http://schemas.microsoft.com/office/drawing/2014/main" id="{ECD140CA-7CB3-402E-AA66-E2CED7C6F2C9}"/>
              </a:ext>
            </a:extLst>
          </xdr:cNvPr>
          <xdr:cNvSpPr/>
        </xdr:nvSpPr>
        <xdr:spPr>
          <a:xfrm>
            <a:off x="3135086" y="1567876"/>
            <a:ext cx="2984723" cy="1129902"/>
          </a:xfrm>
          <a:prstGeom prst="mathEqual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30" name="Equals 29">
            <a:extLst>
              <a:ext uri="{FF2B5EF4-FFF2-40B4-BE49-F238E27FC236}">
                <a16:creationId xmlns:a16="http://schemas.microsoft.com/office/drawing/2014/main" id="{382BB684-3984-4541-BA52-4C66554366E5}"/>
              </a:ext>
            </a:extLst>
          </xdr:cNvPr>
          <xdr:cNvSpPr/>
        </xdr:nvSpPr>
        <xdr:spPr>
          <a:xfrm>
            <a:off x="5781595" y="1569797"/>
            <a:ext cx="2943743" cy="1129902"/>
          </a:xfrm>
          <a:prstGeom prst="mathEqual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39" name="Equals 38">
            <a:extLst>
              <a:ext uri="{FF2B5EF4-FFF2-40B4-BE49-F238E27FC236}">
                <a16:creationId xmlns:a16="http://schemas.microsoft.com/office/drawing/2014/main" id="{9FF97F35-A8C9-44F9-B7D6-618306FA30B7}"/>
              </a:ext>
            </a:extLst>
          </xdr:cNvPr>
          <xdr:cNvSpPr/>
        </xdr:nvSpPr>
        <xdr:spPr>
          <a:xfrm>
            <a:off x="8521594" y="1574688"/>
            <a:ext cx="2950785" cy="1129902"/>
          </a:xfrm>
          <a:prstGeom prst="mathEqual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Equals 8">
            <a:extLst>
              <a:ext uri="{FF2B5EF4-FFF2-40B4-BE49-F238E27FC236}">
                <a16:creationId xmlns:a16="http://schemas.microsoft.com/office/drawing/2014/main" id="{54DA821B-9F11-4C80-AD60-D925E87A0928}"/>
              </a:ext>
            </a:extLst>
          </xdr:cNvPr>
          <xdr:cNvSpPr/>
        </xdr:nvSpPr>
        <xdr:spPr>
          <a:xfrm>
            <a:off x="11319163" y="1568983"/>
            <a:ext cx="2947816" cy="1129902"/>
          </a:xfrm>
          <a:prstGeom prst="mathEqual">
            <a:avLst/>
          </a:prstGeom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9</xdr:col>
      <xdr:colOff>362429</xdr:colOff>
      <xdr:row>10</xdr:row>
      <xdr:rowOff>110064</xdr:rowOff>
    </xdr:from>
    <xdr:to>
      <xdr:col>12</xdr:col>
      <xdr:colOff>756060</xdr:colOff>
      <xdr:row>12</xdr:row>
      <xdr:rowOff>10884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250DFFCD-4032-4AFE-9F0D-653B409366F8}"/>
            </a:ext>
          </a:extLst>
        </xdr:cNvPr>
        <xdr:cNvSpPr txBox="1"/>
      </xdr:nvSpPr>
      <xdr:spPr>
        <a:xfrm>
          <a:off x="11955715" y="1960635"/>
          <a:ext cx="3626688" cy="270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>
              <a:solidFill>
                <a:schemeClr val="bg1"/>
              </a:solidFill>
              <a:latin typeface="Aerial"/>
            </a:rPr>
            <a:t>SCENERIO ANALYSIS</a:t>
          </a:r>
        </a:p>
      </xdr:txBody>
    </xdr:sp>
    <xdr:clientData/>
  </xdr:twoCellAnchor>
  <xdr:twoCellAnchor>
    <xdr:from>
      <xdr:col>8</xdr:col>
      <xdr:colOff>676893</xdr:colOff>
      <xdr:row>31</xdr:row>
      <xdr:rowOff>83128</xdr:rowOff>
    </xdr:from>
    <xdr:to>
      <xdr:col>13</xdr:col>
      <xdr:colOff>399801</xdr:colOff>
      <xdr:row>49</xdr:row>
      <xdr:rowOff>69273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AFB5044-B823-4DEB-9253-DE73B32B5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331053</xdr:colOff>
      <xdr:row>10</xdr:row>
      <xdr:rowOff>102149</xdr:rowOff>
    </xdr:from>
    <xdr:to>
      <xdr:col>9</xdr:col>
      <xdr:colOff>340016</xdr:colOff>
      <xdr:row>12</xdr:row>
      <xdr:rowOff>111421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45F5163-A266-48B9-BD97-05065569A351}"/>
            </a:ext>
          </a:extLst>
        </xdr:cNvPr>
        <xdr:cNvSpPr txBox="1"/>
      </xdr:nvSpPr>
      <xdr:spPr>
        <a:xfrm>
          <a:off x="9768967" y="1952720"/>
          <a:ext cx="2164335" cy="379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>
              <a:solidFill>
                <a:schemeClr val="bg1"/>
              </a:solidFill>
              <a:latin typeface="Aerial"/>
            </a:rPr>
            <a:t>CURRENT</a:t>
          </a:r>
          <a:r>
            <a:rPr lang="en-IN" sz="1800" b="1" baseline="0">
              <a:solidFill>
                <a:schemeClr val="bg1"/>
              </a:solidFill>
              <a:latin typeface="Aerial"/>
            </a:rPr>
            <a:t> PRICE</a:t>
          </a:r>
          <a:endParaRPr lang="en-IN" sz="1800" b="1">
            <a:solidFill>
              <a:schemeClr val="bg1"/>
            </a:solidFill>
            <a:latin typeface="Aerial"/>
          </a:endParaRPr>
        </a:p>
      </xdr:txBody>
    </xdr:sp>
    <xdr:clientData/>
  </xdr:twoCellAnchor>
  <xdr:twoCellAnchor>
    <xdr:from>
      <xdr:col>1</xdr:col>
      <xdr:colOff>1130194</xdr:colOff>
      <xdr:row>13</xdr:row>
      <xdr:rowOff>78413</xdr:rowOff>
    </xdr:from>
    <xdr:to>
      <xdr:col>1</xdr:col>
      <xdr:colOff>3559630</xdr:colOff>
      <xdr:row>15</xdr:row>
      <xdr:rowOff>114271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F4AA655A-94EA-4F0C-84F4-E138AFFC7E54}"/>
            </a:ext>
          </a:extLst>
        </xdr:cNvPr>
        <xdr:cNvSpPr txBox="1"/>
      </xdr:nvSpPr>
      <xdr:spPr>
        <a:xfrm>
          <a:off x="1358794" y="2484156"/>
          <a:ext cx="2429436" cy="405972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 i="0" cap="none" spc="0">
              <a:ln>
                <a:noFill/>
              </a:ln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TECH</a:t>
          </a:r>
          <a:r>
            <a:rPr lang="en-IN" sz="1600" b="1" i="0" cap="none" spc="0" baseline="0">
              <a:ln>
                <a:noFill/>
              </a:ln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 &amp; ENTERTAINMENT</a:t>
          </a:r>
          <a:endParaRPr lang="en-IN" sz="16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erial"/>
          </a:endParaRPr>
        </a:p>
      </xdr:txBody>
    </xdr:sp>
    <xdr:clientData/>
  </xdr:twoCellAnchor>
  <xdr:twoCellAnchor>
    <xdr:from>
      <xdr:col>7</xdr:col>
      <xdr:colOff>336178</xdr:colOff>
      <xdr:row>13</xdr:row>
      <xdr:rowOff>64779</xdr:rowOff>
    </xdr:from>
    <xdr:to>
      <xdr:col>9</xdr:col>
      <xdr:colOff>336176</xdr:colOff>
      <xdr:row>15</xdr:row>
      <xdr:rowOff>51228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3BF2EEA3-E246-4192-966C-FF6CDDA24C8F}"/>
            </a:ext>
          </a:extLst>
        </xdr:cNvPr>
        <xdr:cNvSpPr txBox="1"/>
      </xdr:nvSpPr>
      <xdr:spPr>
        <a:xfrm>
          <a:off x="9774092" y="2470522"/>
          <a:ext cx="2155370" cy="356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 i="0"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$636.15</a:t>
          </a:r>
          <a:endParaRPr lang="en-IN" sz="1600" b="1">
            <a:solidFill>
              <a:schemeClr val="bg1"/>
            </a:solidFill>
            <a:latin typeface="Aerial"/>
          </a:endParaRPr>
        </a:p>
      </xdr:txBody>
    </xdr:sp>
    <xdr:clientData/>
  </xdr:twoCellAnchor>
  <xdr:twoCellAnchor>
    <xdr:from>
      <xdr:col>9</xdr:col>
      <xdr:colOff>1042353</xdr:colOff>
      <xdr:row>13</xdr:row>
      <xdr:rowOff>37185</xdr:rowOff>
    </xdr:from>
    <xdr:to>
      <xdr:col>12</xdr:col>
      <xdr:colOff>76200</xdr:colOff>
      <xdr:row>15</xdr:row>
      <xdr:rowOff>23634</xdr:rowOff>
    </xdr:to>
    <xdr:sp macro="" textlink="'Scenario '!D6">
      <xdr:nvSpPr>
        <xdr:cNvPr id="47" name="TextBox 46">
          <a:extLst>
            <a:ext uri="{FF2B5EF4-FFF2-40B4-BE49-F238E27FC236}">
              <a16:creationId xmlns:a16="http://schemas.microsoft.com/office/drawing/2014/main" id="{889F529B-9F01-46DA-8B2F-0150DCEE0780}"/>
            </a:ext>
          </a:extLst>
        </xdr:cNvPr>
        <xdr:cNvSpPr txBox="1"/>
      </xdr:nvSpPr>
      <xdr:spPr>
        <a:xfrm>
          <a:off x="12635639" y="2442928"/>
          <a:ext cx="2266904" cy="3565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>
              <a:solidFill>
                <a:schemeClr val="bg1"/>
              </a:solidFill>
              <a:latin typeface="Aerial"/>
            </a:rPr>
            <a:t>BEST</a:t>
          </a:r>
        </a:p>
      </xdr:txBody>
    </xdr:sp>
    <xdr:clientData/>
  </xdr:twoCellAnchor>
  <xdr:twoCellAnchor>
    <xdr:from>
      <xdr:col>1</xdr:col>
      <xdr:colOff>1233930</xdr:colOff>
      <xdr:row>10</xdr:row>
      <xdr:rowOff>120384</xdr:rowOff>
    </xdr:from>
    <xdr:to>
      <xdr:col>1</xdr:col>
      <xdr:colOff>3358565</xdr:colOff>
      <xdr:row>12</xdr:row>
      <xdr:rowOff>156243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DCD7454-B10C-32E5-A043-FD7449236651}"/>
            </a:ext>
          </a:extLst>
        </xdr:cNvPr>
        <xdr:cNvSpPr txBox="1"/>
      </xdr:nvSpPr>
      <xdr:spPr>
        <a:xfrm>
          <a:off x="1462530" y="1970955"/>
          <a:ext cx="2124635" cy="405974"/>
        </a:xfrm>
        <a:prstGeom prst="rect">
          <a:avLst/>
        </a:prstGeom>
        <a:noFill/>
        <a:ln w="9525" cmpd="sng"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erial"/>
            </a:rPr>
            <a:t>SECTOR</a:t>
          </a:r>
          <a:endParaRPr lang="en-IN" sz="11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erial"/>
          </a:endParaRPr>
        </a:p>
      </xdr:txBody>
    </xdr:sp>
    <xdr:clientData/>
  </xdr:twoCellAnchor>
  <xdr:twoCellAnchor>
    <xdr:from>
      <xdr:col>2</xdr:col>
      <xdr:colOff>183777</xdr:colOff>
      <xdr:row>10</xdr:row>
      <xdr:rowOff>121997</xdr:rowOff>
    </xdr:from>
    <xdr:to>
      <xdr:col>4</xdr:col>
      <xdr:colOff>192741</xdr:colOff>
      <xdr:row>12</xdr:row>
      <xdr:rowOff>131269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D3B8C28-1B69-4BF5-8A6E-51B6E60C4ED4}"/>
            </a:ext>
          </a:extLst>
        </xdr:cNvPr>
        <xdr:cNvSpPr txBox="1"/>
      </xdr:nvSpPr>
      <xdr:spPr>
        <a:xfrm>
          <a:off x="4233263" y="1972568"/>
          <a:ext cx="2164335" cy="379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>
              <a:solidFill>
                <a:schemeClr val="bg1"/>
              </a:solidFill>
              <a:latin typeface="Aerial"/>
            </a:rPr>
            <a:t>MARKET CAP</a:t>
          </a:r>
        </a:p>
      </xdr:txBody>
    </xdr:sp>
    <xdr:clientData/>
  </xdr:twoCellAnchor>
  <xdr:twoCellAnchor>
    <xdr:from>
      <xdr:col>2</xdr:col>
      <xdr:colOff>243330</xdr:colOff>
      <xdr:row>13</xdr:row>
      <xdr:rowOff>43542</xdr:rowOff>
    </xdr:from>
    <xdr:to>
      <xdr:col>4</xdr:col>
      <xdr:colOff>206831</xdr:colOff>
      <xdr:row>14</xdr:row>
      <xdr:rowOff>152400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237E4913-4568-432C-875F-F4F7C73DBBF4}"/>
            </a:ext>
          </a:extLst>
        </xdr:cNvPr>
        <xdr:cNvSpPr txBox="1"/>
      </xdr:nvSpPr>
      <xdr:spPr>
        <a:xfrm>
          <a:off x="4292816" y="2449285"/>
          <a:ext cx="2118872" cy="293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 i="0"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$269.67 </a:t>
          </a:r>
          <a:r>
            <a:rPr lang="en-IN" sz="1600" b="1"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BILLION</a:t>
          </a:r>
          <a:endParaRPr lang="en-IN" sz="2800" b="1">
            <a:solidFill>
              <a:schemeClr val="bg1"/>
            </a:solidFill>
            <a:latin typeface="Aerial"/>
          </a:endParaRPr>
        </a:p>
      </xdr:txBody>
    </xdr:sp>
    <xdr:clientData/>
  </xdr:twoCellAnchor>
  <xdr:twoCellAnchor>
    <xdr:from>
      <xdr:col>4</xdr:col>
      <xdr:colOff>805546</xdr:colOff>
      <xdr:row>13</xdr:row>
      <xdr:rowOff>27536</xdr:rowOff>
    </xdr:from>
    <xdr:to>
      <xdr:col>6</xdr:col>
      <xdr:colOff>805546</xdr:colOff>
      <xdr:row>14</xdr:row>
      <xdr:rowOff>131910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F54706B-CF17-0E7D-0E9E-C89B0269CFF1}"/>
            </a:ext>
          </a:extLst>
        </xdr:cNvPr>
        <xdr:cNvSpPr txBox="1"/>
      </xdr:nvSpPr>
      <xdr:spPr>
        <a:xfrm>
          <a:off x="7010403" y="2433279"/>
          <a:ext cx="2155372" cy="2894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600" b="1" i="0"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$278.35</a:t>
          </a:r>
          <a:r>
            <a:rPr lang="en-IN" sz="1600" b="1"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 BILLION</a:t>
          </a:r>
          <a:r>
            <a:rPr lang="en-IN" sz="1600" b="1" i="0"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  <a:t> </a:t>
          </a:r>
          <a:br>
            <a:rPr lang="en-IN" sz="1600" b="1">
              <a:solidFill>
                <a:schemeClr val="bg1"/>
              </a:solidFill>
              <a:effectLst/>
              <a:latin typeface="Aerial"/>
              <a:ea typeface="+mn-ea"/>
              <a:cs typeface="+mn-cs"/>
            </a:rPr>
          </a:br>
          <a:endParaRPr lang="en-IN" sz="1600" b="1">
            <a:solidFill>
              <a:schemeClr val="bg1"/>
            </a:solidFill>
            <a:latin typeface="Aerial"/>
          </a:endParaRPr>
        </a:p>
      </xdr:txBody>
    </xdr:sp>
    <xdr:clientData/>
  </xdr:twoCellAnchor>
  <xdr:twoCellAnchor>
    <xdr:from>
      <xdr:col>4</xdr:col>
      <xdr:colOff>753675</xdr:colOff>
      <xdr:row>10</xdr:row>
      <xdr:rowOff>102146</xdr:rowOff>
    </xdr:from>
    <xdr:to>
      <xdr:col>6</xdr:col>
      <xdr:colOff>762639</xdr:colOff>
      <xdr:row>12</xdr:row>
      <xdr:rowOff>111418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7B510A8E-FCD3-4487-B12E-BC4D8750985F}"/>
            </a:ext>
          </a:extLst>
        </xdr:cNvPr>
        <xdr:cNvSpPr txBox="1"/>
      </xdr:nvSpPr>
      <xdr:spPr>
        <a:xfrm>
          <a:off x="6958532" y="1952717"/>
          <a:ext cx="2164336" cy="3793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>
              <a:solidFill>
                <a:schemeClr val="bg1"/>
              </a:solidFill>
              <a:latin typeface="Aerial"/>
            </a:rPr>
            <a:t>ENTERPRISE</a:t>
          </a:r>
          <a:r>
            <a:rPr lang="en-IN" sz="1800" b="1" baseline="0">
              <a:solidFill>
                <a:schemeClr val="bg1"/>
              </a:solidFill>
              <a:latin typeface="Aerial"/>
            </a:rPr>
            <a:t> VALUE</a:t>
          </a:r>
          <a:endParaRPr lang="en-IN" sz="1800" b="1">
            <a:solidFill>
              <a:schemeClr val="bg1"/>
            </a:solidFill>
            <a:latin typeface="Aerial"/>
          </a:endParaRPr>
        </a:p>
      </xdr:txBody>
    </xdr:sp>
    <xdr:clientData/>
  </xdr:twoCellAnchor>
  <xdr:twoCellAnchor>
    <xdr:from>
      <xdr:col>5</xdr:col>
      <xdr:colOff>816428</xdr:colOff>
      <xdr:row>18</xdr:row>
      <xdr:rowOff>141514</xdr:rowOff>
    </xdr:from>
    <xdr:to>
      <xdr:col>9</xdr:col>
      <xdr:colOff>435428</xdr:colOff>
      <xdr:row>19</xdr:row>
      <xdr:rowOff>152400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A9E579E-5AD3-F1AA-FEE9-14499F7B5D26}"/>
            </a:ext>
          </a:extLst>
        </xdr:cNvPr>
        <xdr:cNvSpPr txBox="1"/>
      </xdr:nvSpPr>
      <xdr:spPr>
        <a:xfrm>
          <a:off x="8098971" y="3472543"/>
          <a:ext cx="3929743" cy="195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>
              <a:solidFill>
                <a:schemeClr val="bg1">
                  <a:lumMod val="85000"/>
                </a:schemeClr>
              </a:solidFill>
            </a:rPr>
            <a:t>BY:-</a:t>
          </a:r>
          <a:r>
            <a:rPr lang="en-IN" sz="1100" b="0" baseline="0">
              <a:solidFill>
                <a:schemeClr val="bg1">
                  <a:lumMod val="85000"/>
                </a:schemeClr>
              </a:solidFill>
            </a:rPr>
            <a:t> GAJENDRA DARADE</a:t>
          </a:r>
          <a:endParaRPr lang="en-IN" sz="1100" b="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0.33727</cdr:x>
      <cdr:y>0.0266</cdr:y>
    </cdr:from>
    <cdr:to>
      <cdr:x>0.671</cdr:x>
      <cdr:y>0.09977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ACD673A-0DE1-D4E6-B119-91B1B47A98B0}"/>
            </a:ext>
          </a:extLst>
        </cdr:cNvPr>
        <cdr:cNvSpPr txBox="1"/>
      </cdr:nvSpPr>
      <cdr:spPr>
        <a:xfrm xmlns:a="http://schemas.openxmlformats.org/drawingml/2006/main">
          <a:off x="1694213" y="91043"/>
          <a:ext cx="1676400" cy="25037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400">
              <a:latin typeface="Aerial"/>
            </a:rPr>
            <a:t>Return</a:t>
          </a:r>
          <a:r>
            <a:rPr lang="en-IN" sz="1400" baseline="0">
              <a:latin typeface="Aerial"/>
            </a:rPr>
            <a:t> on Equity</a:t>
          </a:r>
          <a:endParaRPr lang="en-IN" sz="1400">
            <a:latin typeface="Ae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4</xdr:row>
      <xdr:rowOff>0</xdr:rowOff>
    </xdr:from>
    <xdr:to>
      <xdr:col>13</xdr:col>
      <xdr:colOff>457200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9C381-978E-1018-4434-9451A4C204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0890-0366-4AFC-BA55-69BC400C58E8}">
  <sheetPr>
    <tabColor theme="1" tint="0.249977111117893"/>
    <pageSetUpPr fitToPage="1"/>
  </sheetPr>
  <dimension ref="A2:O2"/>
  <sheetViews>
    <sheetView showGridLines="0" tabSelected="1" topLeftCell="A7" zoomScale="55" zoomScaleNormal="55" workbookViewId="0">
      <selection activeCell="D6" sqref="D6"/>
    </sheetView>
  </sheetViews>
  <sheetFormatPr defaultColWidth="0" defaultRowHeight="14.4"/>
  <cols>
    <col min="1" max="1" width="3.33203125" customWidth="1"/>
    <col min="2" max="2" width="55.77734375" customWidth="1"/>
    <col min="3" max="13" width="15.77734375" customWidth="1"/>
    <col min="14" max="14" width="17.77734375" customWidth="1"/>
    <col min="15" max="15" width="17.5546875" hidden="1" customWidth="1"/>
    <col min="16" max="16384" width="8.88671875" hidden="1"/>
  </cols>
  <sheetData>
    <row r="2" spans="2:2">
      <c r="B2" t="e" vm="1">
        <v>#VALUE!</v>
      </c>
    </row>
  </sheetData>
  <pageMargins left="0.7" right="0.7" top="0.75" bottom="0.75" header="0.3" footer="0.3"/>
  <pageSetup paperSize="9" scale="3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03A2-E5D0-4DF2-B6C7-2536D5B83FDE}">
  <sheetPr>
    <tabColor theme="4" tint="-0.499984740745262"/>
    <pageSetUpPr fitToPage="1"/>
  </sheetPr>
  <dimension ref="A1:M22"/>
  <sheetViews>
    <sheetView showGridLines="0" zoomScaleNormal="100" workbookViewId="0">
      <pane ySplit="3" topLeftCell="A4" activePane="bottomLeft" state="frozen"/>
      <selection activeCell="D6" sqref="D6"/>
      <selection pane="bottomLeft" activeCell="B20" sqref="B20"/>
    </sheetView>
  </sheetViews>
  <sheetFormatPr defaultColWidth="0"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 hidden="1"/>
  </cols>
  <sheetData>
    <row r="1" spans="1:13" ht="20.399999999999999">
      <c r="A1" s="9"/>
      <c r="B1" s="8" t="s">
        <v>15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/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1" thickBot="1">
      <c r="A3" s="9"/>
      <c r="B3" s="16" t="s">
        <v>165</v>
      </c>
      <c r="C3" s="77">
        <v>2021</v>
      </c>
      <c r="D3" s="55">
        <v>2022</v>
      </c>
      <c r="E3" s="55">
        <v>2023</v>
      </c>
      <c r="F3" s="77">
        <f>E3+1</f>
        <v>2024</v>
      </c>
      <c r="G3" s="77">
        <f t="shared" ref="G3:J3" si="0">F3+1</f>
        <v>2025</v>
      </c>
      <c r="H3" s="77">
        <f t="shared" si="0"/>
        <v>2026</v>
      </c>
      <c r="I3" s="77">
        <f t="shared" si="0"/>
        <v>2027</v>
      </c>
      <c r="J3" s="77">
        <f t="shared" si="0"/>
        <v>2028</v>
      </c>
      <c r="K3" s="9"/>
      <c r="L3" s="9"/>
      <c r="M3" s="9"/>
    </row>
    <row r="4" spans="1:13" ht="14.4" thickBot="1">
      <c r="A4" s="4"/>
      <c r="B4" s="59"/>
      <c r="C4" s="59"/>
      <c r="D4" s="59"/>
      <c r="E4" s="59"/>
      <c r="F4" s="59"/>
      <c r="G4" s="59"/>
      <c r="H4" s="59"/>
      <c r="I4" s="59"/>
      <c r="J4" s="95"/>
    </row>
    <row r="5" spans="1:13">
      <c r="B5" s="58" t="s">
        <v>3</v>
      </c>
      <c r="C5" s="91">
        <v>29697.844000000001</v>
      </c>
      <c r="D5" s="91">
        <v>31615.55</v>
      </c>
      <c r="E5" s="91">
        <v>33723.296999999999</v>
      </c>
      <c r="F5" s="92">
        <f>'Revenue '!F7</f>
        <v>39690.707321621237</v>
      </c>
      <c r="G5" s="93">
        <f>'Revenue '!G7</f>
        <v>46030.862535061868</v>
      </c>
      <c r="H5" s="93">
        <f>'Revenue '!H7</f>
        <v>53436.238515280653</v>
      </c>
      <c r="I5" s="93">
        <f>'Revenue '!I7</f>
        <v>62091.682602091147</v>
      </c>
      <c r="J5" s="94">
        <f>'Revenue '!J7</f>
        <v>72214.876643108408</v>
      </c>
    </row>
    <row r="6" spans="1:13">
      <c r="B6" s="44" t="s">
        <v>4</v>
      </c>
      <c r="C6" s="79">
        <v>17332.683000000001</v>
      </c>
      <c r="D6" s="79">
        <v>19168.285</v>
      </c>
      <c r="E6" s="79">
        <v>19715.367999999999</v>
      </c>
      <c r="F6" s="80">
        <f>'Expense Schedule '!F7</f>
        <v>23417.517319756527</v>
      </c>
      <c r="G6" s="80">
        <f>'Expense Schedule '!G7</f>
        <v>27158.208895686501</v>
      </c>
      <c r="H6" s="80">
        <f>'Expense Schedule '!H7</f>
        <v>31527.380724015584</v>
      </c>
      <c r="I6" s="80">
        <f>'Expense Schedule '!I7</f>
        <v>36634.092735233775</v>
      </c>
      <c r="J6" s="83">
        <f>'Expense Schedule '!J7</f>
        <v>42606.777219433956</v>
      </c>
    </row>
    <row r="7" spans="1:13">
      <c r="B7" s="44" t="s">
        <v>5</v>
      </c>
      <c r="C7" s="79">
        <v>2545.1460000000002</v>
      </c>
      <c r="D7" s="79">
        <v>2530.502</v>
      </c>
      <c r="E7" s="79">
        <v>2657.8829999999998</v>
      </c>
      <c r="F7" s="80">
        <f>'Expense Schedule '!F8</f>
        <v>3572.1636589459113</v>
      </c>
      <c r="G7" s="80">
        <f>'Expense Schedule '!G8</f>
        <v>4142.777628155568</v>
      </c>
      <c r="H7" s="80">
        <f>'Expense Schedule '!H8</f>
        <v>4809.2614663752584</v>
      </c>
      <c r="I7" s="80">
        <f>'Expense Schedule '!I8</f>
        <v>5588.2514341882033</v>
      </c>
      <c r="J7" s="83">
        <f>'Expense Schedule '!J8</f>
        <v>6499.3388978797566</v>
      </c>
    </row>
    <row r="8" spans="1:13">
      <c r="B8" s="44" t="s">
        <v>6</v>
      </c>
      <c r="C8" s="79">
        <v>2273.8850000000002</v>
      </c>
      <c r="D8" s="79">
        <v>2711.0410000000002</v>
      </c>
      <c r="E8" s="79">
        <v>2675.7579999999998</v>
      </c>
      <c r="F8" s="80">
        <f>'Expense Schedule '!F9</f>
        <v>3175.2565857296991</v>
      </c>
      <c r="G8" s="80">
        <f>'Expense Schedule '!G9</f>
        <v>3682.4690028049495</v>
      </c>
      <c r="H8" s="80">
        <f>'Expense Schedule '!H9</f>
        <v>4274.899081222452</v>
      </c>
      <c r="I8" s="80">
        <f>'Expense Schedule '!I9</f>
        <v>4967.3346081672917</v>
      </c>
      <c r="J8" s="83">
        <f>'Expense Schedule '!J9</f>
        <v>5777.1901314486731</v>
      </c>
    </row>
    <row r="9" spans="1:13">
      <c r="B9" s="44" t="s">
        <v>7</v>
      </c>
      <c r="C9" s="79">
        <v>1351.6210000000001</v>
      </c>
      <c r="D9" s="79">
        <v>1572.8910000000001</v>
      </c>
      <c r="E9" s="79">
        <v>1720.2850000000001</v>
      </c>
      <c r="F9" s="80">
        <f>'Expense Schedule '!F10</f>
        <v>2381.4424392972742</v>
      </c>
      <c r="G9" s="80">
        <f>'Expense Schedule '!G10</f>
        <v>2761.851752103712</v>
      </c>
      <c r="H9" s="80">
        <f>'Expense Schedule '!H10</f>
        <v>3206.1743109168392</v>
      </c>
      <c r="I9" s="80">
        <f>'Expense Schedule '!I10</f>
        <v>3725.5009561254687</v>
      </c>
      <c r="J9" s="83">
        <f>'Expense Schedule '!J10</f>
        <v>4332.8925985865044</v>
      </c>
    </row>
    <row r="10" spans="1:13" ht="14.4" thickBot="1">
      <c r="B10" s="48" t="s">
        <v>8</v>
      </c>
      <c r="C10" s="7">
        <f>C5-SUM(C6:C9)</f>
        <v>6194.5090000000018</v>
      </c>
      <c r="D10" s="7">
        <f t="shared" ref="D10:E10" si="1">D5-SUM(D6:D9)</f>
        <v>5632.8309999999983</v>
      </c>
      <c r="E10" s="7">
        <f t="shared" si="1"/>
        <v>6954.0030000000006</v>
      </c>
      <c r="F10" s="7">
        <f t="shared" ref="F10" si="2">F5-SUM(F6:F9)</f>
        <v>7144.3273178918244</v>
      </c>
      <c r="G10" s="7">
        <f t="shared" ref="G10" si="3">G5-SUM(G6:G9)</f>
        <v>8285.5552563111341</v>
      </c>
      <c r="H10" s="7">
        <f t="shared" ref="H10" si="4">H5-SUM(H6:H9)</f>
        <v>9618.5229327505222</v>
      </c>
      <c r="I10" s="7">
        <f t="shared" ref="I10" si="5">I5-SUM(I6:I9)</f>
        <v>11176.502868376403</v>
      </c>
      <c r="J10" s="84">
        <f t="shared" ref="J10" si="6">J5-SUM(J6:J9)</f>
        <v>12998.677795759511</v>
      </c>
    </row>
    <row r="11" spans="1:13" ht="14.4" thickTop="1">
      <c r="B11" s="44" t="s">
        <v>9</v>
      </c>
      <c r="C11" s="4"/>
      <c r="D11" s="4"/>
      <c r="E11" s="4"/>
      <c r="F11" s="4"/>
      <c r="G11" s="4"/>
      <c r="H11" s="4"/>
      <c r="I11" s="4"/>
      <c r="J11" s="45"/>
    </row>
    <row r="12" spans="1:13">
      <c r="B12" s="44" t="s">
        <v>10</v>
      </c>
      <c r="C12" s="79">
        <v>-765.62</v>
      </c>
      <c r="D12" s="79">
        <v>-706.21199999999999</v>
      </c>
      <c r="E12" s="79">
        <v>-699.82600000000002</v>
      </c>
      <c r="F12" s="79">
        <f ca="1">'Debt '!F89</f>
        <v>674.09</v>
      </c>
      <c r="G12" s="79">
        <f ca="1">'Debt '!G89</f>
        <v>622.24250000000006</v>
      </c>
      <c r="H12" s="79">
        <f ca="1">'Debt '!H89</f>
        <v>560.02</v>
      </c>
      <c r="I12" s="79">
        <f ca="1">'Debt '!I89</f>
        <v>512.15374999999995</v>
      </c>
      <c r="J12" s="85">
        <f ca="1">'Debt '!J89</f>
        <v>391.35</v>
      </c>
    </row>
    <row r="13" spans="1:13">
      <c r="B13" s="44" t="s">
        <v>11</v>
      </c>
      <c r="C13" s="79">
        <v>411.214</v>
      </c>
      <c r="D13" s="79">
        <v>337.31</v>
      </c>
      <c r="E13" s="79">
        <v>-48.771999999999998</v>
      </c>
      <c r="F13" s="79">
        <v>0</v>
      </c>
      <c r="G13" s="79">
        <v>0</v>
      </c>
      <c r="H13" s="79">
        <v>0</v>
      </c>
      <c r="I13" s="79">
        <v>0</v>
      </c>
      <c r="J13" s="85">
        <v>0</v>
      </c>
    </row>
    <row r="14" spans="1:13" ht="14.4" thickBot="1">
      <c r="B14" s="48" t="s">
        <v>12</v>
      </c>
      <c r="C14" s="7">
        <f>C10+C12+C13</f>
        <v>5840.1030000000019</v>
      </c>
      <c r="D14" s="7">
        <f t="shared" ref="D14:E14" si="7">D10+D12+D13</f>
        <v>5263.9289999999992</v>
      </c>
      <c r="E14" s="7">
        <f t="shared" si="7"/>
        <v>6205.4050000000007</v>
      </c>
      <c r="F14" s="7">
        <f t="shared" ref="F14" ca="1" si="8">F10+F12+F13</f>
        <v>7818.4173178918245</v>
      </c>
      <c r="G14" s="7">
        <f t="shared" ref="G14" ca="1" si="9">G10+G12+G13</f>
        <v>8907.7977563111344</v>
      </c>
      <c r="H14" s="7">
        <f t="shared" ref="H14" ca="1" si="10">H10+H12+H13</f>
        <v>10178.542932750523</v>
      </c>
      <c r="I14" s="7">
        <f t="shared" ref="I14" ca="1" si="11">I10+I12+I13</f>
        <v>11688.656618376403</v>
      </c>
      <c r="J14" s="84">
        <f t="shared" ref="J14" ca="1" si="12">J10+J12+J13</f>
        <v>13390.027795759512</v>
      </c>
    </row>
    <row r="15" spans="1:13" ht="14.4" thickTop="1">
      <c r="B15" s="44" t="s">
        <v>13</v>
      </c>
      <c r="C15" s="79">
        <v>-723.875</v>
      </c>
      <c r="D15" s="79">
        <v>-772.005</v>
      </c>
      <c r="E15" s="79">
        <v>-797.41499999999996</v>
      </c>
      <c r="F15" s="86">
        <f ca="1">F14*'Expense Schedule '!F18</f>
        <v>-1172.7625976837737</v>
      </c>
      <c r="G15" s="86">
        <f ca="1">G14*'Expense Schedule '!G18</f>
        <v>-1336.16966344667</v>
      </c>
      <c r="H15" s="86">
        <f ca="1">H14*'Expense Schedule '!H18</f>
        <v>-1526.7814399125784</v>
      </c>
      <c r="I15" s="86">
        <f ca="1">I14*'Expense Schedule '!I18</f>
        <v>-1753.2984927564603</v>
      </c>
      <c r="J15" s="87">
        <f ca="1">J14*'Expense Schedule '!J18</f>
        <v>-2008.5041693639266</v>
      </c>
    </row>
    <row r="16" spans="1:13" ht="14.4" thickBot="1">
      <c r="B16" s="48" t="s">
        <v>14</v>
      </c>
      <c r="C16" s="7">
        <f>SUM(C14:C15)</f>
        <v>5116.2280000000019</v>
      </c>
      <c r="D16" s="7">
        <f t="shared" ref="D16" si="13">SUM(D14:D15)</f>
        <v>4491.9239999999991</v>
      </c>
      <c r="E16" s="7">
        <f>SUM(E14:E15)</f>
        <v>5407.9900000000007</v>
      </c>
      <c r="F16" s="7">
        <f t="shared" ref="F16:J16" ca="1" si="14">SUM(F14:F15)</f>
        <v>6645.654720208051</v>
      </c>
      <c r="G16" s="7">
        <f t="shared" ca="1" si="14"/>
        <v>7571.6280928644646</v>
      </c>
      <c r="H16" s="7">
        <f t="shared" ca="1" si="14"/>
        <v>8651.7614928379444</v>
      </c>
      <c r="I16" s="7">
        <f t="shared" ca="1" si="14"/>
        <v>9935.3581256199432</v>
      </c>
      <c r="J16" s="84">
        <f t="shared" ca="1" si="14"/>
        <v>11381.523626395585</v>
      </c>
    </row>
    <row r="17" spans="2:10" ht="14.4" thickTop="1">
      <c r="B17" s="44"/>
      <c r="C17" s="4"/>
      <c r="D17" s="4"/>
      <c r="E17" s="4"/>
      <c r="F17" s="4"/>
      <c r="G17" s="4"/>
      <c r="H17" s="4"/>
      <c r="I17" s="4"/>
      <c r="J17" s="45"/>
    </row>
    <row r="18" spans="2:10">
      <c r="B18" s="67" t="s">
        <v>155</v>
      </c>
      <c r="C18" s="38">
        <f>C10+C12</f>
        <v>5428.8890000000019</v>
      </c>
      <c r="D18" s="38">
        <f t="shared" ref="D18:J18" si="15">D10+D12</f>
        <v>4926.6189999999988</v>
      </c>
      <c r="E18" s="38">
        <f t="shared" si="15"/>
        <v>6254.1770000000006</v>
      </c>
      <c r="F18" s="38">
        <f t="shared" ca="1" si="15"/>
        <v>7818.4173178918245</v>
      </c>
      <c r="G18" s="38">
        <f t="shared" ca="1" si="15"/>
        <v>8907.7977563111344</v>
      </c>
      <c r="H18" s="38">
        <f t="shared" ca="1" si="15"/>
        <v>10178.542932750523</v>
      </c>
      <c r="I18" s="38">
        <f t="shared" ca="1" si="15"/>
        <v>11688.656618376403</v>
      </c>
      <c r="J18" s="65">
        <f t="shared" ca="1" si="15"/>
        <v>13390.027795759512</v>
      </c>
    </row>
    <row r="19" spans="2:10" ht="14.4" thickBot="1">
      <c r="B19" s="88" t="s">
        <v>230</v>
      </c>
      <c r="C19" s="89">
        <f>'BS1'!C5-'BS1'!C37</f>
        <v>23527.191999999999</v>
      </c>
      <c r="D19" s="89">
        <f>'BS1'!D5-'BS1'!D37</f>
        <v>24801.116000000002</v>
      </c>
      <c r="E19" s="89">
        <f>'BS1'!E5-'BS1'!E37</f>
        <v>26669.370999999999</v>
      </c>
      <c r="F19" s="89">
        <f>'BS1'!F5-'BS1'!F37</f>
        <v>30561.844637648355</v>
      </c>
      <c r="G19" s="89">
        <f>'BS1'!G5-'BS1'!G37</f>
        <v>35443.764151997639</v>
      </c>
      <c r="H19" s="89">
        <f>'BS1'!H5-'BS1'!H37</f>
        <v>41145.903656766102</v>
      </c>
      <c r="I19" s="89">
        <f>'BS1'!I5-'BS1'!I37</f>
        <v>47810.595603610185</v>
      </c>
      <c r="J19" s="90">
        <f>'BS1'!J5-'BS1'!J37</f>
        <v>55605.455015193475</v>
      </c>
    </row>
    <row r="22" spans="2:10">
      <c r="E22" s="5"/>
    </row>
  </sheetData>
  <pageMargins left="0.7" right="0.7" top="0.75" bottom="0.75" header="0.3" footer="0.3"/>
  <pageSetup paperSize="9" scale="43"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14D9-0AEC-49EE-86F1-8B79B3D6DF54}">
  <sheetPr>
    <tabColor theme="5" tint="-0.499984740745262"/>
    <pageSetUpPr fitToPage="1"/>
  </sheetPr>
  <dimension ref="A1:M38"/>
  <sheetViews>
    <sheetView showGridLines="0" zoomScale="93" zoomScaleNormal="93" workbookViewId="0">
      <pane ySplit="3" topLeftCell="A18" activePane="bottomLeft" state="frozen"/>
      <selection activeCell="D6" sqref="D6"/>
      <selection pane="bottomLeft" activeCell="C35" sqref="C35"/>
    </sheetView>
  </sheetViews>
  <sheetFormatPr defaultColWidth="0"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 hidden="1"/>
  </cols>
  <sheetData>
    <row r="1" spans="1:13" ht="20.399999999999999">
      <c r="A1" s="10"/>
      <c r="B1" s="163" t="s">
        <v>64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/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</row>
    <row r="4" spans="1:13" ht="14.4" thickBot="1"/>
    <row r="5" spans="1:13">
      <c r="B5" s="58" t="s">
        <v>33</v>
      </c>
      <c r="C5" s="59"/>
      <c r="D5" s="59"/>
      <c r="E5" s="59"/>
      <c r="F5" s="59"/>
      <c r="G5" s="59"/>
      <c r="H5" s="59"/>
      <c r="I5" s="59"/>
      <c r="J5" s="78"/>
    </row>
    <row r="6" spans="1:13">
      <c r="B6" s="44" t="s">
        <v>34</v>
      </c>
      <c r="C6" s="4"/>
      <c r="D6" s="4"/>
      <c r="E6" s="4"/>
      <c r="F6" s="4"/>
      <c r="G6" s="4"/>
      <c r="H6" s="4"/>
      <c r="I6" s="4"/>
      <c r="J6" s="45"/>
    </row>
    <row r="7" spans="1:13">
      <c r="B7" s="44" t="s">
        <v>35</v>
      </c>
      <c r="C7" s="81">
        <v>6027.8040000000001</v>
      </c>
      <c r="D7" s="96">
        <v>5147.1760000000004</v>
      </c>
      <c r="E7" s="96">
        <v>7116.9129999999996</v>
      </c>
      <c r="F7" s="38">
        <f ca="1">CF!F36</f>
        <v>10473.96573712576</v>
      </c>
      <c r="G7" s="38">
        <f ca="1">CF!G36</f>
        <v>14363.6978609082</v>
      </c>
      <c r="H7" s="38">
        <f ca="1">CF!H36</f>
        <v>18820.152253376807</v>
      </c>
      <c r="I7" s="38">
        <f ca="1">CF!I36</f>
        <v>23239.746619065467</v>
      </c>
      <c r="J7" s="65">
        <f ca="1">CF!J36</f>
        <v>26110.081746236036</v>
      </c>
    </row>
    <row r="8" spans="1:13">
      <c r="B8" s="44" t="s">
        <v>36</v>
      </c>
      <c r="C8" s="81" t="s">
        <v>54</v>
      </c>
      <c r="D8" s="96">
        <v>911.27599999999995</v>
      </c>
      <c r="E8" s="96">
        <v>20.972999999999999</v>
      </c>
      <c r="F8" s="97">
        <f>E8</f>
        <v>20.972999999999999</v>
      </c>
      <c r="G8" s="97">
        <f t="shared" ref="G8:J8" si="1">F8</f>
        <v>20.972999999999999</v>
      </c>
      <c r="H8" s="97">
        <f t="shared" si="1"/>
        <v>20.972999999999999</v>
      </c>
      <c r="I8" s="97">
        <f t="shared" si="1"/>
        <v>20.972999999999999</v>
      </c>
      <c r="J8" s="98">
        <f t="shared" si="1"/>
        <v>20.972999999999999</v>
      </c>
    </row>
    <row r="9" spans="1:13">
      <c r="B9" s="44" t="s">
        <v>65</v>
      </c>
      <c r="C9" s="81">
        <v>804.32</v>
      </c>
      <c r="D9" s="96">
        <v>988.89800000000002</v>
      </c>
      <c r="E9" s="96">
        <v>1287.0542</v>
      </c>
      <c r="F9" s="63">
        <f>'BS2'!F27</f>
        <v>1190.7212196486371</v>
      </c>
      <c r="G9" s="63">
        <f>'BS2'!G27</f>
        <v>1380.925876051856</v>
      </c>
      <c r="H9" s="63">
        <f>'BS2'!H27</f>
        <v>1603.0871554584196</v>
      </c>
      <c r="I9" s="63">
        <f>'BS2'!I27</f>
        <v>1862.7504780627344</v>
      </c>
      <c r="J9" s="64">
        <f>'BS2'!J27</f>
        <v>2166.4462992932522</v>
      </c>
    </row>
    <row r="10" spans="1:13">
      <c r="B10" s="44" t="s">
        <v>37</v>
      </c>
      <c r="C10" s="81">
        <f>2042.021-C9</f>
        <v>1237.701</v>
      </c>
      <c r="D10" s="96">
        <f>3208.021-D9</f>
        <v>2219.123</v>
      </c>
      <c r="E10" s="96">
        <f>2780.247-E9</f>
        <v>1493.1927999999998</v>
      </c>
      <c r="F10" s="97">
        <f>E10</f>
        <v>1493.1927999999998</v>
      </c>
      <c r="G10" s="97">
        <f t="shared" ref="G10:J10" si="2">F10</f>
        <v>1493.1927999999998</v>
      </c>
      <c r="H10" s="97">
        <f t="shared" si="2"/>
        <v>1493.1927999999998</v>
      </c>
      <c r="I10" s="97">
        <f t="shared" si="2"/>
        <v>1493.1927999999998</v>
      </c>
      <c r="J10" s="98">
        <f t="shared" si="2"/>
        <v>1493.1927999999998</v>
      </c>
    </row>
    <row r="11" spans="1:13" ht="14.4" thickBot="1">
      <c r="B11" s="48" t="s">
        <v>38</v>
      </c>
      <c r="C11" s="7">
        <f>SUM(C7:C10)</f>
        <v>8069.8249999999998</v>
      </c>
      <c r="D11" s="7">
        <f t="shared" ref="D11:J11" si="3">SUM(D7:D10)</f>
        <v>9266.473</v>
      </c>
      <c r="E11" s="7">
        <f t="shared" si="3"/>
        <v>9918.132999999998</v>
      </c>
      <c r="F11" s="7">
        <f t="shared" ca="1" si="3"/>
        <v>13178.852756774399</v>
      </c>
      <c r="G11" s="7">
        <f t="shared" ca="1" si="3"/>
        <v>17258.789536960056</v>
      </c>
      <c r="H11" s="7">
        <f t="shared" ca="1" si="3"/>
        <v>21937.405208835229</v>
      </c>
      <c r="I11" s="7">
        <f t="shared" ca="1" si="3"/>
        <v>26616.662897128204</v>
      </c>
      <c r="J11" s="84">
        <f t="shared" ca="1" si="3"/>
        <v>29790.693845529291</v>
      </c>
    </row>
    <row r="12" spans="1:13" ht="14.4" thickTop="1">
      <c r="B12" s="44" t="s">
        <v>39</v>
      </c>
      <c r="C12" s="81">
        <v>30919.539000000001</v>
      </c>
      <c r="D12" s="96">
        <v>32736.713</v>
      </c>
      <c r="E12" s="96">
        <v>31658.056</v>
      </c>
      <c r="F12" s="38">
        <f>'BS1'!F28</f>
        <v>34244.480790165828</v>
      </c>
      <c r="G12" s="38">
        <f>'BS1'!G28</f>
        <v>38014.22054249997</v>
      </c>
      <c r="H12" s="38">
        <f>'BS1'!H28</f>
        <v>42926.021239675574</v>
      </c>
      <c r="I12" s="38">
        <f>'BS1'!I28</f>
        <v>49012.243855653025</v>
      </c>
      <c r="J12" s="65">
        <f>'BS1'!J28</f>
        <v>56364.871099827476</v>
      </c>
    </row>
    <row r="13" spans="1:13">
      <c r="B13" s="44" t="s">
        <v>40</v>
      </c>
      <c r="C13" s="81">
        <v>1323.453</v>
      </c>
      <c r="D13" s="96">
        <v>1398.2570000000001</v>
      </c>
      <c r="E13" s="96">
        <v>1491.444</v>
      </c>
      <c r="F13" s="38">
        <f>'BS1'!F12</f>
        <v>1481.1605873589151</v>
      </c>
      <c r="G13" s="38">
        <f>'BS1'!G12</f>
        <v>1465.7014709668902</v>
      </c>
      <c r="H13" s="38">
        <f>'BS1'!H12</f>
        <v>1444.7224335367791</v>
      </c>
      <c r="I13" s="38">
        <f>'BS1'!I12</f>
        <v>1417.875500080876</v>
      </c>
      <c r="J13" s="65">
        <f>'BS1'!J12</f>
        <v>1384.8152596389859</v>
      </c>
    </row>
    <row r="14" spans="1:13">
      <c r="B14" s="44" t="s">
        <v>41</v>
      </c>
      <c r="C14" s="81">
        <v>4271.8459999999995</v>
      </c>
      <c r="D14" s="96">
        <v>5193.3249999999998</v>
      </c>
      <c r="E14" s="96">
        <v>5664.3590000000004</v>
      </c>
      <c r="F14" s="97">
        <f>E14</f>
        <v>5664.3590000000004</v>
      </c>
      <c r="G14" s="97">
        <f t="shared" ref="G14:J14" si="4">F14</f>
        <v>5664.3590000000004</v>
      </c>
      <c r="H14" s="97">
        <f t="shared" si="4"/>
        <v>5664.3590000000004</v>
      </c>
      <c r="I14" s="97">
        <f t="shared" si="4"/>
        <v>5664.3590000000004</v>
      </c>
      <c r="J14" s="98">
        <f t="shared" si="4"/>
        <v>5664.3590000000004</v>
      </c>
    </row>
    <row r="15" spans="1:13" ht="14.4" thickBot="1">
      <c r="B15" s="48" t="s">
        <v>42</v>
      </c>
      <c r="C15" s="7">
        <f>SUM(C11:C14)</f>
        <v>44584.663</v>
      </c>
      <c r="D15" s="7">
        <f>SUM(D11:D14)</f>
        <v>48594.767999999996</v>
      </c>
      <c r="E15" s="7">
        <f>SUM(E11:E14)</f>
        <v>48731.991999999998</v>
      </c>
      <c r="F15" s="7">
        <f t="shared" ref="F15:J15" ca="1" si="5">SUM(F11:F14)</f>
        <v>54568.853134299134</v>
      </c>
      <c r="G15" s="7">
        <f t="shared" ca="1" si="5"/>
        <v>62403.070550426914</v>
      </c>
      <c r="H15" s="7">
        <f t="shared" ca="1" si="5"/>
        <v>71972.507882047576</v>
      </c>
      <c r="I15" s="7">
        <f t="shared" ca="1" si="5"/>
        <v>82711.1412528621</v>
      </c>
      <c r="J15" s="84">
        <f t="shared" ca="1" si="5"/>
        <v>93204.739204995756</v>
      </c>
    </row>
    <row r="16" spans="1:13" ht="14.4" thickTop="1">
      <c r="B16" s="44"/>
      <c r="C16" s="4"/>
      <c r="D16" s="4"/>
      <c r="E16" s="4"/>
      <c r="F16" s="4"/>
      <c r="G16" s="4"/>
      <c r="H16" s="4"/>
      <c r="I16" s="4"/>
      <c r="J16" s="45"/>
    </row>
    <row r="17" spans="2:10">
      <c r="B17" s="44" t="s">
        <v>43</v>
      </c>
      <c r="C17" s="4"/>
      <c r="D17" s="4"/>
      <c r="E17" s="4"/>
      <c r="F17" s="4"/>
      <c r="G17" s="4"/>
      <c r="H17" s="4"/>
      <c r="I17" s="4"/>
      <c r="J17" s="45"/>
    </row>
    <row r="18" spans="2:10">
      <c r="B18" s="44" t="s">
        <v>44</v>
      </c>
      <c r="C18" s="38">
        <v>4292.9669999999996</v>
      </c>
      <c r="D18" s="81">
        <v>4480.1499999999996</v>
      </c>
      <c r="E18" s="81">
        <v>4466.47</v>
      </c>
      <c r="F18" s="38">
        <f>'BS2'!F16</f>
        <v>2578.1729999999998</v>
      </c>
      <c r="G18" s="38">
        <f>'BS2'!G16</f>
        <v>3492.7822443026689</v>
      </c>
      <c r="H18" s="38">
        <f>'BS2'!H16</f>
        <v>4050.7159030854436</v>
      </c>
      <c r="I18" s="38">
        <f>'BS2'!I16</f>
        <v>4702.3889893446976</v>
      </c>
      <c r="J18" s="65">
        <f>'BS2'!J16</f>
        <v>5464.0680689840228</v>
      </c>
    </row>
    <row r="19" spans="2:10">
      <c r="B19" s="44" t="s">
        <v>45</v>
      </c>
      <c r="C19" s="38">
        <v>837.48299999999995</v>
      </c>
      <c r="D19" s="81">
        <v>671.51300000000003</v>
      </c>
      <c r="E19" s="81">
        <v>747.41200000000003</v>
      </c>
      <c r="F19" s="38">
        <f>'BS2'!F28</f>
        <v>912.8862683972884</v>
      </c>
      <c r="G19" s="38">
        <f>'BS2'!G28</f>
        <v>1058.7098383064229</v>
      </c>
      <c r="H19" s="38">
        <f>'BS2'!H28</f>
        <v>1229.0334858514552</v>
      </c>
      <c r="I19" s="38">
        <f>'BS2'!I28</f>
        <v>1428.1086998480964</v>
      </c>
      <c r="J19" s="65">
        <f>'BS2'!J28</f>
        <v>1660.9421627914935</v>
      </c>
    </row>
    <row r="20" spans="2:10">
      <c r="B20" s="44" t="s">
        <v>46</v>
      </c>
      <c r="C20" s="38">
        <v>1449.3510000000001</v>
      </c>
      <c r="D20" s="81">
        <v>1514.65</v>
      </c>
      <c r="E20" s="81">
        <v>1803.96</v>
      </c>
      <c r="F20" s="38">
        <f>E20</f>
        <v>1803.96</v>
      </c>
      <c r="G20" s="38">
        <f t="shared" ref="G20:J20" si="6">F20</f>
        <v>1803.96</v>
      </c>
      <c r="H20" s="38">
        <f t="shared" si="6"/>
        <v>1803.96</v>
      </c>
      <c r="I20" s="38">
        <f t="shared" si="6"/>
        <v>1803.96</v>
      </c>
      <c r="J20" s="65">
        <f t="shared" si="6"/>
        <v>1803.96</v>
      </c>
    </row>
    <row r="21" spans="2:10">
      <c r="B21" s="44" t="s">
        <v>47</v>
      </c>
      <c r="C21" s="38">
        <v>1209.3420000000001</v>
      </c>
      <c r="D21" s="81">
        <v>1264.6610000000001</v>
      </c>
      <c r="E21" s="81">
        <v>1442.9690000000001</v>
      </c>
      <c r="F21" s="38">
        <f>E21</f>
        <v>1442.9690000000001</v>
      </c>
      <c r="G21" s="38">
        <f t="shared" ref="G21:J21" si="7">F21</f>
        <v>1442.9690000000001</v>
      </c>
      <c r="H21" s="38">
        <f t="shared" si="7"/>
        <v>1442.9690000000001</v>
      </c>
      <c r="I21" s="38">
        <f t="shared" si="7"/>
        <v>1442.9690000000001</v>
      </c>
      <c r="J21" s="65">
        <f t="shared" si="7"/>
        <v>1442.9690000000001</v>
      </c>
    </row>
    <row r="22" spans="2:10">
      <c r="B22" s="44" t="s">
        <v>48</v>
      </c>
      <c r="C22" s="38">
        <v>699.82299999999998</v>
      </c>
      <c r="D22" s="99" t="s">
        <v>54</v>
      </c>
      <c r="E22" s="81">
        <v>399.84399999999999</v>
      </c>
      <c r="F22" s="4">
        <f ca="1">'Debt '!F68</f>
        <v>1819</v>
      </c>
      <c r="G22" s="4">
        <f ca="1">'Debt '!G68</f>
        <v>1000</v>
      </c>
      <c r="H22" s="4">
        <f ca="1">'Debt '!H68</f>
        <v>1434</v>
      </c>
      <c r="I22" s="4">
        <f ca="1">'Debt '!I68</f>
        <v>3500</v>
      </c>
      <c r="J22" s="45">
        <f>'Debt '!J68</f>
        <v>0</v>
      </c>
    </row>
    <row r="23" spans="2:10" ht="14.4" thickBot="1">
      <c r="B23" s="48" t="s">
        <v>49</v>
      </c>
      <c r="C23" s="7">
        <f>SUM(C18:C22)</f>
        <v>8488.9660000000003</v>
      </c>
      <c r="D23" s="7">
        <f>SUM(D18:D22)</f>
        <v>7930.9740000000002</v>
      </c>
      <c r="E23" s="7">
        <f>SUM(E18:E22)</f>
        <v>8860.6550000000007</v>
      </c>
      <c r="F23" s="7">
        <f t="shared" ref="F23:J23" ca="1" si="8">SUM(F18:F22)</f>
        <v>8556.9882683972883</v>
      </c>
      <c r="G23" s="7">
        <f t="shared" ca="1" si="8"/>
        <v>8798.421082609093</v>
      </c>
      <c r="H23" s="7">
        <f t="shared" ca="1" si="8"/>
        <v>9960.6783889368999</v>
      </c>
      <c r="I23" s="7">
        <f t="shared" ca="1" si="8"/>
        <v>12877.426689192795</v>
      </c>
      <c r="J23" s="84">
        <f t="shared" si="8"/>
        <v>10371.939231775516</v>
      </c>
    </row>
    <row r="24" spans="2:10" ht="14.4" thickTop="1">
      <c r="B24" s="44" t="s">
        <v>50</v>
      </c>
      <c r="C24" s="38">
        <v>3094.2130000000002</v>
      </c>
      <c r="D24" s="81">
        <v>3081.277</v>
      </c>
      <c r="E24" s="81">
        <v>2578.1729999999998</v>
      </c>
      <c r="F24" s="38">
        <f>'BS2'!F17</f>
        <v>3492.7822443026689</v>
      </c>
      <c r="G24" s="38">
        <f>'BS2'!G17</f>
        <v>4050.7159030854436</v>
      </c>
      <c r="H24" s="38">
        <f>'BS2'!H17</f>
        <v>4702.3889893446976</v>
      </c>
      <c r="I24" s="38">
        <f>'BS2'!I17</f>
        <v>5464.0680689840228</v>
      </c>
      <c r="J24" s="65">
        <f>'BS2'!J17</f>
        <v>6354.909144593541</v>
      </c>
    </row>
    <row r="25" spans="2:10">
      <c r="B25" s="44" t="s">
        <v>51</v>
      </c>
      <c r="C25" s="38">
        <v>14693.072</v>
      </c>
      <c r="D25" s="81">
        <v>14353.075999999999</v>
      </c>
      <c r="E25" s="81">
        <v>14143.416999999999</v>
      </c>
      <c r="F25" s="63">
        <f ca="1">'Debt '!F69</f>
        <v>12324</v>
      </c>
      <c r="G25" s="63">
        <f ca="1">'Debt '!G69</f>
        <v>11324</v>
      </c>
      <c r="H25" s="63">
        <f ca="1">'Debt '!H69</f>
        <v>9890</v>
      </c>
      <c r="I25" s="63">
        <f ca="1">'Debt '!I69</f>
        <v>6390</v>
      </c>
      <c r="J25" s="64">
        <f ca="1">'Debt '!J69</f>
        <v>6390</v>
      </c>
    </row>
    <row r="26" spans="2:10">
      <c r="B26" s="44" t="s">
        <v>52</v>
      </c>
      <c r="C26" s="38">
        <v>2459.1640000000002</v>
      </c>
      <c r="D26" s="81">
        <v>2452.04</v>
      </c>
      <c r="E26" s="81">
        <v>2561.4340000000002</v>
      </c>
      <c r="F26" s="38">
        <f>E26</f>
        <v>2561.4340000000002</v>
      </c>
      <c r="G26" s="38">
        <f t="shared" ref="G26:J26" si="9">F26</f>
        <v>2561.4340000000002</v>
      </c>
      <c r="H26" s="38">
        <f t="shared" si="9"/>
        <v>2561.4340000000002</v>
      </c>
      <c r="I26" s="38">
        <f t="shared" si="9"/>
        <v>2561.4340000000002</v>
      </c>
      <c r="J26" s="65">
        <f t="shared" si="9"/>
        <v>2561.4340000000002</v>
      </c>
    </row>
    <row r="27" spans="2:10" ht="14.4" thickBot="1">
      <c r="B27" s="48" t="s">
        <v>53</v>
      </c>
      <c r="C27" s="7">
        <f>SUM(C24:C26,C23)</f>
        <v>28735.415000000001</v>
      </c>
      <c r="D27" s="7">
        <f>SUM(D24:D26,D23)</f>
        <v>27817.366999999998</v>
      </c>
      <c r="E27" s="7">
        <f>SUM(E24:E26,E23)</f>
        <v>28143.679000000004</v>
      </c>
      <c r="F27" s="7">
        <f t="shared" ref="F27:J27" ca="1" si="10">SUM(F24:F26,F23)</f>
        <v>26935.204512699958</v>
      </c>
      <c r="G27" s="7">
        <f t="shared" ca="1" si="10"/>
        <v>26734.570985694536</v>
      </c>
      <c r="H27" s="7">
        <f t="shared" ca="1" si="10"/>
        <v>27114.501378281599</v>
      </c>
      <c r="I27" s="7">
        <f t="shared" ca="1" si="10"/>
        <v>27292.928758176819</v>
      </c>
      <c r="J27" s="84">
        <f t="shared" ca="1" si="10"/>
        <v>25678.282376369058</v>
      </c>
    </row>
    <row r="28" spans="2:10" ht="14.4" thickTop="1">
      <c r="B28" s="44"/>
      <c r="C28" s="4"/>
      <c r="D28" s="4"/>
      <c r="E28" s="4"/>
      <c r="F28" s="4"/>
      <c r="G28" s="4"/>
      <c r="H28" s="4"/>
      <c r="I28" s="4"/>
      <c r="J28" s="45"/>
    </row>
    <row r="29" spans="2:10">
      <c r="B29" s="44" t="s">
        <v>59</v>
      </c>
      <c r="C29" s="4"/>
      <c r="D29" s="4"/>
      <c r="E29" s="4"/>
      <c r="F29" s="4"/>
      <c r="G29" s="4"/>
      <c r="H29" s="4"/>
      <c r="I29" s="4"/>
      <c r="J29" s="45"/>
    </row>
    <row r="30" spans="2:10">
      <c r="B30" s="44" t="s">
        <v>60</v>
      </c>
      <c r="C30" s="4"/>
      <c r="D30" s="99">
        <v>0</v>
      </c>
      <c r="E30" s="99">
        <v>0</v>
      </c>
      <c r="F30" s="4">
        <v>0</v>
      </c>
      <c r="G30" s="4">
        <v>0</v>
      </c>
      <c r="H30" s="4">
        <v>0</v>
      </c>
      <c r="I30" s="4">
        <v>0</v>
      </c>
      <c r="J30" s="45">
        <v>0</v>
      </c>
    </row>
    <row r="31" spans="2:10">
      <c r="B31" s="44" t="s">
        <v>61</v>
      </c>
      <c r="C31" s="38">
        <v>4024.5610000000001</v>
      </c>
      <c r="D31" s="81">
        <v>4637.6009999999997</v>
      </c>
      <c r="E31" s="81">
        <v>5145.1719999999996</v>
      </c>
      <c r="F31" s="38">
        <f>E31+CF!F8</f>
        <v>5544.5919013911343</v>
      </c>
      <c r="G31" s="38">
        <f>F31+CF!G8</f>
        <v>6007.8147516598638</v>
      </c>
      <c r="H31" s="38">
        <f>G31+CF!H8</f>
        <v>6545.5601978555242</v>
      </c>
      <c r="I31" s="38">
        <f>H31+CF!I8</f>
        <v>7170.4080631548886</v>
      </c>
      <c r="J31" s="65">
        <f>I31+CF!J8</f>
        <v>7897.1287707007259</v>
      </c>
    </row>
    <row r="32" spans="2:10">
      <c r="B32" s="44" t="s">
        <v>62</v>
      </c>
      <c r="C32" s="38">
        <v>-824.19</v>
      </c>
      <c r="D32" s="81">
        <v>-824.19</v>
      </c>
      <c r="E32" s="81">
        <v>-6922.2</v>
      </c>
      <c r="F32" s="81">
        <v>-6922.2</v>
      </c>
      <c r="G32" s="81">
        <v>-6922.2</v>
      </c>
      <c r="H32" s="81">
        <v>-6922.2</v>
      </c>
      <c r="I32" s="81">
        <v>-6922.2</v>
      </c>
      <c r="J32" s="82">
        <v>-6922.2</v>
      </c>
    </row>
    <row r="33" spans="2:10">
      <c r="B33" s="44" t="s">
        <v>55</v>
      </c>
      <c r="C33" s="38">
        <v>-40.494999999999997</v>
      </c>
      <c r="D33" s="81">
        <v>-217.30600000000001</v>
      </c>
      <c r="E33" s="81">
        <v>-223.94499999999999</v>
      </c>
      <c r="F33" s="81">
        <v>-223.94499999999999</v>
      </c>
      <c r="G33" s="81">
        <v>-223.94499999999999</v>
      </c>
      <c r="H33" s="81">
        <v>-223.94499999999999</v>
      </c>
      <c r="I33" s="81">
        <v>-223.94499999999999</v>
      </c>
      <c r="J33" s="82">
        <v>-223.94499999999999</v>
      </c>
    </row>
    <row r="34" spans="2:10">
      <c r="B34" s="44" t="s">
        <v>56</v>
      </c>
      <c r="C34" s="38">
        <v>12689.371999999999</v>
      </c>
      <c r="D34" s="81">
        <v>17181.295999999998</v>
      </c>
      <c r="E34" s="81">
        <v>22589.286</v>
      </c>
      <c r="F34" s="38">
        <f ca="1">E34+IS!F16</f>
        <v>29234.940720208051</v>
      </c>
      <c r="G34" s="38">
        <f ca="1">F34+IS!G16</f>
        <v>36806.568813072518</v>
      </c>
      <c r="H34" s="38">
        <f ca="1">G34+IS!H16</f>
        <v>45458.330305910466</v>
      </c>
      <c r="I34" s="38">
        <f ca="1">H34+IS!I16</f>
        <v>55393.688431530405</v>
      </c>
      <c r="J34" s="65">
        <f ca="1">I34+IS!J16</f>
        <v>66775.212057925994</v>
      </c>
    </row>
    <row r="35" spans="2:10" ht="14.4" thickBot="1">
      <c r="B35" s="48" t="s">
        <v>57</v>
      </c>
      <c r="C35" s="7">
        <f>SUM(C31:C34)</f>
        <v>15849.248</v>
      </c>
      <c r="D35" s="7">
        <f>SUM(D30:D34)</f>
        <v>20777.400999999998</v>
      </c>
      <c r="E35" s="7">
        <f>SUM(E30:E34)</f>
        <v>20588.312999999998</v>
      </c>
      <c r="F35" s="7">
        <f t="shared" ref="F35:J35" ca="1" si="11">SUM(F30:F34)</f>
        <v>27633.387621599184</v>
      </c>
      <c r="G35" s="7">
        <f t="shared" ca="1" si="11"/>
        <v>35668.238564732383</v>
      </c>
      <c r="H35" s="7">
        <f t="shared" ca="1" si="11"/>
        <v>44857.745503765989</v>
      </c>
      <c r="I35" s="7">
        <f t="shared" ca="1" si="11"/>
        <v>55417.951494685294</v>
      </c>
      <c r="J35" s="84">
        <f t="shared" ca="1" si="11"/>
        <v>67526.195828626718</v>
      </c>
    </row>
    <row r="36" spans="2:10" ht="15" thickTop="1" thickBot="1">
      <c r="B36" s="48" t="s">
        <v>58</v>
      </c>
      <c r="C36" s="7">
        <f>SUM(C27,C35)</f>
        <v>44584.663</v>
      </c>
      <c r="D36" s="7">
        <f>D27+D35</f>
        <v>48594.767999999996</v>
      </c>
      <c r="E36" s="7">
        <f>E27+E35</f>
        <v>48731.991999999998</v>
      </c>
      <c r="F36" s="7">
        <f t="shared" ref="F36:J36" ca="1" si="12">F27+F35</f>
        <v>54568.592134299142</v>
      </c>
      <c r="G36" s="7">
        <f t="shared" ca="1" si="12"/>
        <v>62402.809550426915</v>
      </c>
      <c r="H36" s="7">
        <f t="shared" ca="1" si="12"/>
        <v>71972.246882047591</v>
      </c>
      <c r="I36" s="7">
        <f t="shared" ca="1" si="12"/>
        <v>82710.880252862116</v>
      </c>
      <c r="J36" s="84">
        <f t="shared" ca="1" si="12"/>
        <v>93204.478204995772</v>
      </c>
    </row>
    <row r="37" spans="2:10" ht="14.4" thickTop="1">
      <c r="B37" s="100"/>
      <c r="C37" s="39"/>
      <c r="D37" s="101"/>
      <c r="E37" s="39"/>
      <c r="F37" s="39"/>
      <c r="G37" s="39"/>
      <c r="H37" s="39"/>
      <c r="I37" s="39"/>
      <c r="J37" s="50"/>
    </row>
    <row r="38" spans="2:10" ht="14.4" thickBot="1">
      <c r="B38" s="52" t="s">
        <v>63</v>
      </c>
      <c r="C38" s="89">
        <f t="shared" ref="C38:J38" si="13">C15-C36</f>
        <v>0</v>
      </c>
      <c r="D38" s="89">
        <f t="shared" si="13"/>
        <v>0</v>
      </c>
      <c r="E38" s="89">
        <f t="shared" si="13"/>
        <v>0</v>
      </c>
      <c r="F38" s="89">
        <f t="shared" ca="1" si="13"/>
        <v>0.26099999999132706</v>
      </c>
      <c r="G38" s="89">
        <f t="shared" ca="1" si="13"/>
        <v>0.26099999999860302</v>
      </c>
      <c r="H38" s="89">
        <f t="shared" ca="1" si="13"/>
        <v>0.2609999999840511</v>
      </c>
      <c r="I38" s="89">
        <f t="shared" ca="1" si="13"/>
        <v>0.2609999999840511</v>
      </c>
      <c r="J38" s="90">
        <f t="shared" ca="1" si="13"/>
        <v>0.2609999999840511</v>
      </c>
    </row>
  </sheetData>
  <pageMargins left="0.7" right="0.7" top="0.75" bottom="0.75" header="0.3" footer="0.3"/>
  <pageSetup paperSize="9" scale="4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D3E8-A146-407C-A33F-54A5B8EBDE5C}">
  <sheetPr>
    <tabColor theme="6" tint="-0.499984740745262"/>
    <pageSetUpPr fitToPage="1"/>
  </sheetPr>
  <dimension ref="B1:J36"/>
  <sheetViews>
    <sheetView showGridLines="0" zoomScale="96" zoomScaleNormal="96" workbookViewId="0">
      <pane ySplit="3" topLeftCell="A4" activePane="bottomLeft" state="frozen"/>
      <selection activeCell="D6" sqref="D6"/>
      <selection pane="bottomLeft" activeCell="D6" sqref="D6"/>
    </sheetView>
  </sheetViews>
  <sheetFormatPr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/>
  </cols>
  <sheetData>
    <row r="1" spans="2:10" s="9" customFormat="1" ht="20.399999999999999">
      <c r="B1" s="8" t="s">
        <v>102</v>
      </c>
      <c r="E1" s="10"/>
    </row>
    <row r="2" spans="2:10" s="9" customFormat="1" ht="20.399999999999999">
      <c r="B2" s="27" t="s">
        <v>1</v>
      </c>
      <c r="C2" s="22" t="s">
        <v>0</v>
      </c>
      <c r="D2" s="22"/>
      <c r="E2" s="23"/>
      <c r="F2" s="24" t="s">
        <v>2</v>
      </c>
      <c r="G2" s="25"/>
      <c r="H2" s="26"/>
      <c r="I2" s="25"/>
      <c r="J2" s="25"/>
    </row>
    <row r="3" spans="2:10" s="9" customFormat="1" ht="20.399999999999999"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</row>
    <row r="4" spans="2:10" ht="14.4" thickBot="1"/>
    <row r="5" spans="2:10">
      <c r="B5" s="58" t="s">
        <v>103</v>
      </c>
      <c r="C5" s="59"/>
      <c r="D5" s="59"/>
      <c r="E5" s="59"/>
      <c r="F5" s="60">
        <f ca="1">IS!F16</f>
        <v>6645.654720208051</v>
      </c>
      <c r="G5" s="60">
        <f ca="1">IS!G16</f>
        <v>7571.6280928644646</v>
      </c>
      <c r="H5" s="60">
        <f ca="1">IS!H16</f>
        <v>8651.7614928379444</v>
      </c>
      <c r="I5" s="60">
        <f ca="1">IS!I16</f>
        <v>9935.3581256199432</v>
      </c>
      <c r="J5" s="61">
        <f ca="1">IS!J16</f>
        <v>11381.523626395585</v>
      </c>
    </row>
    <row r="6" spans="2:10">
      <c r="B6" s="44" t="s">
        <v>73</v>
      </c>
      <c r="C6" s="4"/>
      <c r="D6" s="4"/>
      <c r="E6" s="4"/>
      <c r="F6" s="38">
        <f>'BS1'!F18</f>
        <v>407.19048585729706</v>
      </c>
      <c r="G6" s="38">
        <f>'BS1'!G18</f>
        <v>475.76774174264341</v>
      </c>
      <c r="H6" s="38">
        <f>'BS1'!H18</f>
        <v>555.3414225829174</v>
      </c>
      <c r="I6" s="38">
        <f>'BS1'!I18</f>
        <v>647.76375947681493</v>
      </c>
      <c r="J6" s="65">
        <f>'BS1'!J18</f>
        <v>755.20900687297456</v>
      </c>
    </row>
    <row r="7" spans="2:10">
      <c r="B7" s="44" t="s">
        <v>126</v>
      </c>
      <c r="C7" s="4"/>
      <c r="D7" s="4"/>
      <c r="E7" s="4"/>
      <c r="F7" s="38">
        <f>'BS1'!F33+'BS1'!F42</f>
        <v>14877.486431347515</v>
      </c>
      <c r="G7" s="38">
        <f>'BS1'!G33+'BS1'!G42</f>
        <v>16483.839763093081</v>
      </c>
      <c r="H7" s="38">
        <f>'BS1'!H33+'BS1'!H42</f>
        <v>18600.144249547884</v>
      </c>
      <c r="I7" s="38">
        <f>'BS1'!I33+'BS1'!I42</f>
        <v>21234.117728942649</v>
      </c>
      <c r="J7" s="65">
        <f>'BS1'!J33+'BS1'!J42</f>
        <v>24421.918478793239</v>
      </c>
    </row>
    <row r="8" spans="2:10">
      <c r="B8" s="44" t="s">
        <v>104</v>
      </c>
      <c r="C8" s="79">
        <v>403.22</v>
      </c>
      <c r="D8" s="79">
        <v>575.452</v>
      </c>
      <c r="E8" s="79">
        <v>339.36799999999999</v>
      </c>
      <c r="F8" s="63">
        <f>E8/IS!E5*IS!F5</f>
        <v>399.41990139113494</v>
      </c>
      <c r="G8" s="63">
        <f>F8/IS!F5*IS!G5</f>
        <v>463.22285026872896</v>
      </c>
      <c r="H8" s="63">
        <f>G8/IS!G5*IS!H5</f>
        <v>537.74544619566007</v>
      </c>
      <c r="I8" s="63">
        <f>H8/IS!H5*IS!I5</f>
        <v>624.84786529936457</v>
      </c>
      <c r="J8" s="64">
        <f>I8/IS!I5*IS!J5</f>
        <v>726.72070754583729</v>
      </c>
    </row>
    <row r="9" spans="2:10">
      <c r="B9" s="67" t="s">
        <v>109</v>
      </c>
      <c r="C9" s="4"/>
      <c r="D9" s="4"/>
      <c r="E9" s="4"/>
      <c r="F9" s="4"/>
      <c r="G9" s="4"/>
      <c r="H9" s="4"/>
      <c r="I9" s="4"/>
      <c r="J9" s="45"/>
    </row>
    <row r="10" spans="2:10">
      <c r="B10" s="102" t="s">
        <v>105</v>
      </c>
      <c r="C10" s="4"/>
      <c r="D10" s="4"/>
      <c r="E10" s="4"/>
      <c r="F10" s="63">
        <f>-(BS!F8-BS!E8)</f>
        <v>0</v>
      </c>
      <c r="G10" s="63">
        <f>-(BS!G8-BS!F8)</f>
        <v>0</v>
      </c>
      <c r="H10" s="63">
        <f>-(BS!H8-BS!G8)</f>
        <v>0</v>
      </c>
      <c r="I10" s="63">
        <f>-(BS!I8-BS!H8)</f>
        <v>0</v>
      </c>
      <c r="J10" s="64">
        <f>-(BS!J8-BS!I8)</f>
        <v>0</v>
      </c>
    </row>
    <row r="11" spans="2:10">
      <c r="B11" s="102" t="s">
        <v>106</v>
      </c>
      <c r="C11" s="4"/>
      <c r="D11" s="4"/>
      <c r="E11" s="4"/>
      <c r="F11" s="63">
        <f>-(BS!F9-BS!E9)</f>
        <v>96.332980351362949</v>
      </c>
      <c r="G11" s="63">
        <f>-(BS!G9-BS!F9)</f>
        <v>-190.20465640321891</v>
      </c>
      <c r="H11" s="63">
        <f>-(BS!H9-BS!G9)</f>
        <v>-222.16127940656361</v>
      </c>
      <c r="I11" s="63">
        <f>-(BS!I9-BS!H9)</f>
        <v>-259.66332260431477</v>
      </c>
      <c r="J11" s="64">
        <f>-(BS!J9-BS!I9)</f>
        <v>-303.69582123051782</v>
      </c>
    </row>
    <row r="12" spans="2:10">
      <c r="B12" s="102" t="s">
        <v>107</v>
      </c>
      <c r="C12" s="4"/>
      <c r="D12" s="4"/>
      <c r="E12" s="4"/>
      <c r="F12" s="63">
        <f>-(BS!F10-BS!E10)</f>
        <v>0</v>
      </c>
      <c r="G12" s="63">
        <f>-(BS!G10-BS!F10)</f>
        <v>0</v>
      </c>
      <c r="H12" s="63">
        <f>-(BS!H10-BS!G10)</f>
        <v>0</v>
      </c>
      <c r="I12" s="63">
        <f>-(BS!I10-BS!H10)</f>
        <v>0</v>
      </c>
      <c r="J12" s="64">
        <f>-(BS!J10-BS!I10)</f>
        <v>0</v>
      </c>
    </row>
    <row r="13" spans="2:10">
      <c r="B13" s="67" t="s">
        <v>108</v>
      </c>
      <c r="C13" s="4"/>
      <c r="D13" s="4"/>
      <c r="E13" s="4"/>
      <c r="F13" s="4"/>
      <c r="G13" s="4"/>
      <c r="H13" s="4"/>
      <c r="I13" s="4"/>
      <c r="J13" s="45"/>
    </row>
    <row r="14" spans="2:10">
      <c r="B14" s="102" t="s">
        <v>45</v>
      </c>
      <c r="C14" s="4"/>
      <c r="D14" s="4"/>
      <c r="E14" s="4"/>
      <c r="F14" s="38">
        <f>BS!F19-BS!E19</f>
        <v>165.47426839728837</v>
      </c>
      <c r="G14" s="38">
        <f>BS!G19-BS!F19</f>
        <v>145.82356990913445</v>
      </c>
      <c r="H14" s="38">
        <f>BS!H19-BS!G19</f>
        <v>170.32364754503237</v>
      </c>
      <c r="I14" s="38">
        <f>BS!I19-BS!H19</f>
        <v>199.0752139966412</v>
      </c>
      <c r="J14" s="65">
        <f>BS!J19-BS!I19</f>
        <v>232.83346294339708</v>
      </c>
    </row>
    <row r="15" spans="2:10">
      <c r="B15" s="102" t="s">
        <v>46</v>
      </c>
      <c r="C15" s="4"/>
      <c r="D15" s="4"/>
      <c r="E15" s="4"/>
      <c r="F15" s="38">
        <f>BS!F20-BS!E20</f>
        <v>0</v>
      </c>
      <c r="G15" s="38">
        <f>BS!G20-BS!F20</f>
        <v>0</v>
      </c>
      <c r="H15" s="38">
        <f>BS!H20-BS!G20</f>
        <v>0</v>
      </c>
      <c r="I15" s="38">
        <f>BS!I20-BS!H20</f>
        <v>0</v>
      </c>
      <c r="J15" s="65">
        <f>BS!J20-BS!I20</f>
        <v>0</v>
      </c>
    </row>
    <row r="16" spans="2:10">
      <c r="B16" s="102" t="s">
        <v>47</v>
      </c>
      <c r="C16" s="4"/>
      <c r="D16" s="4"/>
      <c r="E16" s="4"/>
      <c r="F16" s="38">
        <f>BS!F21-BS!E21</f>
        <v>0</v>
      </c>
      <c r="G16" s="38">
        <f>BS!G21-BS!F21</f>
        <v>0</v>
      </c>
      <c r="H16" s="38">
        <f>BS!H21-BS!G21</f>
        <v>0</v>
      </c>
      <c r="I16" s="38">
        <f>BS!I21-BS!H21</f>
        <v>0</v>
      </c>
      <c r="J16" s="65">
        <f>BS!J21-BS!I21</f>
        <v>0</v>
      </c>
    </row>
    <row r="17" spans="2:10">
      <c r="B17" s="103" t="s">
        <v>110</v>
      </c>
      <c r="C17" s="4"/>
      <c r="D17" s="4"/>
      <c r="E17" s="4"/>
      <c r="F17" s="63">
        <f>-('BS1'!F32+'BS1'!F41)</f>
        <v>-17463.911221513343</v>
      </c>
      <c r="G17" s="63">
        <f>-('BS1'!G32+'BS1'!G41)</f>
        <v>-20253.57951542722</v>
      </c>
      <c r="H17" s="63">
        <f>-('BS1'!H32+'BS1'!H41)</f>
        <v>-23511.944946723488</v>
      </c>
      <c r="I17" s="63">
        <f>-('BS1'!I32+'BS1'!I41)</f>
        <v>-27320.340344920107</v>
      </c>
      <c r="J17" s="64">
        <f>-('BS1'!J32+'BS1'!J41)</f>
        <v>-31774.545722967698</v>
      </c>
    </row>
    <row r="18" spans="2:10">
      <c r="B18" s="103" t="s">
        <v>149</v>
      </c>
      <c r="C18" s="4"/>
      <c r="D18" s="4"/>
      <c r="E18" s="4"/>
      <c r="F18" s="63">
        <f>BS!F24-BS!E24</f>
        <v>914.60924430266914</v>
      </c>
      <c r="G18" s="63">
        <f>BS!G24-BS!F24</f>
        <v>557.93365878277473</v>
      </c>
      <c r="H18" s="63">
        <f>BS!H24-BS!G24</f>
        <v>651.67308625925398</v>
      </c>
      <c r="I18" s="63">
        <f>BS!I24-BS!H24</f>
        <v>761.67907963932521</v>
      </c>
      <c r="J18" s="64">
        <f>BS!J24-BS!I24</f>
        <v>890.84107560951816</v>
      </c>
    </row>
    <row r="19" spans="2:10">
      <c r="B19" s="103" t="s">
        <v>111</v>
      </c>
      <c r="C19" s="4"/>
      <c r="D19" s="4"/>
      <c r="E19" s="4"/>
      <c r="F19" s="38">
        <f>BS!F18-BS!E18</f>
        <v>-1888.2970000000005</v>
      </c>
      <c r="G19" s="38">
        <f>BS!G18-BS!F18</f>
        <v>914.60924430266914</v>
      </c>
      <c r="H19" s="38">
        <f>BS!H18-BS!G18</f>
        <v>557.93365878277473</v>
      </c>
      <c r="I19" s="38">
        <f>BS!I18-BS!H18</f>
        <v>651.67308625925398</v>
      </c>
      <c r="J19" s="65">
        <f>BS!J18-BS!I18</f>
        <v>761.67907963932521</v>
      </c>
    </row>
    <row r="20" spans="2:10" ht="14.4" thickBot="1">
      <c r="B20" s="48" t="s">
        <v>112</v>
      </c>
      <c r="C20" s="6"/>
      <c r="D20" s="6"/>
      <c r="E20" s="6"/>
      <c r="F20" s="11">
        <f ca="1">SUM(F5:F19)</f>
        <v>4153.959810341973</v>
      </c>
      <c r="G20" s="11">
        <f t="shared" ref="G20:J20" ca="1" si="1">SUM(G5:G19)</f>
        <v>6169.0407491330598</v>
      </c>
      <c r="H20" s="11">
        <f t="shared" ca="1" si="1"/>
        <v>5990.8167776214159</v>
      </c>
      <c r="I20" s="11">
        <f t="shared" ca="1" si="1"/>
        <v>6474.5111917095692</v>
      </c>
      <c r="J20" s="104">
        <f t="shared" ca="1" si="1"/>
        <v>7092.4838936016531</v>
      </c>
    </row>
    <row r="21" spans="2:10" ht="14.4" thickTop="1">
      <c r="B21" s="44"/>
      <c r="C21" s="4"/>
      <c r="D21" s="4"/>
      <c r="E21" s="4"/>
      <c r="F21" s="4"/>
      <c r="G21" s="4"/>
      <c r="H21" s="4"/>
      <c r="I21" s="4"/>
      <c r="J21" s="45"/>
    </row>
    <row r="22" spans="2:10">
      <c r="B22" s="44" t="s">
        <v>113</v>
      </c>
      <c r="C22" s="4"/>
      <c r="D22" s="4"/>
      <c r="E22" s="4"/>
      <c r="F22" s="63">
        <f>-'BS1'!F9</f>
        <v>-396.90707321621238</v>
      </c>
      <c r="G22" s="63">
        <f>-'BS1'!G9</f>
        <v>-460.30862535061868</v>
      </c>
      <c r="H22" s="63">
        <f>-'BS1'!H9</f>
        <v>-534.3623851528065</v>
      </c>
      <c r="I22" s="63">
        <f>-'BS1'!I9</f>
        <v>-620.91682602091146</v>
      </c>
      <c r="J22" s="64">
        <f>-'BS1'!J9</f>
        <v>-722.14876643108414</v>
      </c>
    </row>
    <row r="23" spans="2:10">
      <c r="B23" s="44" t="s">
        <v>114</v>
      </c>
      <c r="C23" s="4"/>
      <c r="D23" s="4"/>
      <c r="E23" s="4"/>
      <c r="F23" s="4">
        <v>0</v>
      </c>
      <c r="G23" s="4">
        <v>0</v>
      </c>
      <c r="H23" s="4">
        <v>0</v>
      </c>
      <c r="I23" s="4">
        <v>0</v>
      </c>
      <c r="J23" s="45">
        <v>0</v>
      </c>
    </row>
    <row r="24" spans="2:10">
      <c r="B24" s="44" t="s">
        <v>115</v>
      </c>
      <c r="C24" s="4"/>
      <c r="D24" s="4"/>
      <c r="E24" s="4"/>
      <c r="F24" s="4">
        <v>0</v>
      </c>
      <c r="G24" s="4">
        <v>0</v>
      </c>
      <c r="H24" s="4">
        <v>0</v>
      </c>
      <c r="I24" s="4">
        <v>0</v>
      </c>
      <c r="J24" s="45">
        <v>0</v>
      </c>
    </row>
    <row r="25" spans="2:10" ht="14.4" thickBot="1">
      <c r="B25" s="48" t="s">
        <v>116</v>
      </c>
      <c r="C25" s="6"/>
      <c r="D25" s="6"/>
      <c r="E25" s="6"/>
      <c r="F25" s="11">
        <f>SUM(F22:F24)</f>
        <v>-396.90707321621238</v>
      </c>
      <c r="G25" s="11">
        <f t="shared" ref="G25:J25" si="2">SUM(G22:G24)</f>
        <v>-460.30862535061868</v>
      </c>
      <c r="H25" s="11">
        <f t="shared" si="2"/>
        <v>-534.3623851528065</v>
      </c>
      <c r="I25" s="11">
        <f t="shared" si="2"/>
        <v>-620.91682602091146</v>
      </c>
      <c r="J25" s="104">
        <f t="shared" si="2"/>
        <v>-722.14876643108414</v>
      </c>
    </row>
    <row r="26" spans="2:10" ht="14.4" thickTop="1">
      <c r="B26" s="44"/>
      <c r="C26" s="4"/>
      <c r="D26" s="4"/>
      <c r="E26" s="4"/>
      <c r="F26" s="4"/>
      <c r="G26" s="4"/>
      <c r="H26" s="4"/>
      <c r="I26" s="4"/>
      <c r="J26" s="45"/>
    </row>
    <row r="27" spans="2:10">
      <c r="B27" s="44" t="s">
        <v>117</v>
      </c>
      <c r="C27" s="4"/>
      <c r="D27" s="4"/>
      <c r="E27" s="4"/>
      <c r="F27" s="4" t="s">
        <v>1</v>
      </c>
      <c r="G27" s="4">
        <v>0</v>
      </c>
      <c r="H27" s="4">
        <v>0</v>
      </c>
      <c r="I27" s="4">
        <v>0</v>
      </c>
      <c r="J27" s="45">
        <v>0</v>
      </c>
    </row>
    <row r="28" spans="2:10">
      <c r="B28" s="44" t="s">
        <v>118</v>
      </c>
      <c r="C28" s="4"/>
      <c r="D28" s="4"/>
      <c r="E28" s="4"/>
      <c r="F28" s="4">
        <v>0</v>
      </c>
      <c r="G28" s="4">
        <v>0</v>
      </c>
      <c r="H28" s="4">
        <v>0</v>
      </c>
      <c r="I28" s="4">
        <v>0</v>
      </c>
      <c r="J28" s="45">
        <v>0</v>
      </c>
    </row>
    <row r="29" spans="2:10">
      <c r="B29" s="44" t="s">
        <v>119</v>
      </c>
      <c r="C29" s="4"/>
      <c r="D29" s="4"/>
      <c r="E29" s="4"/>
      <c r="F29" s="4">
        <v>0</v>
      </c>
      <c r="G29" s="4">
        <v>0</v>
      </c>
      <c r="H29" s="4">
        <v>0</v>
      </c>
      <c r="I29" s="4">
        <v>0</v>
      </c>
      <c r="J29" s="45">
        <v>0</v>
      </c>
    </row>
    <row r="30" spans="2:10">
      <c r="B30" s="44" t="s">
        <v>120</v>
      </c>
      <c r="C30" s="4"/>
      <c r="D30" s="4"/>
      <c r="E30" s="4"/>
      <c r="F30" s="4">
        <v>0</v>
      </c>
      <c r="G30" s="4">
        <v>0</v>
      </c>
      <c r="H30" s="4">
        <v>0</v>
      </c>
      <c r="I30" s="4">
        <v>0</v>
      </c>
      <c r="J30" s="45">
        <v>0</v>
      </c>
    </row>
    <row r="31" spans="2:10">
      <c r="B31" s="44" t="s">
        <v>121</v>
      </c>
      <c r="C31" s="4"/>
      <c r="D31" s="4"/>
      <c r="E31" s="4"/>
      <c r="F31" s="63">
        <f ca="1">'Debt '!F67-'Debt '!E67</f>
        <v>-400</v>
      </c>
      <c r="G31" s="63">
        <f ca="1">'Debt '!G67-'Debt '!F67</f>
        <v>-1819</v>
      </c>
      <c r="H31" s="63">
        <f ca="1">'Debt '!H67-'Debt '!G67</f>
        <v>-1000</v>
      </c>
      <c r="I31" s="4">
        <f ca="1">'Debt '!I67-'Debt '!H67</f>
        <v>-1434</v>
      </c>
      <c r="J31" s="45">
        <f ca="1">'Debt '!J67-'Debt '!I67</f>
        <v>-3500</v>
      </c>
    </row>
    <row r="32" spans="2:10" ht="14.4" thickBot="1">
      <c r="B32" s="48" t="s">
        <v>122</v>
      </c>
      <c r="C32" s="6"/>
      <c r="D32" s="6"/>
      <c r="E32" s="6"/>
      <c r="F32" s="11">
        <f ca="1">SUM(F27:F31)</f>
        <v>-400</v>
      </c>
      <c r="G32" s="11">
        <f t="shared" ref="G32:J32" ca="1" si="3">SUM(G27:G31)</f>
        <v>-1819</v>
      </c>
      <c r="H32" s="11">
        <f t="shared" ca="1" si="3"/>
        <v>-1000</v>
      </c>
      <c r="I32" s="11">
        <f t="shared" ca="1" si="3"/>
        <v>-1434</v>
      </c>
      <c r="J32" s="104">
        <f t="shared" ca="1" si="3"/>
        <v>-3500</v>
      </c>
    </row>
    <row r="33" spans="2:10" ht="14.4" thickTop="1">
      <c r="B33" s="44"/>
      <c r="C33" s="4"/>
      <c r="D33" s="4"/>
      <c r="E33" s="4"/>
      <c r="F33" s="4"/>
      <c r="G33" s="4"/>
      <c r="H33" s="4"/>
      <c r="I33" s="4"/>
      <c r="J33" s="45"/>
    </row>
    <row r="34" spans="2:10">
      <c r="B34" s="44" t="s">
        <v>123</v>
      </c>
      <c r="C34" s="4"/>
      <c r="D34" s="4"/>
      <c r="E34" s="4"/>
      <c r="F34" s="38">
        <f ca="1">F20+F25+F32</f>
        <v>3357.0527371257608</v>
      </c>
      <c r="G34" s="38">
        <f t="shared" ref="G34:J34" ca="1" si="4">G20+G25+G32</f>
        <v>3889.7321237824408</v>
      </c>
      <c r="H34" s="38">
        <f t="shared" ca="1" si="4"/>
        <v>4456.4543924686095</v>
      </c>
      <c r="I34" s="38">
        <f t="shared" ca="1" si="4"/>
        <v>4419.5943656886575</v>
      </c>
      <c r="J34" s="65">
        <f t="shared" ca="1" si="4"/>
        <v>2870.3351271705687</v>
      </c>
    </row>
    <row r="35" spans="2:10">
      <c r="B35" s="44" t="s">
        <v>124</v>
      </c>
      <c r="C35" s="4"/>
      <c r="D35" s="4"/>
      <c r="E35" s="4"/>
      <c r="F35" s="63">
        <f>BS!E7</f>
        <v>7116.9129999999996</v>
      </c>
      <c r="G35" s="63">
        <f ca="1">BS!F7</f>
        <v>10473.96573712576</v>
      </c>
      <c r="H35" s="63">
        <f ca="1">BS!G7</f>
        <v>14363.6978609082</v>
      </c>
      <c r="I35" s="63">
        <f ca="1">BS!H7</f>
        <v>18820.152253376807</v>
      </c>
      <c r="J35" s="64">
        <f ca="1">BS!I7</f>
        <v>23239.746619065467</v>
      </c>
    </row>
    <row r="36" spans="2:10" ht="14.4" thickBot="1">
      <c r="B36" s="52" t="s">
        <v>125</v>
      </c>
      <c r="C36" s="76"/>
      <c r="D36" s="76"/>
      <c r="E36" s="76"/>
      <c r="F36" s="89">
        <f ca="1">F34+F35</f>
        <v>10473.96573712576</v>
      </c>
      <c r="G36" s="89">
        <f t="shared" ref="G36:J36" ca="1" si="5">G34+G35</f>
        <v>14363.6978609082</v>
      </c>
      <c r="H36" s="89">
        <f t="shared" ca="1" si="5"/>
        <v>18820.152253376807</v>
      </c>
      <c r="I36" s="89">
        <f t="shared" ca="1" si="5"/>
        <v>23239.746619065467</v>
      </c>
      <c r="J36" s="90">
        <f t="shared" ca="1" si="5"/>
        <v>26110.081746236036</v>
      </c>
    </row>
  </sheetData>
  <pageMargins left="0.7" right="0.7" top="0.75" bottom="0.75" header="0.3" footer="0.3"/>
  <pageSetup paperSize="9" scale="4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9094D-3BE9-4DBD-A69E-9D88D3215524}">
  <sheetPr>
    <tabColor theme="7" tint="-0.499984740745262"/>
    <pageSetUpPr fitToPage="1"/>
  </sheetPr>
  <dimension ref="A1:N69"/>
  <sheetViews>
    <sheetView showGridLines="0" zoomScale="89" zoomScaleNormal="89" workbookViewId="0">
      <pane ySplit="3" topLeftCell="A57" activePane="bottomLeft" state="frozen"/>
      <selection activeCell="D6" sqref="D6"/>
      <selection pane="bottomLeft" activeCell="G42" sqref="G42"/>
    </sheetView>
  </sheetViews>
  <sheetFormatPr defaultColWidth="0" defaultRowHeight="13.8"/>
  <cols>
    <col min="1" max="1" width="3.33203125" style="1" customWidth="1"/>
    <col min="2" max="2" width="55.77734375" style="1" customWidth="1"/>
    <col min="3" max="3" width="25.21875" style="1" bestFit="1" customWidth="1"/>
    <col min="4" max="4" width="15.77734375" style="1" customWidth="1"/>
    <col min="5" max="5" width="19.88671875" style="1" bestFit="1" customWidth="1"/>
    <col min="6" max="12" width="15.77734375" style="1" customWidth="1"/>
    <col min="13" max="13" width="17.77734375" style="1" customWidth="1"/>
    <col min="14" max="14" width="17.5546875" style="1" hidden="1" customWidth="1"/>
    <col min="15" max="16384" width="8.88671875" style="1" hidden="1"/>
  </cols>
  <sheetData>
    <row r="1" spans="1:14" ht="20.399999999999999">
      <c r="A1" s="9"/>
      <c r="B1" s="8" t="s">
        <v>164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</row>
    <row r="2" spans="1:14" ht="20.399999999999999">
      <c r="A2" s="9"/>
      <c r="B2" s="27"/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  <c r="N2" s="9"/>
    </row>
    <row r="3" spans="1:14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  <c r="N3" s="9"/>
    </row>
    <row r="4" spans="1:14" ht="14.4" thickBot="1"/>
    <row r="5" spans="1:14">
      <c r="B5" s="58" t="s">
        <v>155</v>
      </c>
      <c r="C5" s="59"/>
      <c r="D5" s="59"/>
      <c r="E5" s="59"/>
      <c r="F5" s="60">
        <f>IS!F10</f>
        <v>7144.3273178918244</v>
      </c>
      <c r="G5" s="60">
        <f>IS!G10</f>
        <v>8285.5552563111341</v>
      </c>
      <c r="H5" s="60">
        <f>IS!H10</f>
        <v>9618.5229327505222</v>
      </c>
      <c r="I5" s="60">
        <f>IS!I10</f>
        <v>11176.502868376403</v>
      </c>
      <c r="J5" s="61">
        <f>IS!J10</f>
        <v>12998.677795759511</v>
      </c>
      <c r="K5" s="60"/>
      <c r="L5" s="60"/>
      <c r="M5" s="61"/>
    </row>
    <row r="6" spans="1:14">
      <c r="B6" s="44" t="s">
        <v>156</v>
      </c>
      <c r="C6" s="4"/>
      <c r="D6" s="4"/>
      <c r="E6" s="4"/>
      <c r="F6" s="36">
        <f>'Expense Schedule '!F18</f>
        <v>-0.15</v>
      </c>
      <c r="G6" s="36">
        <f>'Expense Schedule '!G18</f>
        <v>-0.15</v>
      </c>
      <c r="H6" s="36">
        <f>'Expense Schedule '!H18</f>
        <v>-0.15</v>
      </c>
      <c r="I6" s="36">
        <f>'Expense Schedule '!I18</f>
        <v>-0.15</v>
      </c>
      <c r="J6" s="62">
        <f>'Expense Schedule '!J18</f>
        <v>-0.15</v>
      </c>
      <c r="K6" s="36"/>
      <c r="L6" s="36"/>
      <c r="M6" s="62"/>
    </row>
    <row r="7" spans="1:14">
      <c r="B7" s="44" t="s">
        <v>158</v>
      </c>
      <c r="C7" s="4"/>
      <c r="D7" s="4"/>
      <c r="E7" s="4"/>
      <c r="F7" s="63">
        <f>F5*(1-F6)</f>
        <v>8215.9764155755965</v>
      </c>
      <c r="G7" s="63">
        <f t="shared" ref="G7:J7" si="1">G5*(1-G6)</f>
        <v>9528.3885447578032</v>
      </c>
      <c r="H7" s="63">
        <f t="shared" si="1"/>
        <v>11061.3013726631</v>
      </c>
      <c r="I7" s="63">
        <f t="shared" si="1"/>
        <v>12852.978298632863</v>
      </c>
      <c r="J7" s="64">
        <f t="shared" si="1"/>
        <v>14948.479465123437</v>
      </c>
      <c r="K7" s="63"/>
      <c r="L7" s="63"/>
      <c r="M7" s="64"/>
    </row>
    <row r="8" spans="1:14">
      <c r="B8" s="44" t="s">
        <v>159</v>
      </c>
      <c r="C8" s="4"/>
      <c r="D8" s="4"/>
      <c r="E8" s="4"/>
      <c r="F8" s="38">
        <f>SUM(CF!F6:F8)</f>
        <v>15684.096818595946</v>
      </c>
      <c r="G8" s="38">
        <f>SUM(CF!G6:G8)</f>
        <v>17422.830355104452</v>
      </c>
      <c r="H8" s="38">
        <f>SUM(CF!H6:H8)</f>
        <v>19693.231118326461</v>
      </c>
      <c r="I8" s="38">
        <f>SUM(CF!I6:I8)</f>
        <v>22506.729353718831</v>
      </c>
      <c r="J8" s="65">
        <f>SUM(CF!J6:J8)</f>
        <v>25903.848193212048</v>
      </c>
      <c r="K8" s="38"/>
      <c r="L8" s="38"/>
      <c r="M8" s="65"/>
    </row>
    <row r="9" spans="1:14">
      <c r="B9" s="44" t="s">
        <v>160</v>
      </c>
      <c r="C9" s="4"/>
      <c r="D9" s="4"/>
      <c r="E9" s="4"/>
      <c r="F9" s="63">
        <f>SUM(CF!F10:F12)</f>
        <v>96.332980351362949</v>
      </c>
      <c r="G9" s="63">
        <f>SUM(CF!G10:G12)</f>
        <v>-190.20465640321891</v>
      </c>
      <c r="H9" s="63">
        <f>SUM(CF!H10:H12)</f>
        <v>-222.16127940656361</v>
      </c>
      <c r="I9" s="63">
        <f>SUM(CF!I10:I12)</f>
        <v>-259.66332260431477</v>
      </c>
      <c r="J9" s="64">
        <f>SUM(CF!J10:J12)</f>
        <v>-303.69582123051782</v>
      </c>
      <c r="K9" s="63"/>
      <c r="L9" s="63"/>
      <c r="M9" s="64"/>
    </row>
    <row r="10" spans="1:14">
      <c r="B10" s="44" t="s">
        <v>161</v>
      </c>
      <c r="C10" s="4"/>
      <c r="D10" s="4"/>
      <c r="E10" s="4"/>
      <c r="F10" s="38">
        <f>SUM(CF!F14:F16)</f>
        <v>165.47426839728837</v>
      </c>
      <c r="G10" s="38">
        <f>SUM(CF!G14:G16)</f>
        <v>145.82356990913445</v>
      </c>
      <c r="H10" s="38">
        <f>SUM(CF!H14:H16)</f>
        <v>170.32364754503237</v>
      </c>
      <c r="I10" s="38">
        <f>SUM(CF!I14:I16)</f>
        <v>199.0752139966412</v>
      </c>
      <c r="J10" s="65">
        <f>SUM(CF!J14:J16)</f>
        <v>232.83346294339708</v>
      </c>
      <c r="K10" s="38"/>
      <c r="L10" s="38"/>
      <c r="M10" s="65"/>
    </row>
    <row r="11" spans="1:14">
      <c r="B11" s="44" t="s">
        <v>162</v>
      </c>
      <c r="C11" s="4"/>
      <c r="D11" s="4"/>
      <c r="E11" s="4"/>
      <c r="F11" s="38">
        <f>CF!F19</f>
        <v>-1888.2970000000005</v>
      </c>
      <c r="G11" s="38">
        <f>CF!G19</f>
        <v>914.60924430266914</v>
      </c>
      <c r="H11" s="38">
        <f>CF!H19</f>
        <v>557.93365878277473</v>
      </c>
      <c r="I11" s="38">
        <f>CF!I19</f>
        <v>651.67308625925398</v>
      </c>
      <c r="J11" s="65">
        <f>CF!J19</f>
        <v>761.67907963932521</v>
      </c>
      <c r="K11" s="38"/>
      <c r="L11" s="38"/>
      <c r="M11" s="65"/>
    </row>
    <row r="12" spans="1:14">
      <c r="B12" s="44" t="s">
        <v>163</v>
      </c>
      <c r="C12" s="4"/>
      <c r="D12" s="4"/>
      <c r="E12" s="4"/>
      <c r="F12" s="63">
        <f>CF!F17</f>
        <v>-17463.911221513343</v>
      </c>
      <c r="G12" s="63">
        <f>CF!G17</f>
        <v>-20253.57951542722</v>
      </c>
      <c r="H12" s="63">
        <f>CF!H17</f>
        <v>-23511.944946723488</v>
      </c>
      <c r="I12" s="63">
        <f>CF!I17</f>
        <v>-27320.340344920107</v>
      </c>
      <c r="J12" s="64">
        <f>CF!J17</f>
        <v>-31774.545722967698</v>
      </c>
      <c r="K12" s="63"/>
      <c r="L12" s="63"/>
      <c r="M12" s="64"/>
    </row>
    <row r="13" spans="1:14">
      <c r="B13" s="44" t="s">
        <v>157</v>
      </c>
      <c r="C13" s="4"/>
      <c r="D13" s="4"/>
      <c r="E13" s="4"/>
      <c r="F13" s="63">
        <f>CF!F22</f>
        <v>-396.90707321621238</v>
      </c>
      <c r="G13" s="63">
        <f>CF!G22</f>
        <v>-460.30862535061868</v>
      </c>
      <c r="H13" s="63">
        <f>CF!H22</f>
        <v>-534.3623851528065</v>
      </c>
      <c r="I13" s="63">
        <f>CF!I22</f>
        <v>-620.91682602091146</v>
      </c>
      <c r="J13" s="64">
        <f>CF!J22</f>
        <v>-722.14876643108414</v>
      </c>
      <c r="K13" s="63"/>
      <c r="L13" s="63"/>
      <c r="M13" s="64"/>
    </row>
    <row r="14" spans="1:14">
      <c r="B14" s="44"/>
      <c r="C14" s="4"/>
      <c r="D14" s="4"/>
      <c r="E14" s="4"/>
      <c r="F14" s="4"/>
      <c r="G14" s="4"/>
      <c r="H14" s="4"/>
      <c r="I14" s="4"/>
      <c r="J14" s="45"/>
      <c r="K14" s="4"/>
      <c r="L14" s="4"/>
      <c r="M14" s="45"/>
    </row>
    <row r="15" spans="1:14" ht="15" thickBot="1">
      <c r="A15" s="1">
        <v>1</v>
      </c>
      <c r="B15" s="48" t="s">
        <v>194</v>
      </c>
      <c r="C15" s="6"/>
      <c r="D15" s="6"/>
      <c r="E15" s="6"/>
      <c r="F15" s="11">
        <f>SUM(F7:F13)</f>
        <v>4412.7651881906368</v>
      </c>
      <c r="G15" s="11">
        <f t="shared" ref="G15:J15" si="2">SUM(G7:G13)</f>
        <v>7107.5589168930019</v>
      </c>
      <c r="H15" s="11">
        <f t="shared" si="2"/>
        <v>7214.3211860345109</v>
      </c>
      <c r="I15" s="11">
        <f t="shared" si="2"/>
        <v>8009.5354590622592</v>
      </c>
      <c r="J15" s="104">
        <f t="shared" si="2"/>
        <v>9046.44989028891</v>
      </c>
      <c r="K15" s="66"/>
      <c r="L15" s="66"/>
      <c r="M15"/>
    </row>
    <row r="16" spans="1:14" ht="14.4" thickTop="1">
      <c r="B16" s="44"/>
      <c r="C16" s="4"/>
      <c r="D16" s="4"/>
      <c r="E16" s="4"/>
      <c r="F16" s="4"/>
      <c r="G16" s="4"/>
      <c r="H16" s="4"/>
      <c r="I16" s="4"/>
      <c r="J16" s="45"/>
      <c r="K16" s="4"/>
      <c r="L16" s="4"/>
      <c r="M16" s="45"/>
    </row>
    <row r="17" spans="2:13">
      <c r="B17" s="44" t="s">
        <v>205</v>
      </c>
      <c r="C17" s="4"/>
      <c r="D17" s="4"/>
      <c r="E17" s="4"/>
      <c r="F17" s="4">
        <v>0.5</v>
      </c>
      <c r="G17" s="4">
        <f>F17+1</f>
        <v>1.5</v>
      </c>
      <c r="H17" s="4">
        <f t="shared" ref="H17:J17" si="3">G17+1</f>
        <v>2.5</v>
      </c>
      <c r="I17" s="4">
        <f t="shared" si="3"/>
        <v>3.5</v>
      </c>
      <c r="J17" s="45">
        <f t="shared" si="3"/>
        <v>4.5</v>
      </c>
      <c r="K17" s="4"/>
      <c r="L17" s="4"/>
      <c r="M17" s="45"/>
    </row>
    <row r="18" spans="2:13">
      <c r="B18" s="44"/>
      <c r="C18" s="4"/>
      <c r="D18" s="4"/>
      <c r="E18" s="4"/>
      <c r="F18" s="4"/>
      <c r="G18" s="4"/>
      <c r="H18" s="4"/>
      <c r="I18" s="4"/>
      <c r="J18" s="45"/>
      <c r="K18" s="4"/>
      <c r="L18" s="4"/>
      <c r="M18" s="45"/>
    </row>
    <row r="19" spans="2:13">
      <c r="B19" s="44" t="s">
        <v>206</v>
      </c>
      <c r="C19" s="4"/>
      <c r="D19" s="4"/>
      <c r="E19" s="4"/>
      <c r="F19" s="63">
        <f>F15/(1+WACC)^F17</f>
        <v>4189.8097705678229</v>
      </c>
      <c r="G19" s="63">
        <f>G15/(1+WACC)^G17</f>
        <v>6083.7439692601411</v>
      </c>
      <c r="H19" s="63">
        <f>H15/(1+WACC)^H17</f>
        <v>5566.8934292057083</v>
      </c>
      <c r="I19" s="63">
        <f>I15/(1+WACC)^I17</f>
        <v>5571.7514644000321</v>
      </c>
      <c r="J19" s="64">
        <f>J15/(1+WACC)^J17</f>
        <v>5673.2191863024664</v>
      </c>
      <c r="K19" s="4"/>
      <c r="L19" s="4"/>
      <c r="M19" s="45"/>
    </row>
    <row r="20" spans="2:13">
      <c r="B20" s="44"/>
      <c r="C20" s="4"/>
      <c r="D20" s="4"/>
      <c r="E20" s="4"/>
      <c r="F20" s="4"/>
      <c r="G20" s="4"/>
      <c r="H20" s="4"/>
      <c r="I20" s="4"/>
      <c r="J20" s="45"/>
      <c r="K20" s="4"/>
      <c r="L20" s="4"/>
      <c r="M20" s="45"/>
    </row>
    <row r="21" spans="2:13">
      <c r="B21" s="44" t="s">
        <v>207</v>
      </c>
      <c r="C21" s="63">
        <f>SUM(F19:J19)</f>
        <v>27085.417819736173</v>
      </c>
      <c r="D21" s="4"/>
      <c r="E21" s="4"/>
      <c r="F21" s="4"/>
      <c r="G21" s="4"/>
      <c r="H21" s="4"/>
      <c r="I21" s="4"/>
      <c r="J21" s="45"/>
      <c r="K21" s="4"/>
      <c r="L21" s="4"/>
      <c r="M21" s="45"/>
    </row>
    <row r="22" spans="2:13">
      <c r="B22" s="44" t="s">
        <v>203</v>
      </c>
      <c r="C22" s="63">
        <f>C69</f>
        <v>61554.582806163562</v>
      </c>
      <c r="D22" s="4"/>
      <c r="E22" s="4"/>
      <c r="F22" s="4"/>
      <c r="G22" s="4"/>
      <c r="H22" s="4"/>
      <c r="I22" s="4"/>
      <c r="J22" s="45"/>
      <c r="K22" s="4"/>
      <c r="L22" s="4"/>
      <c r="M22" s="45"/>
    </row>
    <row r="23" spans="2:13">
      <c r="B23" s="67" t="s">
        <v>208</v>
      </c>
      <c r="C23" s="68">
        <f>SUM(C21:C22)</f>
        <v>88640.000625899731</v>
      </c>
      <c r="D23" s="4"/>
      <c r="E23" s="4"/>
      <c r="F23" s="4"/>
      <c r="G23" s="4"/>
      <c r="H23" s="4"/>
      <c r="I23" s="4"/>
      <c r="J23" s="45"/>
      <c r="K23" s="4"/>
      <c r="L23" s="4"/>
      <c r="M23" s="45"/>
    </row>
    <row r="24" spans="2:13">
      <c r="B24" s="44" t="s">
        <v>209</v>
      </c>
      <c r="C24" s="63">
        <f>F46-BS!E7+BS!E30</f>
        <v>7426.347999999999</v>
      </c>
      <c r="D24" s="4"/>
      <c r="E24" s="4"/>
      <c r="F24" s="4"/>
      <c r="G24" s="4"/>
      <c r="H24" s="4"/>
      <c r="I24" s="4"/>
      <c r="J24" s="45"/>
      <c r="K24" s="4"/>
      <c r="L24" s="4"/>
      <c r="M24" s="45"/>
    </row>
    <row r="25" spans="2:13">
      <c r="B25" s="44" t="s">
        <v>210</v>
      </c>
      <c r="C25" s="63">
        <f>C23-C24</f>
        <v>81213.652625899733</v>
      </c>
      <c r="D25" s="4"/>
      <c r="E25" s="4"/>
      <c r="F25" s="4"/>
      <c r="G25" s="4"/>
      <c r="H25" s="4"/>
      <c r="I25" s="4"/>
      <c r="J25" s="45"/>
      <c r="K25" s="4"/>
      <c r="L25" s="4"/>
      <c r="M25" s="45"/>
    </row>
    <row r="26" spans="2:13">
      <c r="B26" s="44" t="s">
        <v>211</v>
      </c>
      <c r="C26" s="63">
        <f>F39</f>
        <v>443.9414663026688</v>
      </c>
      <c r="D26" s="4" t="s">
        <v>1</v>
      </c>
      <c r="E26" s="4"/>
      <c r="F26" s="4"/>
      <c r="G26" s="4"/>
      <c r="H26" s="4"/>
      <c r="I26" s="4"/>
      <c r="J26" s="45"/>
      <c r="K26" s="4"/>
      <c r="L26" s="4"/>
      <c r="M26" s="45"/>
    </row>
    <row r="27" spans="2:13" ht="14.4" thickBot="1">
      <c r="B27" s="88" t="s">
        <v>212</v>
      </c>
      <c r="C27" s="145">
        <f>C25/C26</f>
        <v>182.93774920887924</v>
      </c>
      <c r="D27" s="76"/>
      <c r="E27" s="76"/>
      <c r="F27" s="76"/>
      <c r="G27" s="76"/>
      <c r="H27" s="76"/>
      <c r="I27" s="76"/>
      <c r="J27" s="54"/>
      <c r="K27" s="4"/>
      <c r="L27" s="4"/>
      <c r="M27" s="45"/>
    </row>
    <row r="28" spans="2:13">
      <c r="B28" s="44"/>
      <c r="C28" s="4"/>
      <c r="D28" s="4"/>
      <c r="E28" s="4"/>
      <c r="F28" s="4"/>
      <c r="G28" s="4"/>
      <c r="H28" s="4"/>
      <c r="I28" s="4"/>
      <c r="J28" s="4"/>
      <c r="K28" s="4"/>
      <c r="L28" s="4"/>
      <c r="M28" s="45"/>
    </row>
    <row r="29" spans="2:13">
      <c r="B29" s="44"/>
      <c r="C29" s="4"/>
      <c r="D29" s="4"/>
      <c r="E29" s="4"/>
      <c r="F29" s="4"/>
      <c r="G29" s="4"/>
      <c r="H29" s="4"/>
      <c r="I29" s="4"/>
      <c r="J29" s="4"/>
      <c r="K29" s="4"/>
      <c r="L29" s="4"/>
      <c r="M29" s="45"/>
    </row>
    <row r="30" spans="2:13">
      <c r="B30" s="44"/>
      <c r="C30" s="38"/>
      <c r="D30" s="4"/>
      <c r="E30" s="4"/>
      <c r="F30" s="4"/>
      <c r="G30" s="4"/>
      <c r="H30" s="4"/>
      <c r="I30" s="4"/>
      <c r="J30" s="4"/>
      <c r="K30" s="4"/>
      <c r="L30" s="4"/>
      <c r="M30" s="45"/>
    </row>
    <row r="31" spans="2:13">
      <c r="B31" s="44"/>
      <c r="C31" s="4"/>
      <c r="D31" s="4"/>
      <c r="E31" s="4"/>
      <c r="F31" s="4"/>
      <c r="G31" s="4"/>
      <c r="H31" s="4"/>
      <c r="I31" s="4"/>
      <c r="J31" s="4"/>
      <c r="K31" s="4"/>
      <c r="L31" s="4"/>
      <c r="M31" s="45"/>
    </row>
    <row r="32" spans="2:13" ht="14.4" thickBot="1">
      <c r="B32" s="44"/>
      <c r="C32" s="4"/>
      <c r="D32" s="4"/>
      <c r="E32" s="4"/>
      <c r="F32" s="4"/>
      <c r="G32" s="4"/>
      <c r="H32" s="4"/>
      <c r="I32" s="4"/>
      <c r="J32" s="4"/>
      <c r="K32" s="4"/>
      <c r="L32" s="4"/>
      <c r="M32" s="45"/>
    </row>
    <row r="33" spans="1:13" ht="14.4" thickBot="1">
      <c r="A33" s="1">
        <v>2</v>
      </c>
      <c r="B33" s="40" t="s">
        <v>193</v>
      </c>
      <c r="C33" s="41"/>
      <c r="D33" s="41"/>
      <c r="E33" s="41"/>
      <c r="F33" s="42"/>
      <c r="G33" s="42"/>
      <c r="H33" s="42"/>
      <c r="I33" s="42"/>
      <c r="J33" s="42"/>
      <c r="K33" s="41"/>
      <c r="L33" s="43"/>
      <c r="M33" s="43"/>
    </row>
    <row r="34" spans="1:13" ht="15" thickTop="1" thickBot="1">
      <c r="B34" s="44"/>
      <c r="C34" s="4"/>
      <c r="D34" s="4"/>
      <c r="E34" s="4"/>
      <c r="F34" s="4"/>
      <c r="G34" s="4"/>
      <c r="H34" s="4"/>
      <c r="I34" s="4"/>
      <c r="J34" s="4"/>
      <c r="K34" s="4"/>
      <c r="L34" s="45"/>
      <c r="M34" s="45"/>
    </row>
    <row r="35" spans="1:13" ht="14.4" thickBot="1">
      <c r="B35" s="58" t="s">
        <v>166</v>
      </c>
      <c r="C35" s="78"/>
      <c r="D35" s="4"/>
      <c r="E35" s="4"/>
      <c r="F35" s="4"/>
      <c r="G35" s="4"/>
      <c r="H35" s="4"/>
      <c r="I35" s="4"/>
      <c r="J35" s="4"/>
      <c r="K35" s="4"/>
      <c r="L35" s="45"/>
      <c r="M35" s="45"/>
    </row>
    <row r="36" spans="1:13" ht="14.4" thickBot="1">
      <c r="B36" s="44"/>
      <c r="C36" s="45"/>
      <c r="D36" s="4"/>
      <c r="E36" s="4"/>
      <c r="F36" s="4"/>
      <c r="G36" s="4"/>
      <c r="H36" s="58"/>
      <c r="I36" s="179" t="s">
        <v>176</v>
      </c>
      <c r="J36" s="179" t="s">
        <v>177</v>
      </c>
      <c r="K36" s="180" t="s">
        <v>172</v>
      </c>
      <c r="L36" s="71"/>
      <c r="M36" s="45"/>
    </row>
    <row r="37" spans="1:13">
      <c r="B37" s="44" t="s">
        <v>167</v>
      </c>
      <c r="C37" s="172">
        <v>4.0300000000000002E-2</v>
      </c>
      <c r="D37" s="4"/>
      <c r="E37" s="58" t="s">
        <v>171</v>
      </c>
      <c r="F37" s="169">
        <v>432.75958400000002</v>
      </c>
      <c r="G37" s="4"/>
      <c r="H37" s="44" t="s">
        <v>178</v>
      </c>
      <c r="I37" s="3">
        <v>19.695108999999999</v>
      </c>
      <c r="J37" s="2">
        <v>268.86</v>
      </c>
      <c r="K37" s="115">
        <f>IF(J37&lt;$F$40,I37-I37*J37/$F$40)</f>
        <v>11.181882302668809</v>
      </c>
      <c r="L37" s="115"/>
      <c r="M37" s="45"/>
    </row>
    <row r="38" spans="1:13">
      <c r="B38" s="44" t="s">
        <v>168</v>
      </c>
      <c r="C38" s="173">
        <v>1.27</v>
      </c>
      <c r="D38" s="4"/>
      <c r="E38" s="44" t="s">
        <v>172</v>
      </c>
      <c r="F38" s="170">
        <f>SUM(K41,K48)</f>
        <v>11.181882302668809</v>
      </c>
      <c r="G38" s="4"/>
      <c r="H38" s="44" t="s">
        <v>179</v>
      </c>
      <c r="I38" s="2"/>
      <c r="J38" s="2"/>
      <c r="K38" s="115">
        <f t="shared" ref="K38:K40" si="4">IF(J38&lt;$F$40,I38-I38*J38/$F$40)</f>
        <v>0</v>
      </c>
      <c r="L38" s="115"/>
      <c r="M38" s="45"/>
    </row>
    <row r="39" spans="1:13">
      <c r="B39" s="44" t="s">
        <v>169</v>
      </c>
      <c r="C39" s="174">
        <v>5.5E-2</v>
      </c>
      <c r="D39" s="4"/>
      <c r="E39" s="44" t="s">
        <v>173</v>
      </c>
      <c r="F39" s="115">
        <f>F37+F38</f>
        <v>443.9414663026688</v>
      </c>
      <c r="G39" s="4"/>
      <c r="H39" s="44" t="s">
        <v>180</v>
      </c>
      <c r="I39" s="2"/>
      <c r="J39" s="2"/>
      <c r="K39" s="115">
        <f t="shared" si="4"/>
        <v>0</v>
      </c>
      <c r="L39" s="115"/>
      <c r="M39" s="45"/>
    </row>
    <row r="40" spans="1:13">
      <c r="B40" s="44"/>
      <c r="C40" s="45"/>
      <c r="D40" s="4"/>
      <c r="E40" s="44" t="s">
        <v>174</v>
      </c>
      <c r="F40" s="171">
        <v>622</v>
      </c>
      <c r="G40" s="4"/>
      <c r="H40" s="44" t="s">
        <v>181</v>
      </c>
      <c r="I40" s="2"/>
      <c r="J40" s="2"/>
      <c r="K40" s="115">
        <f t="shared" si="4"/>
        <v>0</v>
      </c>
      <c r="L40" s="115"/>
      <c r="M40" s="45"/>
    </row>
    <row r="41" spans="1:13" ht="14.4" thickBot="1">
      <c r="B41" s="67" t="s">
        <v>170</v>
      </c>
      <c r="C41" s="175">
        <f>C37+C38*C39</f>
        <v>0.11015</v>
      </c>
      <c r="D41" s="4"/>
      <c r="E41" s="44" t="s">
        <v>175</v>
      </c>
      <c r="F41" s="170">
        <f>F39*F40</f>
        <v>276131.59204025997</v>
      </c>
      <c r="G41" s="4"/>
      <c r="H41" s="52"/>
      <c r="I41" s="140" t="s">
        <v>145</v>
      </c>
      <c r="J41" s="140"/>
      <c r="K41" s="142">
        <f>SUM(K37:K40)</f>
        <v>11.181882302668809</v>
      </c>
      <c r="L41" s="168"/>
      <c r="M41" s="45"/>
    </row>
    <row r="42" spans="1:13" ht="14.4" thickBot="1">
      <c r="B42" s="44"/>
      <c r="C42" s="45"/>
      <c r="D42" s="4"/>
      <c r="E42" s="44"/>
      <c r="F42" s="45"/>
      <c r="G42" s="4"/>
      <c r="H42" s="4"/>
      <c r="I42" s="4"/>
      <c r="J42" s="4"/>
      <c r="K42" s="4"/>
      <c r="L42" s="45"/>
      <c r="M42" s="45"/>
    </row>
    <row r="43" spans="1:13">
      <c r="B43" s="44" t="s">
        <v>167</v>
      </c>
      <c r="C43" s="176">
        <f>C37</f>
        <v>4.0300000000000002E-2</v>
      </c>
      <c r="D43" s="4"/>
      <c r="E43" s="44" t="s">
        <v>141</v>
      </c>
      <c r="F43" s="65">
        <f>BS!E22</f>
        <v>399.84399999999999</v>
      </c>
      <c r="G43" s="4"/>
      <c r="H43" s="58"/>
      <c r="I43" s="179" t="s">
        <v>133</v>
      </c>
      <c r="J43" s="179" t="s">
        <v>182</v>
      </c>
      <c r="K43" s="179" t="s">
        <v>172</v>
      </c>
      <c r="L43" s="180" t="s">
        <v>187</v>
      </c>
    </row>
    <row r="44" spans="1:13">
      <c r="B44" s="44" t="s">
        <v>183</v>
      </c>
      <c r="C44" s="177">
        <v>0.04</v>
      </c>
      <c r="D44" s="4"/>
      <c r="E44" s="44" t="s">
        <v>142</v>
      </c>
      <c r="F44" s="64">
        <f>BS!E25</f>
        <v>14143.416999999999</v>
      </c>
      <c r="G44" s="4"/>
      <c r="H44" s="44" t="s">
        <v>178</v>
      </c>
      <c r="I44" s="2"/>
      <c r="J44" s="2"/>
      <c r="K44" s="63">
        <f>IFERROR(IF(J44&lt;$F$40,I44/J44,0),0)</f>
        <v>0</v>
      </c>
      <c r="L44" s="45">
        <f>IF(J44&lt;$F$40,I44,0)</f>
        <v>0</v>
      </c>
    </row>
    <row r="45" spans="1:13">
      <c r="B45" s="44"/>
      <c r="C45" s="45"/>
      <c r="D45" s="4"/>
      <c r="E45" s="44"/>
      <c r="F45" s="45"/>
      <c r="G45" s="4"/>
      <c r="H45" s="44" t="s">
        <v>179</v>
      </c>
      <c r="I45" s="2"/>
      <c r="J45" s="2"/>
      <c r="K45" s="63">
        <f t="shared" ref="K45:K46" si="5">IFERROR(IF(J45&lt;$F$40,I45/J45,0),0)</f>
        <v>0</v>
      </c>
      <c r="L45" s="45">
        <f>IF(J45&lt;$F$40,I45,0)</f>
        <v>0</v>
      </c>
    </row>
    <row r="46" spans="1:13">
      <c r="B46" s="44" t="s">
        <v>184</v>
      </c>
      <c r="C46" s="176">
        <f>C43+C44</f>
        <v>8.030000000000001E-2</v>
      </c>
      <c r="D46" s="4"/>
      <c r="E46" s="67" t="s">
        <v>186</v>
      </c>
      <c r="F46" s="162">
        <f>F43+F44-L48</f>
        <v>14543.260999999999</v>
      </c>
      <c r="G46" s="4"/>
      <c r="H46" s="44" t="s">
        <v>180</v>
      </c>
      <c r="I46" s="2"/>
      <c r="J46" s="2"/>
      <c r="K46" s="63">
        <f t="shared" si="5"/>
        <v>0</v>
      </c>
      <c r="L46" s="45">
        <f>IF(J46&lt;$F$40,I46,0)</f>
        <v>0</v>
      </c>
    </row>
    <row r="47" spans="1:13">
      <c r="B47" s="44" t="s">
        <v>185</v>
      </c>
      <c r="C47" s="176">
        <f>C46*(1-F6)</f>
        <v>9.234500000000001E-2</v>
      </c>
      <c r="D47" s="4"/>
      <c r="E47" s="44"/>
      <c r="F47" s="45"/>
      <c r="G47" s="4"/>
      <c r="H47" s="44" t="s">
        <v>181</v>
      </c>
      <c r="I47" s="2"/>
      <c r="J47" s="2"/>
      <c r="K47" s="4"/>
      <c r="L47" s="45"/>
    </row>
    <row r="48" spans="1:13" ht="14.4" thickBot="1">
      <c r="B48" s="44"/>
      <c r="C48" s="45"/>
      <c r="D48" s="4"/>
      <c r="E48" s="44" t="s">
        <v>188</v>
      </c>
      <c r="F48" s="122">
        <f>F41/(F46+F41)</f>
        <v>0.94996725431220674</v>
      </c>
      <c r="G48" s="4"/>
      <c r="H48" s="52"/>
      <c r="I48" s="140" t="s">
        <v>145</v>
      </c>
      <c r="J48" s="140"/>
      <c r="K48" s="145">
        <f>SUM(K44:K46)</f>
        <v>0</v>
      </c>
      <c r="L48" s="181">
        <f>SUM(L44:L46)</f>
        <v>0</v>
      </c>
    </row>
    <row r="49" spans="1:13" ht="14.4" thickBot="1">
      <c r="B49" s="52" t="s">
        <v>190</v>
      </c>
      <c r="C49" s="178">
        <f>C41*F48+C47*F49</f>
        <v>0.10925916696302883</v>
      </c>
      <c r="D49" s="4"/>
      <c r="E49" s="52" t="s">
        <v>189</v>
      </c>
      <c r="F49" s="139">
        <f>F46/(F46+F41)</f>
        <v>5.0032745687793236E-2</v>
      </c>
      <c r="G49" s="4"/>
      <c r="H49" s="4"/>
      <c r="I49" s="4"/>
      <c r="J49" s="4"/>
      <c r="K49" s="4"/>
      <c r="L49" s="45"/>
      <c r="M49" s="45"/>
    </row>
    <row r="50" spans="1:13">
      <c r="B50" s="44"/>
      <c r="C50" s="4"/>
      <c r="D50" s="4"/>
      <c r="E50" s="4"/>
      <c r="F50" s="4"/>
      <c r="G50" s="4"/>
      <c r="H50" s="4"/>
      <c r="I50" s="4"/>
      <c r="J50" s="4"/>
      <c r="K50" s="4"/>
      <c r="L50" s="45"/>
      <c r="M50" s="45"/>
    </row>
    <row r="51" spans="1:13" ht="14.4" thickBot="1">
      <c r="B51" s="52"/>
      <c r="C51" s="76"/>
      <c r="D51" s="76"/>
      <c r="E51" s="76"/>
      <c r="F51" s="76"/>
      <c r="G51" s="76"/>
      <c r="H51" s="76"/>
      <c r="I51" s="76"/>
      <c r="J51" s="76"/>
      <c r="K51" s="76"/>
      <c r="L51" s="54"/>
      <c r="M51" s="45"/>
    </row>
    <row r="52" spans="1:13" ht="14.4" thickBot="1">
      <c r="A52" s="1">
        <v>3</v>
      </c>
      <c r="B52" s="165" t="s">
        <v>192</v>
      </c>
      <c r="C52" s="166" t="s">
        <v>198</v>
      </c>
      <c r="D52" s="166"/>
      <c r="E52" s="166"/>
      <c r="F52" s="167"/>
      <c r="G52" s="167"/>
      <c r="H52" s="167"/>
      <c r="I52" s="167"/>
      <c r="J52" s="167"/>
      <c r="K52" s="166"/>
      <c r="L52" s="166"/>
      <c r="M52" s="164"/>
    </row>
    <row r="53" spans="1:13">
      <c r="B53" s="44"/>
      <c r="C53" s="4"/>
      <c r="D53" s="4"/>
      <c r="E53" s="4"/>
      <c r="F53" s="4"/>
      <c r="G53" s="4"/>
      <c r="H53" s="4"/>
      <c r="I53" s="4"/>
      <c r="J53" s="4"/>
      <c r="K53" s="4"/>
      <c r="L53" s="4"/>
      <c r="M53" s="45"/>
    </row>
    <row r="54" spans="1:13">
      <c r="B54" s="44" t="s">
        <v>195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5"/>
    </row>
    <row r="55" spans="1:13">
      <c r="B55" s="44" t="s">
        <v>197</v>
      </c>
      <c r="C55" s="72">
        <v>0.02</v>
      </c>
      <c r="D55" s="4"/>
      <c r="E55" s="4"/>
      <c r="F55" s="4"/>
      <c r="G55" s="4"/>
      <c r="H55" s="4"/>
      <c r="I55" s="4"/>
      <c r="J55" s="4"/>
      <c r="K55" s="4"/>
      <c r="L55" s="4"/>
      <c r="M55" s="45"/>
    </row>
    <row r="56" spans="1:13">
      <c r="B56" s="44" t="s">
        <v>191</v>
      </c>
      <c r="C56" s="63">
        <f>J15*(1+C55)/(WACC-C55)</f>
        <v>103377.38074473261</v>
      </c>
      <c r="D56" s="4"/>
      <c r="E56" s="4"/>
      <c r="F56" s="4"/>
      <c r="G56" s="4"/>
      <c r="H56" s="4"/>
      <c r="I56" s="4"/>
      <c r="J56" s="4"/>
      <c r="K56" s="4"/>
      <c r="L56" s="4"/>
      <c r="M56" s="45"/>
    </row>
    <row r="57" spans="1:13">
      <c r="B57" s="44" t="s">
        <v>199</v>
      </c>
      <c r="C57" s="63">
        <f>C56/(1+WACC)^5</f>
        <v>61554.582806163562</v>
      </c>
      <c r="D57" s="4"/>
      <c r="E57" s="4"/>
      <c r="F57" s="4"/>
      <c r="G57" s="4"/>
      <c r="H57" s="4"/>
      <c r="I57" s="4"/>
      <c r="J57" s="4"/>
      <c r="K57" s="4"/>
      <c r="L57" s="4"/>
      <c r="M57" s="45"/>
    </row>
    <row r="58" spans="1:13">
      <c r="B58" s="44"/>
      <c r="C58" s="4"/>
      <c r="D58" s="4"/>
      <c r="E58" s="4"/>
      <c r="F58" s="4"/>
      <c r="G58" s="4"/>
      <c r="H58" s="4"/>
      <c r="I58" s="4"/>
      <c r="J58" s="4"/>
      <c r="K58" s="4"/>
      <c r="L58" s="4"/>
      <c r="M58" s="45"/>
    </row>
    <row r="59" spans="1:13">
      <c r="B59" s="44"/>
      <c r="C59" s="4"/>
      <c r="D59" s="4"/>
      <c r="E59" s="4"/>
      <c r="F59" s="4"/>
      <c r="G59" s="4"/>
      <c r="H59" s="4"/>
      <c r="I59" s="4"/>
      <c r="J59" s="4"/>
      <c r="K59" s="4"/>
      <c r="L59" s="4"/>
      <c r="M59" s="45"/>
    </row>
    <row r="60" spans="1:13">
      <c r="B60" s="44" t="s">
        <v>196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5"/>
    </row>
    <row r="61" spans="1:13">
      <c r="B61" s="44"/>
      <c r="C61" s="4"/>
      <c r="D61" s="4"/>
      <c r="E61" s="4"/>
      <c r="F61" s="4"/>
      <c r="G61" s="4"/>
      <c r="H61" s="4"/>
      <c r="I61" s="4"/>
      <c r="J61" s="4"/>
      <c r="K61" s="4"/>
      <c r="L61" s="4"/>
      <c r="M61" s="45"/>
    </row>
    <row r="62" spans="1:13">
      <c r="B62" s="44" t="s">
        <v>200</v>
      </c>
      <c r="C62" s="2">
        <v>11.5</v>
      </c>
      <c r="D62" s="4"/>
      <c r="E62" s="4"/>
      <c r="F62" s="4"/>
      <c r="G62" s="4"/>
      <c r="H62" s="4"/>
      <c r="I62" s="4"/>
      <c r="J62" s="4"/>
      <c r="K62" s="4"/>
      <c r="L62" s="4"/>
      <c r="M62" s="45"/>
    </row>
    <row r="63" spans="1:13">
      <c r="B63" s="44" t="s">
        <v>201</v>
      </c>
      <c r="C63" s="38">
        <f>J5+CF!J6+CF!J7</f>
        <v>38175.805281425724</v>
      </c>
      <c r="D63" s="4"/>
      <c r="E63" s="4"/>
      <c r="F63" s="4"/>
      <c r="G63" s="4"/>
      <c r="H63" s="4"/>
      <c r="I63" s="4"/>
      <c r="J63" s="4"/>
      <c r="K63" s="4"/>
      <c r="L63" s="4"/>
      <c r="M63" s="45"/>
    </row>
    <row r="64" spans="1:13">
      <c r="B64" s="44" t="s">
        <v>202</v>
      </c>
      <c r="C64" s="63">
        <f>C62*C63</f>
        <v>439021.76073639584</v>
      </c>
      <c r="D64" s="4"/>
      <c r="E64" s="4"/>
      <c r="F64" s="4"/>
      <c r="G64" s="4"/>
      <c r="H64" s="4"/>
      <c r="I64" s="4"/>
      <c r="J64" s="4"/>
      <c r="K64" s="4"/>
      <c r="L64" s="4"/>
      <c r="M64" s="45"/>
    </row>
    <row r="65" spans="2:13">
      <c r="B65" s="44" t="s">
        <v>203</v>
      </c>
      <c r="C65" s="63">
        <f>C64/(1+WACC)^5</f>
        <v>261409.22830774225</v>
      </c>
      <c r="D65" s="4"/>
      <c r="E65" s="4"/>
      <c r="F65" s="4"/>
      <c r="G65" s="4"/>
      <c r="H65" s="4"/>
      <c r="I65" s="4"/>
      <c r="J65" s="4"/>
      <c r="K65" s="4"/>
      <c r="L65" s="4"/>
      <c r="M65" s="45"/>
    </row>
    <row r="66" spans="2:13">
      <c r="B66" s="44"/>
      <c r="C66" s="4"/>
      <c r="D66" s="4"/>
      <c r="E66" s="4"/>
      <c r="F66" s="4"/>
      <c r="G66" s="4"/>
      <c r="H66" s="4"/>
      <c r="I66" s="4"/>
      <c r="J66" s="4"/>
      <c r="K66" s="4"/>
      <c r="L66" s="4"/>
      <c r="M66" s="45"/>
    </row>
    <row r="67" spans="2:13">
      <c r="B67" s="44" t="s">
        <v>204</v>
      </c>
      <c r="C67" s="2">
        <v>1</v>
      </c>
      <c r="D67" s="4"/>
      <c r="E67" s="4"/>
      <c r="F67" s="4"/>
      <c r="G67" s="4"/>
      <c r="H67" s="4"/>
      <c r="I67" s="4"/>
      <c r="J67" s="4"/>
      <c r="K67" s="4"/>
      <c r="L67" s="4"/>
      <c r="M67" s="45"/>
    </row>
    <row r="68" spans="2:13">
      <c r="B68" s="44"/>
      <c r="C68" s="4"/>
      <c r="D68" s="4"/>
      <c r="E68" s="4"/>
      <c r="F68" s="4"/>
      <c r="G68" s="4"/>
      <c r="H68" s="4"/>
      <c r="I68" s="4"/>
      <c r="J68" s="4"/>
      <c r="K68" s="4"/>
      <c r="L68" s="4"/>
      <c r="M68" s="45"/>
    </row>
    <row r="69" spans="2:13" ht="14.4" thickBot="1">
      <c r="B69" s="88" t="s">
        <v>199</v>
      </c>
      <c r="C69" s="145">
        <f>IF(C67=1,C57,C65)</f>
        <v>61554.582806163562</v>
      </c>
      <c r="D69" s="76"/>
      <c r="E69" s="76"/>
      <c r="F69" s="76"/>
      <c r="G69" s="76"/>
      <c r="H69" s="76"/>
      <c r="I69" s="76"/>
      <c r="J69" s="76"/>
      <c r="K69" s="76"/>
      <c r="L69" s="76"/>
      <c r="M69" s="54"/>
    </row>
  </sheetData>
  <phoneticPr fontId="7" type="noConversion"/>
  <pageMargins left="0.7" right="0.7" top="0.75" bottom="0.75" header="0.3" footer="0.3"/>
  <pageSetup paperSize="9" scale="3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F791-78F7-4F4A-B40E-20574F303B4B}">
  <sheetPr>
    <tabColor theme="8" tint="-0.499984740745262"/>
    <pageSetUpPr fitToPage="1"/>
  </sheetPr>
  <dimension ref="A1:N47"/>
  <sheetViews>
    <sheetView showGridLines="0" zoomScale="76" zoomScaleNormal="76" workbookViewId="0">
      <pane ySplit="3" topLeftCell="A4" activePane="bottomLeft" state="frozen"/>
      <selection activeCell="D6" sqref="D6"/>
      <selection pane="bottomLeft" activeCell="I28" sqref="I28"/>
    </sheetView>
  </sheetViews>
  <sheetFormatPr defaultColWidth="0" defaultRowHeight="13.8"/>
  <cols>
    <col min="1" max="1" width="3.33203125" style="1" customWidth="1"/>
    <col min="2" max="2" width="55.77734375" style="1" customWidth="1"/>
    <col min="3" max="11" width="15.77734375" style="1" customWidth="1"/>
    <col min="12" max="12" width="17.5546875" style="1" customWidth="1"/>
    <col min="13" max="16384" width="8.88671875" style="1" hidden="1"/>
  </cols>
  <sheetData>
    <row r="1" spans="1:14" ht="20.399999999999999">
      <c r="A1" s="9"/>
      <c r="B1" s="8" t="s">
        <v>213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  <c r="N1" s="9"/>
    </row>
    <row r="2" spans="1:14" ht="20.399999999999999">
      <c r="A2" s="9"/>
      <c r="B2" s="21"/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25"/>
      <c r="L2" s="9"/>
      <c r="M2" s="9"/>
      <c r="N2" s="9"/>
    </row>
    <row r="3" spans="1:14" ht="20.399999999999999">
      <c r="A3" s="9"/>
      <c r="B3" s="16" t="s">
        <v>165</v>
      </c>
      <c r="C3" s="17"/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55"/>
      <c r="L3" s="9"/>
      <c r="M3" s="9"/>
      <c r="N3" s="9"/>
    </row>
    <row r="4" spans="1:14" ht="14.4" thickBot="1"/>
    <row r="5" spans="1:14" ht="15" thickBot="1">
      <c r="B5" s="40" t="s">
        <v>214</v>
      </c>
      <c r="C5" s="41"/>
      <c r="D5" s="41"/>
      <c r="E5" s="41"/>
      <c r="F5" s="42"/>
      <c r="G5" s="42"/>
      <c r="H5" s="42"/>
      <c r="I5" s="42"/>
      <c r="J5" s="42"/>
      <c r="K5" s="56"/>
      <c r="L5"/>
    </row>
    <row r="6" spans="1:14" ht="14.4" thickTop="1">
      <c r="B6" s="44"/>
      <c r="C6" s="4"/>
      <c r="D6" s="4"/>
      <c r="E6" s="4"/>
      <c r="F6" s="4"/>
      <c r="G6" s="4"/>
      <c r="H6" s="4"/>
      <c r="I6" s="4"/>
      <c r="J6" s="4"/>
      <c r="K6" s="45"/>
      <c r="L6" s="45"/>
    </row>
    <row r="7" spans="1:14">
      <c r="B7" s="46" t="s">
        <v>215</v>
      </c>
      <c r="C7" s="28"/>
      <c r="D7" s="28">
        <f>BS!D11/BS!D23</f>
        <v>1.1683902885068089</v>
      </c>
      <c r="E7" s="28">
        <f>BS!E11/BS!E23</f>
        <v>1.1193453531369857</v>
      </c>
      <c r="F7" s="28">
        <f ca="1">BS!F11/BS!F23</f>
        <v>1.540127477496563</v>
      </c>
      <c r="G7" s="28">
        <f ca="1">BS!G11/BS!G23</f>
        <v>1.961578034844647</v>
      </c>
      <c r="H7" s="28">
        <f ca="1">BS!H11/BS!H23</f>
        <v>2.2024007153168008</v>
      </c>
      <c r="I7" s="28">
        <f ca="1">BS!I11/BS!I23</f>
        <v>2.0669240477576065</v>
      </c>
      <c r="J7" s="28">
        <f ca="1">BS!J11/BS!J23</f>
        <v>2.8722395281937634</v>
      </c>
      <c r="K7" s="45"/>
    </row>
    <row r="8" spans="1:14">
      <c r="B8" s="44" t="s">
        <v>216</v>
      </c>
      <c r="C8" s="29"/>
      <c r="D8" s="29">
        <f>(BS!D7+BS!D9)/BS!D23</f>
        <v>0.77368479583970395</v>
      </c>
      <c r="E8" s="29">
        <f>(BS!E7+BS!E9)/BS!E23</f>
        <v>0.94845891189759657</v>
      </c>
      <c r="F8" s="29">
        <f ca="1">(BS!F7+BS!F9)/BS!F23</f>
        <v>1.3631766914832029</v>
      </c>
      <c r="G8" s="29">
        <f ca="1">(BS!G7+BS!G9)/BS!G23</f>
        <v>1.7894828616558016</v>
      </c>
      <c r="H8" s="29">
        <f ca="1">(BS!H7+BS!H9)/BS!H23</f>
        <v>2.0503863905011586</v>
      </c>
      <c r="I8" s="29">
        <f ca="1">(BS!I7+BS!I9)/BS!I23</f>
        <v>1.9493410991960942</v>
      </c>
      <c r="J8" s="29">
        <f ca="1">(BS!J7+BS!J9)/BS!J23</f>
        <v>2.72625276851808</v>
      </c>
      <c r="K8" s="45"/>
    </row>
    <row r="9" spans="1:14">
      <c r="B9" s="47" t="s">
        <v>217</v>
      </c>
      <c r="C9" s="29"/>
      <c r="D9" s="29">
        <f>BS!D7/BS!D23</f>
        <v>0.64899670582705227</v>
      </c>
      <c r="E9" s="29">
        <f>BS!E7/BS!E23</f>
        <v>0.8032039392121687</v>
      </c>
      <c r="F9" s="29">
        <f ca="1">BS!F7/BS!F23</f>
        <v>1.2240247863618399</v>
      </c>
      <c r="G9" s="29">
        <f ca="1">BS!G7/BS!G23</f>
        <v>1.6325313060202813</v>
      </c>
      <c r="H9" s="29">
        <f ca="1">BS!H7/BS!H23</f>
        <v>1.889444826798135</v>
      </c>
      <c r="I9" s="29">
        <f ca="1">BS!I7/BS!I23</f>
        <v>1.8046887145992536</v>
      </c>
      <c r="J9" s="29">
        <f ca="1">BS!J7/BS!J23</f>
        <v>2.5173770461598042</v>
      </c>
      <c r="K9" s="45"/>
    </row>
    <row r="10" spans="1:14">
      <c r="B10" s="44"/>
      <c r="C10" s="4"/>
      <c r="D10" s="4"/>
      <c r="E10" s="4"/>
      <c r="F10" s="4"/>
      <c r="G10" s="4"/>
      <c r="H10" s="4"/>
      <c r="I10" s="4"/>
      <c r="J10" s="4"/>
      <c r="K10" s="45"/>
    </row>
    <row r="11" spans="1:14" ht="14.4" thickBot="1">
      <c r="B11" s="48" t="s">
        <v>218</v>
      </c>
      <c r="C11" s="6"/>
      <c r="D11" s="6"/>
      <c r="E11" s="6"/>
      <c r="F11" s="11"/>
      <c r="G11" s="11"/>
      <c r="H11" s="11"/>
      <c r="I11" s="11"/>
      <c r="J11" s="11"/>
      <c r="K11" s="49"/>
    </row>
    <row r="12" spans="1:14" ht="14.4" thickTop="1">
      <c r="B12" s="44"/>
      <c r="C12" s="4"/>
      <c r="D12" s="4"/>
      <c r="E12" s="4"/>
      <c r="F12" s="4"/>
      <c r="G12" s="4"/>
      <c r="H12" s="4"/>
      <c r="I12" s="4"/>
      <c r="J12" s="39"/>
      <c r="K12" s="50"/>
    </row>
    <row r="13" spans="1:14">
      <c r="B13" s="44" t="s">
        <v>219</v>
      </c>
      <c r="C13" s="30"/>
      <c r="D13" s="31">
        <f>'BS2'!D24/AVERAGE('BS2'!C27:D27)</f>
        <v>35.261245425821066</v>
      </c>
      <c r="E13" s="31">
        <f>'BS2'!E24/AVERAGE('BS2'!D27:E27)</f>
        <v>29.634451022301782</v>
      </c>
      <c r="F13" s="31">
        <f>'BS2'!F24/AVERAGE('BS2'!E27:F27)</f>
        <v>32.037372723028795</v>
      </c>
      <c r="G13" s="31">
        <f>'BS2'!G24/AVERAGE('BS2'!F27:G27)</f>
        <v>35.798739735339531</v>
      </c>
      <c r="H13" s="31">
        <f>'BS2'!H24/AVERAGE('BS2'!G27:H27)</f>
        <v>35.815016858847549</v>
      </c>
      <c r="I13" s="31">
        <f>'BS2'!I24/AVERAGE('BS2'!H27:I27)</f>
        <v>35.83069327977055</v>
      </c>
      <c r="J13" s="31">
        <f>'BS2'!J24/AVERAGE('BS2'!I27:J27)</f>
        <v>35.845792912847898</v>
      </c>
      <c r="K13" s="45"/>
    </row>
    <row r="14" spans="1:14">
      <c r="B14" s="44" t="s">
        <v>220</v>
      </c>
      <c r="C14" s="4"/>
      <c r="D14" s="32">
        <f>365/D13</f>
        <v>10.351307663475726</v>
      </c>
      <c r="E14" s="32">
        <f t="shared" ref="E14:J14" si="1">365/E13</f>
        <v>12.316745794457763</v>
      </c>
      <c r="F14" s="32">
        <f t="shared" si="1"/>
        <v>11.392944207863655</v>
      </c>
      <c r="G14" s="32">
        <f t="shared" si="1"/>
        <v>10.195889651380158</v>
      </c>
      <c r="H14" s="32">
        <f t="shared" si="1"/>
        <v>10.191255847750142</v>
      </c>
      <c r="I14" s="32">
        <f t="shared" si="1"/>
        <v>10.186797033203744</v>
      </c>
      <c r="J14" s="32">
        <f t="shared" si="1"/>
        <v>10.182505960669548</v>
      </c>
      <c r="K14" s="45"/>
    </row>
    <row r="15" spans="1:14">
      <c r="B15" s="44" t="s">
        <v>221</v>
      </c>
      <c r="C15" s="4"/>
      <c r="D15" s="33">
        <f>'BS2'!D25/AVERAGE('BS2'!C28:D28)</f>
        <v>9.0317456109890273</v>
      </c>
      <c r="E15" s="33">
        <f>'BS2'!E25/AVERAGE('BS2'!D28:E28)</f>
        <v>9.9426340363303183</v>
      </c>
      <c r="F15" s="33">
        <f>'BS2'!F25/AVERAGE('BS2'!E28:F28)</f>
        <v>10.996653863627909</v>
      </c>
      <c r="G15" s="33">
        <f>'BS2'!G25/AVERAGE('BS2'!F28:G28)</f>
        <v>10.739621920601857</v>
      </c>
      <c r="H15" s="33">
        <f>'BS2'!H25/AVERAGE('BS2'!G28:H28)</f>
        <v>10.744505057654264</v>
      </c>
      <c r="I15" s="33">
        <f>'BS2'!I25/AVERAGE('BS2'!H28:I28)</f>
        <v>10.749207983931164</v>
      </c>
      <c r="J15" s="33">
        <f>'BS2'!J25/AVERAGE('BS2'!I28:J28)</f>
        <v>10.753737873854368</v>
      </c>
      <c r="K15" s="45"/>
    </row>
    <row r="16" spans="1:14">
      <c r="B16" s="44" t="s">
        <v>222</v>
      </c>
      <c r="C16" s="4"/>
      <c r="D16" s="32">
        <f>365/D15</f>
        <v>40.413007155106357</v>
      </c>
      <c r="E16" s="32">
        <f t="shared" ref="E16:J16" si="2">365/E15</f>
        <v>36.710593859362866</v>
      </c>
      <c r="F16" s="32">
        <f t="shared" si="2"/>
        <v>33.191914970358333</v>
      </c>
      <c r="G16" s="32">
        <f t="shared" si="2"/>
        <v>33.986298837933866</v>
      </c>
      <c r="H16" s="32">
        <f t="shared" si="2"/>
        <v>33.970852825833809</v>
      </c>
      <c r="I16" s="32">
        <f t="shared" si="2"/>
        <v>33.955990110679153</v>
      </c>
      <c r="J16" s="32">
        <f t="shared" si="2"/>
        <v>33.941686535565168</v>
      </c>
      <c r="K16" s="45"/>
    </row>
    <row r="17" spans="1:11">
      <c r="B17" s="44" t="s">
        <v>223</v>
      </c>
      <c r="C17" s="4"/>
      <c r="D17" s="33">
        <f>'BS1'!D5/AVERAGE(BS!C15:D15)</f>
        <v>0.67859504314852492</v>
      </c>
      <c r="E17" s="33">
        <f>'BS1'!E5/AVERAGE(BS!D15:E15)</f>
        <v>0.69299125954670637</v>
      </c>
      <c r="F17" s="33">
        <f ca="1">'BS1'!F5/AVERAGE(BS!E15:F15)</f>
        <v>0.76844884027851335</v>
      </c>
      <c r="G17" s="33">
        <f ca="1">'BS1'!G5/AVERAGE(BS!F15:G15)</f>
        <v>0.78704121613197819</v>
      </c>
      <c r="H17" s="33">
        <f ca="1">'BS1'!H5/AVERAGE(BS!G15:H15)</f>
        <v>0.79532663804878911</v>
      </c>
      <c r="I17" s="33">
        <f ca="1">'BS1'!I5/AVERAGE(BS!H15:I15)</f>
        <v>0.80282153866097317</v>
      </c>
      <c r="J17" s="33">
        <f ca="1">'BS1'!J5/AVERAGE(BS!I15:J15)</f>
        <v>0.82101600441249645</v>
      </c>
      <c r="K17" s="45"/>
    </row>
    <row r="18" spans="1:11">
      <c r="B18" s="47" t="s">
        <v>224</v>
      </c>
      <c r="C18" s="4"/>
      <c r="D18" s="31">
        <f>'BS1'!D5/AVERAGE('BS1'!C12:D12)</f>
        <v>23.232122452428804</v>
      </c>
      <c r="E18" s="31">
        <f>'BS1'!E5/AVERAGE('BS1'!D12:E12)</f>
        <v>23.34033659537786</v>
      </c>
      <c r="F18" s="31">
        <f>'BS1'!F5/AVERAGE('BS1'!E12:F12)</f>
        <v>26.704330263370441</v>
      </c>
      <c r="G18" s="31">
        <f>'BS1'!G5/AVERAGE('BS1'!F12:G12)</f>
        <v>31.240595334288084</v>
      </c>
      <c r="H18" s="31">
        <f>'BS1'!H5/AVERAGE('BS1'!G12:H12)</f>
        <v>36.720587975237535</v>
      </c>
      <c r="I18" s="31">
        <f>'BS1'!I5/AVERAGE('BS1'!H12:I12)</f>
        <v>43.381350816264835</v>
      </c>
      <c r="J18" s="31">
        <f>'BS1'!J5/AVERAGE('BS1'!I12:J12)</f>
        <v>51.53253272246598</v>
      </c>
      <c r="K18" s="45"/>
    </row>
    <row r="19" spans="1:11">
      <c r="B19" s="44"/>
      <c r="C19" s="4"/>
      <c r="D19" s="4"/>
      <c r="E19" s="4"/>
      <c r="F19" s="4"/>
      <c r="G19" s="4"/>
      <c r="H19" s="4"/>
      <c r="I19" s="4"/>
      <c r="J19" s="4"/>
      <c r="K19" s="45"/>
    </row>
    <row r="20" spans="1:11" ht="14.4" thickBot="1">
      <c r="B20" s="48" t="s">
        <v>225</v>
      </c>
      <c r="C20" s="6"/>
      <c r="D20" s="6"/>
      <c r="E20" s="6"/>
      <c r="F20" s="11"/>
      <c r="G20" s="11"/>
      <c r="H20" s="11"/>
      <c r="I20" s="11"/>
      <c r="J20" s="11"/>
      <c r="K20" s="51"/>
    </row>
    <row r="21" spans="1:11" ht="14.4" thickTop="1">
      <c r="B21" s="44"/>
      <c r="C21" s="4"/>
      <c r="D21" s="4"/>
      <c r="E21" s="34"/>
      <c r="F21" s="34"/>
      <c r="G21" s="34"/>
      <c r="H21" s="34"/>
      <c r="I21" s="34"/>
      <c r="J21" s="34"/>
      <c r="K21" s="45"/>
    </row>
    <row r="22" spans="1:11">
      <c r="B22" s="46" t="s">
        <v>226</v>
      </c>
      <c r="C22" s="34"/>
      <c r="D22" s="35">
        <f>((IS!D18/IS!D12)*1)/-1</f>
        <v>6.9761190690614132</v>
      </c>
      <c r="E22" s="35">
        <f>((IS!E18/IS!E12)*1)/-1</f>
        <v>8.936759994627236</v>
      </c>
      <c r="F22" s="35">
        <f ca="1">IS!F18/IS!F12</f>
        <v>11.598476936153665</v>
      </c>
      <c r="G22" s="35">
        <f ca="1">IS!G18/IS!G12</f>
        <v>14.315637000544214</v>
      </c>
      <c r="H22" s="35">
        <f ca="1">IS!H18/IS!H12</f>
        <v>18.175320404182926</v>
      </c>
      <c r="I22" s="35">
        <f ca="1">IS!I18/IS!I12</f>
        <v>22.822554005269716</v>
      </c>
      <c r="J22" s="35">
        <f ca="1">IS!J18/IS!J12</f>
        <v>34.214968176209304</v>
      </c>
      <c r="K22" s="45"/>
    </row>
    <row r="23" spans="1:11">
      <c r="B23" s="44" t="s">
        <v>227</v>
      </c>
      <c r="C23" s="4"/>
      <c r="D23" s="35">
        <f>BS!D25/BS!D15</f>
        <v>0.29536257895088625</v>
      </c>
      <c r="E23" s="35">
        <f>BS!E25/BS!E15</f>
        <v>0.29022858330929713</v>
      </c>
      <c r="F23" s="35">
        <f ca="1">BS!F25/BS!F15</f>
        <v>0.22584311914471547</v>
      </c>
      <c r="G23" s="35">
        <f ca="1">BS!G25/BS!G15</f>
        <v>0.18146542950717878</v>
      </c>
      <c r="H23" s="35">
        <f ca="1">BS!H25/BS!H15</f>
        <v>0.13741358042168358</v>
      </c>
      <c r="I23" s="35">
        <f ca="1">BS!I25/BS!I15</f>
        <v>7.7256823001204608E-2</v>
      </c>
      <c r="J23" s="35">
        <f ca="1">BS!J25/BS!J15</f>
        <v>6.8558745558482265E-2</v>
      </c>
      <c r="K23" s="45"/>
    </row>
    <row r="24" spans="1:11">
      <c r="B24" s="47" t="s">
        <v>228</v>
      </c>
      <c r="C24" s="4"/>
      <c r="D24" s="28">
        <f>BS!D27/BS!D35</f>
        <v>1.3388280372506649</v>
      </c>
      <c r="E24" s="28">
        <f>BS!E27/BS!E35</f>
        <v>1.3669735349370298</v>
      </c>
      <c r="F24" s="28">
        <f ca="1">BS!F27/BS!F35</f>
        <v>0.97473407464694983</v>
      </c>
      <c r="G24" s="28">
        <f ca="1">BS!G27/BS!G35</f>
        <v>0.74953437740345352</v>
      </c>
      <c r="H24" s="28">
        <f ca="1">BS!H27/BS!H35</f>
        <v>0.60445528578794105</v>
      </c>
      <c r="I24" s="28">
        <f ca="1">BS!I27/BS!I35</f>
        <v>0.4924925592169222</v>
      </c>
      <c r="J24" s="28">
        <f ca="1">BS!J27/BS!J35</f>
        <v>0.38027142002101555</v>
      </c>
      <c r="K24" s="45"/>
    </row>
    <row r="25" spans="1:11">
      <c r="B25" s="44"/>
      <c r="C25" s="4"/>
      <c r="D25" s="4"/>
      <c r="E25" s="4"/>
      <c r="F25" s="4"/>
      <c r="G25" s="4"/>
      <c r="H25" s="4"/>
      <c r="I25" s="4"/>
      <c r="J25" s="4"/>
      <c r="K25" s="45"/>
    </row>
    <row r="26" spans="1:11" ht="14.4" thickBot="1">
      <c r="A26" s="1" t="s">
        <v>1</v>
      </c>
      <c r="B26" s="48" t="s">
        <v>229</v>
      </c>
      <c r="C26" s="6"/>
      <c r="D26" s="6"/>
      <c r="E26" s="6"/>
      <c r="F26" s="11"/>
      <c r="G26" s="11"/>
      <c r="H26" s="11"/>
      <c r="I26" s="11"/>
      <c r="J26" s="11"/>
      <c r="K26" s="51"/>
    </row>
    <row r="27" spans="1:11" ht="14.4" thickTop="1">
      <c r="B27" s="44"/>
      <c r="C27" s="4"/>
      <c r="D27" s="4"/>
      <c r="E27" s="4"/>
      <c r="F27" s="4"/>
      <c r="G27" s="4"/>
      <c r="H27" s="4"/>
      <c r="I27" s="4"/>
      <c r="J27" s="4"/>
      <c r="K27" s="45"/>
    </row>
    <row r="28" spans="1:11">
      <c r="B28" s="46" t="s">
        <v>230</v>
      </c>
      <c r="C28" s="4"/>
      <c r="D28" s="36">
        <v>0.18</v>
      </c>
      <c r="E28" s="36">
        <v>0.21</v>
      </c>
      <c r="F28" s="36">
        <v>0.2</v>
      </c>
      <c r="G28" s="36">
        <v>0.2</v>
      </c>
      <c r="H28" s="36">
        <v>0.2</v>
      </c>
      <c r="I28" s="36">
        <v>0.2</v>
      </c>
      <c r="J28" s="36">
        <v>0.2</v>
      </c>
      <c r="K28" s="45"/>
    </row>
    <row r="29" spans="1:11">
      <c r="B29" s="44" t="s">
        <v>231</v>
      </c>
      <c r="C29" s="4"/>
      <c r="D29" s="20">
        <f>IS!D16/IS!D5</f>
        <v>0.14207957792921519</v>
      </c>
      <c r="E29" s="20">
        <f>IS!E16/IS!E5</f>
        <v>0.16036362043723071</v>
      </c>
      <c r="F29" s="20">
        <f ca="1">IS!F16/IS!F5</f>
        <v>0.1674360365099333</v>
      </c>
      <c r="G29" s="20">
        <f ca="1">IS!G16/IS!G5</f>
        <v>0.16449025014678204</v>
      </c>
      <c r="H29" s="20">
        <f ca="1">IS!H16/IS!H5</f>
        <v>0.16190813075968816</v>
      </c>
      <c r="I29" s="20">
        <f ca="1">IS!I16/IS!I5</f>
        <v>0.1600110950332877</v>
      </c>
      <c r="J29" s="20">
        <f ca="1">IS!J16/IS!J5</f>
        <v>0.15760635696497785</v>
      </c>
      <c r="K29" s="45"/>
    </row>
    <row r="30" spans="1:11">
      <c r="B30" s="44" t="s">
        <v>232</v>
      </c>
      <c r="C30" s="37"/>
      <c r="D30" s="37">
        <f>IS!D14/IS!D5</f>
        <v>0.16649809982745831</v>
      </c>
      <c r="E30" s="37">
        <f>IS!E14/IS!E5</f>
        <v>0.18400944012087553</v>
      </c>
      <c r="F30" s="37">
        <f ca="1">IS!F14/IS!F5</f>
        <v>0.19698357236462744</v>
      </c>
      <c r="G30" s="37">
        <f ca="1">IS!G14/IS!G5</f>
        <v>0.19351794134915534</v>
      </c>
      <c r="H30" s="37">
        <f ca="1">IS!H14/IS!H5</f>
        <v>0.19048015383492722</v>
      </c>
      <c r="I30" s="37">
        <f ca="1">IS!I14/IS!I5</f>
        <v>0.18824834709798552</v>
      </c>
      <c r="J30" s="37">
        <f ca="1">IS!J14/IS!J5</f>
        <v>0.18541924348820923</v>
      </c>
      <c r="K30" s="45"/>
    </row>
    <row r="31" spans="1:11">
      <c r="B31" s="44" t="s">
        <v>233</v>
      </c>
      <c r="C31" s="4"/>
      <c r="D31" s="20">
        <f>IS!D16/AVERAGE(BS!C15:D15)</f>
        <v>9.6414497315399986E-2</v>
      </c>
      <c r="E31" s="20">
        <f>IS!E16/AVERAGE(BS!D15:E15)</f>
        <v>0.11113058731226645</v>
      </c>
      <c r="F31" s="20">
        <f ca="1">IS!F16/AVERAGE(BS!E15:F15)</f>
        <v>0.12866602807688907</v>
      </c>
      <c r="G31" s="20">
        <f ca="1">IS!G16/AVERAGE(BS!F15:G15)</f>
        <v>0.12946060651737665</v>
      </c>
      <c r="H31" s="20">
        <f ca="1">IS!H16/AVERAGE(BS!G15:H15)</f>
        <v>0.12876984930986651</v>
      </c>
      <c r="I31" s="20">
        <f ca="1">IS!I16/AVERAGE(BS!H15:I15)</f>
        <v>0.12846035351745122</v>
      </c>
      <c r="J31" s="20">
        <f ca="1">IS!J16/AVERAGE(BS!I15:J15)</f>
        <v>0.12939734146539575</v>
      </c>
      <c r="K31" s="45"/>
    </row>
    <row r="32" spans="1:11">
      <c r="B32" s="44" t="s">
        <v>234</v>
      </c>
      <c r="C32" s="4"/>
      <c r="D32" s="20">
        <f>IS!D18/(BS!D15-BS!D23)</f>
        <v>0.12115492715706752</v>
      </c>
      <c r="E32" s="20">
        <f>IS!E18/(BS!E15-BS!E23)</f>
        <v>0.1568589736531785</v>
      </c>
      <c r="F32" s="20">
        <f ca="1">IS!F18/(BS!F15-BS!F23)</f>
        <v>0.16992176562888767</v>
      </c>
      <c r="G32" s="20">
        <f ca="1">IS!G18/(BS!G15-BS!G23)</f>
        <v>0.16617584192317189</v>
      </c>
      <c r="H32" s="20">
        <f ca="1">IS!H18/(BS!H15-BS!H23)</f>
        <v>0.16413872991573852</v>
      </c>
      <c r="I32" s="20">
        <f ca="1">IS!I18/(BS!I15-BS!I23)</f>
        <v>0.16737841730758193</v>
      </c>
      <c r="J32" s="20">
        <f ca="1">IS!J18/(BS!J15-BS!J23)</f>
        <v>0.16165127582417224</v>
      </c>
      <c r="K32" s="45"/>
    </row>
    <row r="33" spans="2:12">
      <c r="B33" s="44" t="s">
        <v>235</v>
      </c>
      <c r="C33" s="20"/>
      <c r="D33" s="20">
        <f>IS!D16/BS!D35</f>
        <v>0.21619277598771855</v>
      </c>
      <c r="E33" s="20">
        <f>IS!E16/BS!E35</f>
        <v>0.26267280859777103</v>
      </c>
      <c r="F33" s="20">
        <f ca="1">IS!F16/BS!F35</f>
        <v>0.24049366698035907</v>
      </c>
      <c r="G33" s="20">
        <f ca="1">IS!G16/BS!G35</f>
        <v>0.21227928256460216</v>
      </c>
      <c r="H33" s="20">
        <f ca="1">IS!H16/BS!H35</f>
        <v>0.19287107266930287</v>
      </c>
      <c r="I33" s="20">
        <f ca="1">IS!I16/BS!I35</f>
        <v>0.17928050131143455</v>
      </c>
      <c r="J33" s="20">
        <f ca="1">IS!J16/BS!J35</f>
        <v>0.1685497529770596</v>
      </c>
      <c r="K33" s="45"/>
    </row>
    <row r="34" spans="2:12">
      <c r="B34" s="44" t="s">
        <v>236</v>
      </c>
      <c r="C34" s="38"/>
      <c r="D34" s="38">
        <f>IS!D5-IS!D6</f>
        <v>12447.264999999999</v>
      </c>
      <c r="E34" s="38">
        <f>IS!E5-IS!E6</f>
        <v>14007.929</v>
      </c>
      <c r="F34" s="38">
        <f>IS!F5-IS!F6</f>
        <v>16273.19000186471</v>
      </c>
      <c r="G34" s="38">
        <f>IS!G5-IS!G6</f>
        <v>18872.653639375367</v>
      </c>
      <c r="H34" s="38">
        <f>IS!H5-IS!H6</f>
        <v>21908.857791265069</v>
      </c>
      <c r="I34" s="38">
        <f>IS!I5-IS!I6</f>
        <v>25457.589866857372</v>
      </c>
      <c r="J34" s="38">
        <f>IS!J5-IS!J6</f>
        <v>29608.099423674452</v>
      </c>
      <c r="K34" s="45"/>
    </row>
    <row r="35" spans="2:12" ht="14.4" thickBot="1">
      <c r="B35" s="52" t="s">
        <v>237</v>
      </c>
      <c r="C35" s="53"/>
      <c r="D35" s="57">
        <f>D34/IS!D5</f>
        <v>0.39370705238403253</v>
      </c>
      <c r="E35" s="57">
        <f>E34/IS!E5</f>
        <v>0.41537839553469524</v>
      </c>
      <c r="F35" s="57">
        <f>F34/IS!F5</f>
        <v>0.41000000000000009</v>
      </c>
      <c r="G35" s="57">
        <f>G34/IS!G5</f>
        <v>0.41000000000000003</v>
      </c>
      <c r="H35" s="57">
        <f>H34/IS!H5</f>
        <v>0.41000000000000003</v>
      </c>
      <c r="I35" s="57">
        <f>I34/IS!I5</f>
        <v>0.41000000000000003</v>
      </c>
      <c r="J35" s="57">
        <f>J34/IS!J5</f>
        <v>0.41000000000000009</v>
      </c>
      <c r="K35" s="54"/>
    </row>
    <row r="36" spans="2:12">
      <c r="L36" s="4"/>
    </row>
    <row r="46" spans="2:12">
      <c r="D46" s="12"/>
      <c r="E46" s="12"/>
      <c r="F46" s="13"/>
      <c r="G46" s="13"/>
      <c r="H46" s="13"/>
      <c r="I46" s="13"/>
      <c r="J46" s="13"/>
      <c r="K46" s="13"/>
    </row>
    <row r="47" spans="2:12">
      <c r="D47" s="14"/>
      <c r="E47" s="14"/>
      <c r="F47" s="13"/>
      <c r="G47" s="13"/>
      <c r="H47" s="13"/>
      <c r="I47" s="13"/>
      <c r="J47" s="13"/>
      <c r="K47" s="13"/>
    </row>
  </sheetData>
  <pageMargins left="0.7" right="0.7" top="0.75" bottom="0.75" header="0.3" footer="0.3"/>
  <pageSetup paperSize="9" scale="39" fitToHeight="0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arkers="1" xr2:uid="{AB39324B-7399-4E75-811B-2B6F294E85F7}">
          <x14:colorSeries theme="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'!E7:J7</xm:f>
              <xm:sqref>K7</xm:sqref>
            </x14:sparkline>
            <x14:sparkline>
              <xm:f>'Ratio '!E8:J8</xm:f>
              <xm:sqref>K8</xm:sqref>
            </x14:sparkline>
            <x14:sparkline>
              <xm:f>'Ratio '!E9:J9</xm:f>
              <xm:sqref>K9</xm:sqref>
            </x14:sparkline>
          </x14:sparklines>
        </x14:sparklineGroup>
        <x14:sparklineGroup type="column" displayEmptyCellsAs="gap" markers="1" high="1" xr2:uid="{5E6D1702-341B-4ECA-813F-DDDDD2D03772}">
          <x14:colorSeries theme="1"/>
          <x14:colorNegative rgb="FFD00000"/>
          <x14:colorAxis rgb="FF000000"/>
          <x14:colorMarkers theme="1"/>
          <x14:colorFirst rgb="FFD00000"/>
          <x14:colorLast rgb="FFD00000"/>
          <x14:colorHigh theme="1"/>
          <x14:colorLow rgb="FFD00000"/>
          <x14:sparklines>
            <x14:sparkline>
              <xm:f>'Ratio '!D28:J28</xm:f>
              <xm:sqref>K28</xm:sqref>
            </x14:sparkline>
            <x14:sparkline>
              <xm:f>'Ratio '!D29:J29</xm:f>
              <xm:sqref>K29</xm:sqref>
            </x14:sparkline>
            <x14:sparkline>
              <xm:f>'Ratio '!D30:J30</xm:f>
              <xm:sqref>K30</xm:sqref>
            </x14:sparkline>
            <x14:sparkline>
              <xm:f>'Ratio '!D31:J31</xm:f>
              <xm:sqref>K31</xm:sqref>
            </x14:sparkline>
            <x14:sparkline>
              <xm:f>'Ratio '!D32:J32</xm:f>
              <xm:sqref>K32</xm:sqref>
            </x14:sparkline>
            <x14:sparkline>
              <xm:f>'Ratio '!D33:J33</xm:f>
              <xm:sqref>K33</xm:sqref>
            </x14:sparkline>
            <x14:sparkline>
              <xm:f>'Ratio '!D34:J34</xm:f>
              <xm:sqref>K34</xm:sqref>
            </x14:sparkline>
            <x14:sparkline>
              <xm:f>'Ratio '!D35:J35</xm:f>
              <xm:sqref>K35</xm:sqref>
            </x14:sparkline>
          </x14:sparklines>
        </x14:sparklineGroup>
        <x14:sparklineGroup displayEmptyCellsAs="gap" markers="1" xr2:uid="{E8ABEF0E-3611-4A16-8E60-5C7989C831CE}">
          <x14:colorSeries theme="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'!E22:J22</xm:f>
              <xm:sqref>K22</xm:sqref>
            </x14:sparkline>
            <x14:sparkline>
              <xm:f>'Ratio '!E23:J23</xm:f>
              <xm:sqref>K24</xm:sqref>
            </x14:sparkline>
          </x14:sparklines>
        </x14:sparklineGroup>
        <x14:sparklineGroup displayEmptyCellsAs="gap" markers="1" xr2:uid="{9EF64823-AF5D-4A8D-BA95-67C9AAEB6728}">
          <x14:colorSeries theme="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'!D13:K13</xm:f>
              <xm:sqref>K13</xm:sqref>
            </x14:sparkline>
            <x14:sparkline>
              <xm:f>'Ratio '!D14:K14</xm:f>
              <xm:sqref>K14</xm:sqref>
            </x14:sparkline>
            <x14:sparkline>
              <xm:f>'Ratio '!D15:K15</xm:f>
              <xm:sqref>K15</xm:sqref>
            </x14:sparkline>
            <x14:sparkline>
              <xm:f>'Ratio '!D16:K16</xm:f>
              <xm:sqref>K16</xm:sqref>
            </x14:sparkline>
            <x14:sparkline>
              <xm:f>'Ratio '!D17:K17</xm:f>
              <xm:sqref>K17</xm:sqref>
            </x14:sparkline>
            <x14:sparkline>
              <xm:f>'Ratio '!D18:K18</xm:f>
              <xm:sqref>K18</xm:sqref>
            </x14:sparkline>
          </x14:sparklines>
        </x14:sparklineGroup>
        <x14:sparklineGroup displayEmptyCellsAs="gap" markers="1" xr2:uid="{C6589F94-E268-4E1C-A27D-2085848DF9CA}">
          <x14:colorSeries theme="1"/>
          <x14:colorNegative rgb="FFD00000"/>
          <x14:colorAxis rgb="FF000000"/>
          <x14:colorMarkers theme="1"/>
          <x14:colorFirst rgb="FFD00000"/>
          <x14:colorLast rgb="FFD00000"/>
          <x14:colorHigh rgb="FFD00000"/>
          <x14:colorLow rgb="FFD00000"/>
          <x14:sparklines>
            <x14:sparkline>
              <xm:f>'Ratio '!D23:J23</xm:f>
              <xm:sqref>K23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6E10-2945-44B8-9445-EF2A8DD46806}">
  <sheetPr codeName="Sheet1">
    <tabColor theme="9" tint="-0.499984740745262"/>
    <pageSetUpPr fitToPage="1"/>
  </sheetPr>
  <dimension ref="A1:M64"/>
  <sheetViews>
    <sheetView showGridLines="0" zoomScale="70" zoomScaleNormal="70" workbookViewId="0">
      <pane ySplit="3" topLeftCell="A35" activePane="bottomLeft" state="frozen"/>
      <selection activeCell="B1" sqref="B1"/>
      <selection pane="bottomLeft" activeCell="B70" sqref="B70"/>
    </sheetView>
  </sheetViews>
  <sheetFormatPr defaultColWidth="0"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 hidden="1"/>
  </cols>
  <sheetData>
    <row r="1" spans="1:13" ht="20.399999999999999">
      <c r="A1" s="9"/>
      <c r="B1" s="8" t="s">
        <v>151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/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</row>
    <row r="5" spans="1:13" ht="14.4" thickBot="1"/>
    <row r="6" spans="1:13" ht="23.4" thickBot="1">
      <c r="B6" s="143" t="s">
        <v>19</v>
      </c>
      <c r="C6" s="59"/>
      <c r="D6" s="120" t="s">
        <v>152</v>
      </c>
      <c r="E6" s="121">
        <f>MATCH(D6,B11:B13,0)</f>
        <v>1</v>
      </c>
      <c r="F6" s="59"/>
      <c r="G6" s="59"/>
      <c r="H6" s="59"/>
      <c r="I6" s="59"/>
      <c r="J6" s="78"/>
    </row>
    <row r="7" spans="1:13" ht="14.4" thickTop="1">
      <c r="B7" s="44"/>
      <c r="C7" s="4"/>
      <c r="D7" s="4"/>
      <c r="E7" s="4"/>
      <c r="F7" s="4"/>
      <c r="G7" s="4"/>
      <c r="H7" s="4"/>
      <c r="I7" s="4"/>
      <c r="J7" s="45"/>
    </row>
    <row r="8" spans="1:13" ht="14.4">
      <c r="B8" s="44"/>
      <c r="C8" s="4"/>
      <c r="D8"/>
      <c r="E8" s="4"/>
      <c r="F8" s="4"/>
      <c r="G8" s="4"/>
      <c r="H8" s="4"/>
      <c r="I8" s="4"/>
      <c r="J8" s="45"/>
    </row>
    <row r="9" spans="1:13">
      <c r="B9" s="44" t="s">
        <v>28</v>
      </c>
      <c r="C9" s="4"/>
      <c r="D9" s="36">
        <f>'Revenue '!D17</f>
        <v>-1.2218307518447118E-2</v>
      </c>
      <c r="E9" s="36">
        <f>'Revenue '!E17</f>
        <v>7.8496823516743836E-2</v>
      </c>
      <c r="F9" s="37" cm="1">
        <f t="array" ref="F9">INDEX(F11:F13,$E$6)</f>
        <v>7.8496823516743836E-2</v>
      </c>
      <c r="G9" s="37" cm="1">
        <f t="array" ref="G9">INDEX(G11:G13,$E$6)</f>
        <v>7.8496823516743836E-2</v>
      </c>
      <c r="H9" s="37" cm="1">
        <f t="array" ref="H9">INDEX(H11:H13,$E$6)</f>
        <v>7.8496823516743836E-2</v>
      </c>
      <c r="I9" s="37" cm="1">
        <f t="array" ref="I9">INDEX(I11:I13,$E$6)</f>
        <v>7.8496823516743836E-2</v>
      </c>
      <c r="J9" s="122" cm="1">
        <f t="array" ref="J9">INDEX(J11:J13,$E$6)</f>
        <v>7.8496823516743836E-2</v>
      </c>
    </row>
    <row r="10" spans="1:13">
      <c r="B10" s="44"/>
      <c r="C10" s="4"/>
      <c r="D10" s="4"/>
      <c r="E10" s="4"/>
      <c r="F10" s="4"/>
      <c r="G10" s="4"/>
      <c r="H10" s="4"/>
      <c r="I10" s="4"/>
      <c r="J10" s="45"/>
    </row>
    <row r="11" spans="1:13">
      <c r="B11" s="44" t="s">
        <v>152</v>
      </c>
      <c r="C11" s="4"/>
      <c r="D11" s="4"/>
      <c r="E11" s="4"/>
      <c r="F11" s="123">
        <f>MAX($D9:$E9)</f>
        <v>7.8496823516743836E-2</v>
      </c>
      <c r="G11" s="123">
        <f t="shared" ref="G11:J11" si="1">MAX($D9:$E9)</f>
        <v>7.8496823516743836E-2</v>
      </c>
      <c r="H11" s="123">
        <f t="shared" si="1"/>
        <v>7.8496823516743836E-2</v>
      </c>
      <c r="I11" s="123">
        <f t="shared" si="1"/>
        <v>7.8496823516743836E-2</v>
      </c>
      <c r="J11" s="124">
        <f t="shared" si="1"/>
        <v>7.8496823516743836E-2</v>
      </c>
    </row>
    <row r="12" spans="1:13">
      <c r="B12" s="44" t="s">
        <v>153</v>
      </c>
      <c r="C12" s="4"/>
      <c r="D12" s="4"/>
      <c r="E12" s="4"/>
      <c r="F12" s="123">
        <f>AVERAGE($D9:$E9)</f>
        <v>3.313925799914836E-2</v>
      </c>
      <c r="G12" s="123">
        <f t="shared" ref="G12:J12" si="2">AVERAGE($D9:$E9)</f>
        <v>3.313925799914836E-2</v>
      </c>
      <c r="H12" s="123">
        <f t="shared" si="2"/>
        <v>3.313925799914836E-2</v>
      </c>
      <c r="I12" s="123">
        <f t="shared" si="2"/>
        <v>3.313925799914836E-2</v>
      </c>
      <c r="J12" s="124">
        <f t="shared" si="2"/>
        <v>3.313925799914836E-2</v>
      </c>
    </row>
    <row r="13" spans="1:13">
      <c r="B13" s="44" t="s">
        <v>154</v>
      </c>
      <c r="C13" s="4"/>
      <c r="D13" s="4"/>
      <c r="E13" s="4"/>
      <c r="F13" s="123">
        <f>MIN($D9:$E9)</f>
        <v>-1.2218307518447118E-2</v>
      </c>
      <c r="G13" s="123">
        <f t="shared" ref="G13:J13" si="3">MIN($D9:$E9)</f>
        <v>-1.2218307518447118E-2</v>
      </c>
      <c r="H13" s="123">
        <f t="shared" si="3"/>
        <v>-1.2218307518447118E-2</v>
      </c>
      <c r="I13" s="123">
        <f t="shared" si="3"/>
        <v>-1.2218307518447118E-2</v>
      </c>
      <c r="J13" s="124">
        <f t="shared" si="3"/>
        <v>-1.2218307518447118E-2</v>
      </c>
    </row>
    <row r="14" spans="1:13">
      <c r="B14" s="44"/>
      <c r="C14" s="4"/>
      <c r="D14" s="4"/>
      <c r="E14" s="4"/>
      <c r="F14" s="4"/>
      <c r="G14" s="4"/>
      <c r="H14" s="4"/>
      <c r="I14" s="4"/>
      <c r="J14" s="45"/>
    </row>
    <row r="15" spans="1:13">
      <c r="B15" s="44" t="s">
        <v>29</v>
      </c>
      <c r="C15" s="4"/>
      <c r="D15" s="125">
        <f>'Revenue '!D18</f>
        <v>8.9285714285714191E-2</v>
      </c>
      <c r="E15" s="125">
        <f>'Revenue '!E18</f>
        <v>2.6481715006305251E-2</v>
      </c>
      <c r="F15" s="37" cm="1">
        <f t="array" ref="F15">INDEX(F17:F19,$E$6)</f>
        <v>8.9285714285714191E-2</v>
      </c>
      <c r="G15" s="37" cm="1">
        <f t="array" ref="G15">INDEX(G17:G19,$E$6)</f>
        <v>8.9285714285714191E-2</v>
      </c>
      <c r="H15" s="37" cm="1">
        <f t="array" ref="H15">INDEX(H17:H19,$E$6)</f>
        <v>8.9285714285714191E-2</v>
      </c>
      <c r="I15" s="37" cm="1">
        <f t="array" ref="I15">INDEX(I17:I19,$E$6)</f>
        <v>8.9285714285714191E-2</v>
      </c>
      <c r="J15" s="122" cm="1">
        <f t="array" ref="J15">INDEX(J17:J19,$E$6)</f>
        <v>8.9285714285714191E-2</v>
      </c>
    </row>
    <row r="16" spans="1:13">
      <c r="B16" s="44"/>
      <c r="C16" s="4"/>
      <c r="D16" s="4"/>
      <c r="E16" s="4"/>
      <c r="F16" s="4"/>
      <c r="G16" s="4"/>
      <c r="H16" s="4"/>
      <c r="I16" s="4"/>
      <c r="J16" s="45"/>
    </row>
    <row r="17" spans="1:10">
      <c r="B17" s="44" t="s">
        <v>152</v>
      </c>
      <c r="C17" s="4"/>
      <c r="D17" s="4"/>
      <c r="E17" s="4"/>
      <c r="F17" s="123">
        <f>MAX($D15:$E15)</f>
        <v>8.9285714285714191E-2</v>
      </c>
      <c r="G17" s="123">
        <f t="shared" ref="G17:J17" si="4">MAX($D15:$E15)</f>
        <v>8.9285714285714191E-2</v>
      </c>
      <c r="H17" s="123">
        <f t="shared" si="4"/>
        <v>8.9285714285714191E-2</v>
      </c>
      <c r="I17" s="123">
        <f t="shared" si="4"/>
        <v>8.9285714285714191E-2</v>
      </c>
      <c r="J17" s="124">
        <f t="shared" si="4"/>
        <v>8.9285714285714191E-2</v>
      </c>
    </row>
    <row r="18" spans="1:10">
      <c r="B18" s="44" t="s">
        <v>153</v>
      </c>
      <c r="C18" s="4"/>
      <c r="D18" s="4"/>
      <c r="E18" s="4"/>
      <c r="F18" s="123">
        <f>AVERAGE($D15:$E15)</f>
        <v>5.7883714646009721E-2</v>
      </c>
      <c r="G18" s="123">
        <f t="shared" ref="G18:J18" si="5">AVERAGE($D15:$E15)</f>
        <v>5.7883714646009721E-2</v>
      </c>
      <c r="H18" s="123">
        <f t="shared" si="5"/>
        <v>5.7883714646009721E-2</v>
      </c>
      <c r="I18" s="123">
        <f t="shared" si="5"/>
        <v>5.7883714646009721E-2</v>
      </c>
      <c r="J18" s="124">
        <f t="shared" si="5"/>
        <v>5.7883714646009721E-2</v>
      </c>
    </row>
    <row r="19" spans="1:10">
      <c r="B19" s="44" t="s">
        <v>154</v>
      </c>
      <c r="C19" s="4"/>
      <c r="D19" s="4"/>
      <c r="E19" s="4"/>
      <c r="F19" s="123">
        <f>MIN($D15:$E15)</f>
        <v>2.6481715006305251E-2</v>
      </c>
      <c r="G19" s="123">
        <f t="shared" ref="G19:J19" si="6">MIN($D15:$E15)</f>
        <v>2.6481715006305251E-2</v>
      </c>
      <c r="H19" s="123">
        <f t="shared" si="6"/>
        <v>2.6481715006305251E-2</v>
      </c>
      <c r="I19" s="123">
        <f t="shared" si="6"/>
        <v>2.6481715006305251E-2</v>
      </c>
      <c r="J19" s="124">
        <f t="shared" si="6"/>
        <v>2.6481715006305251E-2</v>
      </c>
    </row>
    <row r="20" spans="1:10">
      <c r="B20" s="44"/>
      <c r="C20" s="4"/>
      <c r="D20" s="4"/>
      <c r="E20" s="4"/>
      <c r="F20" s="4"/>
      <c r="G20" s="4"/>
      <c r="H20" s="4"/>
      <c r="I20" s="4"/>
      <c r="J20" s="45"/>
    </row>
    <row r="21" spans="1:10" ht="14.4" thickBot="1">
      <c r="B21" s="144" t="s">
        <v>24</v>
      </c>
      <c r="C21" s="4"/>
      <c r="D21" s="4"/>
      <c r="E21" s="4"/>
      <c r="F21" s="4"/>
      <c r="G21" s="4"/>
      <c r="H21" s="4"/>
      <c r="I21" s="4"/>
      <c r="J21" s="45"/>
    </row>
    <row r="22" spans="1:10" ht="14.4" thickTop="1">
      <c r="B22" s="44"/>
      <c r="C22" s="4"/>
      <c r="D22" s="4"/>
      <c r="E22" s="4"/>
      <c r="F22" s="4"/>
      <c r="G22" s="4"/>
      <c r="H22" s="4"/>
      <c r="I22" s="4"/>
      <c r="J22" s="45"/>
    </row>
    <row r="23" spans="1:10">
      <c r="B23" s="44"/>
      <c r="C23" s="4"/>
      <c r="D23" s="4"/>
      <c r="E23" s="4"/>
      <c r="F23" s="4"/>
      <c r="G23" s="4"/>
      <c r="H23" s="4"/>
      <c r="I23" s="4"/>
      <c r="J23" s="45"/>
    </row>
    <row r="24" spans="1:10">
      <c r="B24" s="44" t="s">
        <v>28</v>
      </c>
      <c r="C24" s="4"/>
      <c r="D24" s="36">
        <f>'Revenue '!D28</f>
        <v>3.6374196336917172E-2</v>
      </c>
      <c r="E24" s="36">
        <f>'Revenue '!E28</f>
        <v>0.15748934561899672</v>
      </c>
      <c r="F24" s="37" cm="1">
        <f t="array" ref="F24">INDEX(F26:F28,$E$6)</f>
        <v>0.15748934561899672</v>
      </c>
      <c r="G24" s="37" cm="1">
        <f t="array" ref="G24">INDEX(G26:G28,$E$6)</f>
        <v>0.15748934561899672</v>
      </c>
      <c r="H24" s="37" cm="1">
        <f t="array" ref="H24">INDEX(H26:H28,$E$6)</f>
        <v>0.15748934561899672</v>
      </c>
      <c r="I24" s="37" cm="1">
        <f t="array" ref="I24">INDEX(I26:I28,$E$6)</f>
        <v>0.15748934561899672</v>
      </c>
      <c r="J24" s="122" cm="1">
        <f t="array" ref="J24">INDEX(J26:J28,$E$6)</f>
        <v>0.15748934561899672</v>
      </c>
    </row>
    <row r="25" spans="1:10">
      <c r="B25" s="44"/>
      <c r="C25" s="4"/>
      <c r="D25" s="4"/>
      <c r="E25" s="4"/>
      <c r="F25" s="4"/>
      <c r="G25" s="4"/>
      <c r="H25" s="4"/>
      <c r="I25" s="4"/>
      <c r="J25" s="45"/>
    </row>
    <row r="26" spans="1:10">
      <c r="B26" s="44" t="s">
        <v>152</v>
      </c>
      <c r="C26" s="4"/>
      <c r="D26" s="4"/>
      <c r="E26" s="4"/>
      <c r="F26" s="123">
        <f>MAX($D24:$E24)</f>
        <v>0.15748934561899672</v>
      </c>
      <c r="G26" s="123">
        <f t="shared" ref="G26:J26" si="7">MAX($D24:$E24)</f>
        <v>0.15748934561899672</v>
      </c>
      <c r="H26" s="123">
        <f t="shared" si="7"/>
        <v>0.15748934561899672</v>
      </c>
      <c r="I26" s="123">
        <f t="shared" si="7"/>
        <v>0.15748934561899672</v>
      </c>
      <c r="J26" s="124">
        <f t="shared" si="7"/>
        <v>0.15748934561899672</v>
      </c>
    </row>
    <row r="27" spans="1:10">
      <c r="B27" s="44" t="s">
        <v>153</v>
      </c>
      <c r="C27" s="4"/>
      <c r="D27" s="4"/>
      <c r="E27" s="4"/>
      <c r="F27" s="123">
        <f>AVERAGE($D24:$E24)</f>
        <v>9.6931770977956938E-2</v>
      </c>
      <c r="G27" s="123">
        <f t="shared" ref="G27:J27" si="8">AVERAGE($D24:$E24)</f>
        <v>9.6931770977956938E-2</v>
      </c>
      <c r="H27" s="123">
        <f t="shared" si="8"/>
        <v>9.6931770977956938E-2</v>
      </c>
      <c r="I27" s="123">
        <f t="shared" si="8"/>
        <v>9.6931770977956938E-2</v>
      </c>
      <c r="J27" s="124">
        <f t="shared" si="8"/>
        <v>9.6931770977956938E-2</v>
      </c>
    </row>
    <row r="28" spans="1:10">
      <c r="B28" s="44" t="s">
        <v>154</v>
      </c>
      <c r="C28" s="4"/>
      <c r="D28" s="4"/>
      <c r="E28" s="4"/>
      <c r="F28" s="123">
        <f>MIN($D24:$E24)</f>
        <v>3.6374196336917172E-2</v>
      </c>
      <c r="G28" s="123">
        <f t="shared" ref="G28:J28" si="9">MIN($D24:$E24)</f>
        <v>3.6374196336917172E-2</v>
      </c>
      <c r="H28" s="123">
        <f t="shared" si="9"/>
        <v>3.6374196336917172E-2</v>
      </c>
      <c r="I28" s="123">
        <f t="shared" si="9"/>
        <v>3.6374196336917172E-2</v>
      </c>
      <c r="J28" s="124">
        <f t="shared" si="9"/>
        <v>3.6374196336917172E-2</v>
      </c>
    </row>
    <row r="29" spans="1:10">
      <c r="B29" s="44"/>
      <c r="C29" s="4"/>
      <c r="D29" s="4"/>
      <c r="E29" s="4"/>
      <c r="F29" s="4"/>
      <c r="G29" s="4"/>
      <c r="H29" s="4"/>
      <c r="I29" s="4"/>
      <c r="J29" s="45"/>
    </row>
    <row r="30" spans="1:10">
      <c r="A30" s="1" t="s">
        <v>1</v>
      </c>
      <c r="B30" s="44" t="s">
        <v>29</v>
      </c>
      <c r="C30" s="4"/>
      <c r="D30" s="126">
        <f>'Revenue '!D29</f>
        <v>-5.5030094582975142E-2</v>
      </c>
      <c r="E30" s="126">
        <f>'Revenue '!E29</f>
        <v>-1.0919017288444133E-2</v>
      </c>
      <c r="F30" s="37" cm="1">
        <f t="array" ref="F30">INDEX(F32:F34,$E$6)</f>
        <v>-1.0919017288444133E-2</v>
      </c>
      <c r="G30" s="37" cm="1">
        <f t="array" ref="G30">INDEX(G32:G34,$E$6)</f>
        <v>-1.0919017288444133E-2</v>
      </c>
      <c r="H30" s="37" cm="1">
        <f t="array" ref="H30">INDEX(H32:H34,$E$6)</f>
        <v>-1.0919017288444133E-2</v>
      </c>
      <c r="I30" s="37" cm="1">
        <f t="array" ref="I30">INDEX(I32:I34,$E$6)</f>
        <v>-1.0919017288444133E-2</v>
      </c>
      <c r="J30" s="122" cm="1">
        <f t="array" ref="J30">INDEX(J32:J34,$E$6)</f>
        <v>-1.0919017288444133E-2</v>
      </c>
    </row>
    <row r="31" spans="1:10">
      <c r="B31" s="44"/>
      <c r="C31" s="4"/>
      <c r="D31" s="4"/>
      <c r="E31" s="4"/>
      <c r="F31" s="4"/>
      <c r="G31" s="4"/>
      <c r="H31" s="4"/>
      <c r="I31" s="4"/>
      <c r="J31" s="45"/>
    </row>
    <row r="32" spans="1:10">
      <c r="B32" s="44" t="s">
        <v>152</v>
      </c>
      <c r="C32" s="4"/>
      <c r="D32" s="4"/>
      <c r="E32" s="4"/>
      <c r="F32" s="123">
        <f>MAX($D30:$E30)</f>
        <v>-1.0919017288444133E-2</v>
      </c>
      <c r="G32" s="123">
        <f t="shared" ref="G32:J32" si="10">MAX($D30:$E30)</f>
        <v>-1.0919017288444133E-2</v>
      </c>
      <c r="H32" s="123">
        <f t="shared" si="10"/>
        <v>-1.0919017288444133E-2</v>
      </c>
      <c r="I32" s="123">
        <f t="shared" si="10"/>
        <v>-1.0919017288444133E-2</v>
      </c>
      <c r="J32" s="124">
        <f t="shared" si="10"/>
        <v>-1.0919017288444133E-2</v>
      </c>
    </row>
    <row r="33" spans="2:10">
      <c r="B33" s="44" t="s">
        <v>153</v>
      </c>
      <c r="C33" s="4"/>
      <c r="D33" s="4"/>
      <c r="E33" s="4"/>
      <c r="F33" s="123">
        <f>AVERAGE($D30:$E30)</f>
        <v>-3.2974555935709637E-2</v>
      </c>
      <c r="G33" s="123">
        <f t="shared" ref="G33:J33" si="11">AVERAGE($D30:$E30)</f>
        <v>-3.2974555935709637E-2</v>
      </c>
      <c r="H33" s="123">
        <f t="shared" si="11"/>
        <v>-3.2974555935709637E-2</v>
      </c>
      <c r="I33" s="123">
        <f t="shared" si="11"/>
        <v>-3.2974555935709637E-2</v>
      </c>
      <c r="J33" s="124">
        <f t="shared" si="11"/>
        <v>-3.2974555935709637E-2</v>
      </c>
    </row>
    <row r="34" spans="2:10">
      <c r="B34" s="44" t="s">
        <v>154</v>
      </c>
      <c r="C34" s="4"/>
      <c r="D34" s="4"/>
      <c r="E34" s="4"/>
      <c r="F34" s="123">
        <f>MIN($D30:$E30)</f>
        <v>-5.5030094582975142E-2</v>
      </c>
      <c r="G34" s="123">
        <f t="shared" ref="G34:J34" si="12">MIN($D30:$E30)</f>
        <v>-5.5030094582975142E-2</v>
      </c>
      <c r="H34" s="123">
        <f t="shared" si="12"/>
        <v>-5.5030094582975142E-2</v>
      </c>
      <c r="I34" s="123">
        <f t="shared" si="12"/>
        <v>-5.5030094582975142E-2</v>
      </c>
      <c r="J34" s="124">
        <f t="shared" si="12"/>
        <v>-5.5030094582975142E-2</v>
      </c>
    </row>
    <row r="35" spans="2:10">
      <c r="B35" s="44"/>
      <c r="C35" s="4"/>
      <c r="D35" s="4"/>
      <c r="E35" s="4"/>
      <c r="F35" s="4"/>
      <c r="G35" s="4"/>
      <c r="H35" s="4"/>
      <c r="I35" s="4"/>
      <c r="J35" s="45"/>
    </row>
    <row r="36" spans="2:10" ht="14.4" thickBot="1">
      <c r="B36" s="144" t="s">
        <v>25</v>
      </c>
      <c r="C36" s="4"/>
      <c r="D36" s="4"/>
      <c r="E36" s="4"/>
      <c r="F36" s="4"/>
      <c r="G36" s="4"/>
      <c r="H36" s="4"/>
      <c r="I36" s="4"/>
      <c r="J36" s="45"/>
    </row>
    <row r="37" spans="2:10" ht="14.4" thickTop="1">
      <c r="B37" s="44"/>
      <c r="C37" s="4"/>
      <c r="D37" s="4"/>
      <c r="E37" s="4"/>
      <c r="F37" s="4"/>
      <c r="G37" s="4"/>
      <c r="H37" s="4"/>
      <c r="I37" s="4"/>
      <c r="J37" s="45"/>
    </row>
    <row r="38" spans="2:10">
      <c r="B38" s="44"/>
      <c r="C38" s="4"/>
      <c r="D38" s="4"/>
      <c r="E38" s="4"/>
      <c r="F38" s="4"/>
      <c r="G38" s="4"/>
      <c r="H38" s="4"/>
      <c r="I38" s="4"/>
      <c r="J38" s="45"/>
    </row>
    <row r="39" spans="2:10">
      <c r="B39" s="44" t="s">
        <v>28</v>
      </c>
      <c r="C39" s="4"/>
      <c r="D39" s="36">
        <f>'Revenue '!D39</f>
        <v>4.3492405094967594E-2</v>
      </c>
      <c r="E39" s="36">
        <f>'Revenue '!E39</f>
        <v>0.10307201611549438</v>
      </c>
      <c r="F39" s="37" cm="1">
        <f t="array" ref="F39">INDEX(F41:F43,$E$6)</f>
        <v>0.10307201611549438</v>
      </c>
      <c r="G39" s="37" cm="1">
        <f t="array" ref="G39">INDEX(G41:G43,$E$6)</f>
        <v>0.10307201611549438</v>
      </c>
      <c r="H39" s="37" cm="1">
        <f t="array" ref="H39">INDEX(H41:H43,$E$6)</f>
        <v>0.10307201611549438</v>
      </c>
      <c r="I39" s="37" cm="1">
        <f t="array" ref="I39">INDEX(I41:I43,$E$6)</f>
        <v>0.10307201611549438</v>
      </c>
      <c r="J39" s="122" cm="1">
        <f t="array" ref="J39">INDEX(J41:J43,$E$6)</f>
        <v>0.10307201611549438</v>
      </c>
    </row>
    <row r="40" spans="2:10">
      <c r="B40" s="44"/>
      <c r="C40" s="4"/>
      <c r="D40" s="4"/>
      <c r="E40" s="4"/>
      <c r="F40" s="4"/>
      <c r="G40" s="4"/>
      <c r="H40" s="4"/>
      <c r="I40" s="4"/>
      <c r="J40" s="45"/>
    </row>
    <row r="41" spans="2:10">
      <c r="B41" s="44" t="s">
        <v>152</v>
      </c>
      <c r="C41" s="4"/>
      <c r="D41" s="4"/>
      <c r="E41" s="4"/>
      <c r="F41" s="123">
        <f>MAX($D39:$E39)</f>
        <v>0.10307201611549438</v>
      </c>
      <c r="G41" s="123">
        <f t="shared" ref="G41:J41" si="13">MAX($D39:$E39)</f>
        <v>0.10307201611549438</v>
      </c>
      <c r="H41" s="123">
        <f t="shared" si="13"/>
        <v>0.10307201611549438</v>
      </c>
      <c r="I41" s="123">
        <f t="shared" si="13"/>
        <v>0.10307201611549438</v>
      </c>
      <c r="J41" s="124">
        <f t="shared" si="13"/>
        <v>0.10307201611549438</v>
      </c>
    </row>
    <row r="42" spans="2:10">
      <c r="B42" s="44" t="s">
        <v>153</v>
      </c>
      <c r="C42" s="4"/>
      <c r="D42" s="4"/>
      <c r="E42" s="4"/>
      <c r="F42" s="123">
        <f>AVERAGE($D39:$E39)</f>
        <v>7.3282210605230991E-2</v>
      </c>
      <c r="G42" s="123">
        <f t="shared" ref="G42:J42" si="14">AVERAGE($D39:$E39)</f>
        <v>7.3282210605230991E-2</v>
      </c>
      <c r="H42" s="123">
        <f t="shared" si="14"/>
        <v>7.3282210605230991E-2</v>
      </c>
      <c r="I42" s="123">
        <f t="shared" si="14"/>
        <v>7.3282210605230991E-2</v>
      </c>
      <c r="J42" s="124">
        <f t="shared" si="14"/>
        <v>7.3282210605230991E-2</v>
      </c>
    </row>
    <row r="43" spans="2:10">
      <c r="B43" s="44" t="s">
        <v>154</v>
      </c>
      <c r="C43" s="4"/>
      <c r="D43" s="4"/>
      <c r="E43" s="4"/>
      <c r="F43" s="123">
        <f>MIN($D39:$E39)</f>
        <v>4.3492405094967594E-2</v>
      </c>
      <c r="G43" s="123">
        <f t="shared" ref="G43:J43" si="15">MIN($D39:$E39)</f>
        <v>4.3492405094967594E-2</v>
      </c>
      <c r="H43" s="123">
        <f t="shared" si="15"/>
        <v>4.3492405094967594E-2</v>
      </c>
      <c r="I43" s="123">
        <f t="shared" si="15"/>
        <v>4.3492405094967594E-2</v>
      </c>
      <c r="J43" s="124">
        <f t="shared" si="15"/>
        <v>4.3492405094967594E-2</v>
      </c>
    </row>
    <row r="44" spans="2:10">
      <c r="B44" s="44"/>
      <c r="C44" s="4"/>
      <c r="D44" s="4"/>
      <c r="E44" s="4"/>
      <c r="F44" s="4"/>
      <c r="G44" s="4"/>
      <c r="H44" s="4"/>
      <c r="I44" s="4"/>
      <c r="J44" s="45"/>
    </row>
    <row r="45" spans="2:10">
      <c r="B45" s="44" t="s">
        <v>29</v>
      </c>
      <c r="C45" s="4"/>
      <c r="D45" s="126">
        <f>'Revenue '!D40</f>
        <v>9.70245795601552E-2</v>
      </c>
      <c r="E45" s="126">
        <f>'Revenue '!E40</f>
        <v>2.1226415094339535E-2</v>
      </c>
      <c r="F45" s="37" cm="1">
        <f t="array" ref="F45">INDEX(F47:F49,$E$6)</f>
        <v>9.70245795601552E-2</v>
      </c>
      <c r="G45" s="37" cm="1">
        <f t="array" ref="G45">INDEX(G47:G49,$E$6)</f>
        <v>9.70245795601552E-2</v>
      </c>
      <c r="H45" s="37" cm="1">
        <f t="array" ref="H45">INDEX(H47:H49,$E$6)</f>
        <v>9.70245795601552E-2</v>
      </c>
      <c r="I45" s="37" cm="1">
        <f t="array" ref="I45">INDEX(I47:I49,$E$6)</f>
        <v>9.70245795601552E-2</v>
      </c>
      <c r="J45" s="122" cm="1">
        <f t="array" ref="J45">INDEX(J47:J49,$E$6)</f>
        <v>9.70245795601552E-2</v>
      </c>
    </row>
    <row r="46" spans="2:10">
      <c r="B46" s="44"/>
      <c r="C46" s="4"/>
      <c r="D46" s="4"/>
      <c r="E46" s="4"/>
      <c r="F46" s="4"/>
      <c r="G46" s="4"/>
      <c r="H46" s="4"/>
      <c r="I46" s="4"/>
      <c r="J46" s="45"/>
    </row>
    <row r="47" spans="2:10">
      <c r="B47" s="44" t="s">
        <v>152</v>
      </c>
      <c r="C47" s="4"/>
      <c r="D47" s="4"/>
      <c r="E47" s="4"/>
      <c r="F47" s="123">
        <f>MAX($D45:$E45)</f>
        <v>9.70245795601552E-2</v>
      </c>
      <c r="G47" s="123">
        <f t="shared" ref="G47:J47" si="16">MAX($D45:$E45)</f>
        <v>9.70245795601552E-2</v>
      </c>
      <c r="H47" s="123">
        <f t="shared" si="16"/>
        <v>9.70245795601552E-2</v>
      </c>
      <c r="I47" s="123">
        <f t="shared" si="16"/>
        <v>9.70245795601552E-2</v>
      </c>
      <c r="J47" s="124">
        <f t="shared" si="16"/>
        <v>9.70245795601552E-2</v>
      </c>
    </row>
    <row r="48" spans="2:10">
      <c r="B48" s="44" t="s">
        <v>153</v>
      </c>
      <c r="C48" s="4"/>
      <c r="D48" s="4"/>
      <c r="E48" s="4"/>
      <c r="F48" s="123">
        <f>AVERAGE($D45:$E45)</f>
        <v>5.9125497327247367E-2</v>
      </c>
      <c r="G48" s="123">
        <f t="shared" ref="G48:J48" si="17">AVERAGE($D45:$E45)</f>
        <v>5.9125497327247367E-2</v>
      </c>
      <c r="H48" s="123">
        <f t="shared" si="17"/>
        <v>5.9125497327247367E-2</v>
      </c>
      <c r="I48" s="123">
        <f t="shared" si="17"/>
        <v>5.9125497327247367E-2</v>
      </c>
      <c r="J48" s="124">
        <f t="shared" si="17"/>
        <v>5.9125497327247367E-2</v>
      </c>
    </row>
    <row r="49" spans="2:10">
      <c r="B49" s="44" t="s">
        <v>154</v>
      </c>
      <c r="C49" s="4"/>
      <c r="D49" s="4"/>
      <c r="E49" s="4"/>
      <c r="F49" s="123">
        <f>MIN($D45:$E45)</f>
        <v>2.1226415094339535E-2</v>
      </c>
      <c r="G49" s="123">
        <f t="shared" ref="G49:J49" si="18">MIN($D45:$E45)</f>
        <v>2.1226415094339535E-2</v>
      </c>
      <c r="H49" s="123">
        <f t="shared" si="18"/>
        <v>2.1226415094339535E-2</v>
      </c>
      <c r="I49" s="123">
        <f t="shared" si="18"/>
        <v>2.1226415094339535E-2</v>
      </c>
      <c r="J49" s="124">
        <f t="shared" si="18"/>
        <v>2.1226415094339535E-2</v>
      </c>
    </row>
    <row r="50" spans="2:10">
      <c r="B50" s="44"/>
      <c r="C50" s="4"/>
      <c r="D50" s="4"/>
      <c r="E50" s="4"/>
      <c r="F50" s="4"/>
      <c r="G50" s="4"/>
      <c r="H50" s="4"/>
      <c r="I50" s="4"/>
      <c r="J50" s="45"/>
    </row>
    <row r="51" spans="2:10" ht="14.4" thickBot="1">
      <c r="B51" s="144" t="s">
        <v>27</v>
      </c>
      <c r="C51" s="4"/>
      <c r="D51" s="4"/>
      <c r="E51" s="4"/>
      <c r="F51" s="4"/>
      <c r="G51" s="4"/>
      <c r="H51" s="4"/>
      <c r="I51" s="4"/>
      <c r="J51" s="45"/>
    </row>
    <row r="52" spans="2:10" ht="14.4" thickTop="1">
      <c r="B52" s="44"/>
      <c r="C52" s="4"/>
      <c r="D52" s="4"/>
      <c r="E52" s="4"/>
      <c r="F52" s="4"/>
      <c r="G52" s="4"/>
      <c r="H52" s="4"/>
      <c r="I52" s="4"/>
      <c r="J52" s="45"/>
    </row>
    <row r="53" spans="2:10">
      <c r="B53" s="44"/>
      <c r="C53" s="4"/>
      <c r="D53" s="4"/>
      <c r="E53" s="4"/>
      <c r="F53" s="4"/>
      <c r="G53" s="4"/>
      <c r="H53" s="4"/>
      <c r="I53" s="4"/>
      <c r="J53" s="45"/>
    </row>
    <row r="54" spans="2:10">
      <c r="B54" s="44" t="s">
        <v>28</v>
      </c>
      <c r="C54" s="4"/>
      <c r="D54" s="36">
        <f>'Revenue '!D50</f>
        <v>0.1652059328266732</v>
      </c>
      <c r="E54" s="36">
        <f>'Revenue '!E50</f>
        <v>0.19238355732056914</v>
      </c>
      <c r="F54" s="37" cm="1">
        <f t="array" ref="F54">INDEX(F56:F58,$E$6)</f>
        <v>0.19238355732056914</v>
      </c>
      <c r="G54" s="37" cm="1">
        <f t="array" ref="G54">INDEX(G56:G58,$E$6)</f>
        <v>0.19238355732056914</v>
      </c>
      <c r="H54" s="37" cm="1">
        <f t="array" ref="H54">INDEX(H56:H58,$E$6)</f>
        <v>0.19238355732056914</v>
      </c>
      <c r="I54" s="37" cm="1">
        <f t="array" ref="I54">INDEX(I56:I58,$E$6)</f>
        <v>0.19238355732056914</v>
      </c>
      <c r="J54" s="122" cm="1">
        <f t="array" ref="J54">INDEX(J56:J58,$E$6)</f>
        <v>0.19238355732056914</v>
      </c>
    </row>
    <row r="55" spans="2:10">
      <c r="B55" s="44"/>
      <c r="C55" s="4"/>
      <c r="D55" s="4"/>
      <c r="E55" s="4"/>
      <c r="F55" s="4"/>
      <c r="G55" s="4"/>
      <c r="H55" s="4"/>
      <c r="I55" s="4"/>
      <c r="J55" s="45"/>
    </row>
    <row r="56" spans="2:10">
      <c r="B56" s="44" t="s">
        <v>152</v>
      </c>
      <c r="C56" s="4"/>
      <c r="D56" s="4"/>
      <c r="E56" s="4"/>
      <c r="F56" s="123">
        <f>MAX($D54:$E54)</f>
        <v>0.19238355732056914</v>
      </c>
      <c r="G56" s="123">
        <f t="shared" ref="G56:J56" si="19">MAX($D54:$E54)</f>
        <v>0.19238355732056914</v>
      </c>
      <c r="H56" s="123">
        <f t="shared" si="19"/>
        <v>0.19238355732056914</v>
      </c>
      <c r="I56" s="123">
        <f t="shared" si="19"/>
        <v>0.19238355732056914</v>
      </c>
      <c r="J56" s="124">
        <f t="shared" si="19"/>
        <v>0.19238355732056914</v>
      </c>
    </row>
    <row r="57" spans="2:10">
      <c r="B57" s="44" t="s">
        <v>153</v>
      </c>
      <c r="C57" s="4"/>
      <c r="D57" s="4"/>
      <c r="E57" s="4"/>
      <c r="F57" s="123">
        <f>AVERAGE($D54:$E54)</f>
        <v>0.17879474507362117</v>
      </c>
      <c r="G57" s="123">
        <f t="shared" ref="G57:J57" si="20">AVERAGE($D54:$E54)</f>
        <v>0.17879474507362117</v>
      </c>
      <c r="H57" s="123">
        <f t="shared" si="20"/>
        <v>0.17879474507362117</v>
      </c>
      <c r="I57" s="123">
        <f t="shared" si="20"/>
        <v>0.17879474507362117</v>
      </c>
      <c r="J57" s="124">
        <f t="shared" si="20"/>
        <v>0.17879474507362117</v>
      </c>
    </row>
    <row r="58" spans="2:10">
      <c r="B58" s="44" t="s">
        <v>154</v>
      </c>
      <c r="C58" s="4"/>
      <c r="D58" s="4"/>
      <c r="E58" s="4"/>
      <c r="F58" s="123">
        <f>MIN($D54:$E54)</f>
        <v>0.1652059328266732</v>
      </c>
      <c r="G58" s="123">
        <f t="shared" ref="G58:J58" si="21">MIN($D54:$E54)</f>
        <v>0.1652059328266732</v>
      </c>
      <c r="H58" s="123">
        <f t="shared" si="21"/>
        <v>0.1652059328266732</v>
      </c>
      <c r="I58" s="123">
        <f t="shared" si="21"/>
        <v>0.1652059328266732</v>
      </c>
      <c r="J58" s="124">
        <f t="shared" si="21"/>
        <v>0.1652059328266732</v>
      </c>
    </row>
    <row r="59" spans="2:10">
      <c r="B59" s="44"/>
      <c r="C59" s="4"/>
      <c r="D59" s="4"/>
      <c r="E59" s="4"/>
      <c r="F59" s="4"/>
      <c r="G59" s="4"/>
      <c r="H59" s="4"/>
      <c r="I59" s="4"/>
      <c r="J59" s="45"/>
    </row>
    <row r="60" spans="2:10">
      <c r="B60" s="44" t="s">
        <v>29</v>
      </c>
      <c r="C60" s="4"/>
      <c r="D60" s="126">
        <f>'Revenue '!D51</f>
        <v>-0.11087866108786615</v>
      </c>
      <c r="E60" s="126">
        <f>'Revenue '!E51</f>
        <v>-0.10117647058823531</v>
      </c>
      <c r="F60" s="37" cm="1">
        <f t="array" ref="F60">INDEX(F62:F64,$E$6)</f>
        <v>-0.10117647058823531</v>
      </c>
      <c r="G60" s="37" cm="1">
        <f t="array" ref="G60">INDEX(G62:G64,$E$6)</f>
        <v>-0.10117647058823531</v>
      </c>
      <c r="H60" s="37" cm="1">
        <f t="array" ref="H60">INDEX(H62:H64,$E$6)</f>
        <v>-0.10117647058823531</v>
      </c>
      <c r="I60" s="37" cm="1">
        <f t="array" ref="I60">INDEX(I62:I64,$E$6)</f>
        <v>-0.10117647058823531</v>
      </c>
      <c r="J60" s="122" cm="1">
        <f t="array" ref="J60">INDEX(J62:J64,$E$6)</f>
        <v>-0.10117647058823531</v>
      </c>
    </row>
    <row r="61" spans="2:10">
      <c r="B61" s="44"/>
      <c r="C61" s="4"/>
      <c r="D61" s="4"/>
      <c r="E61" s="4"/>
      <c r="F61" s="4"/>
      <c r="G61" s="4"/>
      <c r="H61" s="4"/>
      <c r="I61" s="4"/>
      <c r="J61" s="45"/>
    </row>
    <row r="62" spans="2:10">
      <c r="B62" s="44" t="s">
        <v>152</v>
      </c>
      <c r="C62" s="4"/>
      <c r="D62" s="4"/>
      <c r="E62" s="4"/>
      <c r="F62" s="123">
        <f>MAX($D60:$E60)</f>
        <v>-0.10117647058823531</v>
      </c>
      <c r="G62" s="123">
        <f t="shared" ref="G62:J62" si="22">MAX($D60:$E60)</f>
        <v>-0.10117647058823531</v>
      </c>
      <c r="H62" s="123">
        <f t="shared" si="22"/>
        <v>-0.10117647058823531</v>
      </c>
      <c r="I62" s="123">
        <f t="shared" si="22"/>
        <v>-0.10117647058823531</v>
      </c>
      <c r="J62" s="124">
        <f t="shared" si="22"/>
        <v>-0.10117647058823531</v>
      </c>
    </row>
    <row r="63" spans="2:10">
      <c r="B63" s="44" t="s">
        <v>153</v>
      </c>
      <c r="C63" s="4"/>
      <c r="D63" s="4"/>
      <c r="E63" s="4"/>
      <c r="F63" s="123">
        <f>AVERAGE($D60:$E60)</f>
        <v>-0.10602756583805073</v>
      </c>
      <c r="G63" s="123">
        <f t="shared" ref="G63:J63" si="23">AVERAGE($D60:$E60)</f>
        <v>-0.10602756583805073</v>
      </c>
      <c r="H63" s="123">
        <f t="shared" si="23"/>
        <v>-0.10602756583805073</v>
      </c>
      <c r="I63" s="123">
        <f t="shared" si="23"/>
        <v>-0.10602756583805073</v>
      </c>
      <c r="J63" s="124">
        <f t="shared" si="23"/>
        <v>-0.10602756583805073</v>
      </c>
    </row>
    <row r="64" spans="2:10" ht="14.4" thickBot="1">
      <c r="B64" s="52" t="s">
        <v>154</v>
      </c>
      <c r="C64" s="76"/>
      <c r="D64" s="76"/>
      <c r="E64" s="76"/>
      <c r="F64" s="127">
        <f>MIN($D60:$E60)</f>
        <v>-0.11087866108786615</v>
      </c>
      <c r="G64" s="127">
        <f t="shared" ref="G64:J64" si="24">MIN($D60:$E60)</f>
        <v>-0.11087866108786615</v>
      </c>
      <c r="H64" s="127">
        <f t="shared" si="24"/>
        <v>-0.11087866108786615</v>
      </c>
      <c r="I64" s="127">
        <f t="shared" si="24"/>
        <v>-0.11087866108786615</v>
      </c>
      <c r="J64" s="128">
        <f t="shared" si="24"/>
        <v>-0.11087866108786615</v>
      </c>
    </row>
  </sheetData>
  <dataValidations count="1">
    <dataValidation type="list" allowBlank="1" showInputMessage="1" showErrorMessage="1" sqref="D6" xr:uid="{7F0F6D30-1347-4FA8-ADDE-3CC8D90A4073}">
      <formula1>$B$11:$B$13</formula1>
    </dataValidation>
  </dataValidations>
  <pageMargins left="0.7" right="0.7" top="0.75" bottom="0.75" header="0.3" footer="0.3"/>
  <pageSetup paperSize="9" scale="43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727F-D775-40CF-9F5D-144957DC0BEE}">
  <sheetPr>
    <tabColor theme="0" tint="-0.499984740745262"/>
    <pageSetUpPr fitToPage="1"/>
  </sheetPr>
  <dimension ref="A1:M51"/>
  <sheetViews>
    <sheetView showGridLines="0" zoomScale="68" zoomScaleNormal="68" workbookViewId="0">
      <pane ySplit="3" topLeftCell="A4" activePane="bottomLeft" state="frozen"/>
      <selection activeCell="D6" sqref="D6"/>
      <selection pane="bottomLeft" activeCell="K44" sqref="K44"/>
    </sheetView>
  </sheetViews>
  <sheetFormatPr defaultColWidth="0"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 hidden="1"/>
  </cols>
  <sheetData>
    <row r="1" spans="1:13" ht="20.399999999999999">
      <c r="A1" s="9"/>
      <c r="B1" s="8" t="s">
        <v>150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/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</row>
    <row r="4" spans="1:13" ht="14.4" thickBot="1"/>
    <row r="5" spans="1:13">
      <c r="B5" s="58" t="s">
        <v>16</v>
      </c>
      <c r="C5" s="91">
        <v>29515.495999999999</v>
      </c>
      <c r="D5" s="91">
        <v>31469.851999999999</v>
      </c>
      <c r="E5" s="91">
        <v>33640.457999999999</v>
      </c>
      <c r="F5" s="146">
        <f>F11+F22+F33+F44</f>
        <v>39690.707321621237</v>
      </c>
      <c r="G5" s="146">
        <f t="shared" ref="G5:J5" si="1">G11+G22+G33+G44</f>
        <v>46030.862535061868</v>
      </c>
      <c r="H5" s="146">
        <f t="shared" si="1"/>
        <v>53436.238515280653</v>
      </c>
      <c r="I5" s="146">
        <f t="shared" si="1"/>
        <v>62091.682602091147</v>
      </c>
      <c r="J5" s="147">
        <f t="shared" si="1"/>
        <v>72214.876643108408</v>
      </c>
    </row>
    <row r="6" spans="1:13">
      <c r="B6" s="44" t="s">
        <v>17</v>
      </c>
      <c r="C6" s="79">
        <v>182.34800000000001</v>
      </c>
      <c r="D6" s="79">
        <v>145.69800000000001</v>
      </c>
      <c r="E6" s="79">
        <v>82.838999999999999</v>
      </c>
      <c r="F6" s="79">
        <v>0</v>
      </c>
      <c r="G6" s="79">
        <v>0</v>
      </c>
      <c r="H6" s="79">
        <v>0</v>
      </c>
      <c r="I6" s="79">
        <v>0</v>
      </c>
      <c r="J6" s="85">
        <v>0</v>
      </c>
    </row>
    <row r="7" spans="1:13" ht="14.4" thickBot="1">
      <c r="B7" s="48" t="s">
        <v>18</v>
      </c>
      <c r="C7" s="11">
        <f>SUM(C5:C6)</f>
        <v>29697.844000000001</v>
      </c>
      <c r="D7" s="11">
        <f t="shared" ref="D7:E7" si="2">SUM(D5:D6)</f>
        <v>31615.55</v>
      </c>
      <c r="E7" s="11">
        <f t="shared" si="2"/>
        <v>33723.296999999999</v>
      </c>
      <c r="F7" s="11">
        <f t="shared" ref="F7" si="3">SUM(F5:F6)</f>
        <v>39690.707321621237</v>
      </c>
      <c r="G7" s="11">
        <f t="shared" ref="G7" si="4">SUM(G5:G6)</f>
        <v>46030.862535061868</v>
      </c>
      <c r="H7" s="11">
        <f t="shared" ref="H7" si="5">SUM(H5:H6)</f>
        <v>53436.238515280653</v>
      </c>
      <c r="I7" s="11">
        <f t="shared" ref="I7" si="6">SUM(I5:I6)</f>
        <v>62091.682602091147</v>
      </c>
      <c r="J7" s="104">
        <f t="shared" ref="J7" si="7">SUM(J5:J6)</f>
        <v>72214.876643108408</v>
      </c>
    </row>
    <row r="8" spans="1:13" ht="14.4" thickTop="1">
      <c r="B8" s="44"/>
      <c r="C8" s="4"/>
      <c r="D8" s="4"/>
      <c r="E8" s="4"/>
      <c r="F8" s="4"/>
      <c r="G8" s="4"/>
      <c r="H8" s="4"/>
      <c r="I8" s="4"/>
      <c r="J8" s="45"/>
    </row>
    <row r="9" spans="1:13" ht="14.4" thickBot="1">
      <c r="B9" s="144" t="s">
        <v>19</v>
      </c>
      <c r="C9" s="4"/>
      <c r="D9" s="4"/>
      <c r="E9" s="4"/>
      <c r="F9" s="4"/>
      <c r="G9" s="4"/>
      <c r="H9" s="4"/>
      <c r="I9" s="4"/>
      <c r="J9" s="45"/>
    </row>
    <row r="10" spans="1:13" ht="14.4" thickTop="1">
      <c r="B10" s="44"/>
      <c r="C10" s="4"/>
      <c r="D10" s="4"/>
      <c r="E10" s="4"/>
      <c r="F10" s="4"/>
      <c r="G10" s="4"/>
      <c r="H10" s="4"/>
      <c r="I10" s="4"/>
      <c r="J10" s="45"/>
    </row>
    <row r="11" spans="1:13">
      <c r="B11" s="44" t="s">
        <v>3</v>
      </c>
      <c r="C11" s="79">
        <v>12972.1</v>
      </c>
      <c r="D11" s="79">
        <v>14084.643</v>
      </c>
      <c r="E11" s="79">
        <v>14873.782999999999</v>
      </c>
      <c r="F11" s="63">
        <f>F14*F15*12/1000</f>
        <v>17720.710348275468</v>
      </c>
      <c r="G11" s="63">
        <f t="shared" ref="G11:J11" si="8">G14*G15*12/1000</f>
        <v>20818.13426938569</v>
      </c>
      <c r="H11" s="63">
        <f t="shared" si="8"/>
        <v>24456.960581173735</v>
      </c>
      <c r="I11" s="63">
        <f t="shared" si="8"/>
        <v>28731.821647854918</v>
      </c>
      <c r="J11" s="64">
        <f t="shared" si="8"/>
        <v>33753.890736513036</v>
      </c>
      <c r="K11" s="155">
        <f>SUM(C11:J11)</f>
        <v>167412.04358320287</v>
      </c>
    </row>
    <row r="12" spans="1:13">
      <c r="B12" s="44" t="s">
        <v>20</v>
      </c>
      <c r="C12" s="79">
        <v>1279</v>
      </c>
      <c r="D12" s="112">
        <v>-919</v>
      </c>
      <c r="E12" s="79">
        <v>5832</v>
      </c>
      <c r="F12" s="63">
        <f>E13*F17</f>
        <v>6289.7934747496502</v>
      </c>
      <c r="G12" s="63">
        <f t="shared" ref="G12:J12" si="9">F13*G17</f>
        <v>6783.5222830938401</v>
      </c>
      <c r="H12" s="63">
        <f t="shared" si="9"/>
        <v>7316.0072345717572</v>
      </c>
      <c r="I12" s="63">
        <f t="shared" si="9"/>
        <v>7890.2905633111577</v>
      </c>
      <c r="J12" s="64">
        <f t="shared" si="9"/>
        <v>8509.6533091552228</v>
      </c>
    </row>
    <row r="13" spans="1:13">
      <c r="B13" s="44" t="s">
        <v>21</v>
      </c>
      <c r="C13" s="79">
        <v>75215</v>
      </c>
      <c r="D13" s="79">
        <v>74296</v>
      </c>
      <c r="E13" s="79">
        <v>80128</v>
      </c>
      <c r="F13" s="63">
        <f>E13+F12</f>
        <v>86417.793474749647</v>
      </c>
      <c r="G13" s="63">
        <f t="shared" ref="G13:J13" si="10">F13+G12</f>
        <v>93201.315757843491</v>
      </c>
      <c r="H13" s="63">
        <f t="shared" si="10"/>
        <v>100517.32299241525</v>
      </c>
      <c r="I13" s="63">
        <f t="shared" si="10"/>
        <v>108407.61355572641</v>
      </c>
      <c r="J13" s="64">
        <f t="shared" si="10"/>
        <v>116917.26686488163</v>
      </c>
    </row>
    <row r="14" spans="1:13">
      <c r="B14" s="44" t="s">
        <v>22</v>
      </c>
      <c r="C14" s="79">
        <v>74234</v>
      </c>
      <c r="D14" s="79">
        <v>74001</v>
      </c>
      <c r="E14" s="79">
        <v>76126</v>
      </c>
      <c r="F14" s="38">
        <f>AVERAGE(E13:F13)</f>
        <v>83272.896737374831</v>
      </c>
      <c r="G14" s="38">
        <f t="shared" ref="G14:J14" si="11">AVERAGE(F13:G13)</f>
        <v>89809.554616296577</v>
      </c>
      <c r="H14" s="38">
        <f t="shared" si="11"/>
        <v>96859.319375129373</v>
      </c>
      <c r="I14" s="38">
        <f t="shared" si="11"/>
        <v>104462.46827407082</v>
      </c>
      <c r="J14" s="65">
        <f t="shared" si="11"/>
        <v>112662.44021030402</v>
      </c>
    </row>
    <row r="15" spans="1:13">
      <c r="B15" s="44" t="s">
        <v>23</v>
      </c>
      <c r="C15" s="112">
        <v>14.56</v>
      </c>
      <c r="D15" s="112">
        <v>15.86</v>
      </c>
      <c r="E15" s="112">
        <v>16.28</v>
      </c>
      <c r="F15" s="30">
        <f>E15*(1+F18)</f>
        <v>17.733571428571427</v>
      </c>
      <c r="G15" s="30">
        <f t="shared" ref="G15:J15" si="12">F15*(1+G18)</f>
        <v>19.316926020408161</v>
      </c>
      <c r="H15" s="30">
        <f t="shared" si="12"/>
        <v>21.041651557944601</v>
      </c>
      <c r="I15" s="30">
        <f t="shared" si="12"/>
        <v>22.920370447046796</v>
      </c>
      <c r="J15" s="115">
        <f t="shared" si="12"/>
        <v>24.966832094104543</v>
      </c>
    </row>
    <row r="16" spans="1:13">
      <c r="B16" s="44"/>
      <c r="C16" s="112"/>
      <c r="D16" s="112"/>
      <c r="E16" s="112"/>
      <c r="F16" s="4"/>
      <c r="G16" s="4"/>
      <c r="H16" s="4"/>
      <c r="I16" s="4"/>
      <c r="J16" s="45"/>
    </row>
    <row r="17" spans="1:11">
      <c r="B17" s="44" t="s">
        <v>28</v>
      </c>
      <c r="C17" s="112"/>
      <c r="D17" s="126">
        <f>D12/C13</f>
        <v>-1.2218307518447118E-2</v>
      </c>
      <c r="E17" s="126">
        <f>E12/D13</f>
        <v>7.8496823516743836E-2</v>
      </c>
      <c r="F17" s="123">
        <f>'Scenario '!F9</f>
        <v>7.8496823516743836E-2</v>
      </c>
      <c r="G17" s="123">
        <f>'Scenario '!G9</f>
        <v>7.8496823516743836E-2</v>
      </c>
      <c r="H17" s="123">
        <f>'Scenario '!H9</f>
        <v>7.8496823516743836E-2</v>
      </c>
      <c r="I17" s="123">
        <f>'Scenario '!I9</f>
        <v>7.8496823516743836E-2</v>
      </c>
      <c r="J17" s="124">
        <f>'Scenario '!J9</f>
        <v>7.8496823516743836E-2</v>
      </c>
    </row>
    <row r="18" spans="1:11">
      <c r="B18" s="44" t="s">
        <v>29</v>
      </c>
      <c r="C18" s="112"/>
      <c r="D18" s="125">
        <f>D15/C15-1</f>
        <v>8.9285714285714191E-2</v>
      </c>
      <c r="E18" s="125">
        <f t="shared" ref="E18" si="13">E15/D15-1</f>
        <v>2.6481715006305251E-2</v>
      </c>
      <c r="F18" s="123">
        <f>'Scenario '!F15</f>
        <v>8.9285714285714191E-2</v>
      </c>
      <c r="G18" s="123">
        <f>'Scenario '!G15</f>
        <v>8.9285714285714191E-2</v>
      </c>
      <c r="H18" s="123">
        <f>'Scenario '!H15</f>
        <v>8.9285714285714191E-2</v>
      </c>
      <c r="I18" s="123">
        <f>'Scenario '!I15</f>
        <v>8.9285714285714191E-2</v>
      </c>
      <c r="J18" s="124">
        <f>'Scenario '!J15</f>
        <v>8.9285714285714191E-2</v>
      </c>
    </row>
    <row r="19" spans="1:11">
      <c r="B19" s="44"/>
      <c r="C19" s="112"/>
      <c r="D19" s="112"/>
      <c r="E19" s="112"/>
      <c r="F19" s="4"/>
      <c r="G19" s="4"/>
      <c r="H19" s="4"/>
      <c r="I19" s="4"/>
      <c r="J19" s="45"/>
    </row>
    <row r="20" spans="1:11" ht="14.4" thickBot="1">
      <c r="B20" s="144" t="s">
        <v>24</v>
      </c>
      <c r="C20" s="112"/>
      <c r="D20" s="112"/>
      <c r="E20" s="112"/>
      <c r="F20" s="4"/>
      <c r="G20" s="4"/>
      <c r="H20" s="4"/>
      <c r="I20" s="4"/>
      <c r="J20" s="45"/>
    </row>
    <row r="21" spans="1:11" ht="14.4" thickTop="1">
      <c r="B21" s="44"/>
      <c r="C21" s="112"/>
      <c r="D21" s="112"/>
      <c r="E21" s="112"/>
      <c r="F21" s="4"/>
      <c r="G21" s="4"/>
      <c r="H21" s="4"/>
      <c r="I21" s="4"/>
      <c r="J21" s="45"/>
    </row>
    <row r="22" spans="1:11">
      <c r="B22" s="44" t="s">
        <v>3</v>
      </c>
      <c r="C22" s="79">
        <v>9699.8189999999995</v>
      </c>
      <c r="D22" s="79">
        <v>9745.0149999999994</v>
      </c>
      <c r="E22" s="79">
        <v>10556.486999999999</v>
      </c>
      <c r="F22" s="63">
        <f>F25*F26*12/1000</f>
        <v>12360.551434054656</v>
      </c>
      <c r="G22" s="63">
        <f t="shared" ref="G22:J22" si="14">G25*G26*12/1000</f>
        <v>14150.985954778567</v>
      </c>
      <c r="H22" s="63">
        <f t="shared" si="14"/>
        <v>16200.76616813621</v>
      </c>
      <c r="I22" s="63">
        <f t="shared" si="14"/>
        <v>18547.458479103116</v>
      </c>
      <c r="J22" s="64">
        <f t="shared" si="14"/>
        <v>21234.070812691072</v>
      </c>
      <c r="K22" s="155">
        <f>SUM(C22:J22)</f>
        <v>112495.15384876363</v>
      </c>
    </row>
    <row r="23" spans="1:11">
      <c r="B23" s="44" t="s">
        <v>20</v>
      </c>
      <c r="C23" s="79">
        <v>7338</v>
      </c>
      <c r="D23" s="79">
        <v>2693</v>
      </c>
      <c r="E23" s="79">
        <v>12084</v>
      </c>
      <c r="F23" s="63">
        <f>E24*F28</f>
        <v>13987.101252459956</v>
      </c>
      <c r="G23" s="63">
        <f t="shared" ref="G23:J23" si="15">F24*G28</f>
        <v>16189.920675816522</v>
      </c>
      <c r="H23" s="63">
        <f t="shared" si="15"/>
        <v>18739.660688674332</v>
      </c>
      <c r="I23" s="63">
        <f t="shared" si="15"/>
        <v>21690.957587655688</v>
      </c>
      <c r="J23" s="64">
        <f t="shared" si="15"/>
        <v>25107.052303984994</v>
      </c>
    </row>
    <row r="24" spans="1:11">
      <c r="B24" s="44" t="s">
        <v>21</v>
      </c>
      <c r="C24" s="79">
        <v>74036</v>
      </c>
      <c r="D24" s="79">
        <v>76729</v>
      </c>
      <c r="E24" s="79">
        <v>88813</v>
      </c>
      <c r="F24" s="63">
        <f>E24+F23</f>
        <v>102800.10125245995</v>
      </c>
      <c r="G24" s="63">
        <f t="shared" ref="G24" si="16">F24+G23</f>
        <v>118990.02192827647</v>
      </c>
      <c r="H24" s="63">
        <f t="shared" ref="H24" si="17">G24+H23</f>
        <v>137729.6826169508</v>
      </c>
      <c r="I24" s="63">
        <f t="shared" ref="I24" si="18">H24+I23</f>
        <v>159420.64020460649</v>
      </c>
      <c r="J24" s="64">
        <f t="shared" ref="J24" si="19">I24+J23</f>
        <v>184527.69250859148</v>
      </c>
    </row>
    <row r="25" spans="1:11">
      <c r="B25" s="44" t="s">
        <v>22</v>
      </c>
      <c r="C25" s="79">
        <v>69518</v>
      </c>
      <c r="D25" s="79">
        <v>73904</v>
      </c>
      <c r="E25" s="79">
        <v>80928</v>
      </c>
      <c r="F25" s="38">
        <f>AVERAGE(E24:F24)</f>
        <v>95806.550626229975</v>
      </c>
      <c r="G25" s="38">
        <f t="shared" ref="G25" si="20">AVERAGE(F24:G24)</f>
        <v>110895.06159036822</v>
      </c>
      <c r="H25" s="38">
        <f t="shared" ref="H25" si="21">AVERAGE(G24:H24)</f>
        <v>128359.85227261364</v>
      </c>
      <c r="I25" s="38">
        <f t="shared" ref="I25" si="22">AVERAGE(H24:I24)</f>
        <v>148575.16141077864</v>
      </c>
      <c r="J25" s="65">
        <f t="shared" ref="J25" si="23">AVERAGE(I24:J24)</f>
        <v>171974.16635659899</v>
      </c>
    </row>
    <row r="26" spans="1:11">
      <c r="B26" s="44" t="s">
        <v>23</v>
      </c>
      <c r="C26" s="112">
        <v>11.63</v>
      </c>
      <c r="D26" s="112">
        <v>10.99</v>
      </c>
      <c r="E26" s="112">
        <v>10.87</v>
      </c>
      <c r="F26" s="30">
        <f>E26*(1+F29)</f>
        <v>10.751310282074611</v>
      </c>
      <c r="G26" s="30">
        <f t="shared" ref="G26:J26" si="24">F26*(1+G29)</f>
        <v>10.633916539231212</v>
      </c>
      <c r="H26" s="30">
        <f t="shared" si="24"/>
        <v>10.517804620695474</v>
      </c>
      <c r="I26" s="30">
        <f t="shared" si="24"/>
        <v>10.402960530205622</v>
      </c>
      <c r="J26" s="115">
        <f t="shared" si="24"/>
        <v>10.289370424325305</v>
      </c>
    </row>
    <row r="27" spans="1:11">
      <c r="B27" s="44"/>
      <c r="C27" s="112"/>
      <c r="D27" s="112"/>
      <c r="E27" s="112"/>
      <c r="F27" s="4"/>
      <c r="G27" s="4"/>
      <c r="H27" s="4"/>
      <c r="I27" s="4"/>
      <c r="J27" s="45"/>
    </row>
    <row r="28" spans="1:11">
      <c r="B28" s="44" t="s">
        <v>28</v>
      </c>
      <c r="C28" s="112"/>
      <c r="D28" s="126">
        <f>D23/C24</f>
        <v>3.6374196336917172E-2</v>
      </c>
      <c r="E28" s="126">
        <f>E23/D24</f>
        <v>0.15748934561899672</v>
      </c>
      <c r="F28" s="123">
        <f>'Scenario '!F24</f>
        <v>0.15748934561899672</v>
      </c>
      <c r="G28" s="123">
        <f>'Scenario '!G24</f>
        <v>0.15748934561899672</v>
      </c>
      <c r="H28" s="123">
        <f>'Scenario '!H24</f>
        <v>0.15748934561899672</v>
      </c>
      <c r="I28" s="123">
        <f>'Scenario '!I24</f>
        <v>0.15748934561899672</v>
      </c>
      <c r="J28" s="124">
        <f>'Scenario '!J24</f>
        <v>0.15748934561899672</v>
      </c>
    </row>
    <row r="29" spans="1:11">
      <c r="B29" s="44" t="s">
        <v>29</v>
      </c>
      <c r="C29" s="112"/>
      <c r="D29" s="125">
        <f>D26/C26-1</f>
        <v>-5.5030094582975142E-2</v>
      </c>
      <c r="E29" s="125">
        <f t="shared" ref="E29" si="25">E26/D26-1</f>
        <v>-1.0919017288444133E-2</v>
      </c>
      <c r="F29" s="123">
        <f>'Scenario '!F30</f>
        <v>-1.0919017288444133E-2</v>
      </c>
      <c r="G29" s="123">
        <f>'Scenario '!G30</f>
        <v>-1.0919017288444133E-2</v>
      </c>
      <c r="H29" s="123">
        <f>'Scenario '!H30</f>
        <v>-1.0919017288444133E-2</v>
      </c>
      <c r="I29" s="123">
        <f>'Scenario '!I30</f>
        <v>-1.0919017288444133E-2</v>
      </c>
      <c r="J29" s="124">
        <f>'Scenario '!J30</f>
        <v>-1.0919017288444133E-2</v>
      </c>
    </row>
    <row r="30" spans="1:11">
      <c r="A30" s="1" t="s">
        <v>1</v>
      </c>
      <c r="B30" s="44"/>
      <c r="C30" s="112"/>
      <c r="D30" s="112"/>
      <c r="E30" s="112"/>
      <c r="F30" s="4"/>
      <c r="G30" s="4"/>
      <c r="H30" s="4"/>
      <c r="I30" s="4"/>
      <c r="J30" s="45"/>
    </row>
    <row r="31" spans="1:11" ht="14.4" thickBot="1">
      <c r="B31" s="144" t="s">
        <v>25</v>
      </c>
      <c r="C31" s="112"/>
      <c r="D31" s="112"/>
      <c r="E31" s="112"/>
      <c r="F31" s="4"/>
      <c r="G31" s="4"/>
      <c r="H31" s="4"/>
      <c r="I31" s="4"/>
      <c r="J31" s="45"/>
    </row>
    <row r="32" spans="1:11" ht="14.4" thickTop="1">
      <c r="B32" s="44"/>
      <c r="C32" s="112"/>
      <c r="D32" s="112"/>
      <c r="E32" s="112"/>
      <c r="F32" s="4"/>
      <c r="G32" s="4"/>
      <c r="H32" s="4"/>
      <c r="I32" s="4"/>
      <c r="J32" s="45"/>
    </row>
    <row r="33" spans="2:11">
      <c r="B33" s="44" t="s">
        <v>3</v>
      </c>
      <c r="C33" s="79">
        <v>3576.9760000000001</v>
      </c>
      <c r="D33" s="79">
        <v>4069.973</v>
      </c>
      <c r="E33" s="79">
        <v>4446.4610000000002</v>
      </c>
      <c r="F33" s="63">
        <f>F36*F37*12/1000</f>
        <v>5514.0303546319283</v>
      </c>
      <c r="G33" s="63">
        <f t="shared" ref="G33:J33" si="26">G36*G37*12/1000</f>
        <v>6672.5122225285677</v>
      </c>
      <c r="H33" s="63">
        <f t="shared" si="26"/>
        <v>8074.3877883068117</v>
      </c>
      <c r="I33" s="63">
        <f t="shared" si="26"/>
        <v>9770.7933656286441</v>
      </c>
      <c r="J33" s="64">
        <f t="shared" si="26"/>
        <v>11823.608860113014</v>
      </c>
      <c r="K33" s="155">
        <f>SUM(C33:J33)</f>
        <v>53948.742591208967</v>
      </c>
    </row>
    <row r="34" spans="2:11">
      <c r="B34" s="44" t="s">
        <v>26</v>
      </c>
      <c r="C34" s="79">
        <v>2424</v>
      </c>
      <c r="D34" s="79">
        <v>1738</v>
      </c>
      <c r="E34" s="79">
        <v>4298</v>
      </c>
      <c r="F34" s="63">
        <f>E35*F39</f>
        <v>4741.0035252643947</v>
      </c>
      <c r="G34" s="63">
        <f t="shared" ref="G34:J34" si="27">F35*G39</f>
        <v>5229.6683170240622</v>
      </c>
      <c r="H34" s="63">
        <f t="shared" si="27"/>
        <v>5768.7007740750569</v>
      </c>
      <c r="I34" s="63">
        <f t="shared" si="27"/>
        <v>6363.2923932259864</v>
      </c>
      <c r="J34" s="64">
        <f t="shared" si="27"/>
        <v>7019.1697693281776</v>
      </c>
    </row>
    <row r="35" spans="2:11">
      <c r="B35" s="44" t="s">
        <v>21</v>
      </c>
      <c r="C35" s="79">
        <v>39961</v>
      </c>
      <c r="D35" s="79">
        <v>41699</v>
      </c>
      <c r="E35" s="79">
        <v>45997</v>
      </c>
      <c r="F35" s="63">
        <f>E35+F34</f>
        <v>50738.003525264394</v>
      </c>
      <c r="G35" s="63">
        <f t="shared" ref="G35" si="28">F35+G34</f>
        <v>55967.671842288459</v>
      </c>
      <c r="H35" s="63">
        <f t="shared" ref="H35" si="29">G35+H34</f>
        <v>61736.372616363515</v>
      </c>
      <c r="I35" s="63">
        <f t="shared" ref="I35" si="30">H35+I34</f>
        <v>68099.665009589502</v>
      </c>
      <c r="J35" s="64">
        <f t="shared" ref="J35" si="31">I35+J34</f>
        <v>75118.834778917677</v>
      </c>
    </row>
    <row r="36" spans="2:11">
      <c r="B36" s="44" t="s">
        <v>22</v>
      </c>
      <c r="C36" s="79">
        <v>38573</v>
      </c>
      <c r="D36" s="79">
        <v>40000</v>
      </c>
      <c r="E36" s="79">
        <v>42802</v>
      </c>
      <c r="F36" s="38">
        <f>AVERAGE(E35:F35)</f>
        <v>48367.501762632193</v>
      </c>
      <c r="G36" s="38">
        <f t="shared" ref="G36" si="32">AVERAGE(F35:G35)</f>
        <v>53352.837683776423</v>
      </c>
      <c r="H36" s="38">
        <f t="shared" ref="H36" si="33">AVERAGE(G35:H35)</f>
        <v>58852.022229325987</v>
      </c>
      <c r="I36" s="38">
        <f t="shared" ref="I36" si="34">AVERAGE(H35:I35)</f>
        <v>64918.018812976508</v>
      </c>
      <c r="J36" s="65">
        <f t="shared" ref="J36" si="35">AVERAGE(I35:J35)</f>
        <v>71609.249894253589</v>
      </c>
    </row>
    <row r="37" spans="2:11">
      <c r="B37" s="44" t="s">
        <v>23</v>
      </c>
      <c r="C37" s="112">
        <v>7.73</v>
      </c>
      <c r="D37" s="112">
        <v>8.48</v>
      </c>
      <c r="E37" s="112">
        <v>8.66</v>
      </c>
      <c r="F37" s="30">
        <f>E37*(1+F40)</f>
        <v>9.5002328589909446</v>
      </c>
      <c r="G37" s="30">
        <f t="shared" ref="G37:J37" si="36">F37*(1+G40)</f>
        <v>10.421988957858112</v>
      </c>
      <c r="H37" s="30">
        <f t="shared" si="36"/>
        <v>11.433178054674874</v>
      </c>
      <c r="I37" s="30">
        <f t="shared" si="36"/>
        <v>12.542477348466097</v>
      </c>
      <c r="J37" s="115">
        <f t="shared" si="36"/>
        <v>13.75940593984379</v>
      </c>
    </row>
    <row r="38" spans="2:11">
      <c r="B38" s="44"/>
      <c r="C38" s="112"/>
      <c r="D38" s="112"/>
      <c r="E38" s="112"/>
      <c r="F38" s="4"/>
      <c r="G38" s="4"/>
      <c r="H38" s="4"/>
      <c r="I38" s="4"/>
      <c r="J38" s="45"/>
    </row>
    <row r="39" spans="2:11">
      <c r="B39" s="44" t="s">
        <v>28</v>
      </c>
      <c r="C39" s="112"/>
      <c r="D39" s="126">
        <f>D34/C35</f>
        <v>4.3492405094967594E-2</v>
      </c>
      <c r="E39" s="126">
        <f>E34/D35</f>
        <v>0.10307201611549438</v>
      </c>
      <c r="F39" s="123">
        <f>'Scenario '!F39</f>
        <v>0.10307201611549438</v>
      </c>
      <c r="G39" s="123">
        <f>'Scenario '!G39</f>
        <v>0.10307201611549438</v>
      </c>
      <c r="H39" s="123">
        <f>'Scenario '!H39</f>
        <v>0.10307201611549438</v>
      </c>
      <c r="I39" s="123">
        <f>'Scenario '!I39</f>
        <v>0.10307201611549438</v>
      </c>
      <c r="J39" s="124">
        <f>'Scenario '!J39</f>
        <v>0.10307201611549438</v>
      </c>
    </row>
    <row r="40" spans="2:11">
      <c r="B40" s="44" t="s">
        <v>29</v>
      </c>
      <c r="C40" s="112"/>
      <c r="D40" s="125">
        <f>D37/C37-1</f>
        <v>9.70245795601552E-2</v>
      </c>
      <c r="E40" s="125">
        <f t="shared" ref="E40" si="37">E37/D37-1</f>
        <v>2.1226415094339535E-2</v>
      </c>
      <c r="F40" s="123">
        <f>'Scenario '!F45</f>
        <v>9.70245795601552E-2</v>
      </c>
      <c r="G40" s="123">
        <f>'Scenario '!G45</f>
        <v>9.70245795601552E-2</v>
      </c>
      <c r="H40" s="123">
        <f>'Scenario '!H45</f>
        <v>9.70245795601552E-2</v>
      </c>
      <c r="I40" s="123">
        <f>'Scenario '!I45</f>
        <v>9.70245795601552E-2</v>
      </c>
      <c r="J40" s="124">
        <f>'Scenario '!J45</f>
        <v>9.70245795601552E-2</v>
      </c>
    </row>
    <row r="41" spans="2:11">
      <c r="B41" s="44"/>
      <c r="C41" s="112"/>
      <c r="D41" s="112"/>
      <c r="E41" s="112"/>
      <c r="F41" s="4"/>
      <c r="G41" s="4"/>
      <c r="H41" s="4"/>
      <c r="I41" s="4"/>
      <c r="J41" s="45"/>
    </row>
    <row r="42" spans="2:11" ht="14.4" thickBot="1">
      <c r="B42" s="144" t="s">
        <v>27</v>
      </c>
      <c r="C42" s="112"/>
      <c r="D42" s="112"/>
      <c r="E42" s="112"/>
      <c r="F42" s="4"/>
      <c r="G42" s="4"/>
      <c r="H42" s="4"/>
      <c r="I42" s="4"/>
      <c r="J42" s="45"/>
    </row>
    <row r="43" spans="2:11" ht="14.4" thickTop="1">
      <c r="B43" s="44"/>
      <c r="C43" s="112"/>
      <c r="D43" s="112"/>
      <c r="E43" s="112"/>
      <c r="F43" s="4"/>
      <c r="G43" s="4"/>
      <c r="H43" s="4"/>
      <c r="I43" s="4"/>
      <c r="J43" s="45"/>
    </row>
    <row r="44" spans="2:11">
      <c r="B44" s="44" t="s">
        <v>3</v>
      </c>
      <c r="C44" s="79">
        <v>3266.6010000000001</v>
      </c>
      <c r="D44" s="79">
        <v>3570.221</v>
      </c>
      <c r="E44" s="79">
        <v>3763.7269999999999</v>
      </c>
      <c r="F44" s="63">
        <f>F47*F48*12/1000</f>
        <v>4095.4151846591831</v>
      </c>
      <c r="G44" s="63">
        <f t="shared" ref="G44:J44" si="38">G47*G48*12/1000</f>
        <v>4389.2300883690395</v>
      </c>
      <c r="H44" s="63">
        <f t="shared" si="38"/>
        <v>4704.1239776638995</v>
      </c>
      <c r="I44" s="63">
        <f t="shared" si="38"/>
        <v>5041.609109504463</v>
      </c>
      <c r="J44" s="64">
        <f t="shared" si="38"/>
        <v>5403.3062337912825</v>
      </c>
      <c r="K44" s="155">
        <f>SUM(C44:J44)</f>
        <v>34234.233593987869</v>
      </c>
    </row>
    <row r="45" spans="2:11">
      <c r="B45" s="44" t="s">
        <v>26</v>
      </c>
      <c r="C45" s="79">
        <v>7140</v>
      </c>
      <c r="D45" s="79">
        <v>5391</v>
      </c>
      <c r="E45" s="79">
        <v>7315</v>
      </c>
      <c r="F45" s="63">
        <f>E46*F50</f>
        <v>8722.2857217999644</v>
      </c>
      <c r="G45" s="63">
        <f t="shared" ref="G45:J45" si="39">F46*G50</f>
        <v>10400.310076926249</v>
      </c>
      <c r="H45" s="63">
        <f t="shared" si="39"/>
        <v>12401.158726762282</v>
      </c>
      <c r="I45" s="63">
        <f t="shared" si="39"/>
        <v>14786.93775751383</v>
      </c>
      <c r="J45" s="64">
        <f t="shared" si="39"/>
        <v>17631.701445182181</v>
      </c>
    </row>
    <row r="46" spans="2:11">
      <c r="B46" s="44" t="s">
        <v>21</v>
      </c>
      <c r="C46" s="79">
        <v>32632</v>
      </c>
      <c r="D46" s="79">
        <v>38023</v>
      </c>
      <c r="E46" s="79">
        <v>45338</v>
      </c>
      <c r="F46" s="63">
        <f>E46+F45</f>
        <v>54060.285721799963</v>
      </c>
      <c r="G46" s="63">
        <f t="shared" ref="G46" si="40">F46+G45</f>
        <v>64460.595798726208</v>
      </c>
      <c r="H46" s="63">
        <f t="shared" ref="H46" si="41">G46+H45</f>
        <v>76861.75452548849</v>
      </c>
      <c r="I46" s="63">
        <f t="shared" ref="I46" si="42">H46+I45</f>
        <v>91648.692283002325</v>
      </c>
      <c r="J46" s="64">
        <f t="shared" ref="J46" si="43">I46+J45</f>
        <v>109280.39372818451</v>
      </c>
    </row>
    <row r="47" spans="2:11">
      <c r="B47" s="44" t="s">
        <v>22</v>
      </c>
      <c r="C47" s="79">
        <v>28461</v>
      </c>
      <c r="D47" s="79">
        <v>35019</v>
      </c>
      <c r="E47" s="79">
        <v>41033</v>
      </c>
      <c r="F47" s="38">
        <f>AVERAGE(E46:F46)</f>
        <v>49699.142860899985</v>
      </c>
      <c r="G47" s="38">
        <f t="shared" ref="G47" si="44">AVERAGE(F46:G46)</f>
        <v>59260.440760263082</v>
      </c>
      <c r="H47" s="38">
        <f t="shared" ref="H47" si="45">AVERAGE(G46:H46)</f>
        <v>70661.175162107349</v>
      </c>
      <c r="I47" s="38">
        <f t="shared" ref="I47" si="46">AVERAGE(H46:I46)</f>
        <v>84255.223404245407</v>
      </c>
      <c r="J47" s="65">
        <f t="shared" ref="J47" si="47">AVERAGE(I46:J46)</f>
        <v>100464.54300559341</v>
      </c>
    </row>
    <row r="48" spans="2:11">
      <c r="B48" s="44" t="s">
        <v>23</v>
      </c>
      <c r="C48" s="112">
        <v>9.56</v>
      </c>
      <c r="D48" s="112">
        <v>8.5</v>
      </c>
      <c r="E48" s="112">
        <v>7.64</v>
      </c>
      <c r="F48" s="30">
        <f>E48*(1+F51)</f>
        <v>6.8670117647058824</v>
      </c>
      <c r="G48" s="30">
        <f t="shared" ref="G48:J48" si="48">F48*(1+G51)</f>
        <v>6.1722317508650519</v>
      </c>
      <c r="H48" s="30">
        <f t="shared" si="48"/>
        <v>5.5477471266598819</v>
      </c>
      <c r="I48" s="30">
        <f t="shared" si="48"/>
        <v>4.9864456526684116</v>
      </c>
      <c r="J48" s="115">
        <f t="shared" si="48"/>
        <v>4.4819346807513725</v>
      </c>
    </row>
    <row r="49" spans="2:10">
      <c r="B49" s="44"/>
      <c r="C49" s="4"/>
      <c r="D49" s="4"/>
      <c r="E49" s="4"/>
      <c r="F49" s="4"/>
      <c r="G49" s="4"/>
      <c r="H49" s="4"/>
      <c r="I49" s="4"/>
      <c r="J49" s="45"/>
    </row>
    <row r="50" spans="2:10">
      <c r="B50" s="44" t="s">
        <v>28</v>
      </c>
      <c r="C50" s="4"/>
      <c r="D50" s="126">
        <f>D45/C46</f>
        <v>0.1652059328266732</v>
      </c>
      <c r="E50" s="126">
        <f>E45/D46</f>
        <v>0.19238355732056914</v>
      </c>
      <c r="F50" s="123">
        <f>'Scenario '!F54</f>
        <v>0.19238355732056914</v>
      </c>
      <c r="G50" s="123">
        <f>'Scenario '!G54</f>
        <v>0.19238355732056914</v>
      </c>
      <c r="H50" s="123">
        <f>'Scenario '!H54</f>
        <v>0.19238355732056914</v>
      </c>
      <c r="I50" s="123">
        <f>'Scenario '!I54</f>
        <v>0.19238355732056914</v>
      </c>
      <c r="J50" s="124">
        <f>'Scenario '!J54</f>
        <v>0.19238355732056914</v>
      </c>
    </row>
    <row r="51" spans="2:10" ht="14.4" thickBot="1">
      <c r="B51" s="52" t="s">
        <v>29</v>
      </c>
      <c r="C51" s="76"/>
      <c r="D51" s="138">
        <f>D48/C48-1</f>
        <v>-0.11087866108786615</v>
      </c>
      <c r="E51" s="138">
        <f t="shared" ref="E51" si="49">E48/D48-1</f>
        <v>-0.10117647058823531</v>
      </c>
      <c r="F51" s="127">
        <f>'Scenario '!F60</f>
        <v>-0.10117647058823531</v>
      </c>
      <c r="G51" s="127">
        <f>'Scenario '!G60</f>
        <v>-0.10117647058823531</v>
      </c>
      <c r="H51" s="127">
        <f>'Scenario '!H60</f>
        <v>-0.10117647058823531</v>
      </c>
      <c r="I51" s="127">
        <f>'Scenario '!I60</f>
        <v>-0.10117647058823531</v>
      </c>
      <c r="J51" s="128">
        <f>'Scenario '!J60</f>
        <v>-0.10117647058823531</v>
      </c>
    </row>
  </sheetData>
  <pageMargins left="0.7" right="0.7" top="0.75" bottom="0.75" header="0.3" footer="0.3"/>
  <pageSetup paperSize="9" scale="4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621C-BBC5-4410-ACA9-90DDE8401036}">
  <sheetPr>
    <tabColor theme="9" tint="0.39997558519241921"/>
    <pageSetUpPr fitToPage="1"/>
  </sheetPr>
  <dimension ref="A1:M89"/>
  <sheetViews>
    <sheetView showGridLines="0" zoomScaleNormal="100" workbookViewId="0">
      <pane ySplit="3" topLeftCell="A65" activePane="bottomLeft" state="frozen"/>
      <selection activeCell="D6" sqref="D6"/>
      <selection pane="bottomLeft" activeCell="L54" sqref="L54"/>
    </sheetView>
  </sheetViews>
  <sheetFormatPr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/>
  </cols>
  <sheetData>
    <row r="1" spans="1:13" ht="20.399999999999999">
      <c r="A1" s="9"/>
      <c r="B1" s="8" t="s">
        <v>127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 t="s">
        <v>1</v>
      </c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</row>
    <row r="4" spans="1:13" ht="14.4" thickBot="1"/>
    <row r="5" spans="1:13">
      <c r="B5" s="58" t="s">
        <v>128</v>
      </c>
      <c r="C5" s="59"/>
      <c r="D5" s="59"/>
      <c r="E5" s="59"/>
      <c r="F5" s="60">
        <f ca="1">SUM(CF!F20,CF!F25,CF!F27:F30)</f>
        <v>3757.0527371257608</v>
      </c>
      <c r="G5" s="60">
        <f ca="1">SUM(CF!G20,CF!G25,CF!G27:G30)</f>
        <v>5708.7321237824408</v>
      </c>
      <c r="H5" s="60">
        <f ca="1">SUM(CF!H20,CF!H25,CF!H27:H30)</f>
        <v>5456.4543924686095</v>
      </c>
      <c r="I5" s="60">
        <f ca="1">SUM(CF!I20,CF!I25,CF!I27:I30)</f>
        <v>5853.5943656886575</v>
      </c>
      <c r="J5" s="61">
        <f ca="1">SUM(CF!J20,CF!J25,CF!J27:J30)</f>
        <v>6370.3351271705687</v>
      </c>
    </row>
    <row r="6" spans="1:13">
      <c r="B6" s="44" t="s">
        <v>129</v>
      </c>
      <c r="C6" s="4"/>
      <c r="D6" s="4"/>
      <c r="E6" s="4"/>
      <c r="F6" s="63">
        <f>BS!E7</f>
        <v>7116.9129999999996</v>
      </c>
      <c r="G6" s="63">
        <f ca="1">BS!F7</f>
        <v>10473.96573712576</v>
      </c>
      <c r="H6" s="63">
        <f ca="1">BS!G7</f>
        <v>14363.6978609082</v>
      </c>
      <c r="I6" s="63">
        <f ca="1">BS!H7</f>
        <v>18820.152253376807</v>
      </c>
      <c r="J6" s="64">
        <f ca="1">BS!I7</f>
        <v>23239.746619065467</v>
      </c>
    </row>
    <row r="7" spans="1:13">
      <c r="B7" s="44" t="s">
        <v>130</v>
      </c>
      <c r="C7" s="4"/>
      <c r="D7" s="36">
        <v>0.05</v>
      </c>
      <c r="E7" s="4"/>
      <c r="F7" s="63">
        <f>-$D$7*IS!F5</f>
        <v>-1984.535366081062</v>
      </c>
      <c r="G7" s="63">
        <f>-$D$7*IS!G5</f>
        <v>-2301.5431267530935</v>
      </c>
      <c r="H7" s="63">
        <f>-$D$7*IS!H5</f>
        <v>-2671.8119257640328</v>
      </c>
      <c r="I7" s="63">
        <f>-$D$7*IS!I5</f>
        <v>-3104.5841301045575</v>
      </c>
      <c r="J7" s="64">
        <f>-$D$7*IS!J5</f>
        <v>-3610.7438321554205</v>
      </c>
    </row>
    <row r="8" spans="1:13" ht="14.4" thickBot="1">
      <c r="B8" s="105" t="s">
        <v>131</v>
      </c>
      <c r="C8" s="106"/>
      <c r="D8" s="106"/>
      <c r="E8" s="106"/>
      <c r="F8" s="107">
        <f ca="1">SUM(F5:F7)</f>
        <v>8889.4303710446984</v>
      </c>
      <c r="G8" s="107">
        <f t="shared" ref="G8:J8" ca="1" si="1">SUM(G5:G7)</f>
        <v>13881.154734155107</v>
      </c>
      <c r="H8" s="107">
        <f t="shared" ca="1" si="1"/>
        <v>17148.340327612776</v>
      </c>
      <c r="I8" s="107">
        <f t="shared" ca="1" si="1"/>
        <v>21569.162488960908</v>
      </c>
      <c r="J8" s="108">
        <f t="shared" ca="1" si="1"/>
        <v>25999.337914080614</v>
      </c>
    </row>
    <row r="10" spans="1:13" ht="14.4" thickBot="1">
      <c r="G10" s="1" t="s">
        <v>1</v>
      </c>
    </row>
    <row r="11" spans="1:13" ht="14.4" thickBot="1">
      <c r="B11" s="40" t="s">
        <v>139</v>
      </c>
      <c r="C11" s="41"/>
      <c r="D11" s="41"/>
      <c r="E11" s="41"/>
      <c r="F11" s="42"/>
      <c r="G11" s="42"/>
      <c r="H11" s="42"/>
      <c r="I11" s="42"/>
      <c r="J11" s="56"/>
    </row>
    <row r="12" spans="1:13" ht="14.4" thickTop="1">
      <c r="B12" s="44" t="s">
        <v>138</v>
      </c>
      <c r="C12" s="4"/>
      <c r="D12" s="4"/>
      <c r="E12" s="109">
        <v>0</v>
      </c>
      <c r="F12" s="4">
        <f>E50</f>
        <v>0</v>
      </c>
      <c r="G12" s="4">
        <f t="shared" ref="G12:J12" ca="1" si="2">F50</f>
        <v>0</v>
      </c>
      <c r="H12" s="4">
        <f t="shared" ca="1" si="2"/>
        <v>0</v>
      </c>
      <c r="I12" s="4">
        <f t="shared" ca="1" si="2"/>
        <v>0</v>
      </c>
      <c r="J12" s="45">
        <f t="shared" ca="1" si="2"/>
        <v>0</v>
      </c>
    </row>
    <row r="13" spans="1:13">
      <c r="B13" s="44" t="s">
        <v>133</v>
      </c>
      <c r="C13" s="110" t="s">
        <v>143</v>
      </c>
      <c r="D13" s="110" t="s">
        <v>144</v>
      </c>
      <c r="E13" s="4"/>
      <c r="F13" s="4"/>
      <c r="G13" s="4"/>
      <c r="H13" s="4"/>
      <c r="I13" s="4"/>
      <c r="J13" s="45"/>
    </row>
    <row r="14" spans="1:13">
      <c r="B14" s="44" t="s">
        <v>137</v>
      </c>
      <c r="C14" s="111">
        <v>5.7500000000000002E-2</v>
      </c>
      <c r="D14" s="112">
        <v>2024</v>
      </c>
      <c r="E14" s="4"/>
      <c r="F14" s="4">
        <f>E52</f>
        <v>400</v>
      </c>
      <c r="G14" s="4">
        <f t="shared" ref="G14:J14" si="3">F52</f>
        <v>0</v>
      </c>
      <c r="H14" s="4">
        <f t="shared" ca="1" si="3"/>
        <v>0</v>
      </c>
      <c r="I14" s="4">
        <f t="shared" ca="1" si="3"/>
        <v>0</v>
      </c>
      <c r="J14" s="45">
        <f t="shared" ca="1" si="3"/>
        <v>0</v>
      </c>
    </row>
    <row r="15" spans="1:13">
      <c r="B15" s="44" t="s">
        <v>137</v>
      </c>
      <c r="C15" s="111">
        <v>5.8749999999999997E-2</v>
      </c>
      <c r="D15" s="112">
        <v>2025</v>
      </c>
      <c r="E15" s="4"/>
      <c r="F15" s="4">
        <f t="shared" ref="F15:J27" si="4">E53</f>
        <v>800</v>
      </c>
      <c r="G15" s="4">
        <f t="shared" ca="1" si="4"/>
        <v>800</v>
      </c>
      <c r="H15" s="4">
        <f t="shared" ca="1" si="4"/>
        <v>0</v>
      </c>
      <c r="I15" s="4">
        <f t="shared" ca="1" si="4"/>
        <v>0</v>
      </c>
      <c r="J15" s="45">
        <f t="shared" ca="1" si="4"/>
        <v>0</v>
      </c>
    </row>
    <row r="16" spans="1:13">
      <c r="B16" s="44" t="s">
        <v>137</v>
      </c>
      <c r="C16" s="111">
        <v>0.03</v>
      </c>
      <c r="D16" s="112">
        <v>2025</v>
      </c>
      <c r="E16" s="4"/>
      <c r="F16" s="4">
        <f t="shared" si="4"/>
        <v>519</v>
      </c>
      <c r="G16" s="4">
        <f t="shared" ca="1" si="4"/>
        <v>519</v>
      </c>
      <c r="H16" s="4">
        <f t="shared" ca="1" si="4"/>
        <v>0</v>
      </c>
      <c r="I16" s="4">
        <f t="shared" ca="1" si="4"/>
        <v>0</v>
      </c>
      <c r="J16" s="45">
        <f t="shared" ca="1" si="4"/>
        <v>0</v>
      </c>
    </row>
    <row r="17" spans="2:10">
      <c r="B17" s="44" t="s">
        <v>137</v>
      </c>
      <c r="C17" s="111">
        <v>3.6249999999999998E-2</v>
      </c>
      <c r="D17" s="112">
        <v>2025</v>
      </c>
      <c r="E17" s="4"/>
      <c r="F17" s="4">
        <f t="shared" si="4"/>
        <v>500</v>
      </c>
      <c r="G17" s="4">
        <f t="shared" ca="1" si="4"/>
        <v>500</v>
      </c>
      <c r="H17" s="4">
        <f t="shared" ca="1" si="4"/>
        <v>0</v>
      </c>
      <c r="I17" s="4">
        <f t="shared" ca="1" si="4"/>
        <v>0</v>
      </c>
      <c r="J17" s="45">
        <f t="shared" ca="1" si="4"/>
        <v>0</v>
      </c>
    </row>
    <row r="18" spans="2:10">
      <c r="B18" s="44" t="s">
        <v>137</v>
      </c>
      <c r="C18" s="111">
        <v>4.3749999999999997E-2</v>
      </c>
      <c r="D18" s="112">
        <v>2026</v>
      </c>
      <c r="E18" s="38"/>
      <c r="F18" s="4">
        <f t="shared" si="4"/>
        <v>1000</v>
      </c>
      <c r="G18" s="4">
        <f t="shared" ca="1" si="4"/>
        <v>1000</v>
      </c>
      <c r="H18" s="4">
        <f t="shared" ca="1" si="4"/>
        <v>1000</v>
      </c>
      <c r="I18" s="4">
        <f t="shared" ca="1" si="4"/>
        <v>0</v>
      </c>
      <c r="J18" s="45">
        <f t="shared" ca="1" si="4"/>
        <v>0</v>
      </c>
    </row>
    <row r="19" spans="2:10">
      <c r="B19" s="44" t="s">
        <v>137</v>
      </c>
      <c r="C19" s="111">
        <v>3.6249999999999998E-2</v>
      </c>
      <c r="D19" s="112">
        <v>2027</v>
      </c>
      <c r="E19" s="38"/>
      <c r="F19" s="4">
        <f t="shared" si="4"/>
        <v>1434</v>
      </c>
      <c r="G19" s="4">
        <f t="shared" ca="1" si="4"/>
        <v>1434</v>
      </c>
      <c r="H19" s="4">
        <f t="shared" ca="1" si="4"/>
        <v>1434</v>
      </c>
      <c r="I19" s="4">
        <f t="shared" ca="1" si="4"/>
        <v>1434</v>
      </c>
      <c r="J19" s="45">
        <f t="shared" ca="1" si="4"/>
        <v>0</v>
      </c>
    </row>
    <row r="20" spans="2:10">
      <c r="B20" s="44" t="s">
        <v>137</v>
      </c>
      <c r="C20" s="111">
        <v>4.8750000000000002E-2</v>
      </c>
      <c r="D20" s="112">
        <v>2028</v>
      </c>
      <c r="E20" s="38"/>
      <c r="F20" s="4">
        <f t="shared" si="4"/>
        <v>1600</v>
      </c>
      <c r="G20" s="4">
        <f t="shared" ca="1" si="4"/>
        <v>1600</v>
      </c>
      <c r="H20" s="4">
        <f t="shared" ca="1" si="4"/>
        <v>1600</v>
      </c>
      <c r="I20" s="4">
        <f t="shared" ca="1" si="4"/>
        <v>1600</v>
      </c>
      <c r="J20" s="45">
        <f t="shared" ca="1" si="4"/>
        <v>1600</v>
      </c>
    </row>
    <row r="21" spans="2:10">
      <c r="B21" s="44" t="s">
        <v>137</v>
      </c>
      <c r="C21" s="111">
        <v>5.8749999999999997E-2</v>
      </c>
      <c r="D21" s="112">
        <v>2028</v>
      </c>
      <c r="E21" s="38"/>
      <c r="F21" s="4">
        <f t="shared" si="4"/>
        <v>1900</v>
      </c>
      <c r="G21" s="4">
        <f t="shared" ca="1" si="4"/>
        <v>1900</v>
      </c>
      <c r="H21" s="4">
        <f t="shared" ca="1" si="4"/>
        <v>1900</v>
      </c>
      <c r="I21" s="4">
        <f t="shared" ca="1" si="4"/>
        <v>1900</v>
      </c>
      <c r="J21" s="45">
        <f t="shared" ca="1" si="4"/>
        <v>1900</v>
      </c>
    </row>
    <row r="22" spans="2:10">
      <c r="B22" s="44" t="s">
        <v>137</v>
      </c>
      <c r="C22" s="111">
        <v>4.6249999999999999E-2</v>
      </c>
      <c r="D22" s="112">
        <v>2029</v>
      </c>
      <c r="E22" s="38"/>
      <c r="F22" s="4">
        <f t="shared" si="4"/>
        <v>1215</v>
      </c>
      <c r="G22" s="4">
        <f t="shared" ca="1" si="4"/>
        <v>1215</v>
      </c>
      <c r="H22" s="4">
        <f t="shared" ca="1" si="4"/>
        <v>1215</v>
      </c>
      <c r="I22" s="4">
        <f t="shared" ca="1" si="4"/>
        <v>1215</v>
      </c>
      <c r="J22" s="45">
        <f t="shared" ca="1" si="4"/>
        <v>1215</v>
      </c>
    </row>
    <row r="23" spans="2:10">
      <c r="B23" s="44" t="s">
        <v>137</v>
      </c>
      <c r="C23" s="111">
        <v>6.3750000000000001E-2</v>
      </c>
      <c r="D23" s="112">
        <v>2029</v>
      </c>
      <c r="E23" s="4"/>
      <c r="F23" s="4">
        <f t="shared" si="4"/>
        <v>800</v>
      </c>
      <c r="G23" s="4">
        <f t="shared" ca="1" si="4"/>
        <v>800</v>
      </c>
      <c r="H23" s="4">
        <f t="shared" ca="1" si="4"/>
        <v>800</v>
      </c>
      <c r="I23" s="4">
        <f t="shared" ca="1" si="4"/>
        <v>800</v>
      </c>
      <c r="J23" s="45">
        <f t="shared" ca="1" si="4"/>
        <v>800</v>
      </c>
    </row>
    <row r="24" spans="2:10">
      <c r="B24" s="44" t="s">
        <v>137</v>
      </c>
      <c r="C24" s="111">
        <v>3.875E-2</v>
      </c>
      <c r="D24" s="112">
        <v>2029</v>
      </c>
      <c r="E24" s="38"/>
      <c r="F24" s="4">
        <f t="shared" si="4"/>
        <v>1325</v>
      </c>
      <c r="G24" s="4">
        <f t="shared" ca="1" si="4"/>
        <v>1325</v>
      </c>
      <c r="H24" s="4">
        <f t="shared" ca="1" si="4"/>
        <v>1325</v>
      </c>
      <c r="I24" s="4">
        <f t="shared" ca="1" si="4"/>
        <v>1325</v>
      </c>
      <c r="J24" s="45">
        <f t="shared" ca="1" si="4"/>
        <v>1325</v>
      </c>
    </row>
    <row r="25" spans="2:10">
      <c r="B25" s="44" t="s">
        <v>137</v>
      </c>
      <c r="C25" s="111">
        <v>5.3749999999999999E-2</v>
      </c>
      <c r="D25" s="112">
        <v>2029</v>
      </c>
      <c r="E25" s="4"/>
      <c r="F25" s="4">
        <f t="shared" si="4"/>
        <v>900</v>
      </c>
      <c r="G25" s="4">
        <f t="shared" ca="1" si="4"/>
        <v>900</v>
      </c>
      <c r="H25" s="4">
        <f t="shared" ca="1" si="4"/>
        <v>900</v>
      </c>
      <c r="I25" s="4">
        <f t="shared" ca="1" si="4"/>
        <v>900</v>
      </c>
      <c r="J25" s="45">
        <f t="shared" ca="1" si="4"/>
        <v>900</v>
      </c>
    </row>
    <row r="26" spans="2:10">
      <c r="B26" s="44" t="s">
        <v>137</v>
      </c>
      <c r="C26" s="111">
        <v>3.6249999999999998E-2</v>
      </c>
      <c r="D26" s="112">
        <v>2030</v>
      </c>
      <c r="E26" s="38"/>
      <c r="F26" s="4">
        <f t="shared" si="4"/>
        <v>1215</v>
      </c>
      <c r="G26" s="4">
        <f t="shared" ca="1" si="4"/>
        <v>1215</v>
      </c>
      <c r="H26" s="4">
        <f t="shared" ca="1" si="4"/>
        <v>1215</v>
      </c>
      <c r="I26" s="4">
        <f t="shared" ca="1" si="4"/>
        <v>1215</v>
      </c>
      <c r="J26" s="45">
        <f t="shared" ca="1" si="4"/>
        <v>1215</v>
      </c>
    </row>
    <row r="27" spans="2:10" ht="14.4" thickBot="1">
      <c r="B27" s="52" t="s">
        <v>137</v>
      </c>
      <c r="C27" s="116">
        <v>4.8750000000000002E-2</v>
      </c>
      <c r="D27" s="117">
        <v>2030</v>
      </c>
      <c r="E27" s="89"/>
      <c r="F27" s="76">
        <f t="shared" si="4"/>
        <v>935</v>
      </c>
      <c r="G27" s="76">
        <f t="shared" ca="1" si="4"/>
        <v>935</v>
      </c>
      <c r="H27" s="76">
        <f t="shared" ca="1" si="4"/>
        <v>935</v>
      </c>
      <c r="I27" s="76">
        <f t="shared" ca="1" si="4"/>
        <v>935</v>
      </c>
      <c r="J27" s="54">
        <f t="shared" ca="1" si="4"/>
        <v>935</v>
      </c>
    </row>
    <row r="28" spans="2:10">
      <c r="B28" s="44"/>
      <c r="C28" s="4"/>
      <c r="D28" s="4"/>
      <c r="E28" s="4"/>
      <c r="F28" s="4"/>
      <c r="G28" s="4"/>
      <c r="H28" s="4"/>
      <c r="I28" s="4"/>
      <c r="J28" s="45"/>
    </row>
    <row r="29" spans="2:10" ht="14.4" thickBot="1">
      <c r="B29" s="44"/>
      <c r="C29" s="4"/>
      <c r="D29" s="4"/>
      <c r="E29" s="4"/>
      <c r="F29" s="4"/>
      <c r="G29" s="4"/>
      <c r="H29" s="4"/>
      <c r="I29" s="4"/>
      <c r="J29" s="45"/>
    </row>
    <row r="30" spans="2:10" ht="14.4" thickBot="1">
      <c r="B30" s="40" t="s">
        <v>121</v>
      </c>
      <c r="C30" s="41"/>
      <c r="D30" s="41"/>
      <c r="E30" s="41"/>
      <c r="F30" s="42"/>
      <c r="G30" s="42"/>
      <c r="H30" s="42"/>
      <c r="I30" s="42"/>
      <c r="J30" s="56"/>
    </row>
    <row r="31" spans="2:10" ht="14.4" thickTop="1">
      <c r="B31" s="44" t="s">
        <v>138</v>
      </c>
      <c r="C31" s="4"/>
      <c r="D31" s="4"/>
      <c r="E31" s="113">
        <v>0</v>
      </c>
      <c r="F31" s="109">
        <f ca="1">-MIN(F8+SUM(F33:F46),F12)</f>
        <v>0</v>
      </c>
      <c r="G31" s="38">
        <f t="shared" ref="G31:J31" ca="1" si="5">-MIN(G8+SUM(G33:G46),G12)</f>
        <v>0</v>
      </c>
      <c r="H31" s="38">
        <f t="shared" ca="1" si="5"/>
        <v>0</v>
      </c>
      <c r="I31" s="38">
        <f t="shared" ca="1" si="5"/>
        <v>0</v>
      </c>
      <c r="J31" s="65">
        <f t="shared" ca="1" si="5"/>
        <v>0</v>
      </c>
    </row>
    <row r="32" spans="2:10">
      <c r="B32" s="44" t="s">
        <v>133</v>
      </c>
      <c r="C32" s="110" t="s">
        <v>143</v>
      </c>
      <c r="D32" s="110" t="s">
        <v>144</v>
      </c>
      <c r="E32" s="4" t="s">
        <v>140</v>
      </c>
      <c r="F32" s="4" t="s">
        <v>146</v>
      </c>
      <c r="G32" s="4"/>
      <c r="H32" s="4"/>
      <c r="I32" s="4"/>
      <c r="J32" s="45"/>
    </row>
    <row r="33" spans="2:10">
      <c r="B33" s="44" t="s">
        <v>137</v>
      </c>
      <c r="C33" s="111">
        <v>5.7500000000000002E-2</v>
      </c>
      <c r="D33" s="112">
        <v>2024</v>
      </c>
      <c r="E33" s="114">
        <v>0</v>
      </c>
      <c r="F33" s="63">
        <f>IF(F$3=$D33,-F14,-$E33*MAX(MIN(F$8+SUM(F$32:F32),F14),0))</f>
        <v>-400</v>
      </c>
      <c r="G33" s="63">
        <f ca="1">IF(G$3=$D33,-G14,-$E33*MAX(MIN(G$8+SUM(G$32:G32),G14),0))</f>
        <v>0</v>
      </c>
      <c r="H33" s="63">
        <f ca="1">IF(H$3=$D33,-H14,-$E33*MAX(MIN(H$8+SUM(H$32:H32),H14),0))</f>
        <v>0</v>
      </c>
      <c r="I33" s="63">
        <f ca="1">IF(I$3=$D33,-I14,-$E33*MAX(MIN(I$8+SUM(I$32:I32),I14),0))</f>
        <v>0</v>
      </c>
      <c r="J33" s="64">
        <f ca="1">IF(J$3=$D33,-J14,-$E33*MAX(MIN(J$8+SUM(J$32:J32),J14),0))</f>
        <v>0</v>
      </c>
    </row>
    <row r="34" spans="2:10">
      <c r="B34" s="44" t="s">
        <v>137</v>
      </c>
      <c r="C34" s="111">
        <v>5.8749999999999997E-2</v>
      </c>
      <c r="D34" s="112">
        <v>2025</v>
      </c>
      <c r="E34" s="114">
        <v>0</v>
      </c>
      <c r="F34" s="63">
        <f ca="1">IF(F$3=$D34,-F15,-$E34*MAX(MIN(F$8+SUM(F$32:F33),F15),0))</f>
        <v>0</v>
      </c>
      <c r="G34" s="63">
        <f ca="1">IF(G$3=$D34,-G15,-$E34*MAX(MIN(G$8+SUM(G$32:G33),G15),0))</f>
        <v>-800</v>
      </c>
      <c r="H34" s="63">
        <f ca="1">IF(H$3=$D34,-H15,-$E34*MAX(MIN(H$8+SUM(H$32:H33),H15),0))</f>
        <v>0</v>
      </c>
      <c r="I34" s="63">
        <f ca="1">IF(I$3=$D34,-I15,-$E34*MAX(MIN(I$8+SUM(I$32:I33),I15),0))</f>
        <v>0</v>
      </c>
      <c r="J34" s="64">
        <f ca="1">IF(J$3=$D34,-J15,-$E34*MAX(MIN(J$8+SUM(J$32:J33),J15),0))</f>
        <v>0</v>
      </c>
    </row>
    <row r="35" spans="2:10">
      <c r="B35" s="44" t="s">
        <v>137</v>
      </c>
      <c r="C35" s="111">
        <v>0.03</v>
      </c>
      <c r="D35" s="112">
        <v>2025</v>
      </c>
      <c r="E35" s="114">
        <v>0</v>
      </c>
      <c r="F35" s="63">
        <f ca="1">IF(F$3=$D35,-F16,-$E35*MAX(MIN(F$8+SUM(F$32:F34),F16),0))</f>
        <v>0</v>
      </c>
      <c r="G35" s="63">
        <f ca="1">IF(G$3=$D35,-G16,-$E35*MAX(MIN(G$8+SUM(G$32:G34),G16),0))</f>
        <v>-519</v>
      </c>
      <c r="H35" s="63">
        <f ca="1">IF(H$3=$D35,-H16,-$E35*MAX(MIN(H$8+SUM(H$32:H34),H16),0))</f>
        <v>0</v>
      </c>
      <c r="I35" s="63">
        <f ca="1">IF(I$3=$D35,-I16,-$E35*MAX(MIN(I$8+SUM(I$32:I34),I16),0))</f>
        <v>0</v>
      </c>
      <c r="J35" s="64">
        <f ca="1">IF(J$3=$D35,-J16,-$E35*MAX(MIN(J$8+SUM(J$32:J34),J16),0))</f>
        <v>0</v>
      </c>
    </row>
    <row r="36" spans="2:10">
      <c r="B36" s="44" t="s">
        <v>137</v>
      </c>
      <c r="C36" s="111">
        <v>3.6249999999999998E-2</v>
      </c>
      <c r="D36" s="112">
        <v>2025</v>
      </c>
      <c r="E36" s="114">
        <v>0</v>
      </c>
      <c r="F36" s="63">
        <f ca="1">IF(F$3=$D36,-F17,-$E36*MAX(MIN(F$8+SUM(F$32:F35),F17),0))</f>
        <v>0</v>
      </c>
      <c r="G36" s="63">
        <f ca="1">IF(G$3=$D36,-G17,-$E36*MAX(MIN(G$8+SUM(G$32:G35),G17),0))</f>
        <v>-500</v>
      </c>
      <c r="H36" s="63">
        <f ca="1">IF(H$3=$D36,-H17,-$E36*MAX(MIN(H$8+SUM(H$32:H35),H17),0))</f>
        <v>0</v>
      </c>
      <c r="I36" s="63">
        <f ca="1">IF(I$3=$D36,-I17,-$E36*MAX(MIN(I$8+SUM(I$32:I35),I17),0))</f>
        <v>0</v>
      </c>
      <c r="J36" s="64">
        <f ca="1">IF(J$3=$D36,-J17,-$E36*MAX(MIN(J$8+SUM(J$32:J35),J17),0))</f>
        <v>0</v>
      </c>
    </row>
    <row r="37" spans="2:10">
      <c r="B37" s="44" t="s">
        <v>137</v>
      </c>
      <c r="C37" s="111">
        <v>4.3749999999999997E-2</v>
      </c>
      <c r="D37" s="112">
        <v>2026</v>
      </c>
      <c r="E37" s="114">
        <v>0</v>
      </c>
      <c r="F37" s="63">
        <f ca="1">IF(F$3=$D37,-F18,-$E37*MAX(MIN(F$8+SUM(F$32:F36),F18),0))</f>
        <v>0</v>
      </c>
      <c r="G37" s="63">
        <f ca="1">IF(G$3=$D37,-G18,-$E37*MAX(MIN(G$8+SUM(G$32:G36),G18),0))</f>
        <v>0</v>
      </c>
      <c r="H37" s="63">
        <f ca="1">IF(H$3=$D37,-H18,-$E37*MAX(MIN(H$8+SUM(H$32:H36),H18),0))</f>
        <v>-1000</v>
      </c>
      <c r="I37" s="63">
        <f ca="1">IF(I$3=$D37,-I18,-$E37*MAX(MIN(I$8+SUM(I$32:I36),I18),0))</f>
        <v>0</v>
      </c>
      <c r="J37" s="64">
        <f ca="1">IF(J$3=$D37,-J18,-$E37*MAX(MIN(J$8+SUM(J$32:J36),J18),0))</f>
        <v>0</v>
      </c>
    </row>
    <row r="38" spans="2:10">
      <c r="B38" s="44" t="s">
        <v>137</v>
      </c>
      <c r="C38" s="111">
        <v>3.6249999999999998E-2</v>
      </c>
      <c r="D38" s="112">
        <v>2027</v>
      </c>
      <c r="E38" s="114">
        <v>0</v>
      </c>
      <c r="F38" s="63">
        <f ca="1">IF(F$3=$D38,-F19,-$E38*MAX(MIN(F$8+SUM(F$32:F37),F19),0))</f>
        <v>0</v>
      </c>
      <c r="G38" s="63">
        <f ca="1">IF(G$3=$D38,-G19,-$E38*MAX(MIN(G$8+SUM(G$32:G37),G19),0))</f>
        <v>0</v>
      </c>
      <c r="H38" s="63">
        <f ca="1">IF(H$3=$D38,-H19,-$E38*MAX(MIN(H$8+SUM(H$32:H37),H19),0))</f>
        <v>0</v>
      </c>
      <c r="I38" s="63">
        <f ca="1">IF(I$3=$D38,-I19,-$E38*MAX(MIN(I$8+SUM(I$32:I37),I19),0))</f>
        <v>-1434</v>
      </c>
      <c r="J38" s="64">
        <f ca="1">IF(J$3=$D38,-J19,-$E38*MAX(MIN(J$8+SUM(J$32:J37),J19),0))</f>
        <v>0</v>
      </c>
    </row>
    <row r="39" spans="2:10">
      <c r="B39" s="44" t="s">
        <v>137</v>
      </c>
      <c r="C39" s="111">
        <v>4.8750000000000002E-2</v>
      </c>
      <c r="D39" s="112">
        <v>2028</v>
      </c>
      <c r="E39" s="114">
        <v>0</v>
      </c>
      <c r="F39" s="63">
        <f ca="1">IF(F$3=$D39,-F20,-$E39*MAX(MIN(F$8+SUM(F$32:F38),F20),0))</f>
        <v>0</v>
      </c>
      <c r="G39" s="63">
        <f ca="1">IF(G$3=$D39,-G20,-$E39*MAX(MIN(G$8+SUM(G$32:G38),G20),0))</f>
        <v>0</v>
      </c>
      <c r="H39" s="63">
        <f ca="1">IF(H$3=$D39,-H20,-$E39*MAX(MIN(H$8+SUM(H$32:H38),H20),0))</f>
        <v>0</v>
      </c>
      <c r="I39" s="63">
        <f ca="1">IF(I$3=$D39,-I20,-$E39*MAX(MIN(I$8+SUM(I$32:I38),I20),0))</f>
        <v>0</v>
      </c>
      <c r="J39" s="64">
        <f ca="1">IF(J$3=$D39,-J20,-$E39*MAX(MIN(J$8+SUM(J$32:J38),J20),0))</f>
        <v>-1600</v>
      </c>
    </row>
    <row r="40" spans="2:10">
      <c r="B40" s="44" t="s">
        <v>137</v>
      </c>
      <c r="C40" s="111">
        <v>5.8749999999999997E-2</v>
      </c>
      <c r="D40" s="112">
        <v>2028</v>
      </c>
      <c r="E40" s="114">
        <v>0</v>
      </c>
      <c r="F40" s="63">
        <f ca="1">IF(F$3=$D40,-F21,-$E40*MAX(MIN(F$8+SUM(F$32:F39),F21),0))</f>
        <v>0</v>
      </c>
      <c r="G40" s="63">
        <f ca="1">IF(G$3=$D40,-G21,-$E40*MAX(MIN(G$8+SUM(G$32:G39),G21),0))</f>
        <v>0</v>
      </c>
      <c r="H40" s="63">
        <f ca="1">IF(H$3=$D40,-H21,-$E40*MAX(MIN(H$8+SUM(H$32:H39),H21),0))</f>
        <v>0</v>
      </c>
      <c r="I40" s="63">
        <f ca="1">IF(I$3=$D40,-I21,-$E40*MAX(MIN(I$8+SUM(I$32:I39),I21),0))</f>
        <v>0</v>
      </c>
      <c r="J40" s="64">
        <f ca="1">IF(J$3=$D40,-J21,-$E40*MAX(MIN(J$8+SUM(J$32:J39),J21),0))</f>
        <v>-1900</v>
      </c>
    </row>
    <row r="41" spans="2:10">
      <c r="B41" s="44" t="s">
        <v>137</v>
      </c>
      <c r="C41" s="111">
        <v>4.6249999999999999E-2</v>
      </c>
      <c r="D41" s="112">
        <v>2029</v>
      </c>
      <c r="E41" s="114">
        <v>0</v>
      </c>
      <c r="F41" s="63">
        <f ca="1">IF(F$3=$D41,-F22,-$E41*MAX(MIN(F$8+SUM(F$32:F40),F22),0))</f>
        <v>0</v>
      </c>
      <c r="G41" s="63">
        <f ca="1">IF(G$3=$D41,-G22,-$E41*MAX(MIN(G$8+SUM(G$32:G40),G22),0))</f>
        <v>0</v>
      </c>
      <c r="H41" s="63">
        <f ca="1">IF(H$3=$D41,-H22,-$E41*MAX(MIN(H$8+SUM(H$32:H40),H22),0))</f>
        <v>0</v>
      </c>
      <c r="I41" s="63">
        <f ca="1">IF(I$3=$D41,-I22,-$E41*MAX(MIN(I$8+SUM(I$32:I40),I22),0))</f>
        <v>0</v>
      </c>
      <c r="J41" s="64">
        <f ca="1">IF(J$3=$D41,-J22,-$E41*MAX(MIN(J$8+SUM(J$32:J40),J22),0))</f>
        <v>0</v>
      </c>
    </row>
    <row r="42" spans="2:10">
      <c r="B42" s="44" t="s">
        <v>137</v>
      </c>
      <c r="C42" s="111">
        <v>6.3750000000000001E-2</v>
      </c>
      <c r="D42" s="112">
        <v>2029</v>
      </c>
      <c r="E42" s="114">
        <v>0</v>
      </c>
      <c r="F42" s="63">
        <f ca="1">IF(F$3=$D42,-F23,-$E42*MAX(MIN(F$8+SUM(F$32:F41),F23),0))</f>
        <v>0</v>
      </c>
      <c r="G42" s="63">
        <f ca="1">IF(G$3=$D42,-G23,-$E42*MAX(MIN(G$8+SUM(G$32:G41),G23),0))</f>
        <v>0</v>
      </c>
      <c r="H42" s="63">
        <f ca="1">IF(H$3=$D42,-H23,-$E42*MAX(MIN(H$8+SUM(H$32:H41),H23),0))</f>
        <v>0</v>
      </c>
      <c r="I42" s="63">
        <f ca="1">IF(I$3=$D42,-I23,-$E42*MAX(MIN(I$8+SUM(I$32:I41),I23),0))</f>
        <v>0</v>
      </c>
      <c r="J42" s="64">
        <f ca="1">IF(J$3=$D42,-J23,-$E42*MAX(MIN(J$8+SUM(J$32:J41),J23),0))</f>
        <v>0</v>
      </c>
    </row>
    <row r="43" spans="2:10">
      <c r="B43" s="44" t="s">
        <v>137</v>
      </c>
      <c r="C43" s="111">
        <v>3.875E-2</v>
      </c>
      <c r="D43" s="112">
        <v>2029</v>
      </c>
      <c r="E43" s="114">
        <v>0</v>
      </c>
      <c r="F43" s="63">
        <f ca="1">IF(F$3=$D43,-F24,-$E43*MAX(MIN(F$8+SUM(F$32:F42),F24),0))</f>
        <v>0</v>
      </c>
      <c r="G43" s="63">
        <f ca="1">IF(G$3=$D43,-G24,-$E43*MAX(MIN(G$8+SUM(G$32:G42),G24),0))</f>
        <v>0</v>
      </c>
      <c r="H43" s="63">
        <f ca="1">IF(H$3=$D43,-H24,-$E43*MAX(MIN(H$8+SUM(H$32:H42),H24),0))</f>
        <v>0</v>
      </c>
      <c r="I43" s="63">
        <f ca="1">IF(I$3=$D43,-I24,-$E43*MAX(MIN(I$8+SUM(I$32:I42),I24),0))</f>
        <v>0</v>
      </c>
      <c r="J43" s="64">
        <f ca="1">IF(J$3=$D43,-J24,-$E43*MAX(MIN(J$8+SUM(J$32:J42),J24),0))</f>
        <v>0</v>
      </c>
    </row>
    <row r="44" spans="2:10">
      <c r="B44" s="44" t="s">
        <v>137</v>
      </c>
      <c r="C44" s="111">
        <v>5.3749999999999999E-2</v>
      </c>
      <c r="D44" s="112">
        <v>2029</v>
      </c>
      <c r="E44" s="114">
        <v>0</v>
      </c>
      <c r="F44" s="63">
        <f ca="1">IF(F$3=$D44,-F25,-$E44*MAX(MIN(F$8+SUM(F$32:F43),F25),0))</f>
        <v>0</v>
      </c>
      <c r="G44" s="63">
        <f ca="1">IF(G$3=$D44,-G25,-$E44*MAX(MIN(G$8+SUM(G$32:G43),G25),0))</f>
        <v>0</v>
      </c>
      <c r="H44" s="63">
        <f ca="1">IF(H$3=$D44,-H25,-$E44*MAX(MIN(H$8+SUM(H$32:H43),H25),0))</f>
        <v>0</v>
      </c>
      <c r="I44" s="63">
        <f ca="1">IF(I$3=$D44,-I25,-$E44*MAX(MIN(I$8+SUM(I$32:I43),I25),0))</f>
        <v>0</v>
      </c>
      <c r="J44" s="64">
        <f ca="1">IF(J$3=$D44,-J25,-$E44*MAX(MIN(J$8+SUM(J$32:J43),J25),0))</f>
        <v>0</v>
      </c>
    </row>
    <row r="45" spans="2:10">
      <c r="B45" s="44" t="s">
        <v>137</v>
      </c>
      <c r="C45" s="111">
        <v>3.6249999999999998E-2</v>
      </c>
      <c r="D45" s="112">
        <v>2030</v>
      </c>
      <c r="E45" s="114">
        <v>0</v>
      </c>
      <c r="F45" s="63">
        <f ca="1">IF(F$3=$D45,-F26,-$E45*MAX(MIN(F$8+SUM(F$32:F44),F26),0))</f>
        <v>0</v>
      </c>
      <c r="G45" s="63">
        <f ca="1">IF(G$3=$D45,-G26,-$E45*MAX(MIN(G$8+SUM(G$32:G44),G26),0))</f>
        <v>0</v>
      </c>
      <c r="H45" s="63">
        <f ca="1">IF(H$3=$D45,-H26,-$E45*MAX(MIN(H$8+SUM(H$32:H44),H26),0))</f>
        <v>0</v>
      </c>
      <c r="I45" s="63">
        <f ca="1">IF(I$3=$D45,-I26,-$E45*MAX(MIN(I$8+SUM(I$32:I44),I26),0))</f>
        <v>0</v>
      </c>
      <c r="J45" s="64">
        <f ca="1">IF(J$3=$D45,-J26,-$E45*MAX(MIN(J$8+SUM(J$32:J44),J26),0))</f>
        <v>0</v>
      </c>
    </row>
    <row r="46" spans="2:10" ht="14.4" thickBot="1">
      <c r="B46" s="52" t="s">
        <v>137</v>
      </c>
      <c r="C46" s="116">
        <v>4.8750000000000002E-2</v>
      </c>
      <c r="D46" s="117">
        <v>2030</v>
      </c>
      <c r="E46" s="118">
        <v>0</v>
      </c>
      <c r="F46" s="75">
        <f ca="1">IF(F$3=$D46,-F27,-$E46*MAX(MIN(F$8+SUM(F$32:F45),F27),0))</f>
        <v>0</v>
      </c>
      <c r="G46" s="75">
        <f ca="1">IF(G$3=$D46,-G27,-$E46*MAX(MIN(G$8+SUM(G$32:G45),G27),0))</f>
        <v>0</v>
      </c>
      <c r="H46" s="75">
        <f ca="1">IF(H$3=$D46,-H27,-$E46*MAX(MIN(H$8+SUM(H$32:H45),H27),0))</f>
        <v>0</v>
      </c>
      <c r="I46" s="75">
        <f ca="1">IF(I$3=$D46,-I27,-$E46*MAX(MIN(I$8+SUM(I$32:I45),I27),0))</f>
        <v>0</v>
      </c>
      <c r="J46" s="119">
        <f ca="1">IF(J$3=$D46,-J27,-$E46*MAX(MIN(J$8+SUM(J$32:J45),J27),0))</f>
        <v>0</v>
      </c>
    </row>
    <row r="47" spans="2:10">
      <c r="B47" s="44"/>
      <c r="C47" s="4"/>
      <c r="D47" s="4"/>
      <c r="E47" s="4"/>
      <c r="F47" s="4"/>
      <c r="G47" s="4"/>
      <c r="H47" s="4"/>
      <c r="I47" s="4"/>
      <c r="J47" s="45"/>
    </row>
    <row r="48" spans="2:10" ht="14.4" thickBot="1">
      <c r="B48" s="44"/>
      <c r="C48" s="4"/>
      <c r="D48" s="4"/>
      <c r="E48" s="4"/>
      <c r="F48" s="4"/>
      <c r="G48" s="4"/>
      <c r="H48" s="4"/>
      <c r="I48" s="4"/>
      <c r="J48" s="45"/>
    </row>
    <row r="49" spans="2:10" ht="14.4" thickBot="1">
      <c r="B49" s="40" t="s">
        <v>132</v>
      </c>
      <c r="C49" s="41"/>
      <c r="D49" s="41"/>
      <c r="E49" s="41"/>
      <c r="F49" s="42"/>
      <c r="G49" s="42"/>
      <c r="H49" s="42"/>
      <c r="I49" s="42"/>
      <c r="J49" s="56"/>
    </row>
    <row r="50" spans="2:10" ht="15" thickTop="1" thickBot="1">
      <c r="B50" s="44" t="s">
        <v>138</v>
      </c>
      <c r="C50" s="70">
        <f>AVERAGE(C52:C65)</f>
        <v>4.6964285714285701E-2</v>
      </c>
      <c r="D50" s="4"/>
      <c r="E50" s="6">
        <v>0</v>
      </c>
      <c r="F50" s="6">
        <f ca="1">F12+F31</f>
        <v>0</v>
      </c>
      <c r="G50" s="6">
        <f t="shared" ref="G50:J50" ca="1" si="6">G12+G31</f>
        <v>0</v>
      </c>
      <c r="H50" s="6">
        <f t="shared" ca="1" si="6"/>
        <v>0</v>
      </c>
      <c r="I50" s="11">
        <f t="shared" ca="1" si="6"/>
        <v>0</v>
      </c>
      <c r="J50" s="104">
        <f t="shared" ca="1" si="6"/>
        <v>0</v>
      </c>
    </row>
    <row r="51" spans="2:10" ht="14.4" thickTop="1">
      <c r="B51" s="44" t="s">
        <v>133</v>
      </c>
      <c r="C51" s="4" t="s">
        <v>134</v>
      </c>
      <c r="D51" s="4" t="s">
        <v>135</v>
      </c>
      <c r="E51" s="4" t="s">
        <v>136</v>
      </c>
      <c r="F51" s="4"/>
      <c r="G51" s="4"/>
      <c r="H51" s="4"/>
      <c r="I51" s="4"/>
      <c r="J51" s="45"/>
    </row>
    <row r="52" spans="2:10">
      <c r="B52" s="44" t="s">
        <v>137</v>
      </c>
      <c r="C52" s="111">
        <v>5.7500000000000002E-2</v>
      </c>
      <c r="D52" s="112">
        <v>2024</v>
      </c>
      <c r="E52" s="112">
        <v>400</v>
      </c>
      <c r="F52" s="63">
        <f>F14+F33</f>
        <v>0</v>
      </c>
      <c r="G52" s="63">
        <f t="shared" ref="G52:J52" ca="1" si="7">G14+G33</f>
        <v>0</v>
      </c>
      <c r="H52" s="63">
        <f t="shared" ca="1" si="7"/>
        <v>0</v>
      </c>
      <c r="I52" s="63">
        <f t="shared" ca="1" si="7"/>
        <v>0</v>
      </c>
      <c r="J52" s="64">
        <f t="shared" ca="1" si="7"/>
        <v>0</v>
      </c>
    </row>
    <row r="53" spans="2:10">
      <c r="B53" s="44" t="s">
        <v>137</v>
      </c>
      <c r="C53" s="111">
        <v>5.8749999999999997E-2</v>
      </c>
      <c r="D53" s="112">
        <v>2025</v>
      </c>
      <c r="E53" s="112">
        <v>800</v>
      </c>
      <c r="F53" s="63">
        <f t="shared" ref="F53:J65" ca="1" si="8">F15+F34</f>
        <v>800</v>
      </c>
      <c r="G53" s="63">
        <f t="shared" ca="1" si="8"/>
        <v>0</v>
      </c>
      <c r="H53" s="63">
        <f t="shared" ca="1" si="8"/>
        <v>0</v>
      </c>
      <c r="I53" s="63">
        <f t="shared" ca="1" si="8"/>
        <v>0</v>
      </c>
      <c r="J53" s="64">
        <f t="shared" ca="1" si="8"/>
        <v>0</v>
      </c>
    </row>
    <row r="54" spans="2:10">
      <c r="B54" s="44" t="s">
        <v>137</v>
      </c>
      <c r="C54" s="111">
        <v>0.03</v>
      </c>
      <c r="D54" s="112">
        <v>2025</v>
      </c>
      <c r="E54" s="112">
        <v>519</v>
      </c>
      <c r="F54" s="63">
        <f t="shared" ca="1" si="8"/>
        <v>519</v>
      </c>
      <c r="G54" s="63">
        <f t="shared" ca="1" si="8"/>
        <v>0</v>
      </c>
      <c r="H54" s="63">
        <f t="shared" ca="1" si="8"/>
        <v>0</v>
      </c>
      <c r="I54" s="63">
        <f t="shared" ca="1" si="8"/>
        <v>0</v>
      </c>
      <c r="J54" s="64">
        <f t="shared" ca="1" si="8"/>
        <v>0</v>
      </c>
    </row>
    <row r="55" spans="2:10">
      <c r="B55" s="44" t="s">
        <v>137</v>
      </c>
      <c r="C55" s="111">
        <v>3.6249999999999998E-2</v>
      </c>
      <c r="D55" s="112">
        <v>2025</v>
      </c>
      <c r="E55" s="112">
        <v>500</v>
      </c>
      <c r="F55" s="63">
        <f t="shared" ca="1" si="8"/>
        <v>500</v>
      </c>
      <c r="G55" s="63">
        <f t="shared" ca="1" si="8"/>
        <v>0</v>
      </c>
      <c r="H55" s="63">
        <f t="shared" ca="1" si="8"/>
        <v>0</v>
      </c>
      <c r="I55" s="63">
        <f t="shared" ca="1" si="8"/>
        <v>0</v>
      </c>
      <c r="J55" s="64">
        <f t="shared" ca="1" si="8"/>
        <v>0</v>
      </c>
    </row>
    <row r="56" spans="2:10">
      <c r="B56" s="44" t="s">
        <v>137</v>
      </c>
      <c r="C56" s="111">
        <v>4.3749999999999997E-2</v>
      </c>
      <c r="D56" s="112">
        <v>2026</v>
      </c>
      <c r="E56" s="79">
        <v>1000</v>
      </c>
      <c r="F56" s="63">
        <f t="shared" ca="1" si="8"/>
        <v>1000</v>
      </c>
      <c r="G56" s="63">
        <f t="shared" ca="1" si="8"/>
        <v>1000</v>
      </c>
      <c r="H56" s="63">
        <f t="shared" ca="1" si="8"/>
        <v>0</v>
      </c>
      <c r="I56" s="63">
        <f t="shared" ca="1" si="8"/>
        <v>0</v>
      </c>
      <c r="J56" s="64">
        <f t="shared" ca="1" si="8"/>
        <v>0</v>
      </c>
    </row>
    <row r="57" spans="2:10">
      <c r="B57" s="44" t="s">
        <v>137</v>
      </c>
      <c r="C57" s="111">
        <v>3.6249999999999998E-2</v>
      </c>
      <c r="D57" s="112">
        <v>2027</v>
      </c>
      <c r="E57" s="79">
        <v>1434</v>
      </c>
      <c r="F57" s="63">
        <f t="shared" ca="1" si="8"/>
        <v>1434</v>
      </c>
      <c r="G57" s="63">
        <f t="shared" ca="1" si="8"/>
        <v>1434</v>
      </c>
      <c r="H57" s="63">
        <f t="shared" ca="1" si="8"/>
        <v>1434</v>
      </c>
      <c r="I57" s="63">
        <f t="shared" ca="1" si="8"/>
        <v>0</v>
      </c>
      <c r="J57" s="64">
        <f t="shared" ca="1" si="8"/>
        <v>0</v>
      </c>
    </row>
    <row r="58" spans="2:10">
      <c r="B58" s="44" t="s">
        <v>137</v>
      </c>
      <c r="C58" s="111">
        <v>4.8750000000000002E-2</v>
      </c>
      <c r="D58" s="112">
        <v>2028</v>
      </c>
      <c r="E58" s="79">
        <v>1600</v>
      </c>
      <c r="F58" s="63">
        <f t="shared" ca="1" si="8"/>
        <v>1600</v>
      </c>
      <c r="G58" s="63">
        <f t="shared" ca="1" si="8"/>
        <v>1600</v>
      </c>
      <c r="H58" s="63">
        <f t="shared" ca="1" si="8"/>
        <v>1600</v>
      </c>
      <c r="I58" s="63">
        <f t="shared" ca="1" si="8"/>
        <v>1600</v>
      </c>
      <c r="J58" s="64">
        <f t="shared" ca="1" si="8"/>
        <v>0</v>
      </c>
    </row>
    <row r="59" spans="2:10">
      <c r="B59" s="44" t="s">
        <v>137</v>
      </c>
      <c r="C59" s="111">
        <v>5.8749999999999997E-2</v>
      </c>
      <c r="D59" s="112">
        <v>2028</v>
      </c>
      <c r="E59" s="79">
        <v>1900</v>
      </c>
      <c r="F59" s="63">
        <f t="shared" ca="1" si="8"/>
        <v>1900</v>
      </c>
      <c r="G59" s="63">
        <f t="shared" ca="1" si="8"/>
        <v>1900</v>
      </c>
      <c r="H59" s="63">
        <f t="shared" ca="1" si="8"/>
        <v>1900</v>
      </c>
      <c r="I59" s="63">
        <f t="shared" ca="1" si="8"/>
        <v>1900</v>
      </c>
      <c r="J59" s="64">
        <f t="shared" ca="1" si="8"/>
        <v>0</v>
      </c>
    </row>
    <row r="60" spans="2:10">
      <c r="B60" s="44" t="s">
        <v>137</v>
      </c>
      <c r="C60" s="111">
        <v>4.6249999999999999E-2</v>
      </c>
      <c r="D60" s="112">
        <v>2029</v>
      </c>
      <c r="E60" s="79">
        <v>1215</v>
      </c>
      <c r="F60" s="63">
        <f t="shared" ca="1" si="8"/>
        <v>1215</v>
      </c>
      <c r="G60" s="63">
        <f t="shared" ca="1" si="8"/>
        <v>1215</v>
      </c>
      <c r="H60" s="63">
        <f t="shared" ca="1" si="8"/>
        <v>1215</v>
      </c>
      <c r="I60" s="63">
        <f t="shared" ca="1" si="8"/>
        <v>1215</v>
      </c>
      <c r="J60" s="64">
        <f t="shared" ca="1" si="8"/>
        <v>1215</v>
      </c>
    </row>
    <row r="61" spans="2:10">
      <c r="B61" s="44" t="s">
        <v>137</v>
      </c>
      <c r="C61" s="111">
        <v>6.3750000000000001E-2</v>
      </c>
      <c r="D61" s="112">
        <v>2029</v>
      </c>
      <c r="E61" s="112">
        <v>800</v>
      </c>
      <c r="F61" s="63">
        <f t="shared" ca="1" si="8"/>
        <v>800</v>
      </c>
      <c r="G61" s="63">
        <f t="shared" ca="1" si="8"/>
        <v>800</v>
      </c>
      <c r="H61" s="63">
        <f t="shared" ca="1" si="8"/>
        <v>800</v>
      </c>
      <c r="I61" s="63">
        <f t="shared" ca="1" si="8"/>
        <v>800</v>
      </c>
      <c r="J61" s="64">
        <f t="shared" ca="1" si="8"/>
        <v>800</v>
      </c>
    </row>
    <row r="62" spans="2:10">
      <c r="B62" s="44" t="s">
        <v>137</v>
      </c>
      <c r="C62" s="111">
        <v>3.875E-2</v>
      </c>
      <c r="D62" s="112">
        <v>2029</v>
      </c>
      <c r="E62" s="79">
        <v>1325</v>
      </c>
      <c r="F62" s="63">
        <f t="shared" ca="1" si="8"/>
        <v>1325</v>
      </c>
      <c r="G62" s="63">
        <f t="shared" ca="1" si="8"/>
        <v>1325</v>
      </c>
      <c r="H62" s="63">
        <f t="shared" ca="1" si="8"/>
        <v>1325</v>
      </c>
      <c r="I62" s="63">
        <f t="shared" ca="1" si="8"/>
        <v>1325</v>
      </c>
      <c r="J62" s="64">
        <f t="shared" ca="1" si="8"/>
        <v>1325</v>
      </c>
    </row>
    <row r="63" spans="2:10">
      <c r="B63" s="44" t="s">
        <v>137</v>
      </c>
      <c r="C63" s="111">
        <v>5.3749999999999999E-2</v>
      </c>
      <c r="D63" s="112">
        <v>2029</v>
      </c>
      <c r="E63" s="112">
        <v>900</v>
      </c>
      <c r="F63" s="63">
        <f t="shared" ca="1" si="8"/>
        <v>900</v>
      </c>
      <c r="G63" s="63">
        <f t="shared" ca="1" si="8"/>
        <v>900</v>
      </c>
      <c r="H63" s="63">
        <f t="shared" ca="1" si="8"/>
        <v>900</v>
      </c>
      <c r="I63" s="63">
        <f t="shared" ca="1" si="8"/>
        <v>900</v>
      </c>
      <c r="J63" s="64">
        <f t="shared" ca="1" si="8"/>
        <v>900</v>
      </c>
    </row>
    <row r="64" spans="2:10">
      <c r="B64" s="44" t="s">
        <v>137</v>
      </c>
      <c r="C64" s="111">
        <v>3.6249999999999998E-2</v>
      </c>
      <c r="D64" s="112">
        <v>2030</v>
      </c>
      <c r="E64" s="79">
        <v>1215</v>
      </c>
      <c r="F64" s="63">
        <f t="shared" ca="1" si="8"/>
        <v>1215</v>
      </c>
      <c r="G64" s="63">
        <f t="shared" ca="1" si="8"/>
        <v>1215</v>
      </c>
      <c r="H64" s="63">
        <f t="shared" ca="1" si="8"/>
        <v>1215</v>
      </c>
      <c r="I64" s="63">
        <f t="shared" ca="1" si="8"/>
        <v>1215</v>
      </c>
      <c r="J64" s="64">
        <f t="shared" ca="1" si="8"/>
        <v>1215</v>
      </c>
    </row>
    <row r="65" spans="2:10">
      <c r="B65" s="44" t="s">
        <v>137</v>
      </c>
      <c r="C65" s="111">
        <v>4.8750000000000002E-2</v>
      </c>
      <c r="D65" s="112">
        <v>2030</v>
      </c>
      <c r="E65" s="79">
        <f>1000-65</f>
        <v>935</v>
      </c>
      <c r="F65" s="63">
        <f t="shared" ca="1" si="8"/>
        <v>935</v>
      </c>
      <c r="G65" s="63">
        <f t="shared" ca="1" si="8"/>
        <v>935</v>
      </c>
      <c r="H65" s="63">
        <f t="shared" ca="1" si="8"/>
        <v>935</v>
      </c>
      <c r="I65" s="63">
        <f t="shared" ca="1" si="8"/>
        <v>935</v>
      </c>
      <c r="J65" s="64">
        <f t="shared" ca="1" si="8"/>
        <v>935</v>
      </c>
    </row>
    <row r="66" spans="2:10">
      <c r="B66" s="44"/>
      <c r="C66" s="4"/>
      <c r="D66" s="4"/>
      <c r="E66" s="4"/>
      <c r="F66" s="4"/>
      <c r="G66" s="4"/>
      <c r="H66" s="4"/>
      <c r="I66" s="4"/>
      <c r="J66" s="45"/>
    </row>
    <row r="67" spans="2:10" ht="14.4" thickBot="1">
      <c r="B67" s="48" t="s">
        <v>145</v>
      </c>
      <c r="C67" s="6"/>
      <c r="D67" s="6"/>
      <c r="E67" s="6">
        <f>SUM(E50,E52:E65)</f>
        <v>14543</v>
      </c>
      <c r="F67" s="11">
        <f t="shared" ref="F67:J67" ca="1" si="9">SUM(F50,F52:F65)</f>
        <v>14143</v>
      </c>
      <c r="G67" s="11">
        <f t="shared" ca="1" si="9"/>
        <v>12324</v>
      </c>
      <c r="H67" s="11">
        <f t="shared" ca="1" si="9"/>
        <v>11324</v>
      </c>
      <c r="I67" s="11">
        <f t="shared" ca="1" si="9"/>
        <v>9890</v>
      </c>
      <c r="J67" s="104">
        <f t="shared" ca="1" si="9"/>
        <v>6390</v>
      </c>
    </row>
    <row r="68" spans="2:10" ht="14.4" thickTop="1">
      <c r="B68" s="67" t="s">
        <v>141</v>
      </c>
      <c r="C68" s="69"/>
      <c r="D68" s="69"/>
      <c r="E68" s="69">
        <f>SUMIF($D$52:$D$65,F3,E52:E65)</f>
        <v>400</v>
      </c>
      <c r="F68" s="69">
        <f ca="1">SUMIF($D$52:$D$65,G3,F52:F65)</f>
        <v>1819</v>
      </c>
      <c r="G68" s="69">
        <f t="shared" ref="G68:J68" ca="1" si="10">SUMIF($D$52:$D$65,H3,G52:G65)</f>
        <v>1000</v>
      </c>
      <c r="H68" s="69">
        <f t="shared" ca="1" si="10"/>
        <v>1434</v>
      </c>
      <c r="I68" s="69">
        <f t="shared" ca="1" si="10"/>
        <v>3500</v>
      </c>
      <c r="J68" s="71">
        <f t="shared" si="10"/>
        <v>0</v>
      </c>
    </row>
    <row r="69" spans="2:10" ht="14.4" thickBot="1">
      <c r="B69" s="67" t="s">
        <v>142</v>
      </c>
      <c r="C69" s="69"/>
      <c r="D69" s="69"/>
      <c r="E69" s="69">
        <f>E67-E68</f>
        <v>14143</v>
      </c>
      <c r="F69" s="69">
        <f t="shared" ref="F69:J69" ca="1" si="11">F67-F68</f>
        <v>12324</v>
      </c>
      <c r="G69" s="69">
        <f t="shared" ca="1" si="11"/>
        <v>11324</v>
      </c>
      <c r="H69" s="69">
        <f t="shared" ca="1" si="11"/>
        <v>9890</v>
      </c>
      <c r="I69" s="69">
        <f t="shared" ca="1" si="11"/>
        <v>6390</v>
      </c>
      <c r="J69" s="74">
        <f t="shared" ca="1" si="11"/>
        <v>6390</v>
      </c>
    </row>
    <row r="70" spans="2:10">
      <c r="B70" s="58"/>
      <c r="C70" s="59"/>
      <c r="D70" s="59"/>
      <c r="E70" s="59"/>
      <c r="F70" s="59"/>
      <c r="G70" s="59"/>
      <c r="H70" s="59"/>
      <c r="I70" s="59"/>
      <c r="J70" s="78"/>
    </row>
    <row r="71" spans="2:10">
      <c r="B71" s="44" t="s">
        <v>147</v>
      </c>
      <c r="C71" s="4"/>
      <c r="D71" s="4"/>
      <c r="E71" s="4"/>
      <c r="F71" s="4"/>
      <c r="G71" s="4"/>
      <c r="H71" s="4"/>
      <c r="I71" s="4"/>
      <c r="J71" s="45"/>
    </row>
    <row r="72" spans="2:10">
      <c r="B72" s="44" t="s">
        <v>138</v>
      </c>
      <c r="C72" s="4"/>
      <c r="D72" s="4"/>
      <c r="E72" s="4"/>
      <c r="F72" s="30">
        <f ca="1">AVERAGE( E50:F50)*$C50</f>
        <v>0</v>
      </c>
      <c r="G72" s="30">
        <f ca="1">AVERAGE( F50:G50)*$C50</f>
        <v>0</v>
      </c>
      <c r="H72" s="30">
        <f ca="1">AVERAGE( G50:H50)*$C50</f>
        <v>0</v>
      </c>
      <c r="I72" s="30">
        <f ca="1">AVERAGE( H50:I50)*$C50</f>
        <v>0</v>
      </c>
      <c r="J72" s="115">
        <f ca="1">AVERAGE( I50:J50)*$C50</f>
        <v>0</v>
      </c>
    </row>
    <row r="73" spans="2:10">
      <c r="B73" s="44" t="s">
        <v>133</v>
      </c>
      <c r="C73" s="4"/>
      <c r="D73" s="4"/>
      <c r="E73" s="4"/>
      <c r="F73" s="4"/>
      <c r="G73" s="4"/>
      <c r="H73" s="4"/>
      <c r="I73" s="4"/>
      <c r="J73" s="45"/>
    </row>
    <row r="74" spans="2:10">
      <c r="B74" s="44" t="s">
        <v>137</v>
      </c>
      <c r="C74" s="4"/>
      <c r="D74" s="4"/>
      <c r="E74" s="4"/>
      <c r="F74" s="30">
        <f>AVERAGE( E52:F52)*$C52</f>
        <v>11.5</v>
      </c>
      <c r="G74" s="30">
        <f ca="1">AVERAGE( F52:G52)*$C52</f>
        <v>0</v>
      </c>
      <c r="H74" s="30">
        <f ca="1">AVERAGE( G52:H52)*$C52</f>
        <v>0</v>
      </c>
      <c r="I74" s="30">
        <f ca="1">AVERAGE( H52:I52)*$C52</f>
        <v>0</v>
      </c>
      <c r="J74" s="115">
        <f ca="1">AVERAGE( I52:J52)*$C52</f>
        <v>0</v>
      </c>
    </row>
    <row r="75" spans="2:10">
      <c r="B75" s="44" t="s">
        <v>137</v>
      </c>
      <c r="C75" s="4"/>
      <c r="D75" s="4"/>
      <c r="E75" s="4"/>
      <c r="F75" s="30">
        <f t="shared" ref="F75:J75" ca="1" si="12">AVERAGE( E53:F53)*$C53</f>
        <v>47</v>
      </c>
      <c r="G75" s="30">
        <f t="shared" ca="1" si="12"/>
        <v>23.5</v>
      </c>
      <c r="H75" s="30">
        <f t="shared" ca="1" si="12"/>
        <v>0</v>
      </c>
      <c r="I75" s="30">
        <f t="shared" ca="1" si="12"/>
        <v>0</v>
      </c>
      <c r="J75" s="115">
        <f t="shared" ca="1" si="12"/>
        <v>0</v>
      </c>
    </row>
    <row r="76" spans="2:10">
      <c r="B76" s="44" t="s">
        <v>137</v>
      </c>
      <c r="C76" s="4"/>
      <c r="D76" s="4"/>
      <c r="E76" s="4"/>
      <c r="F76" s="30">
        <f t="shared" ref="F76:J76" ca="1" si="13">AVERAGE( E54:F54)*$C54</f>
        <v>15.57</v>
      </c>
      <c r="G76" s="30">
        <f t="shared" ca="1" si="13"/>
        <v>7.7850000000000001</v>
      </c>
      <c r="H76" s="30">
        <f t="shared" ca="1" si="13"/>
        <v>0</v>
      </c>
      <c r="I76" s="30">
        <f t="shared" ca="1" si="13"/>
        <v>0</v>
      </c>
      <c r="J76" s="115">
        <f t="shared" ca="1" si="13"/>
        <v>0</v>
      </c>
    </row>
    <row r="77" spans="2:10">
      <c r="B77" s="44" t="s">
        <v>137</v>
      </c>
      <c r="C77" s="4"/>
      <c r="D77" s="4"/>
      <c r="E77" s="4"/>
      <c r="F77" s="30">
        <f t="shared" ref="F77:J77" ca="1" si="14">AVERAGE( E55:F55)*$C55</f>
        <v>18.125</v>
      </c>
      <c r="G77" s="30">
        <f t="shared" ca="1" si="14"/>
        <v>9.0625</v>
      </c>
      <c r="H77" s="30">
        <f t="shared" ca="1" si="14"/>
        <v>0</v>
      </c>
      <c r="I77" s="30">
        <f t="shared" ca="1" si="14"/>
        <v>0</v>
      </c>
      <c r="J77" s="115">
        <f t="shared" ca="1" si="14"/>
        <v>0</v>
      </c>
    </row>
    <row r="78" spans="2:10">
      <c r="B78" s="44" t="s">
        <v>137</v>
      </c>
      <c r="C78" s="4"/>
      <c r="D78" s="4"/>
      <c r="E78" s="4"/>
      <c r="F78" s="30">
        <f t="shared" ref="F78:J78" ca="1" si="15">AVERAGE( E56:F56)*$C56</f>
        <v>43.75</v>
      </c>
      <c r="G78" s="30">
        <f t="shared" ca="1" si="15"/>
        <v>43.75</v>
      </c>
      <c r="H78" s="30">
        <f t="shared" ca="1" si="15"/>
        <v>21.875</v>
      </c>
      <c r="I78" s="30">
        <f t="shared" ca="1" si="15"/>
        <v>0</v>
      </c>
      <c r="J78" s="115">
        <f t="shared" ca="1" si="15"/>
        <v>0</v>
      </c>
    </row>
    <row r="79" spans="2:10">
      <c r="B79" s="44" t="s">
        <v>137</v>
      </c>
      <c r="C79" s="4"/>
      <c r="D79" s="4"/>
      <c r="E79" s="4"/>
      <c r="F79" s="30">
        <f t="shared" ref="F79:J79" ca="1" si="16">AVERAGE( E57:F57)*$C57</f>
        <v>51.982499999999995</v>
      </c>
      <c r="G79" s="30">
        <f t="shared" ca="1" si="16"/>
        <v>51.982499999999995</v>
      </c>
      <c r="H79" s="30">
        <f t="shared" ca="1" si="16"/>
        <v>51.982499999999995</v>
      </c>
      <c r="I79" s="30">
        <f t="shared" ca="1" si="16"/>
        <v>25.991249999999997</v>
      </c>
      <c r="J79" s="115">
        <f t="shared" ca="1" si="16"/>
        <v>0</v>
      </c>
    </row>
    <row r="80" spans="2:10">
      <c r="B80" s="44" t="s">
        <v>137</v>
      </c>
      <c r="C80" s="4"/>
      <c r="D80" s="4"/>
      <c r="E80" s="4"/>
      <c r="F80" s="30">
        <f t="shared" ref="F80:J80" ca="1" si="17">AVERAGE( E58:F58)*$C58</f>
        <v>78</v>
      </c>
      <c r="G80" s="30">
        <f t="shared" ca="1" si="17"/>
        <v>78</v>
      </c>
      <c r="H80" s="30">
        <f t="shared" ca="1" si="17"/>
        <v>78</v>
      </c>
      <c r="I80" s="30">
        <f t="shared" ca="1" si="17"/>
        <v>78</v>
      </c>
      <c r="J80" s="115">
        <f t="shared" ca="1" si="17"/>
        <v>39</v>
      </c>
    </row>
    <row r="81" spans="2:10">
      <c r="B81" s="44" t="s">
        <v>137</v>
      </c>
      <c r="C81" s="4"/>
      <c r="D81" s="4"/>
      <c r="E81" s="4"/>
      <c r="F81" s="30">
        <f t="shared" ref="F81:J81" ca="1" si="18">AVERAGE( E59:F59)*$C59</f>
        <v>111.625</v>
      </c>
      <c r="G81" s="30">
        <f t="shared" ca="1" si="18"/>
        <v>111.625</v>
      </c>
      <c r="H81" s="30">
        <f t="shared" ca="1" si="18"/>
        <v>111.625</v>
      </c>
      <c r="I81" s="30">
        <f t="shared" ca="1" si="18"/>
        <v>111.625</v>
      </c>
      <c r="J81" s="115">
        <f t="shared" ca="1" si="18"/>
        <v>55.8125</v>
      </c>
    </row>
    <row r="82" spans="2:10">
      <c r="B82" s="44" t="s">
        <v>137</v>
      </c>
      <c r="C82" s="4"/>
      <c r="D82" s="4"/>
      <c r="E82" s="4"/>
      <c r="F82" s="30">
        <f t="shared" ref="F82:J82" ca="1" si="19">AVERAGE( E60:F60)*$C60</f>
        <v>56.193750000000001</v>
      </c>
      <c r="G82" s="30">
        <f t="shared" ca="1" si="19"/>
        <v>56.193750000000001</v>
      </c>
      <c r="H82" s="30">
        <f t="shared" ca="1" si="19"/>
        <v>56.193750000000001</v>
      </c>
      <c r="I82" s="30">
        <f t="shared" ca="1" si="19"/>
        <v>56.193750000000001</v>
      </c>
      <c r="J82" s="115">
        <f t="shared" ca="1" si="19"/>
        <v>56.193750000000001</v>
      </c>
    </row>
    <row r="83" spans="2:10">
      <c r="B83" s="44" t="s">
        <v>137</v>
      </c>
      <c r="C83" s="4"/>
      <c r="D83" s="4"/>
      <c r="E83" s="4"/>
      <c r="F83" s="30">
        <f t="shared" ref="F83:J83" ca="1" si="20">AVERAGE( E61:F61)*$C61</f>
        <v>51</v>
      </c>
      <c r="G83" s="30">
        <f t="shared" ca="1" si="20"/>
        <v>51</v>
      </c>
      <c r="H83" s="30">
        <f t="shared" ca="1" si="20"/>
        <v>51</v>
      </c>
      <c r="I83" s="30">
        <f t="shared" ca="1" si="20"/>
        <v>51</v>
      </c>
      <c r="J83" s="115">
        <f t="shared" ca="1" si="20"/>
        <v>51</v>
      </c>
    </row>
    <row r="84" spans="2:10">
      <c r="B84" s="44" t="s">
        <v>137</v>
      </c>
      <c r="C84" s="4"/>
      <c r="D84" s="4"/>
      <c r="E84" s="4"/>
      <c r="F84" s="30">
        <f t="shared" ref="F84:J84" ca="1" si="21">AVERAGE( E62:F62)*$C62</f>
        <v>51.34375</v>
      </c>
      <c r="G84" s="30">
        <f t="shared" ca="1" si="21"/>
        <v>51.34375</v>
      </c>
      <c r="H84" s="30">
        <f t="shared" ca="1" si="21"/>
        <v>51.34375</v>
      </c>
      <c r="I84" s="30">
        <f t="shared" ca="1" si="21"/>
        <v>51.34375</v>
      </c>
      <c r="J84" s="115">
        <f t="shared" ca="1" si="21"/>
        <v>51.34375</v>
      </c>
    </row>
    <row r="85" spans="2:10">
      <c r="B85" s="44" t="s">
        <v>137</v>
      </c>
      <c r="C85" s="4"/>
      <c r="D85" s="4"/>
      <c r="E85" s="4"/>
      <c r="F85" s="30">
        <f t="shared" ref="F85:J85" ca="1" si="22">AVERAGE( E63:F63)*$C63</f>
        <v>48.375</v>
      </c>
      <c r="G85" s="30">
        <f t="shared" ca="1" si="22"/>
        <v>48.375</v>
      </c>
      <c r="H85" s="30">
        <f t="shared" ca="1" si="22"/>
        <v>48.375</v>
      </c>
      <c r="I85" s="30">
        <f t="shared" ca="1" si="22"/>
        <v>48.375</v>
      </c>
      <c r="J85" s="115">
        <f t="shared" ca="1" si="22"/>
        <v>48.375</v>
      </c>
    </row>
    <row r="86" spans="2:10">
      <c r="B86" s="44" t="s">
        <v>137</v>
      </c>
      <c r="C86" s="4"/>
      <c r="D86" s="4"/>
      <c r="E86" s="4"/>
      <c r="F86" s="30">
        <f t="shared" ref="F86:J86" ca="1" si="23">AVERAGE( E64:F64)*$C64</f>
        <v>44.043749999999996</v>
      </c>
      <c r="G86" s="30">
        <f t="shared" ca="1" si="23"/>
        <v>44.043749999999996</v>
      </c>
      <c r="H86" s="30">
        <f t="shared" ca="1" si="23"/>
        <v>44.043749999999996</v>
      </c>
      <c r="I86" s="30">
        <f t="shared" ca="1" si="23"/>
        <v>44.043749999999996</v>
      </c>
      <c r="J86" s="115">
        <f t="shared" ca="1" si="23"/>
        <v>44.043749999999996</v>
      </c>
    </row>
    <row r="87" spans="2:10">
      <c r="B87" s="44" t="s">
        <v>137</v>
      </c>
      <c r="C87" s="4"/>
      <c r="D87" s="4"/>
      <c r="E87" s="4"/>
      <c r="F87" s="30">
        <f t="shared" ref="F87:J87" ca="1" si="24">AVERAGE( E65:F65)*$C65</f>
        <v>45.581250000000004</v>
      </c>
      <c r="G87" s="30">
        <f t="shared" ca="1" si="24"/>
        <v>45.581250000000004</v>
      </c>
      <c r="H87" s="30">
        <f t="shared" ca="1" si="24"/>
        <v>45.581250000000004</v>
      </c>
      <c r="I87" s="30">
        <f t="shared" ca="1" si="24"/>
        <v>45.581250000000004</v>
      </c>
      <c r="J87" s="115">
        <f t="shared" ca="1" si="24"/>
        <v>45.581250000000004</v>
      </c>
    </row>
    <row r="88" spans="2:10">
      <c r="B88" s="44"/>
      <c r="C88" s="4"/>
      <c r="D88" s="4"/>
      <c r="E88" s="4"/>
      <c r="F88" s="30"/>
      <c r="G88" s="30"/>
      <c r="H88" s="30"/>
      <c r="I88" s="30"/>
      <c r="J88" s="115"/>
    </row>
    <row r="89" spans="2:10" ht="14.4" thickBot="1">
      <c r="B89" s="88" t="s">
        <v>148</v>
      </c>
      <c r="C89" s="140"/>
      <c r="D89" s="140"/>
      <c r="E89" s="140"/>
      <c r="F89" s="141">
        <f ca="1">SUM(F72,F74:F87)</f>
        <v>674.09</v>
      </c>
      <c r="G89" s="141">
        <f t="shared" ref="G89:J89" ca="1" si="25">SUM(G72,G74:G87)</f>
        <v>622.24250000000006</v>
      </c>
      <c r="H89" s="141">
        <f t="shared" ca="1" si="25"/>
        <v>560.02</v>
      </c>
      <c r="I89" s="141">
        <f t="shared" ca="1" si="25"/>
        <v>512.15374999999995</v>
      </c>
      <c r="J89" s="142">
        <f t="shared" ca="1" si="25"/>
        <v>391.35</v>
      </c>
    </row>
  </sheetData>
  <pageMargins left="0.7" right="0.7" top="0.75" bottom="0.75" header="0.3" footer="0.3"/>
  <pageSetup paperSize="9" scale="3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pageSetUpPr fitToPage="1"/>
  </sheetPr>
  <dimension ref="A1:M18"/>
  <sheetViews>
    <sheetView showGridLines="0" zoomScaleNormal="100" workbookViewId="0">
      <pane ySplit="3" topLeftCell="A4" activePane="bottomLeft" state="frozen"/>
      <selection activeCell="D6" sqref="D6"/>
      <selection pane="bottomLeft" activeCell="K27" sqref="K27"/>
    </sheetView>
  </sheetViews>
  <sheetFormatPr defaultColWidth="0"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 hidden="1"/>
  </cols>
  <sheetData>
    <row r="1" spans="1:13" ht="20.399999999999999">
      <c r="A1" s="9"/>
      <c r="B1" s="8" t="s">
        <v>240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/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</row>
    <row r="4" spans="1:13" ht="14.4" thickBot="1"/>
    <row r="5" spans="1:13">
      <c r="B5" s="129" t="s">
        <v>30</v>
      </c>
      <c r="C5" s="130">
        <f>IS!C5</f>
        <v>29697.844000000001</v>
      </c>
      <c r="D5" s="130">
        <f>IS!D5</f>
        <v>31615.55</v>
      </c>
      <c r="E5" s="130">
        <f>IS!E5</f>
        <v>33723.296999999999</v>
      </c>
      <c r="F5" s="130">
        <f>IS!F5</f>
        <v>39690.707321621237</v>
      </c>
      <c r="G5" s="130">
        <f>IS!G5</f>
        <v>46030.862535061868</v>
      </c>
      <c r="H5" s="130">
        <f>IS!H5</f>
        <v>53436.238515280653</v>
      </c>
      <c r="I5" s="130">
        <f>IS!I5</f>
        <v>62091.682602091147</v>
      </c>
      <c r="J5" s="131">
        <f>IS!J5</f>
        <v>72214.876643108408</v>
      </c>
    </row>
    <row r="6" spans="1:13">
      <c r="B6" s="44"/>
      <c r="C6" s="4"/>
      <c r="D6" s="4"/>
      <c r="E6" s="4"/>
      <c r="F6" s="4"/>
      <c r="G6" s="4"/>
      <c r="H6" s="4"/>
      <c r="I6" s="4"/>
      <c r="J6" s="45"/>
    </row>
    <row r="7" spans="1:13">
      <c r="B7" s="44" t="s">
        <v>4</v>
      </c>
      <c r="C7" s="81">
        <v>17332.683000000001</v>
      </c>
      <c r="D7" s="81">
        <v>19168.285</v>
      </c>
      <c r="E7" s="81">
        <v>19715.367999999999</v>
      </c>
      <c r="F7" s="63">
        <f>F$5*F13</f>
        <v>23417.517319756527</v>
      </c>
      <c r="G7" s="63">
        <f t="shared" ref="G7:J7" si="1">G$5*G13</f>
        <v>27158.208895686501</v>
      </c>
      <c r="H7" s="63">
        <f t="shared" si="1"/>
        <v>31527.380724015584</v>
      </c>
      <c r="I7" s="63">
        <f t="shared" si="1"/>
        <v>36634.092735233775</v>
      </c>
      <c r="J7" s="64">
        <f t="shared" si="1"/>
        <v>42606.777219433956</v>
      </c>
    </row>
    <row r="8" spans="1:13">
      <c r="B8" s="44" t="s">
        <v>5</v>
      </c>
      <c r="C8" s="81">
        <v>2545.1460000000002</v>
      </c>
      <c r="D8" s="81">
        <v>2530.502</v>
      </c>
      <c r="E8" s="81">
        <v>2657.8829999999998</v>
      </c>
      <c r="F8" s="63">
        <f t="shared" ref="F8:J8" si="2">F$5*F14</f>
        <v>3572.1636589459113</v>
      </c>
      <c r="G8" s="63">
        <f t="shared" si="2"/>
        <v>4142.777628155568</v>
      </c>
      <c r="H8" s="63">
        <f t="shared" si="2"/>
        <v>4809.2614663752584</v>
      </c>
      <c r="I8" s="63">
        <f t="shared" si="2"/>
        <v>5588.2514341882033</v>
      </c>
      <c r="J8" s="64">
        <f t="shared" si="2"/>
        <v>6499.3388978797566</v>
      </c>
    </row>
    <row r="9" spans="1:13">
      <c r="B9" s="44" t="s">
        <v>6</v>
      </c>
      <c r="C9" s="81">
        <v>2273.8850000000002</v>
      </c>
      <c r="D9" s="81">
        <v>2711.0410000000002</v>
      </c>
      <c r="E9" s="81">
        <v>2675.7579999999998</v>
      </c>
      <c r="F9" s="63">
        <f t="shared" ref="F9:J9" si="3">F$5*F15</f>
        <v>3175.2565857296991</v>
      </c>
      <c r="G9" s="63">
        <f t="shared" si="3"/>
        <v>3682.4690028049495</v>
      </c>
      <c r="H9" s="63">
        <f t="shared" si="3"/>
        <v>4274.899081222452</v>
      </c>
      <c r="I9" s="63">
        <f t="shared" si="3"/>
        <v>4967.3346081672917</v>
      </c>
      <c r="J9" s="64">
        <f t="shared" si="3"/>
        <v>5777.1901314486731</v>
      </c>
    </row>
    <row r="10" spans="1:13">
      <c r="B10" s="44" t="s">
        <v>7</v>
      </c>
      <c r="C10" s="81">
        <v>1351.6210000000001</v>
      </c>
      <c r="D10" s="81">
        <v>1572.8910000000001</v>
      </c>
      <c r="E10" s="81">
        <v>1720.2850000000001</v>
      </c>
      <c r="F10" s="63">
        <f t="shared" ref="F10:J10" si="4">F$5*F16</f>
        <v>2381.4424392972742</v>
      </c>
      <c r="G10" s="63">
        <f t="shared" si="4"/>
        <v>2761.851752103712</v>
      </c>
      <c r="H10" s="63">
        <f t="shared" si="4"/>
        <v>3206.1743109168392</v>
      </c>
      <c r="I10" s="63">
        <f t="shared" si="4"/>
        <v>3725.5009561254687</v>
      </c>
      <c r="J10" s="64">
        <f t="shared" si="4"/>
        <v>4332.8925985865044</v>
      </c>
    </row>
    <row r="11" spans="1:13">
      <c r="B11" s="44"/>
      <c r="C11" s="4"/>
      <c r="D11" s="4"/>
      <c r="E11" s="4"/>
      <c r="F11" s="4"/>
      <c r="G11" s="4"/>
      <c r="H11" s="4"/>
      <c r="I11" s="4"/>
      <c r="J11" s="45"/>
    </row>
    <row r="12" spans="1:13">
      <c r="B12" s="44" t="s">
        <v>31</v>
      </c>
      <c r="C12" s="4"/>
      <c r="D12" s="4"/>
      <c r="E12" s="4"/>
      <c r="F12" s="4"/>
      <c r="G12" s="4"/>
      <c r="H12" s="4"/>
      <c r="I12" s="4"/>
      <c r="J12" s="45"/>
    </row>
    <row r="13" spans="1:13">
      <c r="B13" s="44" t="s">
        <v>4</v>
      </c>
      <c r="C13" s="132">
        <f>C7/C$5</f>
        <v>0.58363438773535214</v>
      </c>
      <c r="D13" s="132">
        <f t="shared" ref="D13:E13" si="5">D7/D$5</f>
        <v>0.60629294761596741</v>
      </c>
      <c r="E13" s="132">
        <f t="shared" si="5"/>
        <v>0.58462160446530476</v>
      </c>
      <c r="F13" s="123">
        <v>0.59</v>
      </c>
      <c r="G13" s="123">
        <v>0.59</v>
      </c>
      <c r="H13" s="123">
        <v>0.59</v>
      </c>
      <c r="I13" s="123">
        <v>0.59</v>
      </c>
      <c r="J13" s="124">
        <v>0.59</v>
      </c>
    </row>
    <row r="14" spans="1:13">
      <c r="B14" s="44" t="s">
        <v>5</v>
      </c>
      <c r="C14" s="132">
        <f t="shared" ref="C14:E14" si="6">C8/C$5</f>
        <v>8.5701372799991821E-2</v>
      </c>
      <c r="D14" s="132">
        <f t="shared" si="6"/>
        <v>8.0039790546107853E-2</v>
      </c>
      <c r="E14" s="132">
        <f t="shared" si="6"/>
        <v>7.8814446879259759E-2</v>
      </c>
      <c r="F14" s="123">
        <v>0.09</v>
      </c>
      <c r="G14" s="123">
        <v>0.09</v>
      </c>
      <c r="H14" s="123">
        <v>0.09</v>
      </c>
      <c r="I14" s="123">
        <v>0.09</v>
      </c>
      <c r="J14" s="124">
        <v>0.09</v>
      </c>
    </row>
    <row r="15" spans="1:13">
      <c r="B15" s="44" t="s">
        <v>6</v>
      </c>
      <c r="C15" s="132">
        <f t="shared" ref="C15:E15" si="7">C9/C$5</f>
        <v>7.6567342733701485E-2</v>
      </c>
      <c r="D15" s="132">
        <f t="shared" si="7"/>
        <v>8.5750239992661847E-2</v>
      </c>
      <c r="E15" s="132">
        <f t="shared" si="7"/>
        <v>7.9344495883661673E-2</v>
      </c>
      <c r="F15" s="123">
        <v>0.08</v>
      </c>
      <c r="G15" s="123">
        <v>0.08</v>
      </c>
      <c r="H15" s="123">
        <v>0.08</v>
      </c>
      <c r="I15" s="123">
        <v>0.08</v>
      </c>
      <c r="J15" s="124">
        <v>0.08</v>
      </c>
    </row>
    <row r="16" spans="1:13">
      <c r="B16" s="44" t="s">
        <v>7</v>
      </c>
      <c r="C16" s="132">
        <f t="shared" ref="C16:E16" si="8">C10/C$5</f>
        <v>4.5512428444300534E-2</v>
      </c>
      <c r="D16" s="132">
        <f t="shared" si="8"/>
        <v>4.9750549966709426E-2</v>
      </c>
      <c r="E16" s="132">
        <f t="shared" si="8"/>
        <v>5.1011767918184278E-2</v>
      </c>
      <c r="F16" s="123">
        <v>0.06</v>
      </c>
      <c r="G16" s="123">
        <v>0.06</v>
      </c>
      <c r="H16" s="123">
        <v>0.06</v>
      </c>
      <c r="I16" s="123">
        <v>0.06</v>
      </c>
      <c r="J16" s="124">
        <v>0.06</v>
      </c>
    </row>
    <row r="17" spans="2:10">
      <c r="B17" s="44"/>
      <c r="C17" s="37"/>
      <c r="D17" s="37"/>
      <c r="E17" s="37"/>
      <c r="F17" s="4"/>
      <c r="G17" s="4"/>
      <c r="H17" s="4"/>
      <c r="I17" s="4"/>
      <c r="J17" s="45"/>
    </row>
    <row r="18" spans="2:10" ht="14.4" thickBot="1">
      <c r="B18" s="88" t="s">
        <v>32</v>
      </c>
      <c r="C18" s="133">
        <f>IS!C15/IS!C14</f>
        <v>-0.12394901254310066</v>
      </c>
      <c r="D18" s="133">
        <f>IS!D15/IS!D14</f>
        <v>-0.14665946292208731</v>
      </c>
      <c r="E18" s="133">
        <f>IS!E15/IS!E14</f>
        <v>-0.12850329672277633</v>
      </c>
      <c r="F18" s="134">
        <v>-0.15</v>
      </c>
      <c r="G18" s="134">
        <v>-0.15</v>
      </c>
      <c r="H18" s="134">
        <v>-0.15</v>
      </c>
      <c r="I18" s="134">
        <v>-0.15</v>
      </c>
      <c r="J18" s="135">
        <v>-0.15</v>
      </c>
    </row>
  </sheetData>
  <pageMargins left="0.7" right="0.7" top="0.75" bottom="0.75" header="0.3" footer="0.3"/>
  <pageSetup paperSize="9" scale="43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4A94-0A64-4262-96AD-FFCD6FFBB058}">
  <sheetPr>
    <tabColor theme="7" tint="0.79998168889431442"/>
    <pageSetUpPr fitToPage="1"/>
  </sheetPr>
  <dimension ref="A1:M50"/>
  <sheetViews>
    <sheetView showGridLines="0" zoomScale="69" zoomScaleNormal="69" workbookViewId="0">
      <pane ySplit="3" topLeftCell="A4" activePane="bottomLeft" state="frozen"/>
      <selection activeCell="D6" sqref="D6"/>
      <selection pane="bottomLeft" activeCell="C37" sqref="C37"/>
    </sheetView>
  </sheetViews>
  <sheetFormatPr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/>
  </cols>
  <sheetData>
    <row r="1" spans="1:13" ht="20.399999999999999">
      <c r="A1" s="9"/>
      <c r="B1" s="8" t="s">
        <v>238</v>
      </c>
      <c r="C1" s="9"/>
      <c r="D1" s="9"/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 t="s">
        <v>1</v>
      </c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</row>
    <row r="4" spans="1:13" ht="14.4" thickBot="1"/>
    <row r="5" spans="1:13" s="158" customFormat="1">
      <c r="B5" s="129" t="s">
        <v>30</v>
      </c>
      <c r="C5" s="130">
        <f>IS!C5</f>
        <v>29697.844000000001</v>
      </c>
      <c r="D5" s="130">
        <f>IS!D5</f>
        <v>31615.55</v>
      </c>
      <c r="E5" s="130">
        <f>IS!E5</f>
        <v>33723.296999999999</v>
      </c>
      <c r="F5" s="159">
        <f>IS!F5</f>
        <v>39690.707321621237</v>
      </c>
      <c r="G5" s="160">
        <f>IS!G5</f>
        <v>46030.862535061868</v>
      </c>
      <c r="H5" s="160">
        <f>IS!H5</f>
        <v>53436.238515280653</v>
      </c>
      <c r="I5" s="160">
        <f>IS!I5</f>
        <v>62091.682602091147</v>
      </c>
      <c r="J5" s="161">
        <f>IS!J5</f>
        <v>72214.876643108408</v>
      </c>
    </row>
    <row r="6" spans="1:13">
      <c r="B6" s="44"/>
      <c r="C6" s="4"/>
      <c r="D6" s="4"/>
      <c r="E6" s="4"/>
      <c r="F6" s="4"/>
      <c r="G6" s="4"/>
      <c r="H6" s="4"/>
      <c r="I6" s="4"/>
      <c r="J6" s="45"/>
    </row>
    <row r="7" spans="1:13">
      <c r="B7" s="44"/>
      <c r="C7" s="4"/>
      <c r="D7" s="4"/>
      <c r="E7" s="4"/>
      <c r="F7" s="4"/>
      <c r="G7" s="4"/>
      <c r="H7" s="4"/>
      <c r="I7" s="4"/>
      <c r="J7" s="45"/>
    </row>
    <row r="8" spans="1:13">
      <c r="B8" s="44" t="s">
        <v>66</v>
      </c>
      <c r="C8" s="4">
        <v>1000</v>
      </c>
      <c r="D8" s="4"/>
      <c r="E8" s="4"/>
      <c r="F8" s="136">
        <f>E10</f>
        <v>2346.4870000000001</v>
      </c>
      <c r="G8" s="136">
        <f t="shared" ref="G8:J8" si="1">F10</f>
        <v>2743.3940732162123</v>
      </c>
      <c r="H8" s="136">
        <f t="shared" si="1"/>
        <v>3203.7026985668308</v>
      </c>
      <c r="I8" s="136">
        <f t="shared" si="1"/>
        <v>3738.0650837196372</v>
      </c>
      <c r="J8" s="137">
        <f t="shared" si="1"/>
        <v>4358.9819097405489</v>
      </c>
    </row>
    <row r="9" spans="1:13">
      <c r="B9" s="44" t="s">
        <v>67</v>
      </c>
      <c r="C9" s="4"/>
      <c r="D9" s="4"/>
      <c r="E9" s="4"/>
      <c r="F9" s="63">
        <f>F14</f>
        <v>396.90707321621238</v>
      </c>
      <c r="G9" s="63">
        <f>G14</f>
        <v>460.30862535061868</v>
      </c>
      <c r="H9" s="63">
        <f>H14</f>
        <v>534.3623851528065</v>
      </c>
      <c r="I9" s="63">
        <f>I14</f>
        <v>620.91682602091146</v>
      </c>
      <c r="J9" s="64">
        <f>J14</f>
        <v>722.14876643108414</v>
      </c>
    </row>
    <row r="10" spans="1:13">
      <c r="B10" s="44" t="s">
        <v>68</v>
      </c>
      <c r="C10" s="79">
        <v>1939.759</v>
      </c>
      <c r="D10" s="79">
        <v>2151.998</v>
      </c>
      <c r="E10" s="79">
        <v>2346.4870000000001</v>
      </c>
      <c r="F10" s="38">
        <f>SUM(F8:F9)</f>
        <v>2743.3940732162123</v>
      </c>
      <c r="G10" s="38">
        <f t="shared" ref="G10:J10" si="2">SUM(G8:G9)</f>
        <v>3203.7026985668308</v>
      </c>
      <c r="H10" s="38">
        <f t="shared" si="2"/>
        <v>3738.0650837196372</v>
      </c>
      <c r="I10" s="38">
        <f t="shared" si="2"/>
        <v>4358.9819097405489</v>
      </c>
      <c r="J10" s="65">
        <f t="shared" si="2"/>
        <v>5081.1306761716332</v>
      </c>
    </row>
    <row r="11" spans="1:13">
      <c r="B11" s="44" t="s">
        <v>69</v>
      </c>
      <c r="C11" s="79">
        <v>616.30600000000004</v>
      </c>
      <c r="D11" s="79">
        <v>753.74099999999999</v>
      </c>
      <c r="E11" s="79">
        <v>855.04300000000001</v>
      </c>
      <c r="F11" s="38">
        <f>E11+F18</f>
        <v>1262.2334858572972</v>
      </c>
      <c r="G11" s="38">
        <f t="shared" ref="G11:J11" si="3">F11+G18</f>
        <v>1738.0012275999406</v>
      </c>
      <c r="H11" s="38">
        <f t="shared" si="3"/>
        <v>2293.3426501828581</v>
      </c>
      <c r="I11" s="38">
        <f t="shared" si="3"/>
        <v>2941.1064096596729</v>
      </c>
      <c r="J11" s="65">
        <f t="shared" si="3"/>
        <v>3696.3154165326473</v>
      </c>
    </row>
    <row r="12" spans="1:13" ht="14.4" thickBot="1">
      <c r="B12" s="48" t="s">
        <v>70</v>
      </c>
      <c r="C12" s="7">
        <f>C10-C11</f>
        <v>1323.453</v>
      </c>
      <c r="D12" s="7">
        <f t="shared" ref="D12:E12" si="4">D10-D11</f>
        <v>1398.2570000000001</v>
      </c>
      <c r="E12" s="7">
        <f t="shared" si="4"/>
        <v>1491.444</v>
      </c>
      <c r="F12" s="7">
        <f t="shared" ref="F12" si="5">F10-F11</f>
        <v>1481.1605873589151</v>
      </c>
      <c r="G12" s="7">
        <f t="shared" ref="G12" si="6">G10-G11</f>
        <v>1465.7014709668902</v>
      </c>
      <c r="H12" s="7">
        <f t="shared" ref="H12" si="7">H10-H11</f>
        <v>1444.7224335367791</v>
      </c>
      <c r="I12" s="7">
        <f t="shared" ref="I12" si="8">I10-I11</f>
        <v>1417.875500080876</v>
      </c>
      <c r="J12" s="84">
        <f t="shared" ref="J12" si="9">J10-J11</f>
        <v>1384.8152596389859</v>
      </c>
    </row>
    <row r="13" spans="1:13" ht="14.4" thickTop="1">
      <c r="B13" s="44"/>
      <c r="C13" s="4"/>
      <c r="D13" s="4"/>
      <c r="E13" s="4"/>
      <c r="F13" s="4"/>
      <c r="G13" s="4"/>
      <c r="H13" s="4"/>
      <c r="I13" s="4"/>
      <c r="J13" s="45"/>
    </row>
    <row r="14" spans="1:13">
      <c r="B14" s="44" t="s">
        <v>71</v>
      </c>
      <c r="C14" s="79">
        <v>524.58500000000004</v>
      </c>
      <c r="D14" s="79">
        <v>407.72899999999998</v>
      </c>
      <c r="E14" s="79">
        <v>348.55200000000002</v>
      </c>
      <c r="F14" s="63">
        <f>F5*F16</f>
        <v>396.90707321621238</v>
      </c>
      <c r="G14" s="63">
        <f>G5*G16</f>
        <v>460.30862535061868</v>
      </c>
      <c r="H14" s="63">
        <f>H5*H16</f>
        <v>534.3623851528065</v>
      </c>
      <c r="I14" s="63">
        <f>I5*I16</f>
        <v>620.91682602091146</v>
      </c>
      <c r="J14" s="64">
        <f>J5*J16</f>
        <v>722.14876643108414</v>
      </c>
    </row>
    <row r="15" spans="1:13">
      <c r="B15" s="44"/>
      <c r="C15" s="4"/>
      <c r="D15" s="4"/>
      <c r="E15" s="4"/>
      <c r="F15" s="4"/>
      <c r="G15" s="4"/>
      <c r="H15" s="4"/>
      <c r="I15" s="4"/>
      <c r="J15" s="45"/>
    </row>
    <row r="16" spans="1:13">
      <c r="B16" s="44" t="s">
        <v>72</v>
      </c>
      <c r="C16" s="125">
        <f>C14/C5</f>
        <v>1.7664076893932099E-2</v>
      </c>
      <c r="D16" s="125">
        <f>D14/D5</f>
        <v>1.2896470249608183E-2</v>
      </c>
      <c r="E16" s="125">
        <f>E14/E5</f>
        <v>1.0335644228380162E-2</v>
      </c>
      <c r="F16" s="123">
        <v>0.01</v>
      </c>
      <c r="G16" s="123">
        <v>0.01</v>
      </c>
      <c r="H16" s="123">
        <v>0.01</v>
      </c>
      <c r="I16" s="123">
        <v>0.01</v>
      </c>
      <c r="J16" s="124">
        <v>0.01</v>
      </c>
    </row>
    <row r="17" spans="2:10">
      <c r="B17" s="44"/>
      <c r="C17" s="4"/>
      <c r="D17" s="4"/>
      <c r="E17" s="4"/>
      <c r="F17" s="4"/>
      <c r="G17" s="4"/>
      <c r="H17" s="4"/>
      <c r="I17" s="4"/>
      <c r="J17" s="45"/>
    </row>
    <row r="18" spans="2:10">
      <c r="B18" s="44" t="s">
        <v>73</v>
      </c>
      <c r="C18" s="79">
        <v>208.41200000000001</v>
      </c>
      <c r="D18" s="79">
        <v>336.68200000000002</v>
      </c>
      <c r="E18" s="79">
        <v>356.947</v>
      </c>
      <c r="F18" s="38">
        <f>AVERAGE(E10:F10)*F20</f>
        <v>407.19048585729706</v>
      </c>
      <c r="G18" s="38">
        <f t="shared" ref="G18:J18" si="10">AVERAGE(F10:G10)*G20</f>
        <v>475.76774174264341</v>
      </c>
      <c r="H18" s="38">
        <f t="shared" si="10"/>
        <v>555.3414225829174</v>
      </c>
      <c r="I18" s="38">
        <f t="shared" si="10"/>
        <v>647.76375947681493</v>
      </c>
      <c r="J18" s="65">
        <f t="shared" si="10"/>
        <v>755.20900687297456</v>
      </c>
    </row>
    <row r="19" spans="2:10">
      <c r="B19" s="44"/>
      <c r="C19" s="4"/>
      <c r="D19" s="4"/>
      <c r="E19" s="4"/>
      <c r="F19" s="4"/>
      <c r="G19" s="4"/>
      <c r="H19" s="4"/>
      <c r="I19" s="4"/>
      <c r="J19" s="45"/>
    </row>
    <row r="20" spans="2:10">
      <c r="B20" s="44" t="s">
        <v>74</v>
      </c>
      <c r="C20" s="4"/>
      <c r="D20" s="125">
        <f>D18/AVERAGE(C10:D10)</f>
        <v>0.16456597984679933</v>
      </c>
      <c r="E20" s="125">
        <f>E18/AVERAGE(D10:E10)</f>
        <v>0.15869653894588953</v>
      </c>
      <c r="F20" s="123">
        <v>0.16</v>
      </c>
      <c r="G20" s="123">
        <v>0.16</v>
      </c>
      <c r="H20" s="123">
        <v>0.16</v>
      </c>
      <c r="I20" s="123">
        <v>0.16</v>
      </c>
      <c r="J20" s="124">
        <v>0.16</v>
      </c>
    </row>
    <row r="21" spans="2:10">
      <c r="B21" s="44"/>
      <c r="C21" s="4"/>
      <c r="D21" s="4"/>
      <c r="E21" s="4"/>
      <c r="F21" s="4"/>
      <c r="G21" s="4"/>
      <c r="H21" s="4"/>
      <c r="I21" s="4"/>
      <c r="J21" s="45"/>
    </row>
    <row r="22" spans="2:10">
      <c r="B22" s="44"/>
      <c r="C22" s="4"/>
      <c r="D22" s="4"/>
      <c r="E22" s="4"/>
      <c r="F22" s="4"/>
      <c r="G22" s="4"/>
      <c r="H22" s="4"/>
      <c r="I22" s="4"/>
      <c r="J22" s="45"/>
    </row>
    <row r="23" spans="2:10" ht="14.4" thickBot="1">
      <c r="B23" s="48" t="s">
        <v>75</v>
      </c>
      <c r="C23" s="7"/>
      <c r="D23" s="7"/>
      <c r="E23" s="7"/>
      <c r="F23" s="7"/>
      <c r="G23" s="7"/>
      <c r="H23" s="7"/>
      <c r="I23" s="7"/>
      <c r="J23" s="84"/>
    </row>
    <row r="24" spans="2:10" ht="14.4" thickTop="1">
      <c r="B24" s="44"/>
      <c r="C24" s="4"/>
      <c r="D24" s="4"/>
      <c r="E24" s="4"/>
      <c r="F24" s="4"/>
      <c r="G24" s="4"/>
      <c r="H24" s="4"/>
      <c r="I24" s="4"/>
      <c r="J24" s="45"/>
    </row>
    <row r="25" spans="2:10">
      <c r="B25" s="44" t="s">
        <v>76</v>
      </c>
      <c r="C25" s="79">
        <v>13799.221</v>
      </c>
      <c r="D25" s="79">
        <v>12732.549000000001</v>
      </c>
      <c r="E25" s="79">
        <v>12722.700999999999</v>
      </c>
      <c r="F25" s="38">
        <f>F34</f>
        <v>13476.959704025892</v>
      </c>
      <c r="G25" s="38">
        <f t="shared" ref="G25:J25" si="11">G34</f>
        <v>14811.802135288886</v>
      </c>
      <c r="H25" s="38">
        <f t="shared" si="11"/>
        <v>16661.383823038603</v>
      </c>
      <c r="I25" s="38">
        <f t="shared" si="11"/>
        <v>19008.407788465753</v>
      </c>
      <c r="J25" s="65">
        <f t="shared" si="11"/>
        <v>21871.060405451852</v>
      </c>
    </row>
    <row r="26" spans="2:10">
      <c r="B26" s="44" t="s">
        <v>77</v>
      </c>
      <c r="C26" s="79">
        <v>17120.317999999999</v>
      </c>
      <c r="D26" s="79">
        <v>20004.164000000001</v>
      </c>
      <c r="E26" s="79">
        <v>18935.355</v>
      </c>
      <c r="F26" s="38">
        <f>F43</f>
        <v>20767.521086139936</v>
      </c>
      <c r="G26" s="38">
        <f t="shared" ref="G26:J26" si="12">G43</f>
        <v>23202.418407211084</v>
      </c>
      <c r="H26" s="38">
        <f t="shared" si="12"/>
        <v>26264.637416636971</v>
      </c>
      <c r="I26" s="38">
        <f t="shared" si="12"/>
        <v>30003.836067187272</v>
      </c>
      <c r="J26" s="65">
        <f t="shared" si="12"/>
        <v>34493.810694375628</v>
      </c>
    </row>
    <row r="27" spans="2:10">
      <c r="B27" s="44"/>
      <c r="C27" s="4"/>
      <c r="D27" s="4"/>
      <c r="E27" s="4"/>
      <c r="F27" s="4"/>
      <c r="G27" s="4"/>
      <c r="H27" s="4"/>
      <c r="I27" s="4"/>
      <c r="J27" s="45"/>
    </row>
    <row r="28" spans="2:10">
      <c r="B28" s="44" t="s">
        <v>78</v>
      </c>
      <c r="C28" s="38">
        <f>SUM(C25:C26)</f>
        <v>30919.538999999997</v>
      </c>
      <c r="D28" s="38">
        <f t="shared" ref="D28:J28" si="13">SUM(D25:D26)</f>
        <v>32736.713000000003</v>
      </c>
      <c r="E28" s="38">
        <f t="shared" si="13"/>
        <v>31658.055999999997</v>
      </c>
      <c r="F28" s="38">
        <f t="shared" si="13"/>
        <v>34244.480790165828</v>
      </c>
      <c r="G28" s="38">
        <f t="shared" si="13"/>
        <v>38014.22054249997</v>
      </c>
      <c r="H28" s="38">
        <f t="shared" si="13"/>
        <v>42926.021239675574</v>
      </c>
      <c r="I28" s="38">
        <f t="shared" si="13"/>
        <v>49012.243855653025</v>
      </c>
      <c r="J28" s="65">
        <f t="shared" si="13"/>
        <v>56364.871099827476</v>
      </c>
    </row>
    <row r="29" spans="2:10">
      <c r="B29" s="44"/>
      <c r="C29" s="4"/>
      <c r="D29" s="4"/>
      <c r="E29" s="4"/>
      <c r="F29" s="4"/>
      <c r="G29" s="4"/>
      <c r="H29" s="4"/>
      <c r="I29" s="4"/>
      <c r="J29" s="45"/>
    </row>
    <row r="30" spans="2:10">
      <c r="B30" s="44"/>
      <c r="C30" s="4"/>
      <c r="D30" s="4"/>
      <c r="E30" s="4"/>
      <c r="F30" s="4"/>
      <c r="G30" s="4"/>
      <c r="H30" s="4"/>
      <c r="I30" s="4"/>
      <c r="J30" s="45"/>
    </row>
    <row r="31" spans="2:10">
      <c r="B31" s="44" t="s">
        <v>79</v>
      </c>
      <c r="C31" s="4"/>
      <c r="D31" s="38">
        <f>C34</f>
        <v>13799.221</v>
      </c>
      <c r="E31" s="38">
        <f>D34</f>
        <v>12732.549000000001</v>
      </c>
      <c r="F31" s="38">
        <f>E34</f>
        <v>12722.700999999999</v>
      </c>
      <c r="G31" s="38">
        <f t="shared" ref="G31:J31" si="14">F34</f>
        <v>13476.959704025892</v>
      </c>
      <c r="H31" s="38">
        <f t="shared" si="14"/>
        <v>14811.802135288886</v>
      </c>
      <c r="I31" s="38">
        <f t="shared" si="14"/>
        <v>16661.383823038603</v>
      </c>
      <c r="J31" s="65">
        <f t="shared" si="14"/>
        <v>19008.407788465753</v>
      </c>
    </row>
    <row r="32" spans="2:10">
      <c r="B32" s="44" t="s">
        <v>80</v>
      </c>
      <c r="C32" s="4"/>
      <c r="D32" s="38">
        <f>D34+D33-D31</f>
        <v>6615.3060000000023</v>
      </c>
      <c r="E32" s="38">
        <f>E34+E33-E31</f>
        <v>7135.5979999999963</v>
      </c>
      <c r="F32" s="63">
        <f>F35*F5</f>
        <v>8335.0485375404587</v>
      </c>
      <c r="G32" s="63">
        <f t="shared" ref="G32:J32" si="15">G35*G5</f>
        <v>9666.481132362991</v>
      </c>
      <c r="H32" s="63">
        <f t="shared" si="15"/>
        <v>11221.610088208936</v>
      </c>
      <c r="I32" s="63">
        <f t="shared" si="15"/>
        <v>13039.25334643914</v>
      </c>
      <c r="J32" s="64">
        <f t="shared" si="15"/>
        <v>15165.124095052764</v>
      </c>
    </row>
    <row r="33" spans="2:10">
      <c r="B33" s="44" t="s">
        <v>81</v>
      </c>
      <c r="C33" s="79">
        <v>8055.8109999999997</v>
      </c>
      <c r="D33" s="79">
        <v>7681.9780000000001</v>
      </c>
      <c r="E33" s="79">
        <v>7145.4459999999999</v>
      </c>
      <c r="F33" s="63">
        <f>SUM(F31:F32)*F36</f>
        <v>7580.7898335145646</v>
      </c>
      <c r="G33" s="63">
        <f t="shared" ref="G33:J33" si="16">SUM(G31:G32)*G36</f>
        <v>8331.638701099997</v>
      </c>
      <c r="H33" s="63">
        <f t="shared" si="16"/>
        <v>9372.0284004592158</v>
      </c>
      <c r="I33" s="63">
        <f t="shared" si="16"/>
        <v>10692.229381011986</v>
      </c>
      <c r="J33" s="64">
        <f t="shared" si="16"/>
        <v>12302.471478066665</v>
      </c>
    </row>
    <row r="34" spans="2:10">
      <c r="B34" s="44" t="s">
        <v>82</v>
      </c>
      <c r="C34" s="38">
        <f>C25</f>
        <v>13799.221</v>
      </c>
      <c r="D34" s="38">
        <f t="shared" ref="D34:E34" si="17">D25</f>
        <v>12732.549000000001</v>
      </c>
      <c r="E34" s="38">
        <f t="shared" si="17"/>
        <v>12722.700999999999</v>
      </c>
      <c r="F34" s="38">
        <f>SUM(F31:F32)-F33</f>
        <v>13476.959704025892</v>
      </c>
      <c r="G34" s="38">
        <f t="shared" ref="G34:J34" si="18">SUM(G31:G32)-G33</f>
        <v>14811.802135288886</v>
      </c>
      <c r="H34" s="38">
        <f t="shared" si="18"/>
        <v>16661.383823038603</v>
      </c>
      <c r="I34" s="38">
        <f t="shared" si="18"/>
        <v>19008.407788465753</v>
      </c>
      <c r="J34" s="65">
        <f t="shared" si="18"/>
        <v>21871.060405451852</v>
      </c>
    </row>
    <row r="35" spans="2:10">
      <c r="B35" s="44" t="s">
        <v>85</v>
      </c>
      <c r="C35" s="4"/>
      <c r="D35" s="125">
        <f>D32/D5</f>
        <v>0.20924216089867179</v>
      </c>
      <c r="E35" s="125">
        <f>E32/E5</f>
        <v>0.21159253794194549</v>
      </c>
      <c r="F35" s="123">
        <v>0.21</v>
      </c>
      <c r="G35" s="123">
        <v>0.21</v>
      </c>
      <c r="H35" s="123">
        <v>0.21</v>
      </c>
      <c r="I35" s="123">
        <v>0.21</v>
      </c>
      <c r="J35" s="124">
        <v>0.21</v>
      </c>
    </row>
    <row r="36" spans="2:10">
      <c r="B36" s="44" t="s">
        <v>86</v>
      </c>
      <c r="C36" s="4"/>
      <c r="D36" s="125">
        <f>D33/SUM(D31:D32)</f>
        <v>0.37629958313508804</v>
      </c>
      <c r="E36" s="125">
        <f>E33/SUM(E31:E32)</f>
        <v>0.359643302417684</v>
      </c>
      <c r="F36" s="123">
        <v>0.36</v>
      </c>
      <c r="G36" s="123">
        <v>0.36</v>
      </c>
      <c r="H36" s="123">
        <v>0.36</v>
      </c>
      <c r="I36" s="123">
        <v>0.36</v>
      </c>
      <c r="J36" s="124">
        <v>0.36</v>
      </c>
    </row>
    <row r="37" spans="2:10">
      <c r="B37" s="44" t="s">
        <v>101</v>
      </c>
      <c r="C37" s="38">
        <f>'BS2'!C25</f>
        <v>6170.652000000001</v>
      </c>
      <c r="D37" s="38">
        <f>'BS2'!D25</f>
        <v>6814.4339999999993</v>
      </c>
      <c r="E37" s="38">
        <f>'BS2'!E25</f>
        <v>7053.9259999999995</v>
      </c>
      <c r="F37" s="38">
        <f>'BS2'!F25</f>
        <v>9128.862683972884</v>
      </c>
      <c r="G37" s="38">
        <f>'BS2'!G25</f>
        <v>10587.098383064229</v>
      </c>
      <c r="H37" s="38">
        <f>'BS2'!H25</f>
        <v>12290.33485851455</v>
      </c>
      <c r="I37" s="38">
        <f>'BS2'!I25</f>
        <v>14281.086998480963</v>
      </c>
      <c r="J37" s="65">
        <f>'BS2'!J25</f>
        <v>16609.421627914933</v>
      </c>
    </row>
    <row r="38" spans="2:10">
      <c r="B38" s="44"/>
      <c r="C38" s="30"/>
      <c r="D38" s="4"/>
      <c r="E38" s="4"/>
      <c r="F38" s="4"/>
      <c r="G38" s="4"/>
      <c r="H38" s="4"/>
      <c r="I38" s="4"/>
      <c r="J38" s="45"/>
    </row>
    <row r="39" spans="2:10">
      <c r="B39" s="44"/>
      <c r="C39" s="4"/>
      <c r="D39" s="4"/>
      <c r="E39" s="4"/>
      <c r="F39" s="4"/>
      <c r="G39" s="4"/>
      <c r="H39" s="4"/>
      <c r="I39" s="4"/>
      <c r="J39" s="45"/>
    </row>
    <row r="40" spans="2:10">
      <c r="B40" s="44" t="s">
        <v>83</v>
      </c>
      <c r="C40" s="4"/>
      <c r="D40" s="38">
        <f>C43</f>
        <v>17120.317999999999</v>
      </c>
      <c r="E40" s="38">
        <f>D43</f>
        <v>20004.164000000001</v>
      </c>
      <c r="F40" s="38">
        <f>E43</f>
        <v>18935.355</v>
      </c>
      <c r="G40" s="38">
        <f t="shared" ref="G40:J40" si="19">F43</f>
        <v>20767.521086139936</v>
      </c>
      <c r="H40" s="38">
        <f t="shared" si="19"/>
        <v>23202.418407211084</v>
      </c>
      <c r="I40" s="38">
        <f t="shared" si="19"/>
        <v>26264.637416636971</v>
      </c>
      <c r="J40" s="65">
        <f t="shared" si="19"/>
        <v>30003.836067187272</v>
      </c>
    </row>
    <row r="41" spans="2:10">
      <c r="B41" s="44" t="s">
        <v>80</v>
      </c>
      <c r="C41" s="4"/>
      <c r="D41" s="38">
        <f>D43+D42-D40</f>
        <v>9228</v>
      </c>
      <c r="E41" s="38">
        <f>E43+E42-E40</f>
        <v>5983.1819999999971</v>
      </c>
      <c r="F41" s="63">
        <f>F44*F5</f>
        <v>9128.8626839728859</v>
      </c>
      <c r="G41" s="63">
        <f t="shared" ref="G41:J41" si="20">G44*G5</f>
        <v>10587.098383064231</v>
      </c>
      <c r="H41" s="63">
        <f t="shared" si="20"/>
        <v>12290.33485851455</v>
      </c>
      <c r="I41" s="63">
        <f t="shared" si="20"/>
        <v>14281.086998480965</v>
      </c>
      <c r="J41" s="64">
        <f t="shared" si="20"/>
        <v>16609.421627914933</v>
      </c>
    </row>
    <row r="42" spans="2:10">
      <c r="B42" s="44" t="s">
        <v>81</v>
      </c>
      <c r="C42" s="79">
        <v>4174.5559999999996</v>
      </c>
      <c r="D42" s="79">
        <v>6344.1540000000005</v>
      </c>
      <c r="E42" s="79">
        <v>7051.991</v>
      </c>
      <c r="F42" s="63">
        <f>SUM(F40:F41)*F45</f>
        <v>7296.6965978329508</v>
      </c>
      <c r="G42" s="63">
        <f t="shared" ref="G42:J42" si="21">SUM(G40:G41)*G45</f>
        <v>8152.2010619930843</v>
      </c>
      <c r="H42" s="63">
        <f t="shared" si="21"/>
        <v>9228.1158490886664</v>
      </c>
      <c r="I42" s="63">
        <f t="shared" si="21"/>
        <v>10541.888347930662</v>
      </c>
      <c r="J42" s="64">
        <f t="shared" si="21"/>
        <v>12119.447000726574</v>
      </c>
    </row>
    <row r="43" spans="2:10">
      <c r="B43" s="44" t="s">
        <v>84</v>
      </c>
      <c r="C43" s="38">
        <f>C26</f>
        <v>17120.317999999999</v>
      </c>
      <c r="D43" s="38">
        <f t="shared" ref="D43:E43" si="22">D26</f>
        <v>20004.164000000001</v>
      </c>
      <c r="E43" s="38">
        <f t="shared" si="22"/>
        <v>18935.355</v>
      </c>
      <c r="F43" s="38">
        <f>SUM(F40:F41)-F42</f>
        <v>20767.521086139936</v>
      </c>
      <c r="G43" s="38">
        <f t="shared" ref="G43" si="23">SUM(G40:G41)-G42</f>
        <v>23202.418407211084</v>
      </c>
      <c r="H43" s="38">
        <f t="shared" ref="H43" si="24">SUM(H40:H41)-H42</f>
        <v>26264.637416636971</v>
      </c>
      <c r="I43" s="38">
        <f t="shared" ref="I43" si="25">SUM(I40:I41)-I42</f>
        <v>30003.836067187272</v>
      </c>
      <c r="J43" s="65">
        <f t="shared" ref="J43" si="26">SUM(J40:J41)-J42</f>
        <v>34493.810694375628</v>
      </c>
    </row>
    <row r="44" spans="2:10">
      <c r="B44" s="44" t="s">
        <v>85</v>
      </c>
      <c r="C44" s="4"/>
      <c r="D44" s="125">
        <f>D41/D5</f>
        <v>0.29188168480383864</v>
      </c>
      <c r="E44" s="125">
        <v>0.18</v>
      </c>
      <c r="F44" s="36">
        <v>0.23</v>
      </c>
      <c r="G44" s="36">
        <v>0.23</v>
      </c>
      <c r="H44" s="36">
        <v>0.23</v>
      </c>
      <c r="I44" s="36">
        <v>0.23</v>
      </c>
      <c r="J44" s="62">
        <v>0.23</v>
      </c>
    </row>
    <row r="45" spans="2:10" ht="14.4" thickBot="1">
      <c r="B45" s="52" t="s">
        <v>86</v>
      </c>
      <c r="C45" s="76"/>
      <c r="D45" s="138">
        <f>D42/SUM(D40:D41)</f>
        <v>0.24078022741337798</v>
      </c>
      <c r="E45" s="138">
        <f t="shared" ref="E45" si="27">E42/SUM(E40:E41)</f>
        <v>0.27136249311491834</v>
      </c>
      <c r="F45" s="57">
        <v>0.26</v>
      </c>
      <c r="G45" s="57">
        <v>0.26</v>
      </c>
      <c r="H45" s="57">
        <v>0.26</v>
      </c>
      <c r="I45" s="57">
        <v>0.26</v>
      </c>
      <c r="J45" s="139">
        <v>0.26</v>
      </c>
    </row>
    <row r="49" spans="3:4">
      <c r="C49" s="15"/>
      <c r="D49" s="15"/>
    </row>
    <row r="50" spans="3:4">
      <c r="C50" s="15"/>
      <c r="D50" s="15"/>
    </row>
  </sheetData>
  <pageMargins left="0.7" right="0.7" top="0.75" bottom="0.75" header="0.3" footer="0.3"/>
  <pageSetup paperSize="9" scale="39" fitToHeight="0" orientation="portrait" r:id="rId1"/>
  <ignoredErrors>
    <ignoredError sqref="D20:E20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4F24-2E75-48B7-89EB-6C03E6BA26A7}">
  <sheetPr>
    <tabColor theme="7" tint="0.39997558519241921"/>
    <pageSetUpPr fitToPage="1"/>
  </sheetPr>
  <dimension ref="A1:M33"/>
  <sheetViews>
    <sheetView showGridLines="0" workbookViewId="0">
      <pane ySplit="3" topLeftCell="A12" activePane="bottomLeft" state="frozen"/>
      <selection activeCell="D6" sqref="D6"/>
      <selection pane="bottomLeft" activeCell="C25" sqref="C25"/>
    </sheetView>
  </sheetViews>
  <sheetFormatPr defaultRowHeight="13.8"/>
  <cols>
    <col min="1" max="1" width="3.33203125" style="1" customWidth="1"/>
    <col min="2" max="2" width="55.77734375" style="1" customWidth="1"/>
    <col min="3" max="11" width="15.77734375" style="1" customWidth="1"/>
    <col min="12" max="16384" width="8.88671875" style="1"/>
  </cols>
  <sheetData>
    <row r="1" spans="1:13" ht="20.399999999999999">
      <c r="A1" s="9"/>
      <c r="B1" s="8" t="s">
        <v>239</v>
      </c>
      <c r="C1" s="9"/>
      <c r="D1" s="9" t="s">
        <v>1</v>
      </c>
      <c r="E1" s="10"/>
      <c r="F1" s="9"/>
      <c r="G1" s="9"/>
      <c r="H1" s="9"/>
      <c r="I1" s="9"/>
      <c r="J1" s="9"/>
      <c r="K1" s="9"/>
      <c r="L1" s="9"/>
      <c r="M1" s="9"/>
    </row>
    <row r="2" spans="1:13" ht="20.399999999999999">
      <c r="A2" s="9"/>
      <c r="B2" s="27" t="s">
        <v>1</v>
      </c>
      <c r="C2" s="22" t="s">
        <v>0</v>
      </c>
      <c r="D2" s="22"/>
      <c r="E2" s="23"/>
      <c r="F2" s="24" t="s">
        <v>2</v>
      </c>
      <c r="G2" s="25"/>
      <c r="H2" s="26"/>
      <c r="I2" s="25"/>
      <c r="J2" s="25"/>
      <c r="K2" s="9"/>
      <c r="L2" s="9"/>
      <c r="M2" s="9"/>
    </row>
    <row r="3" spans="1:13" ht="20.399999999999999">
      <c r="A3" s="9"/>
      <c r="B3" s="16" t="s">
        <v>165</v>
      </c>
      <c r="C3" s="17">
        <v>2021</v>
      </c>
      <c r="D3" s="18">
        <v>2022</v>
      </c>
      <c r="E3" s="18">
        <v>2023</v>
      </c>
      <c r="F3" s="19">
        <f>E3+1</f>
        <v>2024</v>
      </c>
      <c r="G3" s="19">
        <f t="shared" ref="G3:J3" si="0">F3+1</f>
        <v>2025</v>
      </c>
      <c r="H3" s="19">
        <f t="shared" si="0"/>
        <v>2026</v>
      </c>
      <c r="I3" s="19">
        <f t="shared" si="0"/>
        <v>2027</v>
      </c>
      <c r="J3" s="19">
        <f t="shared" si="0"/>
        <v>2028</v>
      </c>
      <c r="K3" s="9"/>
      <c r="L3" s="9"/>
      <c r="M3" s="9"/>
    </row>
    <row r="4" spans="1:13" ht="14.4" thickBot="1"/>
    <row r="5" spans="1:13" ht="14.4" thickBot="1">
      <c r="B5" s="40" t="s">
        <v>97</v>
      </c>
      <c r="C5" s="148"/>
      <c r="D5" s="148"/>
      <c r="E5" s="148"/>
      <c r="F5" s="148"/>
      <c r="G5" s="148"/>
      <c r="H5" s="148"/>
      <c r="I5" s="148"/>
      <c r="J5" s="149"/>
    </row>
    <row r="6" spans="1:13" ht="14.4" thickTop="1">
      <c r="B6" s="44"/>
      <c r="C6" s="4"/>
      <c r="D6" s="4"/>
      <c r="E6" s="4"/>
      <c r="F6" s="4"/>
      <c r="G6" s="4"/>
      <c r="H6" s="4"/>
      <c r="I6" s="4"/>
      <c r="J6" s="45"/>
    </row>
    <row r="7" spans="1:13">
      <c r="B7" s="44" t="s">
        <v>87</v>
      </c>
      <c r="C7" s="4"/>
      <c r="D7" s="4"/>
      <c r="E7" s="4"/>
      <c r="F7" s="38">
        <f>E16</f>
        <v>4466.47</v>
      </c>
      <c r="G7" s="38">
        <f t="shared" ref="G7:J7" si="1">F16</f>
        <v>2578.1729999999998</v>
      </c>
      <c r="H7" s="38">
        <f t="shared" si="1"/>
        <v>3492.7822443026689</v>
      </c>
      <c r="I7" s="38">
        <f t="shared" si="1"/>
        <v>4050.7159030854436</v>
      </c>
      <c r="J7" s="65">
        <f t="shared" si="1"/>
        <v>4702.3889893446976</v>
      </c>
    </row>
    <row r="8" spans="1:13">
      <c r="B8" s="44" t="s">
        <v>88</v>
      </c>
      <c r="C8" s="4"/>
      <c r="D8" s="4"/>
      <c r="E8" s="4"/>
      <c r="F8" s="38">
        <f>E17</f>
        <v>2578.1729999999998</v>
      </c>
      <c r="G8" s="38">
        <f t="shared" ref="G8:J8" si="2">F17</f>
        <v>3492.7822443026689</v>
      </c>
      <c r="H8" s="38">
        <f t="shared" si="2"/>
        <v>4050.7159030854436</v>
      </c>
      <c r="I8" s="38">
        <f t="shared" si="2"/>
        <v>4702.3889893446976</v>
      </c>
      <c r="J8" s="65">
        <f t="shared" si="2"/>
        <v>5464.0680689840228</v>
      </c>
    </row>
    <row r="9" spans="1:13">
      <c r="B9" s="44"/>
      <c r="C9" s="4"/>
      <c r="D9" s="4"/>
      <c r="E9" s="4"/>
      <c r="F9" s="4"/>
      <c r="G9" s="4"/>
      <c r="H9" s="4"/>
      <c r="I9" s="4"/>
      <c r="J9" s="45"/>
    </row>
    <row r="10" spans="1:13">
      <c r="B10" s="44" t="s">
        <v>89</v>
      </c>
      <c r="C10" s="4"/>
      <c r="D10" s="4"/>
      <c r="E10" s="4"/>
      <c r="F10" s="150">
        <f>F8</f>
        <v>2578.1729999999998</v>
      </c>
      <c r="G10" s="150">
        <f t="shared" ref="G10:J10" si="3">G8</f>
        <v>3492.7822443026689</v>
      </c>
      <c r="H10" s="150">
        <f t="shared" si="3"/>
        <v>4050.7159030854436</v>
      </c>
      <c r="I10" s="150">
        <f t="shared" si="3"/>
        <v>4702.3889893446976</v>
      </c>
      <c r="J10" s="151">
        <f t="shared" si="3"/>
        <v>5464.0680689840228</v>
      </c>
    </row>
    <row r="11" spans="1:13">
      <c r="B11" s="44" t="s">
        <v>90</v>
      </c>
      <c r="C11" s="4"/>
      <c r="D11" s="4"/>
      <c r="E11" s="4"/>
      <c r="F11" s="152">
        <f>F19*F20</f>
        <v>3492.7822443026689</v>
      </c>
      <c r="G11" s="152">
        <f t="shared" ref="G11:J11" si="4">G19*G20</f>
        <v>4050.7159030854441</v>
      </c>
      <c r="H11" s="152">
        <f t="shared" si="4"/>
        <v>4702.3889893446976</v>
      </c>
      <c r="I11" s="152">
        <f t="shared" si="4"/>
        <v>5464.0680689840219</v>
      </c>
      <c r="J11" s="153">
        <f t="shared" si="4"/>
        <v>6354.9091445935401</v>
      </c>
    </row>
    <row r="12" spans="1:13">
      <c r="B12" s="44"/>
      <c r="C12" s="4"/>
      <c r="D12" s="4"/>
      <c r="E12" s="4"/>
      <c r="F12" s="113"/>
      <c r="G12" s="113"/>
      <c r="H12" s="113"/>
      <c r="I12" s="113"/>
      <c r="J12" s="154"/>
    </row>
    <row r="13" spans="1:13">
      <c r="B13" s="44" t="s">
        <v>91</v>
      </c>
      <c r="C13" s="4"/>
      <c r="D13" s="4"/>
      <c r="E13" s="4"/>
      <c r="F13" s="150">
        <f>-F7</f>
        <v>-4466.47</v>
      </c>
      <c r="G13" s="150">
        <f t="shared" ref="G13:J13" si="5">-G7</f>
        <v>-2578.1729999999998</v>
      </c>
      <c r="H13" s="150">
        <f t="shared" si="5"/>
        <v>-3492.7822443026689</v>
      </c>
      <c r="I13" s="150">
        <f t="shared" si="5"/>
        <v>-4050.7159030854436</v>
      </c>
      <c r="J13" s="151">
        <f t="shared" si="5"/>
        <v>-4702.3889893446976</v>
      </c>
    </row>
    <row r="14" spans="1:13">
      <c r="B14" s="44" t="s">
        <v>92</v>
      </c>
      <c r="C14" s="4"/>
      <c r="D14" s="4"/>
      <c r="E14" s="4"/>
      <c r="F14" s="150">
        <f>-F8</f>
        <v>-2578.1729999999998</v>
      </c>
      <c r="G14" s="150">
        <f t="shared" ref="G14:J14" si="6">-G8</f>
        <v>-3492.7822443026689</v>
      </c>
      <c r="H14" s="150">
        <f t="shared" si="6"/>
        <v>-4050.7159030854436</v>
      </c>
      <c r="I14" s="150">
        <f t="shared" si="6"/>
        <v>-4702.3889893446976</v>
      </c>
      <c r="J14" s="151">
        <f t="shared" si="6"/>
        <v>-5464.0680689840228</v>
      </c>
    </row>
    <row r="15" spans="1:13">
      <c r="B15" s="44"/>
      <c r="C15" s="4"/>
      <c r="D15" s="4"/>
      <c r="E15" s="4"/>
      <c r="F15" s="4"/>
      <c r="G15" s="4"/>
      <c r="H15" s="4"/>
      <c r="I15" s="4"/>
      <c r="J15" s="45"/>
    </row>
    <row r="16" spans="1:13">
      <c r="B16" s="44" t="s">
        <v>93</v>
      </c>
      <c r="C16" s="38">
        <f>BS!C18</f>
        <v>4292.9669999999996</v>
      </c>
      <c r="D16" s="38">
        <f>BS!D18</f>
        <v>4480.1499999999996</v>
      </c>
      <c r="E16" s="38">
        <f>BS!E18</f>
        <v>4466.47</v>
      </c>
      <c r="F16" s="38">
        <f>F7+F10+F13</f>
        <v>2578.1729999999998</v>
      </c>
      <c r="G16" s="38">
        <f t="shared" ref="G16:J16" si="7">G7+G10+G13</f>
        <v>3492.7822443026689</v>
      </c>
      <c r="H16" s="38">
        <f t="shared" si="7"/>
        <v>4050.7159030854436</v>
      </c>
      <c r="I16" s="38">
        <f t="shared" si="7"/>
        <v>4702.3889893446976</v>
      </c>
      <c r="J16" s="65">
        <f t="shared" si="7"/>
        <v>5464.0680689840228</v>
      </c>
    </row>
    <row r="17" spans="2:10">
      <c r="B17" s="44" t="s">
        <v>94</v>
      </c>
      <c r="C17" s="38">
        <f>BS!C24</f>
        <v>3094.2130000000002</v>
      </c>
      <c r="D17" s="38">
        <f>BS!D24</f>
        <v>3081.277</v>
      </c>
      <c r="E17" s="38">
        <f>BS!E24</f>
        <v>2578.1729999999998</v>
      </c>
      <c r="F17" s="38">
        <f>F8+F11+F14</f>
        <v>3492.7822443026689</v>
      </c>
      <c r="G17" s="38">
        <f t="shared" ref="G17:J17" si="8">G8+G11+G14</f>
        <v>4050.7159030854436</v>
      </c>
      <c r="H17" s="38">
        <f t="shared" si="8"/>
        <v>4702.3889893446976</v>
      </c>
      <c r="I17" s="38">
        <f t="shared" si="8"/>
        <v>5464.0680689840228</v>
      </c>
      <c r="J17" s="65">
        <f t="shared" si="8"/>
        <v>6354.909144593541</v>
      </c>
    </row>
    <row r="18" spans="2:10">
      <c r="B18" s="44"/>
      <c r="C18" s="4"/>
      <c r="D18" s="4"/>
      <c r="E18" s="4"/>
      <c r="F18" s="4"/>
      <c r="G18" s="4"/>
      <c r="H18" s="4"/>
      <c r="I18" s="4"/>
      <c r="J18" s="45"/>
    </row>
    <row r="19" spans="2:10">
      <c r="B19" s="44" t="s">
        <v>95</v>
      </c>
      <c r="C19" s="4"/>
      <c r="D19" s="38">
        <f>'BS1'!D32+'BS1'!D41</f>
        <v>15843.306000000002</v>
      </c>
      <c r="E19" s="38">
        <f>'BS1'!E32+'BS1'!E41</f>
        <v>13118.779999999993</v>
      </c>
      <c r="F19" s="38">
        <f>'BS1'!F32+'BS1'!F41</f>
        <v>17463.911221513343</v>
      </c>
      <c r="G19" s="38">
        <f>'BS1'!G32+'BS1'!G41</f>
        <v>20253.57951542722</v>
      </c>
      <c r="H19" s="38">
        <f>'BS1'!H32+'BS1'!H41</f>
        <v>23511.944946723488</v>
      </c>
      <c r="I19" s="38">
        <f>'BS1'!I32+'BS1'!I41</f>
        <v>27320.340344920107</v>
      </c>
      <c r="J19" s="65">
        <f>'BS1'!J32+'BS1'!J41</f>
        <v>31774.545722967698</v>
      </c>
    </row>
    <row r="20" spans="2:10">
      <c r="B20" s="44" t="s">
        <v>96</v>
      </c>
      <c r="C20" s="4"/>
      <c r="D20" s="37">
        <f>D17/D19</f>
        <v>0.19448447186464743</v>
      </c>
      <c r="E20" s="37">
        <f>E17/E19</f>
        <v>0.196525362876731</v>
      </c>
      <c r="F20" s="123">
        <v>0.2</v>
      </c>
      <c r="G20" s="123">
        <v>0.2</v>
      </c>
      <c r="H20" s="123">
        <v>0.2</v>
      </c>
      <c r="I20" s="123">
        <v>0.2</v>
      </c>
      <c r="J20" s="124">
        <v>0.2</v>
      </c>
    </row>
    <row r="21" spans="2:10">
      <c r="B21" s="44"/>
      <c r="C21" s="4"/>
      <c r="D21" s="4"/>
      <c r="E21" s="4"/>
      <c r="F21" s="4"/>
      <c r="G21" s="4"/>
      <c r="H21" s="4"/>
      <c r="I21" s="4"/>
      <c r="J21" s="45"/>
    </row>
    <row r="22" spans="2:10" ht="14.4" thickBot="1">
      <c r="B22" s="48" t="s">
        <v>98</v>
      </c>
      <c r="C22" s="7"/>
      <c r="D22" s="7"/>
      <c r="E22" s="7"/>
      <c r="F22" s="7"/>
      <c r="G22" s="7"/>
      <c r="H22" s="7"/>
      <c r="I22" s="7"/>
      <c r="J22" s="84"/>
    </row>
    <row r="23" spans="2:10" ht="14.4" thickTop="1">
      <c r="B23" s="44"/>
      <c r="C23" s="4"/>
      <c r="D23" s="4"/>
      <c r="E23" s="4"/>
      <c r="F23" s="4"/>
      <c r="G23" s="4"/>
      <c r="H23" s="4"/>
      <c r="I23" s="4"/>
      <c r="J23" s="45"/>
    </row>
    <row r="24" spans="2:10" s="158" customFormat="1">
      <c r="B24" s="67" t="s">
        <v>30</v>
      </c>
      <c r="C24" s="73">
        <f>IS!C5</f>
        <v>29697.844000000001</v>
      </c>
      <c r="D24" s="73">
        <f>IS!D5</f>
        <v>31615.55</v>
      </c>
      <c r="E24" s="73">
        <f>IS!E5</f>
        <v>33723.296999999999</v>
      </c>
      <c r="F24" s="73">
        <f>IS!F5</f>
        <v>39690.707321621237</v>
      </c>
      <c r="G24" s="73">
        <f>IS!G5</f>
        <v>46030.862535061868</v>
      </c>
      <c r="H24" s="73">
        <f>IS!H5</f>
        <v>53436.238515280653</v>
      </c>
      <c r="I24" s="73">
        <f>IS!I5</f>
        <v>62091.682602091147</v>
      </c>
      <c r="J24" s="162">
        <f>IS!J5</f>
        <v>72214.876643108408</v>
      </c>
    </row>
    <row r="25" spans="2:10" s="158" customFormat="1">
      <c r="B25" s="67" t="s">
        <v>101</v>
      </c>
      <c r="C25" s="73">
        <f>SUM(IS!C7:C9)</f>
        <v>6170.652000000001</v>
      </c>
      <c r="D25" s="73">
        <f>SUM(IS!D7:D9)</f>
        <v>6814.4339999999993</v>
      </c>
      <c r="E25" s="73">
        <f>SUM(IS!E7:E9)</f>
        <v>7053.9259999999995</v>
      </c>
      <c r="F25" s="73">
        <f>SUM(IS!F7:F9)</f>
        <v>9128.862683972884</v>
      </c>
      <c r="G25" s="73">
        <f>SUM(IS!G7:G9)</f>
        <v>10587.098383064229</v>
      </c>
      <c r="H25" s="73">
        <f>SUM(IS!H7:H9)</f>
        <v>12290.33485851455</v>
      </c>
      <c r="I25" s="73">
        <f>SUM(IS!I7:I9)</f>
        <v>14281.086998480963</v>
      </c>
      <c r="J25" s="162">
        <f>SUM(IS!J7:J9)</f>
        <v>16609.421627914933</v>
      </c>
    </row>
    <row r="26" spans="2:10">
      <c r="B26" s="44"/>
      <c r="C26" s="4"/>
      <c r="D26" s="4"/>
      <c r="E26" s="4"/>
      <c r="F26" s="4"/>
      <c r="G26" s="4"/>
      <c r="H26" s="4"/>
      <c r="I26" s="4"/>
      <c r="J26" s="45"/>
    </row>
    <row r="27" spans="2:10">
      <c r="B27" s="44" t="s">
        <v>65</v>
      </c>
      <c r="C27" s="38">
        <f>BS!C9</f>
        <v>804.32</v>
      </c>
      <c r="D27" s="38">
        <f>BS!D9</f>
        <v>988.89800000000002</v>
      </c>
      <c r="E27" s="38">
        <f>BS!E9</f>
        <v>1287.0542</v>
      </c>
      <c r="F27" s="63">
        <f>F24*F30</f>
        <v>1190.7212196486371</v>
      </c>
      <c r="G27" s="63">
        <f t="shared" ref="G27:J27" si="9">G24*G30</f>
        <v>1380.925876051856</v>
      </c>
      <c r="H27" s="63">
        <f t="shared" si="9"/>
        <v>1603.0871554584196</v>
      </c>
      <c r="I27" s="63">
        <f t="shared" si="9"/>
        <v>1862.7504780627344</v>
      </c>
      <c r="J27" s="64">
        <f t="shared" si="9"/>
        <v>2166.4462992932522</v>
      </c>
    </row>
    <row r="28" spans="2:10">
      <c r="B28" s="44" t="s">
        <v>45</v>
      </c>
      <c r="C28" s="38">
        <f>BS!C19</f>
        <v>837.48299999999995</v>
      </c>
      <c r="D28" s="38">
        <f>BS!D19</f>
        <v>671.51300000000003</v>
      </c>
      <c r="E28" s="38">
        <f>BS!E19</f>
        <v>747.41200000000003</v>
      </c>
      <c r="F28" s="63">
        <f>F25*F31</f>
        <v>912.8862683972884</v>
      </c>
      <c r="G28" s="63">
        <f t="shared" ref="G28:J28" si="10">G25*G31</f>
        <v>1058.7098383064229</v>
      </c>
      <c r="H28" s="63">
        <f t="shared" si="10"/>
        <v>1229.0334858514552</v>
      </c>
      <c r="I28" s="63">
        <f t="shared" si="10"/>
        <v>1428.1086998480964</v>
      </c>
      <c r="J28" s="64">
        <f t="shared" si="10"/>
        <v>1660.9421627914935</v>
      </c>
    </row>
    <row r="29" spans="2:10">
      <c r="B29" s="44"/>
      <c r="C29" s="4"/>
      <c r="D29" s="4"/>
      <c r="E29" s="4"/>
      <c r="F29" s="4"/>
      <c r="G29" s="4"/>
      <c r="H29" s="4"/>
      <c r="I29" s="4"/>
      <c r="J29" s="45"/>
    </row>
    <row r="30" spans="2:10">
      <c r="B30" s="44" t="s">
        <v>99</v>
      </c>
      <c r="C30" s="4"/>
      <c r="D30" s="125">
        <f>AVERAGE(C27:D27)/D24</f>
        <v>2.8359747023221169E-2</v>
      </c>
      <c r="E30" s="125">
        <f>AVERAGE(D27:E27)/E24</f>
        <v>3.3744509025911675E-2</v>
      </c>
      <c r="F30" s="123">
        <v>0.03</v>
      </c>
      <c r="G30" s="123">
        <v>0.03</v>
      </c>
      <c r="H30" s="123">
        <v>0.03</v>
      </c>
      <c r="I30" s="123">
        <v>0.03</v>
      </c>
      <c r="J30" s="124">
        <v>0.03</v>
      </c>
    </row>
    <row r="31" spans="2:10" ht="14.4" thickBot="1">
      <c r="B31" s="52" t="s">
        <v>100</v>
      </c>
      <c r="C31" s="76"/>
      <c r="D31" s="57">
        <f>AVERAGE(C28:D28)/D25</f>
        <v>0.1107205675482366</v>
      </c>
      <c r="E31" s="57">
        <f>AVERAGE(D28:E28)/E25</f>
        <v>0.10057696947770647</v>
      </c>
      <c r="F31" s="127">
        <v>0.1</v>
      </c>
      <c r="G31" s="127">
        <v>0.1</v>
      </c>
      <c r="H31" s="127">
        <v>0.1</v>
      </c>
      <c r="I31" s="127">
        <v>0.1</v>
      </c>
      <c r="J31" s="128">
        <v>0.1</v>
      </c>
    </row>
    <row r="33" spans="2:2" ht="14.4">
      <c r="B33"/>
    </row>
  </sheetData>
  <pageMargins left="0.7" right="0.7" top="0.75" bottom="0.75" header="0.3" footer="0.3"/>
  <pageSetup paperSize="9" scale="39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40EA9-408E-4230-8840-345FE5D455A1}">
  <sheetPr>
    <pageSetUpPr fitToPage="1"/>
  </sheetPr>
  <dimension ref="C6:E10"/>
  <sheetViews>
    <sheetView showGridLines="0" workbookViewId="0">
      <selection activeCell="I31" sqref="I31"/>
    </sheetView>
  </sheetViews>
  <sheetFormatPr defaultRowHeight="14.4"/>
  <cols>
    <col min="3" max="3" width="39.6640625" bestFit="1" customWidth="1"/>
  </cols>
  <sheetData>
    <row r="6" spans="3:5" ht="15" thickBot="1">
      <c r="C6" s="144" t="s">
        <v>19</v>
      </c>
      <c r="D6" s="156">
        <f>'Revenue '!K22</f>
        <v>112495.15384876363</v>
      </c>
      <c r="E6" s="157">
        <f>D6/SUM($D$6:$D$9)</f>
        <v>0.4418039332964091</v>
      </c>
    </row>
    <row r="7" spans="3:5" ht="15.6" thickTop="1" thickBot="1">
      <c r="C7" s="144" t="s">
        <v>24</v>
      </c>
      <c r="D7" s="156">
        <f>'Revenue '!K33</f>
        <v>53948.742591208967</v>
      </c>
      <c r="E7" s="157">
        <f t="shared" ref="E7:E9" si="0">D7/SUM($D$6:$D$9)</f>
        <v>0.21187371951359474</v>
      </c>
    </row>
    <row r="8" spans="3:5" ht="15.6" thickTop="1" thickBot="1">
      <c r="C8" s="144" t="s">
        <v>25</v>
      </c>
      <c r="D8" s="156">
        <f>'Revenue '!K33</f>
        <v>53948.742591208967</v>
      </c>
      <c r="E8" s="157">
        <f t="shared" si="0"/>
        <v>0.21187371951359474</v>
      </c>
    </row>
    <row r="9" spans="3:5" ht="15.6" thickTop="1" thickBot="1">
      <c r="C9" s="144" t="s">
        <v>27</v>
      </c>
      <c r="D9" s="156">
        <f>'Revenue '!K44</f>
        <v>34234.233593987869</v>
      </c>
      <c r="E9" s="157">
        <f t="shared" si="0"/>
        <v>0.13444862767640131</v>
      </c>
    </row>
    <row r="10" spans="3:5" ht="15" thickTop="1"/>
  </sheetData>
  <pageMargins left="0.7" right="0.7" top="0.75" bottom="0.75" header="0.3" footer="0.3"/>
  <pageSetup paperSize="9" scale="56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0E6F-C17F-4810-B80D-EE790148FB0E}">
  <dimension ref="A1"/>
  <sheetViews>
    <sheetView showGridLines="0" workbookViewId="0">
      <selection activeCell="O35" sqref="O35"/>
    </sheetView>
  </sheetViews>
  <sheetFormatPr defaultRowHeight="14.4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2B3B-D97C-4001-BF33-7906F13DED77}">
  <dimension ref="A1"/>
  <sheetViews>
    <sheetView showGridLines="0" workbookViewId="0">
      <selection activeCell="D6" sqref="D6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Dashboard</vt:lpstr>
      <vt:lpstr>IS</vt:lpstr>
      <vt:lpstr>BS</vt:lpstr>
      <vt:lpstr>CF</vt:lpstr>
      <vt:lpstr>DCF</vt:lpstr>
      <vt:lpstr>Ratio </vt:lpstr>
      <vt:lpstr>Scenario </vt:lpstr>
      <vt:lpstr>Revenue </vt:lpstr>
      <vt:lpstr>Debt </vt:lpstr>
      <vt:lpstr>Expense Schedule </vt:lpstr>
      <vt:lpstr>BS1</vt:lpstr>
      <vt:lpstr>BS2</vt:lpstr>
      <vt:lpstr>Sheet1</vt:lpstr>
      <vt:lpstr>Sheet4</vt:lpstr>
      <vt:lpstr>Sheet3</vt:lpstr>
      <vt:lpstr>Dashboard!WACC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 darade</dc:creator>
  <cp:lastModifiedBy>gajendra darade</cp:lastModifiedBy>
  <cp:lastPrinted>2024-08-01T21:42:20Z</cp:lastPrinted>
  <dcterms:created xsi:type="dcterms:W3CDTF">2015-06-05T18:17:20Z</dcterms:created>
  <dcterms:modified xsi:type="dcterms:W3CDTF">2024-08-07T15:46:54Z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2024-07-14T19:01:32Z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974199f2-63ee-4d34-86ac-2f872c92c6b0</vt:lpwstr>
  </property>
  <property fmtid="{D5CDD505-2E9C-101B-9397-08002B2CF9AE}" pid="7" name="MSIP_Label_defa4170-0d19-0005-0004-bc88714345d2_ActionId">
    <vt:lpwstr>03830193-5825-4748-92df-87edf89c9a86</vt:lpwstr>
  </property>
  <property fmtid="{D5CDD505-2E9C-101B-9397-08002B2CF9AE}" pid="8" name="MSIP_Label_defa4170-0d19-0005-0004-bc88714345d2_ContentBits">
    <vt:lpwstr>0</vt:lpwstr>
  </property>
</Properties>
</file>