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7000"/>
  </bookViews>
  <sheets>
    <sheet name="商品模板" sheetId="1" r:id="rId1"/>
  </sheets>
  <definedNames>
    <definedName name="_AS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5" name="ID_F700838F010D4DD98DB80ADF4D5F030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22280" y="4558030"/>
          <a:ext cx="7620000" cy="7620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E2E662D066734E09B5C9963FD4AD2EF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4635" y="8007985"/>
          <a:ext cx="6886575" cy="4495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7613ECA29B304CEEB7CC5154D226E6C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94720" y="42274490"/>
          <a:ext cx="7620000" cy="7620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0" name="ID_9B326B2F1A774B2DB6FC1E26A83A8BED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1022965" y="3296285"/>
          <a:ext cx="1769110" cy="177101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" name="ID_C1BF047A10764C4EA7F65559681AE59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29035" y="6334125"/>
          <a:ext cx="1371600" cy="1371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6" name="ID_5C7BF8CAB73342B9837EADE01425137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857865" y="9565005"/>
          <a:ext cx="4489450" cy="4546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8" name="ID_142C8E150E504BF7AF87F3B13257C5C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857865" y="12248515"/>
          <a:ext cx="4464050" cy="45085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0" name="ID_3C77D724D0374456A5244E89BD0CE8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138410" y="55616475"/>
          <a:ext cx="4501515" cy="43116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2" name="ID_F087864A7C624C0798E296BCF905B4C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328910" y="43253025"/>
          <a:ext cx="3545840" cy="3374390"/>
        </a:xfrm>
        <a:prstGeom prst="rect">
          <a:avLst/>
        </a:prstGeom>
      </xdr:spPr>
    </xdr:pic>
  </etc:cellImage>
  <etc:cellImage>
    <xdr:pic>
      <xdr:nvPicPr>
        <xdr:cNvPr id="780" name="ID_481D92658267486F989682932D36FB0D"/>
        <xdr:cNvPicPr>
          <a:picLocks noChangeAspect="1"/>
        </xdr:cNvPicPr>
      </xdr:nvPicPr>
      <xdr:blipFill>
        <a:blip r:embed="rId11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0052050" y="84519135"/>
          <a:ext cx="3498850" cy="4556760"/>
        </a:xfrm>
        <a:prstGeom prst="rect">
          <a:avLst/>
        </a:prstGeom>
      </xdr:spPr>
    </xdr:pic>
  </etc:cellImage>
  <etc:cellImage>
    <xdr:pic>
      <xdr:nvPicPr>
        <xdr:cNvPr id="776" name="ID_C869716DE3CE4EF4964FE8E38679AFB5"/>
        <xdr:cNvPicPr>
          <a:picLocks noChangeAspect="1"/>
        </xdr:cNvPicPr>
      </xdr:nvPicPr>
      <xdr:blipFill>
        <a:blip r:embed="rId12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0146665" y="54177565"/>
          <a:ext cx="4342765" cy="4342765"/>
        </a:xfrm>
        <a:prstGeom prst="rect">
          <a:avLst/>
        </a:prstGeom>
      </xdr:spPr>
    </xdr:pic>
  </etc:cellImage>
  <etc:cellImage>
    <xdr:pic>
      <xdr:nvPicPr>
        <xdr:cNvPr id="41" name="ID_D98B53FAE14247F7BD56597790D21B3D"/>
        <xdr:cNvPicPr>
          <a:picLocks noChangeAspect="1"/>
        </xdr:cNvPicPr>
      </xdr:nvPicPr>
      <xdr:blipFill>
        <a:blip r:embed="rId13"/>
        <a:srcRect l="5140" t="5861" r="5603" b="9075"/>
        <a:stretch>
          <a:fillRect/>
        </a:stretch>
      </xdr:blipFill>
      <xdr:spPr>
        <a:xfrm>
          <a:off x="1285240" y="7139305"/>
          <a:ext cx="3076575" cy="29324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2" name="ID_1A4EDC7CA6C048E8AAA8AD5EDF61A1E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760710" y="18627090"/>
          <a:ext cx="3098800" cy="4445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7" name="ID_8215CDF5E5F64CC883ADDCE876262CBF"/>
        <xdr:cNvPicPr>
          <a:picLocks noChangeAspect="1"/>
        </xdr:cNvPicPr>
      </xdr:nvPicPr>
      <xdr:blipFill>
        <a:blip r:embed="rId15" r:link="rId5"/>
        <a:stretch>
          <a:fillRect/>
        </a:stretch>
      </xdr:blipFill>
      <xdr:spPr>
        <a:xfrm>
          <a:off x="11233150" y="2186940"/>
          <a:ext cx="5080000" cy="50800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44" name="ID_FEFAD8BA5A94455096F7E1BEB4F0BF7F"/>
        <xdr:cNvPicPr>
          <a:picLocks noChangeAspect="1"/>
        </xdr:cNvPicPr>
      </xdr:nvPicPr>
      <xdr:blipFill>
        <a:blip r:embed="rId16" r:link="rId5"/>
        <a:stretch>
          <a:fillRect/>
        </a:stretch>
      </xdr:blipFill>
      <xdr:spPr>
        <a:xfrm>
          <a:off x="11247120" y="23019385"/>
          <a:ext cx="1751965" cy="1746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6" name="ID_06953C9E4A6E40B38D20659222E3D9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895965" y="23929340"/>
          <a:ext cx="1466850" cy="1466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1" name="ID_275F650EBD1C4CDBB3AFA2489B00DD7E"/>
        <xdr:cNvPicPr>
          <a:picLocks noChangeAspect="1"/>
        </xdr:cNvPicPr>
      </xdr:nvPicPr>
      <xdr:blipFill>
        <a:blip r:embed="rId18" r:link="rId5"/>
        <a:stretch>
          <a:fillRect/>
        </a:stretch>
      </xdr:blipFill>
      <xdr:spPr>
        <a:xfrm>
          <a:off x="11313795" y="14344650"/>
          <a:ext cx="1016000" cy="635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36" name="ID_7162970367414ABEB64D47D4E0EA1690" descr="围炉白底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365105" y="123661805"/>
          <a:ext cx="4312285" cy="4312285"/>
        </a:xfrm>
        <a:prstGeom prst="rect">
          <a:avLst/>
        </a:prstGeom>
      </xdr:spPr>
    </xdr:pic>
  </etc:cellImage>
  <etc:cellImage>
    <xdr:pic>
      <xdr:nvPicPr>
        <xdr:cNvPr id="53" name="ID_79716B45FE1743F2A4B1B6F288D8188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866120" y="27075765"/>
          <a:ext cx="1064260" cy="85661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4" name="ID_F215972139E84669AC5800B551912F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835640" y="31588075"/>
          <a:ext cx="9525000" cy="9525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0" name="ID_BD708B1680DD4D4E9F22C0579DA09E3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0052050" y="622300"/>
          <a:ext cx="4572000" cy="4572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7" name="ID_E1C33E6270BE4F1E8605FD10798806F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850245" y="19672935"/>
          <a:ext cx="1657350" cy="166687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6" name="ID_AE0D345DF4F3440CA53887954F49CED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967720" y="1868170"/>
          <a:ext cx="4578350" cy="4546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25BCFEC85F1D4CDB8D1D4552B8CAF34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868025" y="3922395"/>
          <a:ext cx="4032250" cy="38608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7" name="ID_ED977D7E0291479994BBA68DCB5B397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822305" y="26841450"/>
          <a:ext cx="3543300" cy="35369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956BE0A0227A48939ACFA3851F705E7B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9073475" y="18366105"/>
          <a:ext cx="9112250" cy="5403850"/>
        </a:xfrm>
        <a:prstGeom prst="rect">
          <a:avLst/>
        </a:prstGeom>
        <a:noFill/>
        <a:ln w="9525">
          <a:noFill/>
        </a:ln>
      </xdr:spPr>
    </xdr:pic>
  </etc:cellImage>
</etc:cellImage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<sst xmlns="http://schemas.openxmlformats.org/spreadsheetml/2006/main" count="225" uniqueCount="100">
  <si>
    <t>950档套餐
阮奕洲-2025中秋国庆慰问品采购项目。总人数预计1526人，可按照自由兑换品类（企业商城）+固定组合方式（5选1），提供多种选择。
快递为顺丰/京东</t>
  </si>
  <si>
    <t>编号</t>
  </si>
  <si>
    <t>商品id/名称</t>
  </si>
  <si>
    <t>商品详情</t>
  </si>
  <si>
    <t>数量</t>
  </si>
  <si>
    <t>市场价</t>
  </si>
  <si>
    <t>含税移动成本价</t>
  </si>
  <si>
    <t>温层</t>
  </si>
  <si>
    <t>毛利</t>
  </si>
  <si>
    <t>重量</t>
  </si>
  <si>
    <t>图片</t>
  </si>
  <si>
    <t>供应商</t>
  </si>
  <si>
    <t>一次报价</t>
  </si>
  <si>
    <t>二次报价</t>
  </si>
  <si>
    <t>最终供应商</t>
  </si>
  <si>
    <t>水果蔬菜</t>
  </si>
  <si>
    <t>南非橙礼盒 2.5kg</t>
  </si>
  <si>
    <t>常温</t>
  </si>
  <si>
    <t>叮咚水果</t>
  </si>
  <si>
    <t>食品点心
2025新中式糕点组合1620g</t>
  </si>
  <si>
    <t>功夫桃酥原味120g*1(保质期90天)
功夫桃酥原味120g*1(保质期90天)
功夫桃酥海苔味120g*1(保质期90天)
功夫桃酥巧克力味120g*1(保质期90天
青柠芝士嫩蛋糕160g*1(保质期90天)
蟹香蛋黄味锅巴240g*1(保质期90天)
沙琪玛蛋酥味320g*1(保质期270天)
原味蛋卷360g*1(保质期60天)
碱水面包丁海盐焦糖味35g*1(保质期
300天)
糯米小麻花25g*1(保质期270天)</t>
  </si>
  <si>
    <t>锦作</t>
  </si>
  <si>
    <t>原报价普通快递</t>
  </si>
  <si>
    <t>生活用品
大宇抽真空封口机
 DYFK-90E03</t>
  </si>
  <si>
    <t>产品型号：DYFK-90E03
额定功率：90W
产品清单：主机/封口袋*10个/说明书
高颜值不占地
简约白色，小巧机身，存放不占位置，百搭家居。
多种食材都能封
荤素真空分离易收纳，延长食材保鲜期，厨房物品好收纳。
点抽/真空封口/单封口
三种模式，一键操作，满足不同食材保鲜要求。
大吸力瞬间抽真空
-60kPa大吸力，快速抽真空，锁住鲜味不费力。
30cm加长封口
一次可封多包，大小包装均可封口。</t>
  </si>
  <si>
    <t>/</t>
  </si>
  <si>
    <t>美领</t>
  </si>
  <si>
    <t>垚旌</t>
  </si>
  <si>
    <t>肉禽海产
阿格乐生鲜全肉礼盒6550g</t>
  </si>
  <si>
    <t>胜泰咯崇明草鸡1kg×1
胜泰咯崇明麻鸭1.1kg×1
CP正大冷冻鸡翅根500g×1
领小仙山地散养有机冷冻黑猪腿肉300g×2
领小仙山地散养有机冷冻黑猪带肉汤骨600g（3:7）×1
领小仙山地散养有机冷冻黑猪大排350g×1
佳食特进口原切牛腩400g×1
佳食特进口原切牛腱400g×1
佳食特进口原切牛肋排400g×1
佳食特进口原切牛肋条200g×1
佳食特进口原切牛脖骨500g×2</t>
  </si>
  <si>
    <t>冷冻</t>
  </si>
  <si>
    <t>阿格乐</t>
  </si>
  <si>
    <t>粮油米面
胡姬花/公子家 米油组合5L+5kg</t>
  </si>
  <si>
    <r>
      <rPr>
        <sz val="11"/>
        <color rgb="FF000000"/>
        <rFont val="宋体"/>
        <charset val="134"/>
        <scheme val="minor"/>
      </rPr>
      <t>胡姬花食来运泰花生油5L</t>
    </r>
    <r>
      <rPr>
        <sz val="11"/>
        <color rgb="FF000000"/>
        <rFont val="宋体"/>
        <charset val="134"/>
        <scheme val="minor"/>
      </rPr>
      <t xml:space="preserve">
</t>
    </r>
    <r>
      <rPr>
        <sz val="11"/>
        <color rgb="FF000000"/>
        <rFont val="宋体"/>
        <charset val="134"/>
        <scheme val="minor"/>
      </rPr>
      <t>公子家东北软香米5kg</t>
    </r>
  </si>
  <si>
    <t>适决</t>
  </si>
  <si>
    <t>换顺丰/京东</t>
  </si>
  <si>
    <t>5个包裹</t>
  </si>
  <si>
    <t>商品种类</t>
  </si>
  <si>
    <t>商品数量</t>
  </si>
  <si>
    <t>商品总价</t>
  </si>
  <si>
    <t>商品总成本</t>
  </si>
  <si>
    <t>代发费率</t>
  </si>
  <si>
    <t>套餐总毛利</t>
  </si>
  <si>
    <t>套餐总重量</t>
  </si>
  <si>
    <t>【顺丰/京东发货】供应商直发</t>
  </si>
  <si>
    <t>总计：</t>
  </si>
  <si>
    <t>折扣</t>
  </si>
  <si>
    <t>折后供价</t>
  </si>
  <si>
    <t>折后毛利</t>
  </si>
  <si>
    <t>水果蔬菜
妮娜皇后葡萄 红宝石无籽红提 1.2kg</t>
  </si>
  <si>
    <t>妮娜皇后葡萄 红宝石无籽红提 1.2kg
👑葡萄界的口感之巅
云南妮娜皇后  高甜无籽 圆润大粒</t>
  </si>
  <si>
    <t>食品点心
科尔沁缤纷礼牛肉礼盒852g</t>
  </si>
  <si>
    <t>科尔沁卤香牛肉五香味52g*1
科尔沁灯影牛肉丝 五香味100g*1
科尔沁牛板筋香辣味100g*1
科尔沁奶豆原味100g *3
科尔沁奶棒蔓越莓果粒型100g *3</t>
  </si>
  <si>
    <t>生活用品
摩飞两面折叠暖菜板</t>
  </si>
  <si>
    <t>型号：MR8309
零售价：239元 
功率：暖菜260W   
重量：2.5kg    装箱数：1台/箱
产品尺寸：426*435*20
外箱尺寸：266*118*501
颜色：白色</t>
  </si>
  <si>
    <t>雅泽</t>
  </si>
  <si>
    <t>宜方</t>
  </si>
  <si>
    <t>肉禽海产
春禾秋牧牛肉套餐2600g</t>
  </si>
  <si>
    <t>春禾秋牧 阿根廷谷饲牛肉块500g
春禾秋牧 阿根廷谷饲牛肉块500g
春禾秋牧 澳洲原切牛肋条500g
春禾秋牧 澳洲甄选原切牛腱子500g
春禾秋牧 安格斯雪花牛腩粒300g
春禾秋牧 安格斯雪花牛腩粒300g</t>
  </si>
  <si>
    <t>粮油米面</t>
  </si>
  <si>
    <t>千岁好压榨一级有机山茶油1L*2礼盒装</t>
  </si>
  <si>
    <t>佳农陕西红富士礼盒3.5kg（80果）</t>
  </si>
  <si>
    <t>食品点心
美心金枫秋意月饼395g</t>
  </si>
  <si>
    <r>
      <rPr>
        <sz val="10"/>
        <color rgb="FF000000"/>
        <rFont val="SimSun"/>
        <charset val="134"/>
      </rPr>
      <t xml:space="preserve">栗子豆沙月饼70g x 1
純正豆沙月饼70g x 1
蛋黄白莲蓉月饼70g x 1
</t>
    </r>
    <r>
      <rPr>
        <sz val="10"/>
        <rFont val="SimSun"/>
        <charset val="134"/>
      </rPr>
      <t>蛋黄莲蓉月饼70g x 1
纯正白莲蓉月饼 70gx 1
香滑奶黄月饼45g x 1 （新组合）</t>
    </r>
  </si>
  <si>
    <t xml:space="preserve">8℃以上 </t>
  </si>
  <si>
    <t>甜卿</t>
  </si>
  <si>
    <t>生活用品
新西兰绽家家清套餐-ZJ008</t>
  </si>
  <si>
    <t>新西兰绽家四季繁花香氛洗衣液 桂花与清酒1000ml
新西兰绽家内衣洗衣液 白雪公主经典330ml
新西兰绽家液态马赛皂液洗洁精 白松香与玫瑰550ml
新西兰绽家地板水 葡萄柚与琥珀750ml
蓝色通用礼盒B （23*14.5*28cm）中号</t>
  </si>
  <si>
    <t>快愉</t>
  </si>
  <si>
    <t>肉禽海产
25版品尊轩优质海鲜礼盒498型</t>
  </si>
  <si>
    <t xml:space="preserve">深海大对虾 8-10头 1袋
优选青虾仁 260g 1袋
深海无公害大黄鱼 400-500g 1条
深海鲳鱼 400-500g 1条
东海带鱼段 500g 1袋
深海红石斑鱼 400-500g 1条
深海大鱿鱼 300-400g 1条
深海鲈鱼 400-500g 1条
深海活冻蓝贻贝 450g 1袋
深海大乌参 400g 1袋
</t>
  </si>
  <si>
    <t>-18℃以下</t>
  </si>
  <si>
    <t>鼎奕</t>
  </si>
  <si>
    <t>粮油米面
金龙鱼/裕道府 米油组合 5L+5kg</t>
  </si>
  <si>
    <t>金龙鱼阳光零反压榨葵花仁油5L
裕道府寒地东北大米5kg</t>
  </si>
  <si>
    <t>水果蔬菜
新西兰佳沛金奇异果礼盒12个 1.44KG</t>
  </si>
  <si>
    <t>12个 1.44KG</t>
  </si>
  <si>
    <t>食品点心
关茶你好月球（中秋新式与经典混合8枚装）400g</t>
  </si>
  <si>
    <t>关茶·茶立方®（红豆）*1枚
港式奶黄麻薯小点*1枚
广式陈皮豆沙小点*1枚
藜麦莓果流心酥*1枚
经典小黄油乳酪酥（芋泥）*1枚
港式奶黄流心小点*1枚
软蛋糕桂圆红枣小点*1枚
广式醇香黑芝麻小点*1枚
你好月球内衬纸*1张
礼盒配套礼品袋*1个</t>
  </si>
  <si>
    <t>生活用品
德世朗DP915-SET4WH
小满系列钛陶瓷不粘锅四件套</t>
  </si>
  <si>
    <t xml:space="preserve">产品规格：30cm炒锅、24cm煎锅、22cm汤锅、18cm奶锅
锅体材质：铝合金
产品工艺：0氟陶瓷（食品接触用）
包装方式：彩盒+邮购盒
</t>
  </si>
  <si>
    <t>礼源</t>
  </si>
  <si>
    <t>肉禽海产
游牧御品原切牛羊礼包2300g</t>
  </si>
  <si>
    <t>游牧御品 内蒙羊蝎子1kg×1
游牧御品  进口原切牛腩块400g×2
游牧御品  进口原切牛腱子500g×1</t>
  </si>
  <si>
    <t>粮油米面
鲁花/公子家/金沙河 米面油组合1L+7.5kg</t>
  </si>
  <si>
    <t>鲁花5S压榨一级花生油1L
公子家东北软香米5kg
金沙河公子家臻品小麦粉2.5kg</t>
  </si>
  <si>
    <t>水果蔬菜
陕西大荔冬枣</t>
  </si>
  <si>
    <t>陕西大荔冬枣 3斤装</t>
  </si>
  <si>
    <t>千园千果</t>
  </si>
  <si>
    <t>食品点心
良芯匠人面点套餐</t>
  </si>
  <si>
    <r>
      <rPr>
        <sz val="9"/>
        <color theme="1"/>
        <rFont val="宋体"/>
        <charset val="134"/>
        <scheme val="minor"/>
      </rPr>
      <t>良芯匠人手作老面土猪肉包（5只装）125g/袋 *1</t>
    </r>
    <r>
      <rPr>
        <sz val="10"/>
        <color rgb="FF000000"/>
        <rFont val="宋体"/>
        <charset val="134"/>
        <scheme val="minor"/>
      </rPr>
      <t xml:space="preserve">
良芯匠人手作老面牛肉粉丝水煎包（10只装）426g/袋 *1
良芯匠人手作韭菜盒子（6只装）480g/袋 *1
良芯匠人鲜肉小馄饨423g/袋 *1
良芯匠人老上海风味柴爿馄饨125g/袋 *2</t>
    </r>
  </si>
  <si>
    <t>谷雨</t>
  </si>
  <si>
    <t>生活用品
康宁围炉煮茶器</t>
  </si>
  <si>
    <t>产品容量：额定800ml，最大使用600ml
产品尺寸：260*260*110mm                                                    产品材质：高硼硅玻璃、黑晶面板，外壳PP/PC、铁镀铬
产品功能：一炉多用，水壶煮茶/烧水;烤网 暖茶烤果;搭配玻璃炖锅，煮关东煮、火锅
不挑器具，可搭配:玻璃水壶、玻璃炖锅、陶壶、罐罐烤奶
无烟无炭0排放，室内可用，插电即用不挑地;火力可调，使用无隐患</t>
  </si>
  <si>
    <t>康宁</t>
  </si>
  <si>
    <t>肉禽海产
【牛本家】澳洲和牛套餐1600</t>
  </si>
  <si>
    <t>【牛本家】澳洲和牛M6/7纳可牛排500g(3-4片)
【牛本家】澳洲和牛M4/5嫩肩牛排500g(3-4片)
【牛本家】澳洲和牛全和牛肉饼100g
【牛本家】澳洲和牛M6/7雪花牛排500g(3-4片)</t>
  </si>
  <si>
    <t>牛本家</t>
  </si>
  <si>
    <t>粮油米面
品利特级初榨橄榄油500mlx2+喷雾200ml礼盒</t>
  </si>
  <si>
    <t>500mlx2+喷雾200ml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</si>
</sst>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_ "/>
    <numFmt numFmtId="177" formatCode="0_ "/>
  </numFmts>
  <fonts count="48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rgb="FF00B050"/>
      <name val="宋体"/>
      <charset val="134"/>
    </font>
    <font>
      <b/>
      <sz val="11"/>
      <color rgb="FFFFFFFF"/>
      <name val="宋体"/>
      <charset val="134"/>
    </font>
    <font>
      <b/>
      <sz val="11"/>
      <color rgb="FFFFFFFF"/>
      <name val="SimSun"/>
      <charset val="134"/>
    </font>
    <font>
      <b/>
      <sz val="10"/>
      <color theme="1"/>
      <name val="宋体"/>
      <charset val="134"/>
      <scheme val="minor"/>
    </font>
    <font>
      <b/>
      <sz val="10"/>
      <color rgb="FF000000"/>
      <name val="宋体"/>
      <charset val="134"/>
      <scheme val="minor"/>
    </font>
    <font>
      <sz val="9"/>
      <color rgb="FF000000"/>
      <name val="Microsoft YaHei"/>
      <charset val="134"/>
    </font>
    <font>
      <sz val="10"/>
      <color rgb="FF000000"/>
      <name val="宋体"/>
      <charset val="134"/>
    </font>
    <font>
      <sz val="10"/>
      <color rgb="FF00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name val="宋体"/>
      <charset val="134"/>
    </font>
    <font>
      <sz val="11"/>
      <color rgb="FF000000"/>
      <name val="宋体"/>
      <charset val="134"/>
    </font>
    <font>
      <b/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sz val="10"/>
      <color rgb="FFFF0000"/>
      <name val="宋体"/>
      <charset val="134"/>
      <scheme val="minor"/>
    </font>
    <font>
      <sz val="10"/>
      <color rgb="FF000000"/>
      <name val="SimSun"/>
      <charset val="134"/>
    </font>
    <font>
      <sz val="9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0"/>
      <name val="宋体"/>
      <charset val="134"/>
    </font>
    <font>
      <u/>
      <sz val="11"/>
      <color rgb="FF0026E5"/>
      <name val="宋体"/>
      <charset val="134"/>
    </font>
    <font>
      <sz val="11"/>
      <color rgb="FFFF0000"/>
      <name val="宋体"/>
      <charset val="134"/>
    </font>
    <font>
      <sz val="12"/>
      <color theme="1"/>
      <name val="微软雅黑"/>
      <charset val="134"/>
    </font>
    <font>
      <sz val="10"/>
      <color theme="1"/>
      <name val="宋体"/>
      <charset val="134"/>
    </font>
    <font>
      <u/>
      <sz val="11"/>
      <color rgb="FF800080"/>
      <name val="宋体"/>
      <charset val="0"/>
      <scheme val="minor"/>
    </font>
    <font>
      <sz val="10"/>
      <color theme="1"/>
      <name val="微软雅黑"/>
      <charset val="134"/>
    </font>
    <font>
      <sz val="10"/>
      <color rgb="FFFF0000"/>
      <name val="宋体"/>
      <charset val="134"/>
      <scheme val="minor"/>
    </font>
    <font>
      <b/>
      <sz val="11"/>
      <color theme="0"/>
      <name val="宋体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SimSun"/>
      <charset val="134"/>
    </font>
  </fonts>
  <fills count="3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E3F2D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4" applyNumberFormat="0" applyFill="0" applyAlignment="0" applyProtection="0">
      <alignment vertical="center"/>
    </xf>
    <xf numFmtId="0" fontId="34" fillId="0" borderId="4" applyNumberFormat="0" applyFill="0" applyAlignment="0" applyProtection="0">
      <alignment vertical="center"/>
    </xf>
    <xf numFmtId="0" fontId="35" fillId="0" borderId="5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8" borderId="6" applyNumberFormat="0" applyAlignment="0" applyProtection="0">
      <alignment vertical="center"/>
    </xf>
    <xf numFmtId="0" fontId="37" fillId="9" borderId="7" applyNumberFormat="0" applyAlignment="0" applyProtection="0">
      <alignment vertical="center"/>
    </xf>
    <xf numFmtId="0" fontId="38" fillId="9" borderId="6" applyNumberFormat="0" applyAlignment="0" applyProtection="0">
      <alignment vertical="center"/>
    </xf>
    <xf numFmtId="0" fontId="39" fillId="10" borderId="8" applyNumberFormat="0" applyAlignment="0" applyProtection="0">
      <alignment vertical="center"/>
    </xf>
    <xf numFmtId="0" fontId="40" fillId="0" borderId="9" applyNumberFormat="0" applyFill="0" applyAlignment="0" applyProtection="0">
      <alignment vertical="center"/>
    </xf>
    <xf numFmtId="0" fontId="41" fillId="0" borderId="10" applyNumberFormat="0" applyFill="0" applyAlignment="0" applyProtection="0">
      <alignment vertical="center"/>
    </xf>
    <xf numFmtId="0" fontId="42" fillId="11" borderId="0" applyNumberFormat="0" applyBorder="0" applyAlignment="0" applyProtection="0">
      <alignment vertical="center"/>
    </xf>
    <xf numFmtId="0" fontId="43" fillId="12" borderId="0" applyNumberFormat="0" applyBorder="0" applyAlignment="0" applyProtection="0">
      <alignment vertical="center"/>
    </xf>
    <xf numFmtId="0" fontId="44" fillId="13" borderId="0" applyNumberFormat="0" applyBorder="0" applyAlignment="0" applyProtection="0">
      <alignment vertical="center"/>
    </xf>
    <xf numFmtId="0" fontId="45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30" borderId="0" applyNumberFormat="0" applyBorder="0" applyAlignment="0" applyProtection="0">
      <alignment vertical="center"/>
    </xf>
    <xf numFmtId="0" fontId="46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5" fillId="33" borderId="0" applyNumberFormat="0" applyBorder="0" applyAlignment="0" applyProtection="0">
      <alignment vertical="center"/>
    </xf>
    <xf numFmtId="0" fontId="45" fillId="34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45" fillId="37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 applyProtection="1">
      <alignment horizontal="center" vertical="center"/>
      <protection locked="0" hidden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9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9" fontId="13" fillId="4" borderId="1" xfId="3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9" fontId="5" fillId="4" borderId="1" xfId="0" applyNumberFormat="1" applyFont="1" applyFill="1" applyBorder="1" applyAlignment="1">
      <alignment horizontal="center" vertical="center"/>
    </xf>
    <xf numFmtId="9" fontId="5" fillId="4" borderId="1" xfId="3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9" fontId="1" fillId="4" borderId="1" xfId="3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9" fontId="0" fillId="0" borderId="1" xfId="3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9" fontId="0" fillId="0" borderId="1" xfId="3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9" fontId="0" fillId="0" borderId="1" xfId="3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76" fontId="9" fillId="0" borderId="1" xfId="0" applyNumberFormat="1" applyFont="1" applyBorder="1" applyAlignment="1">
      <alignment horizontal="center" vertical="center" wrapText="1"/>
    </xf>
    <xf numFmtId="177" fontId="10" fillId="0" borderId="1" xfId="0" applyNumberFormat="1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9" fillId="0" borderId="0" xfId="0" applyNumberFormat="1" applyFont="1" applyAlignment="1" applyProtection="1">
      <alignment horizontal="center" vertical="center"/>
      <protection locked="0" hidden="1"/>
    </xf>
    <xf numFmtId="0" fontId="9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 applyProtection="1">
      <alignment horizontal="center" vertical="center" wrapText="1"/>
      <protection locked="0" hidden="1"/>
    </xf>
    <xf numFmtId="0" fontId="18" fillId="0" borderId="1" xfId="0" applyFont="1" applyFill="1" applyBorder="1" applyAlignment="1">
      <alignment horizontal="center" vertical="center"/>
    </xf>
    <xf numFmtId="0" fontId="19" fillId="0" borderId="0" xfId="6" applyFont="1" applyAlignment="1">
      <alignment horizontal="center" vertical="center" wrapText="1"/>
    </xf>
    <xf numFmtId="0" fontId="0" fillId="0" borderId="1" xfId="0" applyBorder="1">
      <alignment vertical="center"/>
    </xf>
    <xf numFmtId="0" fontId="20" fillId="0" borderId="0" xfId="6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0" fillId="0" borderId="0" xfId="6" applyAlignment="1">
      <alignment horizontal="center" vertical="center"/>
    </xf>
    <xf numFmtId="0" fontId="23" fillId="5" borderId="1" xfId="0" applyFont="1" applyFill="1" applyBorder="1" applyAlignment="1">
      <alignment horizontal="center" vertical="center" wrapText="1"/>
    </xf>
    <xf numFmtId="0" fontId="1" fillId="0" borderId="0" xfId="0" applyNumberFormat="1" applyFont="1" applyAlignment="1" applyProtection="1">
      <alignment horizontal="center" vertical="center"/>
      <protection locked="0" hidden="1"/>
    </xf>
    <xf numFmtId="0" fontId="0" fillId="0" borderId="1" xfId="3" applyNumberFormat="1" applyFont="1" applyFill="1" applyBorder="1" applyAlignment="1" applyProtection="1">
      <alignment horizontal="center" vertical="center"/>
    </xf>
    <xf numFmtId="0" fontId="24" fillId="0" borderId="1" xfId="0" applyNumberFormat="1" applyFont="1" applyFill="1" applyBorder="1" applyAlignment="1" applyProtection="1">
      <alignment vertical="center"/>
    </xf>
    <xf numFmtId="0" fontId="25" fillId="0" borderId="1" xfId="0" applyFont="1" applyBorder="1" applyAlignment="1">
      <alignment horizontal="center" vertical="center"/>
    </xf>
    <xf numFmtId="0" fontId="26" fillId="0" borderId="0" xfId="6" applyFont="1" applyAlignment="1">
      <alignment horizontal="center" vertical="center" wrapText="1"/>
    </xf>
    <xf numFmtId="9" fontId="0" fillId="0" borderId="1" xfId="3" applyNumberForma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9" fillId="2" borderId="1" xfId="0" applyFont="1" applyFill="1" applyBorder="1" applyAlignment="1">
      <alignment horizontal="center" vertical="center" wrapText="1"/>
    </xf>
    <xf numFmtId="0" fontId="1" fillId="3" borderId="0" xfId="0" applyNumberFormat="1" applyFont="1" applyFill="1" applyAlignment="1" applyProtection="1">
      <alignment horizontal="center" vertical="center"/>
      <protection locked="0" hidden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9.png"/><Relationship Id="rId8" Type="http://schemas.openxmlformats.org/officeDocument/2006/relationships/image" Target="media/image8.png"/><Relationship Id="rId7" Type="http://schemas.openxmlformats.org/officeDocument/2006/relationships/image" Target="media/image7.png"/><Relationship Id="rId6" Type="http://schemas.openxmlformats.org/officeDocument/2006/relationships/image" Target="media/image6.png"/><Relationship Id="rId5" Type="http://schemas.openxmlformats.org/officeDocument/2006/relationships/image" Target="NULL" TargetMode="External"/><Relationship Id="rId4" Type="http://schemas.openxmlformats.org/officeDocument/2006/relationships/image" Target="media/image5.png"/><Relationship Id="rId3" Type="http://schemas.openxmlformats.org/officeDocument/2006/relationships/image" Target="media/image4.png"/><Relationship Id="rId27" Type="http://schemas.openxmlformats.org/officeDocument/2006/relationships/image" Target="media/image27.png"/><Relationship Id="rId26" Type="http://schemas.openxmlformats.org/officeDocument/2006/relationships/image" Target="media/image26.png"/><Relationship Id="rId25" Type="http://schemas.openxmlformats.org/officeDocument/2006/relationships/image" Target="media/image25.png"/><Relationship Id="rId24" Type="http://schemas.openxmlformats.org/officeDocument/2006/relationships/image" Target="media/image24.png"/><Relationship Id="rId23" Type="http://schemas.openxmlformats.org/officeDocument/2006/relationships/image" Target="media/image23.png"/><Relationship Id="rId22" Type="http://schemas.openxmlformats.org/officeDocument/2006/relationships/image" Target="media/image22.png"/><Relationship Id="rId21" Type="http://schemas.openxmlformats.org/officeDocument/2006/relationships/image" Target="media/image21.png"/><Relationship Id="rId20" Type="http://schemas.openxmlformats.org/officeDocument/2006/relationships/image" Target="media/image20.png"/><Relationship Id="rId2" Type="http://schemas.openxmlformats.org/officeDocument/2006/relationships/image" Target="media/image3.png"/><Relationship Id="rId19" Type="http://schemas.openxmlformats.org/officeDocument/2006/relationships/image" Target="media/image19.jpeg"/><Relationship Id="rId18" Type="http://schemas.openxmlformats.org/officeDocument/2006/relationships/image" Target="media/image18.png"/><Relationship Id="rId17" Type="http://schemas.openxmlformats.org/officeDocument/2006/relationships/image" Target="media/image17.png"/><Relationship Id="rId16" Type="http://schemas.openxmlformats.org/officeDocument/2006/relationships/image" Target="media/image16.png"/><Relationship Id="rId15" Type="http://schemas.openxmlformats.org/officeDocument/2006/relationships/image" Target="media/image15.png"/><Relationship Id="rId14" Type="http://schemas.openxmlformats.org/officeDocument/2006/relationships/image" Target="media/image14.png"/><Relationship Id="rId13" Type="http://schemas.openxmlformats.org/officeDocument/2006/relationships/image" Target="media/image13.png"/><Relationship Id="rId12" Type="http://schemas.openxmlformats.org/officeDocument/2006/relationships/image" Target="media/image12.png"/><Relationship Id="rId11" Type="http://schemas.openxmlformats.org/officeDocument/2006/relationships/image" Target="media/image11.png"/><Relationship Id="rId10" Type="http://schemas.openxmlformats.org/officeDocument/2006/relationships/image" Target="media/image10.png"/><Relationship Id="rId1" Type="http://schemas.openxmlformats.org/officeDocument/2006/relationships/image" Target="media/image2.png"/></Relationships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www.wps.cn/officeDocument/2020/cellImage" Target="cellimages.xml"/><Relationship Id="rId4" Type="http://schemas.openxmlformats.org/officeDocument/2006/relationships/sheetMetadata" Target="metadata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75565</xdr:colOff>
      <xdr:row>0</xdr:row>
      <xdr:rowOff>67945</xdr:rowOff>
    </xdr:from>
    <xdr:to>
      <xdr:col>1</xdr:col>
      <xdr:colOff>939165</xdr:colOff>
      <xdr:row>0</xdr:row>
      <xdr:rowOff>478155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565" y="67945"/>
          <a:ext cx="1473200" cy="4102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2"/>
  <sheetViews>
    <sheetView tabSelected="1" zoomScale="55" zoomScaleNormal="55" workbookViewId="0">
      <pane ySplit="2" topLeftCell="A38" activePane="bottomLeft" state="frozen"/>
      <selection/>
      <selection pane="bottomLeft" activeCell="A1" sqref="A1:S42"/>
    </sheetView>
  </sheetViews>
  <sheetFormatPr defaultColWidth="8.72727272727273" defaultRowHeight="18" customHeight="1"/>
  <cols>
    <col min="2" max="2" width="24.1636363636364" customWidth="1"/>
    <col min="3" max="3" width="51.0090909090909" customWidth="1"/>
    <col min="4" max="5" width="9.90909090909091" customWidth="1"/>
    <col min="6" max="6" width="15.2727272727273" customWidth="1"/>
    <col min="7" max="7" width="9.90909090909091" customWidth="1"/>
    <col min="8" max="9" width="12.2727272727273" customWidth="1"/>
    <col min="10" max="10" width="40.9818181818182" customWidth="1"/>
    <col min="11" max="11" width="8.72727272727273" style="3"/>
    <col min="12" max="12" width="10.2545454545455" customWidth="1"/>
    <col min="14" max="14" width="11.1181818181818" customWidth="1"/>
    <col min="15" max="15" width="13.3818181818182" customWidth="1"/>
    <col min="16" max="16" width="13.2181818181818" customWidth="1"/>
    <col min="17" max="18" width="12.5636363636364" style="1" customWidth="1"/>
    <col min="19" max="19" width="32.3818181818182"/>
    <col min="22" max="22" width="34.4545454545455"/>
  </cols>
  <sheetData>
    <row r="1" customFormat="1" ht="123" customHeight="1" spans="1:25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44"/>
      <c r="L1" s="45"/>
      <c r="M1" s="45"/>
      <c r="N1" s="45"/>
      <c r="O1" s="45"/>
      <c r="P1" s="45"/>
      <c r="Q1" s="63"/>
      <c r="R1" s="63"/>
      <c r="S1" s="45"/>
      <c r="T1" s="45"/>
      <c r="U1" s="45"/>
      <c r="V1" s="45"/>
      <c r="W1" s="45"/>
      <c r="X1" s="45"/>
      <c r="Y1" s="45"/>
    </row>
    <row r="2" customFormat="1" customHeight="1" spans="1:25">
      <c r="A2" s="6" t="s">
        <v>1</v>
      </c>
      <c r="B2" s="7" t="s">
        <v>2</v>
      </c>
      <c r="C2" s="7" t="s">
        <v>3</v>
      </c>
      <c r="D2" s="6" t="s">
        <v>4</v>
      </c>
      <c r="E2" s="6" t="s">
        <v>5</v>
      </c>
      <c r="F2" s="7" t="s">
        <v>6</v>
      </c>
      <c r="G2" s="6" t="s">
        <v>7</v>
      </c>
      <c r="H2" s="6" t="s">
        <v>8</v>
      </c>
      <c r="I2" s="6" t="s">
        <v>9</v>
      </c>
      <c r="J2" s="46" t="s">
        <v>10</v>
      </c>
      <c r="K2" s="47" t="s">
        <v>11</v>
      </c>
      <c r="L2" s="6" t="s">
        <v>12</v>
      </c>
      <c r="M2" s="6" t="s">
        <v>11</v>
      </c>
      <c r="N2" s="6" t="s">
        <v>13</v>
      </c>
      <c r="Q2" s="64" t="s">
        <v>14</v>
      </c>
      <c r="R2" s="64" t="s">
        <v>14</v>
      </c>
      <c r="S2" s="45"/>
      <c r="T2" s="45"/>
      <c r="U2" s="45"/>
      <c r="V2" s="45"/>
      <c r="W2" s="45"/>
      <c r="X2" s="45"/>
      <c r="Y2" s="45"/>
    </row>
    <row r="3" customFormat="1" ht="58" customHeight="1" spans="1:18">
      <c r="A3" s="8">
        <v>1</v>
      </c>
      <c r="B3" s="9" t="s">
        <v>15</v>
      </c>
      <c r="C3" s="10" t="s">
        <v>16</v>
      </c>
      <c r="D3" s="11">
        <v>1</v>
      </c>
      <c r="E3" s="11">
        <v>69.9</v>
      </c>
      <c r="F3" s="12">
        <v>55</v>
      </c>
      <c r="G3" s="13" t="s">
        <v>17</v>
      </c>
      <c r="H3" s="14">
        <f>1-F3/E3</f>
        <v>0.213161659513591</v>
      </c>
      <c r="I3" s="48">
        <v>2500</v>
      </c>
      <c r="J3" s="34" t="str">
        <f>_xlfn.DISPIMG("ID_E2E662D066734E09B5C9963FD4AD2EFF",1)</f>
        <v>=DISPIMG("ID_E2E662D066734E09B5C9963FD4AD2EFF",1)</v>
      </c>
      <c r="K3" s="3" t="s">
        <v>18</v>
      </c>
      <c r="L3" s="3">
        <v>55</v>
      </c>
      <c r="M3" s="3"/>
      <c r="N3" s="3"/>
      <c r="O3" s="49"/>
      <c r="P3" s="49"/>
      <c r="Q3" s="56" t="s">
        <v>18</v>
      </c>
      <c r="R3" s="56">
        <v>55</v>
      </c>
    </row>
    <row r="4" customFormat="1" ht="162" customHeight="1" spans="1:19">
      <c r="A4" s="8"/>
      <c r="B4" s="9" t="s">
        <v>19</v>
      </c>
      <c r="C4" s="15" t="s">
        <v>20</v>
      </c>
      <c r="D4" s="11">
        <v>1</v>
      </c>
      <c r="E4" s="15">
        <v>188</v>
      </c>
      <c r="F4" s="15">
        <v>103.4</v>
      </c>
      <c r="G4" s="13" t="s">
        <v>17</v>
      </c>
      <c r="H4" s="14">
        <f>1-F4/E4</f>
        <v>0.45</v>
      </c>
      <c r="I4" s="48">
        <v>1620</v>
      </c>
      <c r="J4" s="50" t="str">
        <f>_xlfn.DISPIMG("ID_AE0D345DF4F3440CA53887954F49CED7",1)</f>
        <v>=DISPIMG("ID_AE0D345DF4F3440CA53887954F49CED7",1)</v>
      </c>
      <c r="K4" s="3" t="s">
        <v>21</v>
      </c>
      <c r="L4" s="3">
        <v>103.4</v>
      </c>
      <c r="M4" s="3"/>
      <c r="N4" s="3"/>
      <c r="O4" s="51"/>
      <c r="P4" s="51"/>
      <c r="Q4" s="56" t="s">
        <v>21</v>
      </c>
      <c r="R4" s="56">
        <v>103.4</v>
      </c>
      <c r="S4" t="s">
        <v>22</v>
      </c>
    </row>
    <row r="5" customFormat="1" ht="181" customHeight="1" spans="1:18">
      <c r="A5" s="8"/>
      <c r="B5" s="9" t="s">
        <v>23</v>
      </c>
      <c r="C5" s="10" t="s">
        <v>24</v>
      </c>
      <c r="D5" s="11">
        <v>1</v>
      </c>
      <c r="E5" s="11">
        <v>418</v>
      </c>
      <c r="F5" s="12">
        <v>134.8</v>
      </c>
      <c r="G5" s="13" t="s">
        <v>17</v>
      </c>
      <c r="H5" s="14">
        <f>1-F5/E5</f>
        <v>0.677511961722488</v>
      </c>
      <c r="I5" s="48" t="s">
        <v>25</v>
      </c>
      <c r="J5" s="34" t="str">
        <f>_xlfn.DISPIMG("ID_25BCFEC85F1D4CDB8D1D4552B8CAF342",1)</f>
        <v>=DISPIMG("ID_25BCFEC85F1D4CDB8D1D4552B8CAF342",1)</v>
      </c>
      <c r="K5" s="3" t="s">
        <v>26</v>
      </c>
      <c r="L5" s="3">
        <v>134.8</v>
      </c>
      <c r="M5" s="3" t="s">
        <v>27</v>
      </c>
      <c r="N5" s="3">
        <v>155</v>
      </c>
      <c r="O5" s="51"/>
      <c r="P5" s="51"/>
      <c r="Q5" s="56" t="s">
        <v>26</v>
      </c>
      <c r="R5" s="56">
        <v>134.8</v>
      </c>
    </row>
    <row r="6" customFormat="1" ht="176" customHeight="1" spans="1:18">
      <c r="A6" s="8"/>
      <c r="B6" s="9" t="s">
        <v>28</v>
      </c>
      <c r="C6" s="16" t="s">
        <v>29</v>
      </c>
      <c r="D6" s="11">
        <v>1</v>
      </c>
      <c r="E6" s="17">
        <v>898</v>
      </c>
      <c r="F6" s="18">
        <v>377</v>
      </c>
      <c r="G6" s="13" t="s">
        <v>30</v>
      </c>
      <c r="H6" s="14">
        <f t="shared" ref="H6:H11" si="0">1-F6/E6</f>
        <v>0.580178173719376</v>
      </c>
      <c r="I6" s="52">
        <v>3250</v>
      </c>
      <c r="J6" s="50" t="str">
        <f>_xlfn.DISPIMG("ID_9B326B2F1A774B2DB6FC1E26A83A8BED",1)</f>
        <v>=DISPIMG("ID_9B326B2F1A774B2DB6FC1E26A83A8BED",1)</v>
      </c>
      <c r="K6" s="3" t="s">
        <v>31</v>
      </c>
      <c r="L6" s="3">
        <v>377</v>
      </c>
      <c r="M6" s="3"/>
      <c r="N6" s="3"/>
      <c r="O6" s="53"/>
      <c r="P6" s="53"/>
      <c r="Q6" s="56" t="s">
        <v>31</v>
      </c>
      <c r="R6" s="56">
        <v>370</v>
      </c>
    </row>
    <row r="7" customFormat="1" ht="91" customHeight="1" spans="1:19">
      <c r="A7" s="8"/>
      <c r="B7" s="9" t="s">
        <v>32</v>
      </c>
      <c r="C7" s="16" t="s">
        <v>33</v>
      </c>
      <c r="D7" s="11">
        <v>1</v>
      </c>
      <c r="E7" s="17">
        <v>299.5</v>
      </c>
      <c r="F7" s="18">
        <v>160</v>
      </c>
      <c r="G7" s="13" t="s">
        <v>17</v>
      </c>
      <c r="H7" s="14">
        <f t="shared" si="0"/>
        <v>0.465776293823038</v>
      </c>
      <c r="I7" s="48">
        <v>10000</v>
      </c>
      <c r="J7" s="34" t="str">
        <f>_xlfn.DISPIMG("ID_C1BF047A10764C4EA7F65559681AE590",1)</f>
        <v>=DISPIMG("ID_C1BF047A10764C4EA7F65559681AE590",1)</v>
      </c>
      <c r="K7" s="3" t="s">
        <v>34</v>
      </c>
      <c r="L7" s="3">
        <v>160</v>
      </c>
      <c r="M7" s="3"/>
      <c r="N7" s="3"/>
      <c r="O7" s="54"/>
      <c r="P7" s="54"/>
      <c r="Q7" s="56" t="s">
        <v>34</v>
      </c>
      <c r="R7" s="65">
        <v>170</v>
      </c>
      <c r="S7" t="s">
        <v>35</v>
      </c>
    </row>
    <row r="8" s="1" customFormat="1" ht="14" spans="1:14">
      <c r="A8" s="19"/>
      <c r="B8" s="20" t="s">
        <v>36</v>
      </c>
      <c r="C8" s="20" t="s">
        <v>37</v>
      </c>
      <c r="D8" s="20" t="s">
        <v>38</v>
      </c>
      <c r="E8" s="20" t="s">
        <v>39</v>
      </c>
      <c r="F8" s="20" t="s">
        <v>40</v>
      </c>
      <c r="G8" s="20" t="s">
        <v>41</v>
      </c>
      <c r="H8" s="21" t="s">
        <v>42</v>
      </c>
      <c r="I8" s="20" t="s">
        <v>43</v>
      </c>
      <c r="J8" s="55" t="s">
        <v>44</v>
      </c>
      <c r="K8" s="56"/>
      <c r="L8" s="3"/>
      <c r="M8" s="3"/>
      <c r="N8" s="3"/>
    </row>
    <row r="9" s="2" customFormat="1" ht="14" spans="1:18">
      <c r="A9" s="19"/>
      <c r="B9" s="22" t="s">
        <v>45</v>
      </c>
      <c r="C9" s="22">
        <f>COUNTA(D3:D7)</f>
        <v>5</v>
      </c>
      <c r="D9" s="22">
        <f>SUM(D3:D7)</f>
        <v>5</v>
      </c>
      <c r="E9" s="23" cm="1">
        <f t="array" ref="E9">SUMPRODUCT(E3:E7,D3:D7)</f>
        <v>1873.4</v>
      </c>
      <c r="F9" s="23" cm="1">
        <f t="array" ref="F9">SUMPRODUCT(F3:F7,D3:D7)</f>
        <v>830.2</v>
      </c>
      <c r="G9" s="24">
        <v>0</v>
      </c>
      <c r="H9" s="25"/>
      <c r="I9" s="23" cm="1">
        <f t="array" ref="I9">SUMPRODUCT(D3:D7,I3:I7)</f>
        <v>17370</v>
      </c>
      <c r="J9" s="55"/>
      <c r="K9" s="3"/>
      <c r="L9" s="3"/>
      <c r="M9" s="3"/>
      <c r="N9" s="3"/>
      <c r="Q9" s="1"/>
      <c r="R9" s="1"/>
    </row>
    <row r="10" s="2" customFormat="1" ht="14" spans="1:18">
      <c r="A10" s="19"/>
      <c r="B10" s="22" t="s">
        <v>46</v>
      </c>
      <c r="C10" s="25">
        <f>E10/E9</f>
        <v>0.50709939148073</v>
      </c>
      <c r="D10" s="26" t="s">
        <v>47</v>
      </c>
      <c r="E10" s="27">
        <v>950</v>
      </c>
      <c r="F10" s="28">
        <f>F9+E10*G9</f>
        <v>830.2</v>
      </c>
      <c r="G10" s="27" t="s">
        <v>48</v>
      </c>
      <c r="H10" s="29">
        <f t="shared" si="0"/>
        <v>0.126105263157895</v>
      </c>
      <c r="I10" s="22"/>
      <c r="J10" s="55"/>
      <c r="K10" s="3"/>
      <c r="L10" s="3"/>
      <c r="M10" s="3"/>
      <c r="N10" s="3"/>
      <c r="Q10" s="1"/>
      <c r="R10" s="1"/>
    </row>
    <row r="11" customFormat="1" ht="104" customHeight="1" spans="1:18">
      <c r="A11" s="8">
        <v>2</v>
      </c>
      <c r="B11" s="9" t="s">
        <v>49</v>
      </c>
      <c r="C11" s="30" t="s">
        <v>50</v>
      </c>
      <c r="D11" s="31">
        <v>1</v>
      </c>
      <c r="E11" s="31">
        <v>108</v>
      </c>
      <c r="F11" s="12">
        <v>85</v>
      </c>
      <c r="G11" s="13" t="s">
        <v>17</v>
      </c>
      <c r="H11" s="14">
        <f t="shared" si="0"/>
        <v>0.212962962962963</v>
      </c>
      <c r="I11" s="57">
        <v>2400</v>
      </c>
      <c r="J11" s="58" t="str">
        <f>_xlfn.DISPIMG("ID_D98B53FAE14247F7BD56597790D21B3D",1)</f>
        <v>=DISPIMG("ID_D98B53FAE14247F7BD56597790D21B3D",1)</v>
      </c>
      <c r="K11" s="3" t="s">
        <v>18</v>
      </c>
      <c r="L11" s="3">
        <v>85</v>
      </c>
      <c r="M11" s="3"/>
      <c r="N11" s="3"/>
      <c r="O11" s="51"/>
      <c r="P11" s="51"/>
      <c r="Q11" s="56" t="s">
        <v>18</v>
      </c>
      <c r="R11" s="56">
        <v>85</v>
      </c>
    </row>
    <row r="12" customFormat="1" ht="86" customHeight="1" spans="1:18">
      <c r="A12" s="8"/>
      <c r="B12" s="9" t="s">
        <v>51</v>
      </c>
      <c r="C12" s="32" t="s">
        <v>52</v>
      </c>
      <c r="D12" s="32">
        <v>1</v>
      </c>
      <c r="E12" s="32">
        <v>188</v>
      </c>
      <c r="F12" s="32">
        <v>85</v>
      </c>
      <c r="G12" s="32" t="s">
        <v>30</v>
      </c>
      <c r="H12" s="33">
        <f t="shared" ref="H12:H15" si="1">1-F12/E12</f>
        <v>0.547872340425532</v>
      </c>
      <c r="I12" s="32">
        <v>852</v>
      </c>
      <c r="J12" s="32" t="str">
        <f>_xlfn.DISPIMG("ID_C869716DE3CE4EF4964FE8E38679AFB5",1)</f>
        <v>=DISPIMG("ID_C869716DE3CE4EF4964FE8E38679AFB5",1)</v>
      </c>
      <c r="K12" s="3" t="s">
        <v>21</v>
      </c>
      <c r="L12" s="3">
        <v>85</v>
      </c>
      <c r="M12" s="3"/>
      <c r="N12" s="3"/>
      <c r="O12" s="51"/>
      <c r="P12" s="51"/>
      <c r="Q12" s="56" t="s">
        <v>21</v>
      </c>
      <c r="R12" s="56">
        <v>85</v>
      </c>
    </row>
    <row r="13" customFormat="1" ht="95" customHeight="1" spans="1:18">
      <c r="A13" s="8"/>
      <c r="B13" s="9" t="s">
        <v>53</v>
      </c>
      <c r="C13" s="15" t="s">
        <v>54</v>
      </c>
      <c r="D13" s="13">
        <v>1</v>
      </c>
      <c r="E13" s="13">
        <v>239</v>
      </c>
      <c r="F13" s="13">
        <v>170</v>
      </c>
      <c r="G13" s="34" t="s">
        <v>17</v>
      </c>
      <c r="H13" s="35">
        <f t="shared" si="1"/>
        <v>0.288702928870293</v>
      </c>
      <c r="I13" s="13" t="s">
        <v>25</v>
      </c>
      <c r="J13" s="59" t="str">
        <f>_xlfn.DISPIMG("ID_481D92658267486F989682932D36FB0D",1)</f>
        <v>=DISPIMG("ID_481D92658267486F989682932D36FB0D",1)</v>
      </c>
      <c r="K13" s="3" t="s">
        <v>55</v>
      </c>
      <c r="L13" s="3">
        <v>170</v>
      </c>
      <c r="M13" s="3" t="s">
        <v>56</v>
      </c>
      <c r="N13" s="3">
        <v>180</v>
      </c>
      <c r="O13" s="3" t="s">
        <v>27</v>
      </c>
      <c r="P13" s="3">
        <v>164</v>
      </c>
      <c r="Q13" s="1" t="s">
        <v>55</v>
      </c>
      <c r="R13" s="1">
        <v>164</v>
      </c>
    </row>
    <row r="14" customFormat="1" ht="121" customHeight="1" spans="1:18">
      <c r="A14" s="8"/>
      <c r="B14" s="9" t="s">
        <v>57</v>
      </c>
      <c r="C14" s="16" t="s">
        <v>58</v>
      </c>
      <c r="D14" s="11">
        <v>1</v>
      </c>
      <c r="E14" s="17">
        <v>499</v>
      </c>
      <c r="F14" s="18">
        <v>265</v>
      </c>
      <c r="G14" s="32" t="s">
        <v>30</v>
      </c>
      <c r="H14" s="33">
        <f t="shared" si="1"/>
        <v>0.468937875751503</v>
      </c>
      <c r="I14" s="32">
        <v>2600</v>
      </c>
      <c r="J14" s="50" t="str">
        <f>_xlfn.DISPIMG("ID_5C7BF8CAB73342B9837EADE01425137F",1)</f>
        <v>=DISPIMG("ID_5C7BF8CAB73342B9837EADE01425137F",1)</v>
      </c>
      <c r="K14" s="3" t="s">
        <v>21</v>
      </c>
      <c r="L14" s="3">
        <v>265</v>
      </c>
      <c r="M14" s="3"/>
      <c r="N14" s="3"/>
      <c r="O14" s="51"/>
      <c r="P14" s="51"/>
      <c r="Q14" s="56" t="s">
        <v>21</v>
      </c>
      <c r="R14" s="56">
        <v>262</v>
      </c>
    </row>
    <row r="15" customFormat="1" ht="67" customHeight="1" spans="1:18">
      <c r="A15" s="8"/>
      <c r="B15" s="9" t="s">
        <v>59</v>
      </c>
      <c r="C15" s="36" t="s">
        <v>60</v>
      </c>
      <c r="D15" s="11">
        <v>1</v>
      </c>
      <c r="E15" s="17">
        <v>248</v>
      </c>
      <c r="F15" s="18">
        <f>180+5</f>
        <v>185</v>
      </c>
      <c r="G15" s="34" t="s">
        <v>17</v>
      </c>
      <c r="H15" s="35">
        <f t="shared" si="1"/>
        <v>0.254032258064516</v>
      </c>
      <c r="I15" s="13">
        <v>2000</v>
      </c>
      <c r="J15" s="34" t="str">
        <f>_xlfn.DISPIMG("ID_142C8E150E504BF7AF87F3B13257C5C4",1)</f>
        <v>=DISPIMG("ID_142C8E150E504BF7AF87F3B13257C5C4",1)</v>
      </c>
      <c r="K15" s="3" t="s">
        <v>34</v>
      </c>
      <c r="L15" s="3">
        <f>180+5</f>
        <v>185</v>
      </c>
      <c r="M15" s="3"/>
      <c r="N15" s="3"/>
      <c r="O15" s="54"/>
      <c r="P15" s="54"/>
      <c r="Q15" s="56" t="s">
        <v>34</v>
      </c>
      <c r="R15" s="56">
        <v>175</v>
      </c>
    </row>
    <row r="16" s="1" customFormat="1" ht="14" spans="1:14">
      <c r="A16" s="19"/>
      <c r="B16" s="20" t="s">
        <v>36</v>
      </c>
      <c r="C16" s="20" t="s">
        <v>37</v>
      </c>
      <c r="D16" s="20" t="s">
        <v>38</v>
      </c>
      <c r="E16" s="20" t="s">
        <v>39</v>
      </c>
      <c r="F16" s="20" t="s">
        <v>40</v>
      </c>
      <c r="G16" s="20" t="s">
        <v>41</v>
      </c>
      <c r="H16" s="21" t="s">
        <v>42</v>
      </c>
      <c r="I16" s="20" t="s">
        <v>43</v>
      </c>
      <c r="J16" s="55" t="s">
        <v>44</v>
      </c>
      <c r="K16" s="56"/>
      <c r="L16" s="3"/>
      <c r="M16" s="3"/>
      <c r="N16" s="3"/>
    </row>
    <row r="17" s="2" customFormat="1" ht="14" spans="1:18">
      <c r="A17" s="19"/>
      <c r="B17" s="22" t="s">
        <v>45</v>
      </c>
      <c r="C17" s="22">
        <f>COUNTA(D11:D15)</f>
        <v>5</v>
      </c>
      <c r="D17" s="22">
        <f>SUM(D11:D15)</f>
        <v>5</v>
      </c>
      <c r="E17" s="23" cm="1">
        <f t="array" ref="E17">SUMPRODUCT(E11:E15,D11:D15)</f>
        <v>1282</v>
      </c>
      <c r="F17" s="23" cm="1">
        <f t="array" ref="F17">SUMPRODUCT(F11:F15,D11:D15)</f>
        <v>790</v>
      </c>
      <c r="G17" s="24">
        <v>0</v>
      </c>
      <c r="H17" s="25"/>
      <c r="I17" s="23" cm="1">
        <f t="array" ref="I17">SUMPRODUCT(D11:D15,I11:I15)</f>
        <v>7852</v>
      </c>
      <c r="J17" s="55"/>
      <c r="K17" s="3"/>
      <c r="L17" s="3"/>
      <c r="M17" s="3"/>
      <c r="N17" s="3"/>
      <c r="Q17" s="1"/>
      <c r="R17" s="1"/>
    </row>
    <row r="18" s="2" customFormat="1" ht="14" spans="1:18">
      <c r="A18" s="19"/>
      <c r="B18" s="22" t="s">
        <v>46</v>
      </c>
      <c r="C18" s="25">
        <f>E18/E17</f>
        <v>0.741029641185647</v>
      </c>
      <c r="D18" s="26" t="s">
        <v>47</v>
      </c>
      <c r="E18" s="27">
        <v>950</v>
      </c>
      <c r="F18" s="28">
        <f>F17+E18*G17</f>
        <v>790</v>
      </c>
      <c r="G18" s="27" t="s">
        <v>48</v>
      </c>
      <c r="H18" s="29">
        <f t="shared" ref="H18:H23" si="2">1-F18/E18</f>
        <v>0.168421052631579</v>
      </c>
      <c r="I18" s="22"/>
      <c r="J18" s="55"/>
      <c r="K18" s="3"/>
      <c r="L18" s="3"/>
      <c r="M18" s="3"/>
      <c r="N18" s="3"/>
      <c r="Q18" s="1"/>
      <c r="R18" s="1"/>
    </row>
    <row r="19" customFormat="1" ht="63" customHeight="1" spans="1:19">
      <c r="A19" s="8">
        <v>3</v>
      </c>
      <c r="B19" s="9" t="s">
        <v>15</v>
      </c>
      <c r="C19" s="37" t="s">
        <v>61</v>
      </c>
      <c r="D19" s="11">
        <v>1</v>
      </c>
      <c r="E19" s="11">
        <v>99</v>
      </c>
      <c r="F19" s="37">
        <v>87</v>
      </c>
      <c r="G19" s="34" t="s">
        <v>17</v>
      </c>
      <c r="H19" s="35">
        <f t="shared" si="2"/>
        <v>0.121212121212121</v>
      </c>
      <c r="I19" s="13">
        <v>3500</v>
      </c>
      <c r="J19" s="34" t="str">
        <f>_xlfn.DISPIMG("ID_275F650EBD1C4CDBB3AFA2489B00DD7E",1)</f>
        <v>=DISPIMG("ID_275F650EBD1C4CDBB3AFA2489B00DD7E",1)</v>
      </c>
      <c r="K19" s="3" t="s">
        <v>18</v>
      </c>
      <c r="L19" s="3">
        <v>87</v>
      </c>
      <c r="M19" s="3"/>
      <c r="N19" s="3"/>
      <c r="O19" s="51"/>
      <c r="P19" s="51"/>
      <c r="Q19" s="56" t="s">
        <v>18</v>
      </c>
      <c r="R19" s="56">
        <v>80.78</v>
      </c>
      <c r="S19" s="3"/>
    </row>
    <row r="20" customFormat="1" ht="88" customHeight="1" spans="1:18">
      <c r="A20" s="8"/>
      <c r="B20" s="9" t="s">
        <v>62</v>
      </c>
      <c r="C20" s="38" t="s">
        <v>63</v>
      </c>
      <c r="D20" s="34">
        <v>1</v>
      </c>
      <c r="E20" s="38">
        <v>258</v>
      </c>
      <c r="F20" s="38">
        <v>177</v>
      </c>
      <c r="G20" s="34" t="s">
        <v>64</v>
      </c>
      <c r="H20" s="35">
        <f t="shared" si="2"/>
        <v>0.313953488372093</v>
      </c>
      <c r="I20" s="34">
        <v>395</v>
      </c>
      <c r="J20" s="34" t="str">
        <f>_xlfn.DISPIMG("ID_BD708B1680DD4D4E9F22C0579DA09E35",1)</f>
        <v>=DISPIMG("ID_BD708B1680DD4D4E9F22C0579DA09E35",1)</v>
      </c>
      <c r="K20" s="3" t="s">
        <v>65</v>
      </c>
      <c r="L20" s="3">
        <v>177</v>
      </c>
      <c r="M20" s="3" t="s">
        <v>27</v>
      </c>
      <c r="N20" s="3">
        <v>187</v>
      </c>
      <c r="O20" s="60"/>
      <c r="P20" s="60"/>
      <c r="Q20" s="56" t="s">
        <v>65</v>
      </c>
      <c r="R20" s="56">
        <v>177</v>
      </c>
    </row>
    <row r="21" customFormat="1" ht="113" customHeight="1" spans="1:23">
      <c r="A21" s="8"/>
      <c r="B21" s="9" t="s">
        <v>66</v>
      </c>
      <c r="C21" s="32" t="s">
        <v>67</v>
      </c>
      <c r="D21" s="34">
        <v>1</v>
      </c>
      <c r="E21" s="34">
        <v>247</v>
      </c>
      <c r="F21" s="34">
        <v>160.5</v>
      </c>
      <c r="G21" s="34" t="s">
        <v>17</v>
      </c>
      <c r="H21" s="35">
        <f t="shared" si="2"/>
        <v>0.350202429149798</v>
      </c>
      <c r="I21" s="34">
        <v>2630</v>
      </c>
      <c r="J21" s="34" t="str">
        <f>_xlfn.DISPIMG("ID_3C77D724D0374456A5244E89BD0CE812",1)</f>
        <v>=DISPIMG("ID_3C77D724D0374456A5244E89BD0CE812",1)</v>
      </c>
      <c r="K21" s="3" t="s">
        <v>68</v>
      </c>
      <c r="L21" s="3">
        <v>160.5</v>
      </c>
      <c r="M21" s="3"/>
      <c r="N21" s="3"/>
      <c r="O21" s="51"/>
      <c r="P21" s="51"/>
      <c r="Q21" s="56" t="s">
        <v>68</v>
      </c>
      <c r="R21" s="56">
        <v>155.5</v>
      </c>
      <c r="V21" t="str">
        <f>_xlfn.DISPIMG("ID_956BE0A0227A48939ACFA3851F705E7B",1)</f>
        <v>=DISPIMG("ID_956BE0A0227A48939ACFA3851F705E7B",1)</v>
      </c>
      <c r="W21">
        <v>69.9</v>
      </c>
    </row>
    <row r="22" customFormat="1" ht="153" customHeight="1" spans="1:18">
      <c r="A22" s="8"/>
      <c r="B22" s="9" t="s">
        <v>69</v>
      </c>
      <c r="C22" s="32" t="s">
        <v>70</v>
      </c>
      <c r="D22" s="34">
        <v>1</v>
      </c>
      <c r="E22" s="34">
        <v>498</v>
      </c>
      <c r="F22" s="34">
        <v>249</v>
      </c>
      <c r="G22" s="34" t="s">
        <v>71</v>
      </c>
      <c r="H22" s="39">
        <f t="shared" si="2"/>
        <v>0.5</v>
      </c>
      <c r="I22" s="34">
        <v>3810</v>
      </c>
      <c r="J22" s="34" t="str">
        <f>_xlfn.DISPIMG("ID_F087864A7C624C0798E296BCF905B4C0",1)</f>
        <v>=DISPIMG("ID_F087864A7C624C0798E296BCF905B4C0",1)</v>
      </c>
      <c r="K22" s="3" t="s">
        <v>21</v>
      </c>
      <c r="L22" s="3">
        <v>249</v>
      </c>
      <c r="M22" s="3" t="s">
        <v>72</v>
      </c>
      <c r="N22" s="3">
        <v>276</v>
      </c>
      <c r="O22" s="3" t="s">
        <v>27</v>
      </c>
      <c r="P22" s="3">
        <v>243</v>
      </c>
      <c r="Q22" s="56" t="s">
        <v>21</v>
      </c>
      <c r="R22" s="56">
        <v>240</v>
      </c>
    </row>
    <row r="23" customFormat="1" ht="132.75" spans="1:18">
      <c r="A23" s="8"/>
      <c r="B23" s="9" t="s">
        <v>73</v>
      </c>
      <c r="C23" s="16" t="s">
        <v>74</v>
      </c>
      <c r="D23" s="11">
        <v>1</v>
      </c>
      <c r="E23" s="17">
        <v>299</v>
      </c>
      <c r="F23" s="18">
        <v>120</v>
      </c>
      <c r="G23" s="34" t="s">
        <v>17</v>
      </c>
      <c r="H23" s="35">
        <f t="shared" si="2"/>
        <v>0.59866220735786</v>
      </c>
      <c r="I23" s="34">
        <v>10000</v>
      </c>
      <c r="J23" s="34" t="str">
        <f>_xlfn.DISPIMG("ID_E1C33E6270BE4F1E8605FD10798806F9",1)</f>
        <v>=DISPIMG("ID_E1C33E6270BE4F1E8605FD10798806F9",1)</v>
      </c>
      <c r="K23" s="3" t="s">
        <v>34</v>
      </c>
      <c r="L23" s="3">
        <v>120</v>
      </c>
      <c r="M23" s="3"/>
      <c r="N23" s="3"/>
      <c r="O23" s="51"/>
      <c r="P23" s="51"/>
      <c r="Q23" s="56" t="s">
        <v>34</v>
      </c>
      <c r="R23" s="56">
        <v>120</v>
      </c>
    </row>
    <row r="24" s="1" customFormat="1" ht="14" spans="1:14">
      <c r="A24" s="19"/>
      <c r="B24" s="20" t="s">
        <v>36</v>
      </c>
      <c r="C24" s="20" t="s">
        <v>37</v>
      </c>
      <c r="D24" s="20" t="s">
        <v>38</v>
      </c>
      <c r="E24" s="20" t="s">
        <v>39</v>
      </c>
      <c r="F24" s="20" t="s">
        <v>40</v>
      </c>
      <c r="G24" s="20" t="s">
        <v>41</v>
      </c>
      <c r="H24" s="21" t="s">
        <v>42</v>
      </c>
      <c r="I24" s="20" t="s">
        <v>43</v>
      </c>
      <c r="J24" s="55" t="s">
        <v>44</v>
      </c>
      <c r="K24" s="56"/>
      <c r="L24" s="3"/>
      <c r="M24" s="3"/>
      <c r="N24" s="3"/>
    </row>
    <row r="25" s="2" customFormat="1" ht="14" spans="1:18">
      <c r="A25" s="19"/>
      <c r="B25" s="22" t="s">
        <v>45</v>
      </c>
      <c r="C25" s="22">
        <f>COUNTA(D19:D23)</f>
        <v>5</v>
      </c>
      <c r="D25" s="22">
        <f>SUM(D19:D23)</f>
        <v>5</v>
      </c>
      <c r="E25" s="23" cm="1">
        <f t="array" ref="E25">SUMPRODUCT(E19:E23,D19:D23)</f>
        <v>1401</v>
      </c>
      <c r="F25" s="23" cm="1">
        <f t="array" ref="F25">SUMPRODUCT(F19:F23,D19:D23)</f>
        <v>793.5</v>
      </c>
      <c r="G25" s="24">
        <v>0</v>
      </c>
      <c r="H25" s="25"/>
      <c r="I25" s="23" cm="1">
        <f t="array" ref="I25">SUMPRODUCT(D19:D23,I19:I23)</f>
        <v>20335</v>
      </c>
      <c r="J25" s="55"/>
      <c r="K25" s="3"/>
      <c r="L25" s="3"/>
      <c r="M25" s="3"/>
      <c r="N25" s="3"/>
      <c r="Q25" s="1"/>
      <c r="R25" s="1"/>
    </row>
    <row r="26" s="2" customFormat="1" ht="14" spans="1:18">
      <c r="A26" s="19"/>
      <c r="B26" s="22" t="s">
        <v>46</v>
      </c>
      <c r="C26" s="25">
        <f>E26/E25</f>
        <v>0.678087080656674</v>
      </c>
      <c r="D26" s="26" t="s">
        <v>47</v>
      </c>
      <c r="E26" s="27">
        <v>950</v>
      </c>
      <c r="F26" s="28">
        <f>F25+E26*G25</f>
        <v>793.5</v>
      </c>
      <c r="G26" s="27" t="s">
        <v>48</v>
      </c>
      <c r="H26" s="29">
        <f t="shared" ref="H26:H31" si="3">1-F26/E26</f>
        <v>0.164736842105263</v>
      </c>
      <c r="I26" s="22"/>
      <c r="J26" s="55"/>
      <c r="K26" s="3"/>
      <c r="L26" s="3"/>
      <c r="M26" s="3"/>
      <c r="N26" s="3"/>
      <c r="Q26" s="1"/>
      <c r="R26" s="1"/>
    </row>
    <row r="27" customFormat="1" ht="62" customHeight="1" spans="1:18">
      <c r="A27" s="8">
        <v>4</v>
      </c>
      <c r="B27" s="9" t="s">
        <v>75</v>
      </c>
      <c r="C27" s="37" t="s">
        <v>76</v>
      </c>
      <c r="D27" s="37">
        <v>1</v>
      </c>
      <c r="E27" s="11">
        <v>129</v>
      </c>
      <c r="F27" s="12">
        <v>98</v>
      </c>
      <c r="G27" s="34" t="s">
        <v>17</v>
      </c>
      <c r="H27" s="35">
        <f t="shared" si="3"/>
        <v>0.24031007751938</v>
      </c>
      <c r="I27" s="34">
        <v>1440</v>
      </c>
      <c r="J27" s="34" t="str">
        <f>_xlfn.DISPIMG("ID_1A4EDC7CA6C048E8AAA8AD5EDF61A1E8",1)</f>
        <v>=DISPIMG("ID_1A4EDC7CA6C048E8AAA8AD5EDF61A1E8",1)</v>
      </c>
      <c r="K27" s="3" t="s">
        <v>18</v>
      </c>
      <c r="L27" s="3">
        <v>98</v>
      </c>
      <c r="M27" s="3"/>
      <c r="N27" s="3"/>
      <c r="O27" s="51"/>
      <c r="P27" s="51"/>
      <c r="Q27" s="3" t="s">
        <v>18</v>
      </c>
      <c r="R27" s="3">
        <v>98</v>
      </c>
    </row>
    <row r="28" customFormat="1" ht="150" customHeight="1" spans="1:18">
      <c r="A28" s="8"/>
      <c r="B28" s="9" t="s">
        <v>77</v>
      </c>
      <c r="C28" s="40" t="s">
        <v>78</v>
      </c>
      <c r="D28" s="32">
        <v>1</v>
      </c>
      <c r="E28" s="41">
        <v>170</v>
      </c>
      <c r="F28" s="40">
        <v>93.5</v>
      </c>
      <c r="G28" s="32" t="s">
        <v>64</v>
      </c>
      <c r="H28" s="33">
        <f t="shared" si="3"/>
        <v>0.45</v>
      </c>
      <c r="I28" s="32">
        <v>400</v>
      </c>
      <c r="J28" s="32" t="str">
        <f>_xlfn.DISPIMG("ID_8215CDF5E5F64CC883ADDCE876262CBF",1)</f>
        <v>=DISPIMG("ID_8215CDF5E5F64CC883ADDCE876262CBF",1)</v>
      </c>
      <c r="K28" s="3" t="s">
        <v>65</v>
      </c>
      <c r="L28" s="3">
        <v>93.5</v>
      </c>
      <c r="M28" s="3" t="s">
        <v>72</v>
      </c>
      <c r="N28" s="3">
        <v>94</v>
      </c>
      <c r="O28" s="3" t="s">
        <v>27</v>
      </c>
      <c r="P28" s="3">
        <v>93</v>
      </c>
      <c r="Q28" s="56" t="s">
        <v>65</v>
      </c>
      <c r="R28" s="56">
        <v>93</v>
      </c>
    </row>
    <row r="29" customFormat="1" ht="119" customHeight="1" spans="1:18">
      <c r="A29" s="8"/>
      <c r="B29" s="9" t="s">
        <v>79</v>
      </c>
      <c r="C29" s="10" t="s">
        <v>80</v>
      </c>
      <c r="D29" s="11">
        <v>1</v>
      </c>
      <c r="E29" s="11">
        <v>588</v>
      </c>
      <c r="F29" s="12">
        <f>379+20</f>
        <v>399</v>
      </c>
      <c r="G29" s="34" t="s">
        <v>17</v>
      </c>
      <c r="H29" s="14">
        <f t="shared" si="3"/>
        <v>0.321428571428571</v>
      </c>
      <c r="I29" s="61" t="s">
        <v>25</v>
      </c>
      <c r="J29" s="34" t="str">
        <f>_xlfn.DISPIMG("ID_ED977D7E0291479994BBA68DCB5B3972",1)</f>
        <v>=DISPIMG("ID_ED977D7E0291479994BBA68DCB5B3972",1)</v>
      </c>
      <c r="K29" s="3" t="s">
        <v>81</v>
      </c>
      <c r="L29" s="3">
        <f>379+20</f>
        <v>399</v>
      </c>
      <c r="M29" s="3" t="s">
        <v>56</v>
      </c>
      <c r="N29" s="3">
        <v>444</v>
      </c>
      <c r="O29" s="3" t="s">
        <v>27</v>
      </c>
      <c r="P29" s="3">
        <v>420</v>
      </c>
      <c r="Q29" s="56" t="s">
        <v>81</v>
      </c>
      <c r="R29" s="56">
        <v>392</v>
      </c>
    </row>
    <row r="30" customFormat="1" ht="101" customHeight="1" spans="1:18">
      <c r="A30" s="8"/>
      <c r="B30" s="9" t="s">
        <v>82</v>
      </c>
      <c r="C30" s="10" t="s">
        <v>83</v>
      </c>
      <c r="D30" s="11">
        <v>1</v>
      </c>
      <c r="E30" s="17">
        <v>398</v>
      </c>
      <c r="F30" s="42">
        <v>167</v>
      </c>
      <c r="G30" s="13" t="s">
        <v>30</v>
      </c>
      <c r="H30" s="14">
        <f t="shared" si="3"/>
        <v>0.580402010050251</v>
      </c>
      <c r="I30" s="52">
        <v>2300</v>
      </c>
      <c r="J30" s="50" t="str">
        <f>_xlfn.DISPIMG("ID_FEFAD8BA5A94455096F7E1BEB4F0BF7F",1)</f>
        <v>=DISPIMG("ID_FEFAD8BA5A94455096F7E1BEB4F0BF7F",1)</v>
      </c>
      <c r="K30" s="3" t="s">
        <v>31</v>
      </c>
      <c r="L30" s="3">
        <v>167</v>
      </c>
      <c r="M30" s="3"/>
      <c r="N30" s="3"/>
      <c r="O30" s="53"/>
      <c r="P30" s="53"/>
      <c r="Q30" s="56" t="s">
        <v>31</v>
      </c>
      <c r="R30" s="56">
        <v>165</v>
      </c>
    </row>
    <row r="31" customFormat="1" ht="85" customHeight="1" spans="1:18">
      <c r="A31" s="8"/>
      <c r="B31" s="9" t="s">
        <v>84</v>
      </c>
      <c r="C31" s="10" t="s">
        <v>85</v>
      </c>
      <c r="D31" s="11">
        <v>1</v>
      </c>
      <c r="E31" s="17">
        <v>142.7</v>
      </c>
      <c r="F31" s="42">
        <v>85</v>
      </c>
      <c r="G31" s="34" t="s">
        <v>17</v>
      </c>
      <c r="H31" s="14">
        <f t="shared" si="3"/>
        <v>0.404344779257183</v>
      </c>
      <c r="I31" s="57">
        <v>9500</v>
      </c>
      <c r="J31" s="50" t="str">
        <f>_xlfn.DISPIMG("ID_06953C9E4A6E40B38D20659222E3D9A1",1)</f>
        <v>=DISPIMG("ID_06953C9E4A6E40B38D20659222E3D9A1",1)</v>
      </c>
      <c r="K31" s="3" t="s">
        <v>34</v>
      </c>
      <c r="L31" s="3">
        <v>85</v>
      </c>
      <c r="M31" s="3"/>
      <c r="N31" s="3"/>
      <c r="O31" s="51"/>
      <c r="P31" s="51"/>
      <c r="Q31" s="56" t="s">
        <v>34</v>
      </c>
      <c r="R31" s="56">
        <v>83</v>
      </c>
    </row>
    <row r="32" s="1" customFormat="1" ht="14" spans="1:14">
      <c r="A32" s="19"/>
      <c r="B32" s="20" t="s">
        <v>36</v>
      </c>
      <c r="C32" s="20" t="s">
        <v>37</v>
      </c>
      <c r="D32" s="20" t="s">
        <v>38</v>
      </c>
      <c r="E32" s="20" t="s">
        <v>39</v>
      </c>
      <c r="F32" s="20" t="s">
        <v>40</v>
      </c>
      <c r="G32" s="20" t="s">
        <v>41</v>
      </c>
      <c r="H32" s="21" t="s">
        <v>42</v>
      </c>
      <c r="I32" s="20" t="s">
        <v>43</v>
      </c>
      <c r="J32" s="55" t="s">
        <v>44</v>
      </c>
      <c r="K32" s="56"/>
      <c r="L32" s="3"/>
      <c r="M32" s="3"/>
      <c r="N32" s="3"/>
    </row>
    <row r="33" s="2" customFormat="1" ht="14" spans="1:18">
      <c r="A33" s="19"/>
      <c r="B33" s="22" t="s">
        <v>45</v>
      </c>
      <c r="C33" s="22">
        <f>COUNTA(D27:D31)</f>
        <v>5</v>
      </c>
      <c r="D33" s="22">
        <f>SUM(D27:D31)</f>
        <v>5</v>
      </c>
      <c r="E33" s="23" cm="1">
        <f t="array" ref="E33">SUMPRODUCT(E27:E31,D27:D31)</f>
        <v>1427.7</v>
      </c>
      <c r="F33" s="23" cm="1">
        <f t="array" ref="F33">SUMPRODUCT(F27:F31,D27:D31)</f>
        <v>842.5</v>
      </c>
      <c r="G33" s="24">
        <v>0</v>
      </c>
      <c r="H33" s="25"/>
      <c r="I33" s="23" cm="1">
        <f t="array" ref="I33">SUMPRODUCT(D27:D31,I27:I31)</f>
        <v>13640</v>
      </c>
      <c r="J33" s="55"/>
      <c r="K33" s="3"/>
      <c r="L33" s="3"/>
      <c r="M33" s="3"/>
      <c r="N33" s="3"/>
      <c r="Q33" s="1"/>
      <c r="R33" s="1"/>
    </row>
    <row r="34" s="2" customFormat="1" ht="14" spans="1:18">
      <c r="A34" s="19"/>
      <c r="B34" s="22" t="s">
        <v>46</v>
      </c>
      <c r="C34" s="25">
        <f>E34/E33</f>
        <v>0.665405897597534</v>
      </c>
      <c r="D34" s="26" t="s">
        <v>47</v>
      </c>
      <c r="E34" s="27">
        <v>950</v>
      </c>
      <c r="F34" s="28">
        <f>F33+E34*G33</f>
        <v>842.5</v>
      </c>
      <c r="G34" s="27" t="s">
        <v>48</v>
      </c>
      <c r="H34" s="29">
        <f t="shared" ref="H34:H39" si="4">1-F34/E34</f>
        <v>0.113157894736842</v>
      </c>
      <c r="I34" s="22"/>
      <c r="J34" s="55"/>
      <c r="K34" s="3"/>
      <c r="L34" s="3"/>
      <c r="M34" s="3"/>
      <c r="N34" s="3"/>
      <c r="Q34" s="1"/>
      <c r="R34" s="1"/>
    </row>
    <row r="35" customFormat="1" ht="54" customHeight="1" spans="1:18">
      <c r="A35" s="8">
        <v>5</v>
      </c>
      <c r="B35" s="9" t="s">
        <v>86</v>
      </c>
      <c r="C35" s="43" t="s">
        <v>87</v>
      </c>
      <c r="D35" s="43">
        <v>1</v>
      </c>
      <c r="E35" s="43">
        <v>69</v>
      </c>
      <c r="F35" s="43">
        <v>40</v>
      </c>
      <c r="G35" s="34" t="s">
        <v>17</v>
      </c>
      <c r="H35" s="14">
        <f t="shared" si="4"/>
        <v>0.420289855072464</v>
      </c>
      <c r="I35" s="57">
        <v>1500</v>
      </c>
      <c r="J35" s="34" t="str">
        <f>_xlfn.DISPIMG("ID_79716B45FE1743F2A4B1B6F288D81887",1)</f>
        <v>=DISPIMG("ID_79716B45FE1743F2A4B1B6F288D81887",1)</v>
      </c>
      <c r="K35" s="3" t="s">
        <v>88</v>
      </c>
      <c r="L35" s="3">
        <v>40</v>
      </c>
      <c r="M35" s="3"/>
      <c r="N35" s="3"/>
      <c r="O35" s="51"/>
      <c r="P35" s="51"/>
      <c r="Q35" s="56" t="s">
        <v>88</v>
      </c>
      <c r="R35" s="56">
        <v>39</v>
      </c>
    </row>
    <row r="36" customFormat="1" ht="79" customHeight="1" spans="1:18">
      <c r="A36" s="8"/>
      <c r="B36" s="9" t="s">
        <v>89</v>
      </c>
      <c r="C36" s="43" t="s">
        <v>90</v>
      </c>
      <c r="D36" s="43">
        <v>1</v>
      </c>
      <c r="E36" s="43">
        <v>99</v>
      </c>
      <c r="F36" s="43">
        <v>76</v>
      </c>
      <c r="G36" s="34" t="s">
        <v>30</v>
      </c>
      <c r="H36" s="14">
        <f t="shared" si="4"/>
        <v>0.232323232323232</v>
      </c>
      <c r="I36" s="61" t="s">
        <v>25</v>
      </c>
      <c r="J36" s="62" t="str">
        <f>_xlfn.DISPIMG("ID_F700838F010D4DD98DB80ADF4D5F030E",1)</f>
        <v>=DISPIMG("ID_F700838F010D4DD98DB80ADF4D5F030E",1)</v>
      </c>
      <c r="K36" s="3" t="s">
        <v>91</v>
      </c>
      <c r="L36" s="3">
        <v>76</v>
      </c>
      <c r="M36" s="3"/>
      <c r="N36" s="3"/>
      <c r="O36" s="51"/>
      <c r="P36" s="51"/>
      <c r="Q36" s="56" t="s">
        <v>91</v>
      </c>
      <c r="R36" s="56">
        <v>76</v>
      </c>
    </row>
    <row r="37" customFormat="1" ht="133" customHeight="1" spans="1:18">
      <c r="A37" s="8"/>
      <c r="B37" s="9" t="s">
        <v>92</v>
      </c>
      <c r="C37" s="43" t="s">
        <v>93</v>
      </c>
      <c r="D37" s="43">
        <v>1</v>
      </c>
      <c r="E37" s="43">
        <v>429</v>
      </c>
      <c r="F37" s="43">
        <v>270</v>
      </c>
      <c r="G37" s="34" t="s">
        <v>17</v>
      </c>
      <c r="H37" s="14">
        <f t="shared" si="4"/>
        <v>0.370629370629371</v>
      </c>
      <c r="I37" s="61" t="s">
        <v>25</v>
      </c>
      <c r="J37" s="11" t="str">
        <f>_xlfn.DISPIMG("ID_7162970367414ABEB64D47D4E0EA1690",1)</f>
        <v>=DISPIMG("ID_7162970367414ABEB64D47D4E0EA1690",1)</v>
      </c>
      <c r="K37" s="3" t="s">
        <v>94</v>
      </c>
      <c r="L37" s="3">
        <v>270</v>
      </c>
      <c r="M37" s="3" t="s">
        <v>56</v>
      </c>
      <c r="N37" s="3">
        <v>280</v>
      </c>
      <c r="O37" s="51"/>
      <c r="P37" s="51"/>
      <c r="Q37" s="56" t="s">
        <v>94</v>
      </c>
      <c r="R37" s="56">
        <v>255</v>
      </c>
    </row>
    <row r="38" customFormat="1" ht="127" customHeight="1" spans="1:18">
      <c r="A38" s="8"/>
      <c r="B38" s="9" t="s">
        <v>95</v>
      </c>
      <c r="C38" s="43" t="s">
        <v>96</v>
      </c>
      <c r="D38" s="43">
        <v>1</v>
      </c>
      <c r="E38" s="43">
        <v>688</v>
      </c>
      <c r="F38" s="43">
        <v>270</v>
      </c>
      <c r="G38" s="34" t="s">
        <v>30</v>
      </c>
      <c r="H38" s="14">
        <f t="shared" si="4"/>
        <v>0.607558139534884</v>
      </c>
      <c r="I38" s="57">
        <v>1600</v>
      </c>
      <c r="J38" s="62" t="str">
        <f>_xlfn.DISPIMG("ID_F215972139E84669AC5800B551912F24",1)</f>
        <v>=DISPIMG("ID_F215972139E84669AC5800B551912F24",1)</v>
      </c>
      <c r="K38" s="3" t="s">
        <v>97</v>
      </c>
      <c r="L38" s="3">
        <v>270</v>
      </c>
      <c r="M38" s="3"/>
      <c r="N38" s="3"/>
      <c r="O38" s="51"/>
      <c r="P38" s="51"/>
      <c r="Q38" s="56" t="s">
        <v>97</v>
      </c>
      <c r="R38" s="56">
        <v>270</v>
      </c>
    </row>
    <row r="39" customFormat="1" ht="74" customHeight="1" spans="1:18">
      <c r="A39" s="8"/>
      <c r="B39" s="9" t="s">
        <v>98</v>
      </c>
      <c r="C39" s="10" t="s">
        <v>99</v>
      </c>
      <c r="D39" s="11">
        <v>1</v>
      </c>
      <c r="E39" s="11">
        <v>298</v>
      </c>
      <c r="F39" s="12">
        <v>138</v>
      </c>
      <c r="G39" s="13" t="s">
        <v>17</v>
      </c>
      <c r="H39" s="14">
        <f t="shared" si="4"/>
        <v>0.536912751677852</v>
      </c>
      <c r="I39" s="48">
        <v>1200</v>
      </c>
      <c r="J39" s="34" t="str">
        <f>_xlfn.DISPIMG("ID_7613ECA29B304CEEB7CC5154D226E6C3",1)</f>
        <v>=DISPIMG("ID_7613ECA29B304CEEB7CC5154D226E6C3",1)</v>
      </c>
      <c r="K39" s="3" t="s">
        <v>65</v>
      </c>
      <c r="L39" s="3">
        <v>138</v>
      </c>
      <c r="M39" s="3"/>
      <c r="N39" s="3"/>
      <c r="O39" s="51"/>
      <c r="P39" s="51"/>
      <c r="Q39" s="56" t="s">
        <v>65</v>
      </c>
      <c r="R39" s="56">
        <v>138</v>
      </c>
    </row>
    <row r="40" s="1" customFormat="1" ht="14" spans="1:11">
      <c r="A40" s="19"/>
      <c r="B40" s="20" t="s">
        <v>36</v>
      </c>
      <c r="C40" s="20" t="s">
        <v>37</v>
      </c>
      <c r="D40" s="20" t="s">
        <v>38</v>
      </c>
      <c r="E40" s="20" t="s">
        <v>39</v>
      </c>
      <c r="F40" s="20" t="s">
        <v>40</v>
      </c>
      <c r="G40" s="20" t="s">
        <v>41</v>
      </c>
      <c r="H40" s="21" t="s">
        <v>42</v>
      </c>
      <c r="I40" s="20" t="s">
        <v>43</v>
      </c>
      <c r="J40" s="55" t="s">
        <v>44</v>
      </c>
      <c r="K40" s="56"/>
    </row>
    <row r="41" s="2" customFormat="1" ht="14" spans="1:18">
      <c r="A41" s="19"/>
      <c r="B41" s="22" t="s">
        <v>45</v>
      </c>
      <c r="C41" s="22">
        <f>COUNTA(D35:D39)</f>
        <v>5</v>
      </c>
      <c r="D41" s="22">
        <f>SUM(D35:D39)</f>
        <v>5</v>
      </c>
      <c r="E41" s="23" cm="1">
        <f t="array" ref="E41">SUMPRODUCT(E35:E39,D35:D39)</f>
        <v>1583</v>
      </c>
      <c r="F41" s="23" cm="1">
        <f t="array" ref="F41">SUMPRODUCT(F35:F39,D35:D39)</f>
        <v>794</v>
      </c>
      <c r="G41" s="24">
        <v>0</v>
      </c>
      <c r="H41" s="25"/>
      <c r="I41" s="23" cm="1">
        <f t="array" ref="I41">SUMPRODUCT(D35:D39,I35:I39)</f>
        <v>4300</v>
      </c>
      <c r="J41" s="55"/>
      <c r="K41" s="3"/>
      <c r="Q41" s="1"/>
      <c r="R41" s="1"/>
    </row>
    <row r="42" s="2" customFormat="1" ht="14" spans="1:18">
      <c r="A42" s="19"/>
      <c r="B42" s="22" t="s">
        <v>46</v>
      </c>
      <c r="C42" s="25">
        <f>E42/E41</f>
        <v>0.600126342387871</v>
      </c>
      <c r="D42" s="26" t="s">
        <v>47</v>
      </c>
      <c r="E42" s="27">
        <v>950</v>
      </c>
      <c r="F42" s="28">
        <f>F41+E42*G41</f>
        <v>794</v>
      </c>
      <c r="G42" s="27" t="s">
        <v>48</v>
      </c>
      <c r="H42" s="29">
        <f>1-F42/E42</f>
        <v>0.164210526315789</v>
      </c>
      <c r="I42" s="22"/>
      <c r="J42" s="55"/>
      <c r="K42" s="3"/>
      <c r="Q42" s="1"/>
      <c r="R42" s="1"/>
    </row>
  </sheetData>
  <sheetProtection selectLockedCells="1"/>
  <mergeCells count="11">
    <mergeCell ref="A1:J1"/>
    <mergeCell ref="A3:A10"/>
    <mergeCell ref="A11:A18"/>
    <mergeCell ref="A19:A26"/>
    <mergeCell ref="A27:A34"/>
    <mergeCell ref="A35:A42"/>
    <mergeCell ref="J8:J10"/>
    <mergeCell ref="J16:J18"/>
    <mergeCell ref="J24:J26"/>
    <mergeCell ref="J32:J34"/>
    <mergeCell ref="J40:J4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DDMC</dc:creator>
  <cp:lastModifiedBy>张志敏</cp:lastModifiedBy>
  <dcterms:created xsi:type="dcterms:W3CDTF">2025-03-24T10:17:00Z</dcterms:created>
  <dcterms:modified xsi:type="dcterms:W3CDTF">2025-09-09T08:43:23Z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8B5A798E820A49E4B9D1ABAE4A962BB0_13</vt:lpwstr>
  </property>
  <property fmtid="{D5CDD505-2E9C-101B-9397-08002B2CF9AE}" pid="3" name="KSOProductBuildVer">
    <vt:lpwstr>2052-12.1.0.21915</vt:lpwstr>
  </property>
  <property fmtid="{D5CDD505-2E9C-101B-9397-08002B2CF9AE}" pid="4" name="KSOReadingLayout">
    <vt:bool>true</vt:bool>
  </property>
  <property fmtid="{D5CDD505-2E9C-101B-9397-08002B2CF9AE}" pid="5" name="CWM6df579c012e911f18000435600004256">
    <vt:lpwstr>CWMo7Pwao3gpoc/3tCG30VK5MKylN5Hs81CvcLVDV53OC9RxmbdVyZj7cyFzvgeol1uMzV7YG6mNDlizpfge3UryA==</vt:lpwstr>
  </property>
</Properties>
</file>