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polimi365-my.sharepoint.com/personal/10051462_polimi_it/Documents/Teaching/Chemical Reaction Engineering/PracticalSessions/CRE2017-2018/Practicals02/"/>
    </mc:Choice>
  </mc:AlternateContent>
  <bookViews>
    <workbookView xWindow="0" yWindow="0" windowWidth="24000" windowHeight="952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8" i="1" l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B3" i="1"/>
  <c r="B22" i="1"/>
  <c r="F17" i="1"/>
  <c r="F16" i="1"/>
  <c r="J2" i="1"/>
  <c r="K2" i="1" s="1"/>
  <c r="I4" i="1"/>
  <c r="I3" i="1"/>
  <c r="J3" i="1" s="1"/>
  <c r="K3" i="1" s="1"/>
  <c r="F3" i="1"/>
  <c r="I5" i="1" l="1"/>
  <c r="J4" i="1"/>
  <c r="K4" i="1" s="1"/>
  <c r="F5" i="1"/>
  <c r="F11" i="1" s="1"/>
  <c r="F6" i="1"/>
  <c r="F7" i="1"/>
  <c r="F13" i="1" s="1"/>
  <c r="F4" i="1"/>
  <c r="F10" i="1" s="1"/>
  <c r="F8" i="1"/>
  <c r="L2" i="1" s="1"/>
  <c r="L4" i="1" l="1"/>
  <c r="I6" i="1"/>
  <c r="J5" i="1"/>
  <c r="K5" i="1" s="1"/>
  <c r="L5" i="1" s="1"/>
  <c r="L3" i="1"/>
  <c r="F12" i="1"/>
  <c r="F15" i="1" s="1"/>
  <c r="M4" i="1" l="1"/>
  <c r="M3" i="1"/>
  <c r="M2" i="1"/>
  <c r="M5" i="1"/>
  <c r="I7" i="1"/>
  <c r="J6" i="1"/>
  <c r="K6" i="1" s="1"/>
  <c r="L6" i="1" s="1"/>
  <c r="I8" i="1" l="1"/>
  <c r="J7" i="1"/>
  <c r="M6" i="1"/>
  <c r="K7" i="1" l="1"/>
  <c r="L7" i="1" s="1"/>
  <c r="M7" i="1"/>
  <c r="I9" i="1"/>
  <c r="J8" i="1"/>
  <c r="I10" i="1" l="1"/>
  <c r="J9" i="1"/>
  <c r="K8" i="1"/>
  <c r="L8" i="1" s="1"/>
  <c r="M8" i="1"/>
  <c r="I11" i="1" l="1"/>
  <c r="J10" i="1"/>
  <c r="K9" i="1"/>
  <c r="L9" i="1" s="1"/>
  <c r="M9" i="1"/>
  <c r="I12" i="1" l="1"/>
  <c r="J11" i="1"/>
  <c r="K10" i="1"/>
  <c r="L10" i="1" s="1"/>
  <c r="M10" i="1"/>
  <c r="K11" i="1" l="1"/>
  <c r="L11" i="1" s="1"/>
  <c r="M11" i="1"/>
  <c r="I13" i="1"/>
  <c r="J12" i="1"/>
  <c r="K12" i="1" l="1"/>
  <c r="L12" i="1" s="1"/>
  <c r="M12" i="1"/>
  <c r="I14" i="1"/>
  <c r="J13" i="1"/>
  <c r="K13" i="1" l="1"/>
  <c r="L13" i="1" s="1"/>
  <c r="M13" i="1"/>
  <c r="I15" i="1"/>
  <c r="J14" i="1"/>
  <c r="K14" i="1" l="1"/>
  <c r="L14" i="1" s="1"/>
  <c r="M14" i="1"/>
  <c r="I16" i="1"/>
  <c r="J15" i="1"/>
  <c r="K15" i="1" l="1"/>
  <c r="L15" i="1" s="1"/>
  <c r="M15" i="1"/>
  <c r="I17" i="1"/>
  <c r="J16" i="1"/>
  <c r="K16" i="1" l="1"/>
  <c r="L16" i="1" s="1"/>
  <c r="M16" i="1"/>
  <c r="I18" i="1"/>
  <c r="J17" i="1"/>
  <c r="K17" i="1" l="1"/>
  <c r="L17" i="1" s="1"/>
  <c r="M17" i="1"/>
  <c r="I19" i="1"/>
  <c r="J18" i="1"/>
  <c r="K18" i="1" l="1"/>
  <c r="L18" i="1" s="1"/>
  <c r="M18" i="1"/>
  <c r="I20" i="1"/>
  <c r="J19" i="1"/>
  <c r="K19" i="1" l="1"/>
  <c r="L19" i="1" s="1"/>
  <c r="M19" i="1"/>
  <c r="I21" i="1"/>
  <c r="J20" i="1"/>
  <c r="I22" i="1" l="1"/>
  <c r="J21" i="1"/>
  <c r="K20" i="1"/>
  <c r="L20" i="1" s="1"/>
  <c r="M20" i="1"/>
  <c r="K21" i="1" l="1"/>
  <c r="L21" i="1" s="1"/>
  <c r="M21" i="1"/>
  <c r="I23" i="1"/>
  <c r="J22" i="1"/>
  <c r="K22" i="1" l="1"/>
  <c r="L22" i="1" s="1"/>
  <c r="M22" i="1"/>
  <c r="I24" i="1"/>
  <c r="J23" i="1"/>
  <c r="K23" i="1" l="1"/>
  <c r="L23" i="1" s="1"/>
  <c r="M23" i="1"/>
  <c r="I25" i="1"/>
  <c r="J24" i="1"/>
  <c r="K24" i="1" l="1"/>
  <c r="L24" i="1" s="1"/>
  <c r="M24" i="1"/>
  <c r="I26" i="1"/>
  <c r="J25" i="1"/>
  <c r="K25" i="1" l="1"/>
  <c r="L25" i="1" s="1"/>
  <c r="M25" i="1"/>
  <c r="I27" i="1"/>
  <c r="J26" i="1"/>
  <c r="K26" i="1" l="1"/>
  <c r="L26" i="1" s="1"/>
  <c r="M26" i="1"/>
  <c r="I28" i="1"/>
  <c r="J27" i="1"/>
  <c r="K27" i="1" l="1"/>
  <c r="L27" i="1" s="1"/>
  <c r="M27" i="1"/>
  <c r="I29" i="1"/>
  <c r="J28" i="1"/>
  <c r="K28" i="1" l="1"/>
  <c r="L28" i="1" s="1"/>
  <c r="M28" i="1"/>
  <c r="I30" i="1"/>
  <c r="J29" i="1"/>
  <c r="K29" i="1" l="1"/>
  <c r="L29" i="1" s="1"/>
  <c r="M29" i="1"/>
  <c r="J30" i="1"/>
  <c r="I31" i="1"/>
  <c r="I32" i="1" l="1"/>
  <c r="J31" i="1"/>
  <c r="K30" i="1"/>
  <c r="L30" i="1" s="1"/>
  <c r="M30" i="1"/>
  <c r="K31" i="1" l="1"/>
  <c r="L31" i="1" s="1"/>
  <c r="M31" i="1"/>
  <c r="I33" i="1"/>
  <c r="J32" i="1"/>
  <c r="I34" i="1" l="1"/>
  <c r="J33" i="1"/>
  <c r="K32" i="1"/>
  <c r="L32" i="1" s="1"/>
  <c r="M32" i="1"/>
  <c r="I35" i="1" l="1"/>
  <c r="J34" i="1"/>
  <c r="K33" i="1"/>
  <c r="L33" i="1" s="1"/>
  <c r="M33" i="1"/>
  <c r="I36" i="1" l="1"/>
  <c r="J35" i="1"/>
  <c r="K34" i="1"/>
  <c r="L34" i="1" s="1"/>
  <c r="M34" i="1"/>
  <c r="K35" i="1" l="1"/>
  <c r="L35" i="1" s="1"/>
  <c r="M35" i="1"/>
  <c r="I37" i="1"/>
  <c r="J36" i="1"/>
  <c r="K36" i="1" l="1"/>
  <c r="L36" i="1" s="1"/>
  <c r="M36" i="1"/>
  <c r="I38" i="1"/>
  <c r="J37" i="1"/>
  <c r="I39" i="1" l="1"/>
  <c r="J38" i="1"/>
  <c r="K37" i="1"/>
  <c r="L37" i="1" s="1"/>
  <c r="M37" i="1"/>
  <c r="I40" i="1" l="1"/>
  <c r="J39" i="1"/>
  <c r="K38" i="1"/>
  <c r="L38" i="1" s="1"/>
  <c r="M38" i="1"/>
  <c r="K39" i="1" l="1"/>
  <c r="L39" i="1" s="1"/>
  <c r="M39" i="1"/>
  <c r="I41" i="1"/>
  <c r="J40" i="1"/>
  <c r="K40" i="1" l="1"/>
  <c r="L40" i="1" s="1"/>
  <c r="M40" i="1"/>
  <c r="I42" i="1"/>
  <c r="J41" i="1"/>
  <c r="K41" i="1" l="1"/>
  <c r="L41" i="1" s="1"/>
  <c r="M41" i="1"/>
  <c r="I43" i="1"/>
  <c r="J42" i="1"/>
  <c r="I44" i="1" l="1"/>
  <c r="J43" i="1"/>
  <c r="K42" i="1"/>
  <c r="L42" i="1" s="1"/>
  <c r="M42" i="1"/>
  <c r="K43" i="1" l="1"/>
  <c r="L43" i="1" s="1"/>
  <c r="M43" i="1"/>
  <c r="I45" i="1"/>
  <c r="J44" i="1"/>
  <c r="K44" i="1" l="1"/>
  <c r="L44" i="1" s="1"/>
  <c r="M44" i="1"/>
  <c r="I46" i="1"/>
  <c r="J45" i="1"/>
  <c r="K45" i="1" l="1"/>
  <c r="L45" i="1" s="1"/>
  <c r="M45" i="1"/>
  <c r="I47" i="1"/>
  <c r="J46" i="1"/>
  <c r="K46" i="1" l="1"/>
  <c r="L46" i="1" s="1"/>
  <c r="M46" i="1"/>
  <c r="I48" i="1"/>
  <c r="J47" i="1"/>
  <c r="K47" i="1" l="1"/>
  <c r="L47" i="1" s="1"/>
  <c r="M47" i="1"/>
  <c r="I49" i="1"/>
  <c r="J48" i="1"/>
  <c r="K48" i="1" l="1"/>
  <c r="L48" i="1" s="1"/>
  <c r="M48" i="1"/>
  <c r="I50" i="1"/>
  <c r="J49" i="1"/>
  <c r="I51" i="1" l="1"/>
  <c r="J50" i="1"/>
  <c r="K49" i="1"/>
  <c r="L49" i="1" s="1"/>
  <c r="M49" i="1"/>
  <c r="K50" i="1" l="1"/>
  <c r="L50" i="1" s="1"/>
  <c r="M50" i="1"/>
  <c r="I52" i="1"/>
  <c r="J51" i="1"/>
  <c r="K51" i="1" l="1"/>
  <c r="L51" i="1" s="1"/>
  <c r="M51" i="1"/>
  <c r="I53" i="1"/>
  <c r="J52" i="1"/>
  <c r="K52" i="1" l="1"/>
  <c r="L52" i="1" s="1"/>
  <c r="M52" i="1"/>
  <c r="I54" i="1"/>
  <c r="J53" i="1"/>
  <c r="K53" i="1" l="1"/>
  <c r="L53" i="1" s="1"/>
  <c r="M53" i="1"/>
  <c r="I55" i="1"/>
  <c r="J54" i="1"/>
  <c r="K54" i="1" l="1"/>
  <c r="L54" i="1" s="1"/>
  <c r="M54" i="1"/>
  <c r="I56" i="1"/>
  <c r="J55" i="1"/>
  <c r="K55" i="1" l="1"/>
  <c r="L55" i="1" s="1"/>
  <c r="M55" i="1"/>
  <c r="I57" i="1"/>
  <c r="J56" i="1"/>
  <c r="I58" i="1" l="1"/>
  <c r="J57" i="1"/>
  <c r="K56" i="1"/>
  <c r="L56" i="1" s="1"/>
  <c r="M56" i="1"/>
  <c r="K57" i="1" l="1"/>
  <c r="L57" i="1" s="1"/>
  <c r="M57" i="1"/>
  <c r="I59" i="1"/>
  <c r="J58" i="1"/>
  <c r="K58" i="1" l="1"/>
  <c r="L58" i="1" s="1"/>
  <c r="M58" i="1"/>
  <c r="I60" i="1"/>
  <c r="J59" i="1"/>
  <c r="K59" i="1" l="1"/>
  <c r="L59" i="1" s="1"/>
  <c r="M59" i="1"/>
  <c r="J60" i="1"/>
  <c r="I61" i="1"/>
  <c r="I62" i="1" l="1"/>
  <c r="J61" i="1"/>
  <c r="K60" i="1"/>
  <c r="L60" i="1" s="1"/>
  <c r="M60" i="1"/>
  <c r="K61" i="1" l="1"/>
  <c r="L61" i="1" s="1"/>
  <c r="M61" i="1"/>
  <c r="I63" i="1"/>
  <c r="J62" i="1"/>
  <c r="K62" i="1" l="1"/>
  <c r="L62" i="1" s="1"/>
  <c r="M62" i="1"/>
  <c r="I64" i="1"/>
  <c r="J63" i="1"/>
  <c r="K63" i="1" l="1"/>
  <c r="L63" i="1" s="1"/>
  <c r="M63" i="1"/>
  <c r="I65" i="1"/>
  <c r="J64" i="1"/>
  <c r="K64" i="1" l="1"/>
  <c r="L64" i="1" s="1"/>
  <c r="M64" i="1"/>
  <c r="I66" i="1"/>
  <c r="J65" i="1"/>
  <c r="K65" i="1" l="1"/>
  <c r="L65" i="1" s="1"/>
  <c r="M65" i="1"/>
  <c r="I67" i="1"/>
  <c r="J66" i="1"/>
  <c r="K66" i="1" l="1"/>
  <c r="L66" i="1" s="1"/>
  <c r="M66" i="1"/>
  <c r="J67" i="1"/>
  <c r="I68" i="1"/>
  <c r="J68" i="1" s="1"/>
  <c r="K68" i="1" l="1"/>
  <c r="L68" i="1" s="1"/>
  <c r="M68" i="1"/>
  <c r="K67" i="1"/>
  <c r="L67" i="1" s="1"/>
  <c r="M67" i="1"/>
</calcChain>
</file>

<file path=xl/sharedStrings.xml><?xml version="1.0" encoding="utf-8"?>
<sst xmlns="http://schemas.openxmlformats.org/spreadsheetml/2006/main" count="70" uniqueCount="50">
  <si>
    <t>Data</t>
  </si>
  <si>
    <t>V</t>
  </si>
  <si>
    <t>l</t>
  </si>
  <si>
    <t>QA</t>
  </si>
  <si>
    <t>QB</t>
  </si>
  <si>
    <t>QC</t>
  </si>
  <si>
    <t>QM</t>
  </si>
  <si>
    <t>Qtot</t>
  </si>
  <si>
    <t>CA0</t>
  </si>
  <si>
    <t>CB0</t>
  </si>
  <si>
    <t>CC0</t>
  </si>
  <si>
    <t>CM0</t>
  </si>
  <si>
    <t>FA0</t>
  </si>
  <si>
    <t>FB0</t>
  </si>
  <si>
    <t>FC0</t>
  </si>
  <si>
    <t>FD0</t>
  </si>
  <si>
    <t>kmol/h</t>
  </si>
  <si>
    <t>l/h</t>
  </si>
  <si>
    <t>mol/l</t>
  </si>
  <si>
    <t>Tau</t>
  </si>
  <si>
    <t>h</t>
  </si>
  <si>
    <t>T(°C)</t>
  </si>
  <si>
    <t>A</t>
  </si>
  <si>
    <t>1/h</t>
  </si>
  <si>
    <t>E</t>
  </si>
  <si>
    <t>J/mol</t>
  </si>
  <si>
    <t>k(1/h)</t>
  </si>
  <si>
    <t>T(K)</t>
  </si>
  <si>
    <t>X(MB)</t>
  </si>
  <si>
    <t>X(EB)</t>
  </si>
  <si>
    <t>Cpin</t>
  </si>
  <si>
    <t>DCp</t>
  </si>
  <si>
    <t>DH0</t>
  </si>
  <si>
    <t>CpA</t>
  </si>
  <si>
    <t>HA0</t>
  </si>
  <si>
    <t>HB0</t>
  </si>
  <si>
    <t>HC0</t>
  </si>
  <si>
    <t>J/mol/K</t>
  </si>
  <si>
    <t>CpB</t>
  </si>
  <si>
    <t>CpC</t>
  </si>
  <si>
    <t>CpM</t>
  </si>
  <si>
    <t>TetaA0</t>
  </si>
  <si>
    <t>TetaM0</t>
  </si>
  <si>
    <t>TetaC0</t>
  </si>
  <si>
    <t>TetaB0</t>
  </si>
  <si>
    <t>T0</t>
  </si>
  <si>
    <t>K</t>
  </si>
  <si>
    <t>Tin</t>
  </si>
  <si>
    <t>Calculations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</si>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</sst>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1" fontId="0" fillId="3" borderId="0" xfId="0" applyNumberFormat="1" applyFill="1"/>
    <xf numFmtId="0" fontId="2" fillId="4" borderId="0" xfId="0" applyFont="1" applyFill="1"/>
    <xf numFmtId="0" fontId="1" fillId="4" borderId="0" xfId="0" applyFont="1" applyFill="1"/>
    <xf numFmtId="0" fontId="0" fillId="4" borderId="0" xfId="0" applyFill="1"/>
    <xf numFmtId="0" fontId="1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15135608049"/>
          <c:y val="5.0925925925925923E-2"/>
          <c:w val="0.82498862642169724"/>
          <c:h val="0.77185914260717392"/>
        </c:manualLayout>
      </c:layout>
      <c:scatterChart>
        <c:scatterStyle val="lineMarker"/>
        <c:varyColors val="0"/>
        <c:ser>
          <c:idx val="0"/>
          <c:order val="0"/>
          <c:tx>
            <c:v>Mass Balance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Foglio1!$I$2:$I$68</c:f>
              <c:numCache>
                <c:formatCode>General</c:formatCode>
                <c:ptCount val="6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</c:numCache>
            </c:numRef>
          </c:xVal>
          <c:yVal>
            <c:numRef>
              <c:f>Foglio1!$L$2:$L$68</c:f>
              <c:numCache>
                <c:formatCode>General</c:formatCode>
                <c:ptCount val="67"/>
                <c:pt idx="0">
                  <c:v>0.31456383994012982</c:v>
                </c:pt>
                <c:pt idx="1">
                  <c:v>0.33601150761126874</c:v>
                </c:pt>
                <c:pt idx="2">
                  <c:v>0.35800719549903642</c:v>
                </c:pt>
                <c:pt idx="3">
                  <c:v>0.3804648628972217</c:v>
                </c:pt>
                <c:pt idx="4">
                  <c:v>0.40329183479176012</c:v>
                </c:pt>
                <c:pt idx="5">
                  <c:v>0.42639032094353008</c:v>
                </c:pt>
                <c:pt idx="6">
                  <c:v>0.44965909702786383</c:v>
                </c:pt>
                <c:pt idx="7">
                  <c:v>0.47299528692227494</c:v>
                </c:pt>
                <c:pt idx="8">
                  <c:v>0.49629617980878166</c:v>
                </c:pt>
                <c:pt idx="9">
                  <c:v>0.5194610145378612</c:v>
                </c:pt>
                <c:pt idx="10">
                  <c:v>0.54239266674372122</c:v>
                </c:pt>
                <c:pt idx="11">
                  <c:v>0.56499918115562253</c:v>
                </c:pt>
                <c:pt idx="12">
                  <c:v>0.58719510171416989</c:v>
                </c:pt>
                <c:pt idx="13">
                  <c:v>0.60890256451437907</c:v>
                </c:pt>
                <c:pt idx="14">
                  <c:v>0.6300521321640612</c:v>
                </c:pt>
                <c:pt idx="15">
                  <c:v>0.65058336176738474</c:v>
                </c:pt>
                <c:pt idx="16">
                  <c:v>0.67044511143229268</c:v>
                </c:pt>
                <c:pt idx="17">
                  <c:v>0.68959560117019536</c:v>
                </c:pt>
                <c:pt idx="18">
                  <c:v>0.70800225277323814</c:v>
                </c:pt>
                <c:pt idx="19">
                  <c:v>0.72564133945122788</c:v>
                </c:pt>
                <c:pt idx="20">
                  <c:v>0.74249747966756308</c:v>
                </c:pt>
                <c:pt idx="21">
                  <c:v>0.75856301091611422</c:v>
                </c:pt>
                <c:pt idx="22">
                  <c:v>0.77383727846158279</c:v>
                </c:pt>
                <c:pt idx="23">
                  <c:v>0.78832587174376678</c:v>
                </c:pt>
                <c:pt idx="24">
                  <c:v>0.8020398376722282</c:v>
                </c:pt>
                <c:pt idx="25">
                  <c:v>0.81499489584810236</c:v>
                </c:pt>
                <c:pt idx="26">
                  <c:v>0.82721067623280187</c:v>
                </c:pt>
                <c:pt idx="27">
                  <c:v>0.83870999526012735</c:v>
                </c:pt>
                <c:pt idx="28">
                  <c:v>0.84951818210395114</c:v>
                </c:pt>
                <c:pt idx="29">
                  <c:v>0.85966246293824045</c:v>
                </c:pt>
                <c:pt idx="30">
                  <c:v>0.86917140766197198</c:v>
                </c:pt>
                <c:pt idx="31">
                  <c:v>0.87807444075379049</c:v>
                </c:pt>
                <c:pt idx="32">
                  <c:v>0.88640141567102404</c:v>
                </c:pt>
                <c:pt idx="33">
                  <c:v>0.89418225048383126</c:v>
                </c:pt>
                <c:pt idx="34">
                  <c:v>0.9014466211858978</c:v>
                </c:pt>
                <c:pt idx="35">
                  <c:v>0.90822370828477239</c:v>
                </c:pt>
                <c:pt idx="36">
                  <c:v>0.91454199178002049</c:v>
                </c:pt>
                <c:pt idx="37">
                  <c:v>0.92042908941934543</c:v>
                </c:pt>
                <c:pt idx="38">
                  <c:v>0.92591163311991431</c:v>
                </c:pt>
                <c:pt idx="39">
                  <c:v>0.93101517859936889</c:v>
                </c:pt>
                <c:pt idx="40">
                  <c:v>0.93576414353134763</c:v>
                </c:pt>
                <c:pt idx="41">
                  <c:v>0.94018176988471736</c:v>
                </c:pt>
                <c:pt idx="42">
                  <c:v>0.94429010649278111</c:v>
                </c:pt>
                <c:pt idx="43">
                  <c:v>0.94811000830405856</c:v>
                </c:pt>
                <c:pt idx="44">
                  <c:v>0.95166114917151778</c:v>
                </c:pt>
                <c:pt idx="45">
                  <c:v>0.95496204542913754</c:v>
                </c:pt>
                <c:pt idx="46">
                  <c:v>0.95803008787441657</c:v>
                </c:pt>
                <c:pt idx="47">
                  <c:v>0.96088158011723224</c:v>
                </c:pt>
                <c:pt idx="48">
                  <c:v>0.96353178156624242</c:v>
                </c:pt>
                <c:pt idx="49">
                  <c:v>0.96599495360268128</c:v>
                </c:pt>
                <c:pt idx="50">
                  <c:v>0.96828440773825064</c:v>
                </c:pt>
                <c:pt idx="51">
                  <c:v>0.97041255477010435</c:v>
                </c:pt>
                <c:pt idx="52">
                  <c:v>0.97239095413362131</c:v>
                </c:pt>
                <c:pt idx="53">
                  <c:v>0.97423036281505559</c:v>
                </c:pt>
                <c:pt idx="54">
                  <c:v>0.97594078332373801</c:v>
                </c:pt>
                <c:pt idx="55">
                  <c:v>0.97753151033981267</c:v>
                </c:pt>
                <c:pt idx="56">
                  <c:v>0.97901117575100627</c:v>
                </c:pt>
                <c:pt idx="57">
                  <c:v>0.98038779187298353</c:v>
                </c:pt>
                <c:pt idx="58">
                  <c:v>0.98166879271462737</c:v>
                </c:pt>
                <c:pt idx="59">
                  <c:v>0.98286107320408123</c:v>
                </c:pt>
                <c:pt idx="60">
                  <c:v>0.9839710263353898</c:v>
                </c:pt>
                <c:pt idx="61">
                  <c:v>0.98500457823067356</c:v>
                </c:pt>
                <c:pt idx="62">
                  <c:v>0.98596722114036062</c:v>
                </c:pt>
                <c:pt idx="63">
                  <c:v>0.98686404442530773</c:v>
                </c:pt>
                <c:pt idx="64">
                  <c:v>0.98769976358073175</c:v>
                </c:pt>
                <c:pt idx="65">
                  <c:v>0.98847874737364227</c:v>
                </c:pt>
                <c:pt idx="66">
                  <c:v>0.98920504317371338</c:v>
                </c:pt>
              </c:numCache>
            </c:numRef>
          </c:yVal>
          <c:smooth val="0"/>
        </c:ser>
        <c:ser>
          <c:idx val="1"/>
          <c:order val="1"/>
          <c:tx>
            <c:v>Energy Balance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Foglio1!$I$2:$I$68</c:f>
              <c:numCache>
                <c:formatCode>General</c:formatCode>
                <c:ptCount val="6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</c:numCache>
            </c:numRef>
          </c:xVal>
          <c:yVal>
            <c:numRef>
              <c:f>Foglio1!$M$2:$M$68</c:f>
              <c:numCache>
                <c:formatCode>General</c:formatCode>
                <c:ptCount val="67"/>
                <c:pt idx="0">
                  <c:v>0</c:v>
                </c:pt>
                <c:pt idx="1">
                  <c:v>2.0629354915454416E-2</c:v>
                </c:pt>
                <c:pt idx="2">
                  <c:v>4.124404968357135E-2</c:v>
                </c:pt>
                <c:pt idx="3">
                  <c:v>6.1844099926040029E-2</c:v>
                </c:pt>
                <c:pt idx="4">
                  <c:v>8.2429521242362538E-2</c:v>
                </c:pt>
                <c:pt idx="5">
                  <c:v>0.10300032920989313</c:v>
                </c:pt>
                <c:pt idx="6">
                  <c:v>0.12355653938387751</c:v>
                </c:pt>
                <c:pt idx="7">
                  <c:v>0.14409816729749217</c:v>
                </c:pt>
                <c:pt idx="8">
                  <c:v>0.16462522846188332</c:v>
                </c:pt>
                <c:pt idx="9">
                  <c:v>0.18513773836620609</c:v>
                </c:pt>
                <c:pt idx="10">
                  <c:v>0.20563571247766343</c:v>
                </c:pt>
                <c:pt idx="11">
                  <c:v>0.22611916624154493</c:v>
                </c:pt>
                <c:pt idx="12">
                  <c:v>0.24658811508126577</c:v>
                </c:pt>
                <c:pt idx="13">
                  <c:v>0.26704257439840529</c:v>
                </c:pt>
                <c:pt idx="14">
                  <c:v>0.28748255957274549</c:v>
                </c:pt>
                <c:pt idx="15">
                  <c:v>0.30790808596231012</c:v>
                </c:pt>
                <c:pt idx="16">
                  <c:v>0.3283191689034024</c:v>
                </c:pt>
                <c:pt idx="17">
                  <c:v>0.34871582371064402</c:v>
                </c:pt>
                <c:pt idx="18">
                  <c:v>0.36909806567701309</c:v>
                </c:pt>
                <c:pt idx="19">
                  <c:v>0.38946591007388243</c:v>
                </c:pt>
                <c:pt idx="20">
                  <c:v>0.4098193721510579</c:v>
                </c:pt>
                <c:pt idx="21">
                  <c:v>0.43015846713681616</c:v>
                </c:pt>
                <c:pt idx="22">
                  <c:v>0.45048321023794285</c:v>
                </c:pt>
                <c:pt idx="23">
                  <c:v>0.47079361663977048</c:v>
                </c:pt>
                <c:pt idx="24">
                  <c:v>0.49108970150621617</c:v>
                </c:pt>
                <c:pt idx="25">
                  <c:v>0.51137147997981958</c:v>
                </c:pt>
                <c:pt idx="26">
                  <c:v>0.53163896718177994</c:v>
                </c:pt>
                <c:pt idx="27">
                  <c:v>0.55189217821199466</c:v>
                </c:pt>
                <c:pt idx="28">
                  <c:v>0.57213112814909584</c:v>
                </c:pt>
                <c:pt idx="29">
                  <c:v>0.59235583205048858</c:v>
                </c:pt>
                <c:pt idx="30">
                  <c:v>0.6125663049523874</c:v>
                </c:pt>
                <c:pt idx="31">
                  <c:v>0.63276256186985425</c:v>
                </c:pt>
                <c:pt idx="32">
                  <c:v>0.65294461779683521</c:v>
                </c:pt>
                <c:pt idx="33">
                  <c:v>0.67311248770619792</c:v>
                </c:pt>
                <c:pt idx="34">
                  <c:v>0.69326618654976868</c:v>
                </c:pt>
                <c:pt idx="35">
                  <c:v>0.71340572925836887</c:v>
                </c:pt>
                <c:pt idx="36">
                  <c:v>0.73353113074185206</c:v>
                </c:pt>
                <c:pt idx="37">
                  <c:v>0.75364240588914144</c:v>
                </c:pt>
                <c:pt idx="38">
                  <c:v>0.77373956956826551</c:v>
                </c:pt>
                <c:pt idx="39">
                  <c:v>0.79382263662639541</c:v>
                </c:pt>
                <c:pt idx="40">
                  <c:v>0.81389162188988118</c:v>
                </c:pt>
                <c:pt idx="41">
                  <c:v>0.83394654016428826</c:v>
                </c:pt>
                <c:pt idx="42">
                  <c:v>0.85398740623443437</c:v>
                </c:pt>
                <c:pt idx="43">
                  <c:v>0.87401423486442509</c:v>
                </c:pt>
                <c:pt idx="44">
                  <c:v>0.89402704079769058</c:v>
                </c:pt>
                <c:pt idx="45">
                  <c:v>0.91402583875702159</c:v>
                </c:pt>
                <c:pt idx="46">
                  <c:v>0.93401064344460571</c:v>
                </c:pt>
                <c:pt idx="47">
                  <c:v>0.95398146954206331</c:v>
                </c:pt>
                <c:pt idx="48">
                  <c:v>0.97393833171048361</c:v>
                </c:pt>
                <c:pt idx="49">
                  <c:v>0.99388124459046034</c:v>
                </c:pt>
                <c:pt idx="50">
                  <c:v>1.0138102228021273</c:v>
                </c:pt>
                <c:pt idx="51">
                  <c:v>1.0337252809451951</c:v>
                </c:pt>
                <c:pt idx="52">
                  <c:v>1.0536264335989856</c:v>
                </c:pt>
                <c:pt idx="53">
                  <c:v>1.0735136953224684</c:v>
                </c:pt>
                <c:pt idx="54">
                  <c:v>1.093387080654296</c:v>
                </c:pt>
                <c:pt idx="55">
                  <c:v>1.1132466041128386</c:v>
                </c:pt>
                <c:pt idx="56">
                  <c:v>1.1330922801962209</c:v>
                </c:pt>
                <c:pt idx="57">
                  <c:v>1.1529241233823562</c:v>
                </c:pt>
                <c:pt idx="58">
                  <c:v>1.1727421481289815</c:v>
                </c:pt>
                <c:pt idx="59">
                  <c:v>1.1925463688736937</c:v>
                </c:pt>
                <c:pt idx="60">
                  <c:v>1.2123368000339838</c:v>
                </c:pt>
                <c:pt idx="61">
                  <c:v>1.232113456007272</c:v>
                </c:pt>
                <c:pt idx="62">
                  <c:v>1.2518763511709432</c:v>
                </c:pt>
                <c:pt idx="63">
                  <c:v>1.2716254998823806</c:v>
                </c:pt>
                <c:pt idx="64">
                  <c:v>1.2913609164790023</c:v>
                </c:pt>
                <c:pt idx="65">
                  <c:v>1.3110826152782937</c:v>
                </c:pt>
                <c:pt idx="66">
                  <c:v>1.3307906105778446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39840"/>
        <c:axId val="775041016"/>
      </c:scatterChart>
      <c:valAx>
        <c:axId val="775039840"/>
        <c:scaling>
          <c:orientation val="minMax"/>
          <c:max val="84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5041016"/>
        <c:crosses val="autoZero"/>
        <c:crossBetween val="midCat"/>
      </c:valAx>
      <c:valAx>
        <c:axId val="77504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39617964421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50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244094488189"/>
          <c:y val="7.0022601341498986E-2"/>
          <c:w val="0.26517825896762903"/>
          <c:h val="0.18923665791776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88105</xdr:colOff>
      <xdr:row>10</xdr:row>
      <xdr:rowOff>102393</xdr:rowOff>
    </xdr:from>
    <xdr:to>
      <xdr:col>13</xdr:col>
      <xdr:colOff>592930</xdr:colOff>
      <xdr:row>25</xdr:row>
      <xdr:rowOff>130968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selection activeCell="Q13" sqref="Q13"/>
    </sheetView>
  </sheetViews>
  <sheetFormatPr defaultRowHeight="14.25" x14ac:dyDescent="0.45"/>
  <cols>
    <col min="10" max="10" width="11.59765625" bestFit="1" customWidth="1"/>
  </cols>
  <sheetData>
    <row r="1" spans="1:14" s="1" customFormat="1" ht="18" x14ac:dyDescent="0.55000000000000004">
      <c r="A1" s="4" t="s">
        <v>0</v>
      </c>
      <c r="B1" s="4"/>
      <c r="C1" s="4"/>
      <c r="D1" s="2"/>
      <c r="E1" s="7" t="s">
        <v>48</v>
      </c>
      <c r="F1" s="8"/>
      <c r="G1" s="8"/>
      <c r="I1" s="10" t="s">
        <v>21</v>
      </c>
      <c r="J1" s="10" t="s">
        <v>27</v>
      </c>
      <c r="K1" s="10" t="s">
        <v>26</v>
      </c>
      <c r="L1" s="10" t="s">
        <v>28</v>
      </c>
      <c r="M1" s="10" t="s">
        <v>29</v>
      </c>
      <c r="N1" s="10" t="s">
        <v>49</v>
      </c>
    </row>
    <row r="2" spans="1:14" x14ac:dyDescent="0.45">
      <c r="A2" s="5"/>
      <c r="B2" s="5"/>
      <c r="C2" s="5"/>
      <c r="E2" s="9"/>
      <c r="F2" s="9"/>
      <c r="G2" s="9"/>
      <c r="I2" s="3">
        <v>24</v>
      </c>
      <c r="J2" s="3">
        <f>I2+273.15</f>
        <v>297.14999999999998</v>
      </c>
      <c r="K2" s="3">
        <f>$B$14*EXP(-$B$15/8.314/J2)</f>
        <v>3.7360948691741007</v>
      </c>
      <c r="L2" s="3">
        <f>K2*$F$8/(1+K2*$F$8)</f>
        <v>0.31456383994012982</v>
      </c>
      <c r="M2" s="3">
        <f>-$F$15*(J2-$B$3)/($F$17+$F$16*(J2-$B$22))</f>
        <v>0</v>
      </c>
      <c r="N2" s="3">
        <f>L2-M2</f>
        <v>0.31456383994012982</v>
      </c>
    </row>
    <row r="3" spans="1:14" x14ac:dyDescent="0.45">
      <c r="A3" s="5" t="s">
        <v>47</v>
      </c>
      <c r="B3" s="5">
        <f>24+273.15</f>
        <v>297.14999999999998</v>
      </c>
      <c r="C3" s="5" t="s">
        <v>46</v>
      </c>
      <c r="E3" s="9" t="s">
        <v>7</v>
      </c>
      <c r="F3" s="9">
        <f>B5+B6+B7+B8</f>
        <v>9240</v>
      </c>
      <c r="G3" s="9" t="s">
        <v>17</v>
      </c>
      <c r="I3" s="3">
        <f>I2+1</f>
        <v>25</v>
      </c>
      <c r="J3" s="3">
        <f t="shared" ref="J3:J66" si="0">I3+273.15</f>
        <v>298.14999999999998</v>
      </c>
      <c r="K3" s="3">
        <f>$B$14*EXP(-$B$15/8.314/J3)</f>
        <v>4.1197390515520071</v>
      </c>
      <c r="L3" s="3">
        <f t="shared" ref="L3:L66" si="1">K3*$F$8/(1+K3*$F$8)</f>
        <v>0.33601150761126874</v>
      </c>
      <c r="M3" s="3">
        <f t="shared" ref="M3:M66" si="2">-$F$15*(J3-$B$3)/($F$17+$F$16*(J3-$B$22))</f>
        <v>2.0629354915454416E-2</v>
      </c>
      <c r="N3" s="3">
        <f t="shared" ref="N3:N66" si="3">L3-M3</f>
        <v>0.31538215269581432</v>
      </c>
    </row>
    <row r="4" spans="1:14" x14ac:dyDescent="0.45">
      <c r="A4" s="5" t="s">
        <v>1</v>
      </c>
      <c r="B4" s="5">
        <v>1135</v>
      </c>
      <c r="C4" s="5" t="s">
        <v>2</v>
      </c>
      <c r="E4" s="9" t="s">
        <v>8</v>
      </c>
      <c r="F4" s="9">
        <f>B9/$F$3*1000</f>
        <v>2.11038961038961</v>
      </c>
      <c r="G4" s="9" t="s">
        <v>18</v>
      </c>
      <c r="I4" s="3">
        <f t="shared" ref="I4:I68" si="4">I3+1</f>
        <v>26</v>
      </c>
      <c r="J4" s="3">
        <f t="shared" si="0"/>
        <v>299.14999999999998</v>
      </c>
      <c r="K4" s="3">
        <f>$B$14*EXP(-$B$15/8.314/J4)</f>
        <v>4.5398102879886979</v>
      </c>
      <c r="L4" s="3">
        <f t="shared" si="1"/>
        <v>0.35800719549903642</v>
      </c>
      <c r="M4" s="3">
        <f t="shared" si="2"/>
        <v>4.124404968357135E-2</v>
      </c>
      <c r="N4" s="3">
        <f t="shared" si="3"/>
        <v>0.31676314581546505</v>
      </c>
    </row>
    <row r="5" spans="1:14" x14ac:dyDescent="0.45">
      <c r="A5" s="5" t="s">
        <v>3</v>
      </c>
      <c r="B5" s="5">
        <v>1320</v>
      </c>
      <c r="C5" s="5" t="s">
        <v>17</v>
      </c>
      <c r="E5" s="9" t="s">
        <v>9</v>
      </c>
      <c r="F5" s="9">
        <f>B10/$F$3*1000</f>
        <v>39.393939393939391</v>
      </c>
      <c r="G5" s="9" t="s">
        <v>18</v>
      </c>
      <c r="I5" s="3">
        <f t="shared" si="4"/>
        <v>27</v>
      </c>
      <c r="J5" s="3">
        <f t="shared" si="0"/>
        <v>300.14999999999998</v>
      </c>
      <c r="K5" s="3">
        <f>$B$14*EXP(-$B$15/8.314/J5)</f>
        <v>4.9994786912881599</v>
      </c>
      <c r="L5" s="3">
        <f t="shared" si="1"/>
        <v>0.3804648628972217</v>
      </c>
      <c r="M5" s="3">
        <f t="shared" si="2"/>
        <v>6.1844099926040029E-2</v>
      </c>
      <c r="N5" s="3">
        <f t="shared" si="3"/>
        <v>0.31862076297118169</v>
      </c>
    </row>
    <row r="6" spans="1:14" x14ac:dyDescent="0.45">
      <c r="A6" s="5" t="s">
        <v>4</v>
      </c>
      <c r="B6" s="5">
        <v>6600</v>
      </c>
      <c r="C6" s="5" t="s">
        <v>17</v>
      </c>
      <c r="E6" s="9" t="s">
        <v>10</v>
      </c>
      <c r="F6" s="9">
        <f>B11/$F$3*1000</f>
        <v>0</v>
      </c>
      <c r="G6" s="9" t="s">
        <v>18</v>
      </c>
      <c r="I6" s="3">
        <f t="shared" si="4"/>
        <v>28</v>
      </c>
      <c r="J6" s="3">
        <f t="shared" si="0"/>
        <v>301.14999999999998</v>
      </c>
      <c r="K6" s="3">
        <f>$B$14*EXP(-$B$15/8.314/J6)</f>
        <v>5.5021643445784978</v>
      </c>
      <c r="L6" s="3">
        <f t="shared" si="1"/>
        <v>0.40329183479176012</v>
      </c>
      <c r="M6" s="3">
        <f t="shared" si="2"/>
        <v>8.2429521242362538E-2</v>
      </c>
      <c r="N6" s="3">
        <f t="shared" si="3"/>
        <v>0.32086231354939759</v>
      </c>
    </row>
    <row r="7" spans="1:14" x14ac:dyDescent="0.45">
      <c r="A7" s="5" t="s">
        <v>5</v>
      </c>
      <c r="B7" s="5">
        <v>0</v>
      </c>
      <c r="C7" s="5" t="s">
        <v>17</v>
      </c>
      <c r="E7" s="9" t="s">
        <v>11</v>
      </c>
      <c r="F7" s="9">
        <f>B12/$F$3*1000</f>
        <v>3.5281385281385282</v>
      </c>
      <c r="G7" s="9" t="s">
        <v>18</v>
      </c>
      <c r="I7" s="3">
        <f t="shared" si="4"/>
        <v>29</v>
      </c>
      <c r="J7" s="3">
        <f t="shared" si="0"/>
        <v>302.14999999999998</v>
      </c>
      <c r="K7" s="3">
        <f>$B$14*EXP(-$B$15/8.314/J7)</f>
        <v>6.0515548829491461</v>
      </c>
      <c r="L7" s="3">
        <f t="shared" si="1"/>
        <v>0.42639032094353008</v>
      </c>
      <c r="M7" s="3">
        <f t="shared" si="2"/>
        <v>0.10300032920989313</v>
      </c>
      <c r="N7" s="3">
        <f t="shared" si="3"/>
        <v>0.32338999173363692</v>
      </c>
    </row>
    <row r="8" spans="1:14" x14ac:dyDescent="0.45">
      <c r="A8" s="5" t="s">
        <v>6</v>
      </c>
      <c r="B8" s="5">
        <v>1320</v>
      </c>
      <c r="C8" s="5" t="s">
        <v>17</v>
      </c>
      <c r="E8" s="9" t="s">
        <v>19</v>
      </c>
      <c r="F8" s="9">
        <f>B4/F3</f>
        <v>0.12283549783549784</v>
      </c>
      <c r="G8" s="9" t="s">
        <v>20</v>
      </c>
      <c r="I8" s="3">
        <f t="shared" si="4"/>
        <v>30</v>
      </c>
      <c r="J8" s="3">
        <f t="shared" si="0"/>
        <v>303.14999999999998</v>
      </c>
      <c r="K8" s="3">
        <f>$B$14*EXP(-$B$15/8.314/J8)</f>
        <v>6.6516241533107028</v>
      </c>
      <c r="L8" s="3">
        <f t="shared" si="1"/>
        <v>0.44965909702786383</v>
      </c>
      <c r="M8" s="3">
        <f t="shared" si="2"/>
        <v>0.12355653938387751</v>
      </c>
      <c r="N8" s="3">
        <f t="shared" si="3"/>
        <v>0.32610255764398632</v>
      </c>
    </row>
    <row r="9" spans="1:14" x14ac:dyDescent="0.45">
      <c r="A9" s="5" t="s">
        <v>12</v>
      </c>
      <c r="B9" s="5">
        <v>19.5</v>
      </c>
      <c r="C9" s="5" t="s">
        <v>16</v>
      </c>
      <c r="E9" s="9"/>
      <c r="F9" s="9"/>
      <c r="G9" s="9"/>
      <c r="I9" s="3">
        <f t="shared" si="4"/>
        <v>31</v>
      </c>
      <c r="J9" s="3">
        <f t="shared" si="0"/>
        <v>304.14999999999998</v>
      </c>
      <c r="K9" s="3">
        <f>$B$14*EXP(-$B$15/8.314/J9)</f>
        <v>7.3066520080790696</v>
      </c>
      <c r="L9" s="3">
        <f t="shared" si="1"/>
        <v>0.47299528692227494</v>
      </c>
      <c r="M9" s="3">
        <f t="shared" si="2"/>
        <v>0.14409816729749217</v>
      </c>
      <c r="N9" s="3">
        <f t="shared" si="3"/>
        <v>0.32889711962478274</v>
      </c>
    </row>
    <row r="10" spans="1:14" x14ac:dyDescent="0.45">
      <c r="A10" s="5" t="s">
        <v>13</v>
      </c>
      <c r="B10" s="5">
        <v>364</v>
      </c>
      <c r="C10" s="5" t="s">
        <v>16</v>
      </c>
      <c r="E10" s="9" t="s">
        <v>41</v>
      </c>
      <c r="F10" s="9">
        <f>F4/$F$4</f>
        <v>1</v>
      </c>
      <c r="G10" s="9"/>
      <c r="I10" s="3">
        <f t="shared" si="4"/>
        <v>32</v>
      </c>
      <c r="J10" s="3">
        <f t="shared" si="0"/>
        <v>305.14999999999998</v>
      </c>
      <c r="K10" s="3">
        <f>$B$14*EXP(-$B$15/8.314/J10)</f>
        <v>8.0212452905399818</v>
      </c>
      <c r="L10" s="3">
        <f t="shared" si="1"/>
        <v>0.49629617980878166</v>
      </c>
      <c r="M10" s="3">
        <f t="shared" si="2"/>
        <v>0.16462522846188332</v>
      </c>
      <c r="N10" s="3">
        <f t="shared" si="3"/>
        <v>0.33167095134689834</v>
      </c>
    </row>
    <row r="11" spans="1:14" x14ac:dyDescent="0.45">
      <c r="A11" s="5" t="s">
        <v>14</v>
      </c>
      <c r="B11" s="5">
        <v>0</v>
      </c>
      <c r="C11" s="5" t="s">
        <v>16</v>
      </c>
      <c r="E11" s="9" t="s">
        <v>44</v>
      </c>
      <c r="F11" s="9">
        <f t="shared" ref="F11:F13" si="5">F5/$F$4</f>
        <v>18.666666666666668</v>
      </c>
      <c r="G11" s="9"/>
      <c r="I11" s="3">
        <f t="shared" si="4"/>
        <v>33</v>
      </c>
      <c r="J11" s="3">
        <f t="shared" si="0"/>
        <v>306.14999999999998</v>
      </c>
      <c r="K11" s="3">
        <f>$B$14*EXP(-$B$15/8.314/J11)</f>
        <v>8.8003600720639685</v>
      </c>
      <c r="L11" s="3">
        <f t="shared" si="1"/>
        <v>0.5194610145378612</v>
      </c>
      <c r="M11" s="3">
        <f t="shared" si="2"/>
        <v>0.18513773836620609</v>
      </c>
      <c r="N11" s="3">
        <f t="shared" si="3"/>
        <v>0.33432327617165514</v>
      </c>
    </row>
    <row r="12" spans="1:14" x14ac:dyDescent="0.45">
      <c r="A12" s="5" t="s">
        <v>15</v>
      </c>
      <c r="B12" s="5">
        <v>32.6</v>
      </c>
      <c r="C12" s="5" t="s">
        <v>16</v>
      </c>
      <c r="E12" s="9" t="s">
        <v>43</v>
      </c>
      <c r="F12" s="9">
        <f t="shared" si="5"/>
        <v>0</v>
      </c>
      <c r="G12" s="9"/>
      <c r="I12" s="3">
        <f t="shared" si="4"/>
        <v>34</v>
      </c>
      <c r="J12" s="3">
        <f t="shared" si="0"/>
        <v>307.14999999999998</v>
      </c>
      <c r="K12" s="3">
        <f>$B$14*EXP(-$B$15/8.314/J12)</f>
        <v>9.6493252037170976</v>
      </c>
      <c r="L12" s="3">
        <f t="shared" si="1"/>
        <v>0.54239266674372122</v>
      </c>
      <c r="M12" s="3">
        <f t="shared" si="2"/>
        <v>0.20563571247766343</v>
      </c>
      <c r="N12" s="3">
        <f t="shared" si="3"/>
        <v>0.33675695426605778</v>
      </c>
    </row>
    <row r="13" spans="1:14" x14ac:dyDescent="0.45">
      <c r="A13" s="5"/>
      <c r="B13" s="5"/>
      <c r="C13" s="5"/>
      <c r="E13" s="9" t="s">
        <v>42</v>
      </c>
      <c r="F13" s="9">
        <f t="shared" si="5"/>
        <v>1.6717948717948721</v>
      </c>
      <c r="G13" s="9"/>
      <c r="I13" s="3">
        <f t="shared" si="4"/>
        <v>35</v>
      </c>
      <c r="J13" s="3">
        <f t="shared" si="0"/>
        <v>308.14999999999998</v>
      </c>
      <c r="K13" s="3">
        <f>$B$14*EXP(-$B$15/8.314/J13)</f>
        <v>10.57386724725044</v>
      </c>
      <c r="L13" s="3">
        <f t="shared" si="1"/>
        <v>0.56499918115562253</v>
      </c>
      <c r="M13" s="3">
        <f t="shared" si="2"/>
        <v>0.22611916624154493</v>
      </c>
      <c r="N13" s="3">
        <f t="shared" si="3"/>
        <v>0.3388800149140776</v>
      </c>
    </row>
    <row r="14" spans="1:14" x14ac:dyDescent="0.45">
      <c r="A14" s="5" t="s">
        <v>22</v>
      </c>
      <c r="B14" s="6">
        <v>16960000000000</v>
      </c>
      <c r="C14" s="5" t="s">
        <v>23</v>
      </c>
      <c r="E14" s="9"/>
      <c r="F14" s="9"/>
      <c r="G14" s="9"/>
      <c r="I14" s="3">
        <f t="shared" si="4"/>
        <v>36</v>
      </c>
      <c r="J14" s="3">
        <f t="shared" si="0"/>
        <v>309.14999999999998</v>
      </c>
      <c r="K14" s="3">
        <f>$B$14*EXP(-$B$15/8.314/J14)</f>
        <v>11.580136852947824</v>
      </c>
      <c r="L14" s="3">
        <f t="shared" si="1"/>
        <v>0.58719510171416989</v>
      </c>
      <c r="M14" s="3">
        <f t="shared" si="2"/>
        <v>0.24658811508126577</v>
      </c>
      <c r="N14" s="3">
        <f t="shared" si="3"/>
        <v>0.34060698663290412</v>
      </c>
    </row>
    <row r="15" spans="1:14" x14ac:dyDescent="0.45">
      <c r="A15" s="5" t="s">
        <v>24</v>
      </c>
      <c r="B15" s="5">
        <v>72000</v>
      </c>
      <c r="C15" s="5" t="s">
        <v>25</v>
      </c>
      <c r="E15" s="9" t="s">
        <v>30</v>
      </c>
      <c r="F15" s="9">
        <f>F10*B17+F11*B18+F12*B19+F13*B20</f>
        <v>1683.0871794871796</v>
      </c>
      <c r="G15" s="9" t="s">
        <v>37</v>
      </c>
      <c r="I15" s="3">
        <f t="shared" si="4"/>
        <v>37</v>
      </c>
      <c r="J15" s="3">
        <f t="shared" si="0"/>
        <v>310.14999999999998</v>
      </c>
      <c r="K15" s="3">
        <f>$B$14*EXP(-$B$15/8.314/J15)</f>
        <v>12.674736654372021</v>
      </c>
      <c r="L15" s="3">
        <f t="shared" si="1"/>
        <v>0.60890256451437907</v>
      </c>
      <c r="M15" s="3">
        <f t="shared" si="2"/>
        <v>0.26704257439840529</v>
      </c>
      <c r="N15" s="3">
        <f t="shared" si="3"/>
        <v>0.34185999011597379</v>
      </c>
    </row>
    <row r="16" spans="1:14" x14ac:dyDescent="0.45">
      <c r="A16" s="5"/>
      <c r="B16" s="5"/>
      <c r="C16" s="5"/>
      <c r="E16" s="9" t="s">
        <v>31</v>
      </c>
      <c r="F16" s="9">
        <f>B19-B18-B17</f>
        <v>-29</v>
      </c>
      <c r="G16" s="9" t="s">
        <v>37</v>
      </c>
      <c r="I16" s="3">
        <f t="shared" si="4"/>
        <v>38</v>
      </c>
      <c r="J16" s="3">
        <f t="shared" si="0"/>
        <v>311.14999999999998</v>
      </c>
      <c r="K16" s="3">
        <f>$B$14*EXP(-$B$15/8.314/J16)</f>
        <v>13.864750752670677</v>
      </c>
      <c r="L16" s="3">
        <f t="shared" si="1"/>
        <v>0.6300521321640612</v>
      </c>
      <c r="M16" s="3">
        <f t="shared" si="2"/>
        <v>0.28748255957274549</v>
      </c>
      <c r="N16" s="3">
        <f t="shared" si="3"/>
        <v>0.34256957259131571</v>
      </c>
    </row>
    <row r="17" spans="1:14" x14ac:dyDescent="0.45">
      <c r="A17" s="5" t="s">
        <v>33</v>
      </c>
      <c r="B17" s="5">
        <v>146</v>
      </c>
      <c r="C17" s="5" t="s">
        <v>37</v>
      </c>
      <c r="E17" s="9" t="s">
        <v>32</v>
      </c>
      <c r="F17" s="9">
        <f>B25-B24-B23</f>
        <v>-81442</v>
      </c>
      <c r="G17" s="9" t="s">
        <v>25</v>
      </c>
      <c r="I17" s="3">
        <f t="shared" si="4"/>
        <v>39</v>
      </c>
      <c r="J17" s="3">
        <f t="shared" si="0"/>
        <v>312.14999999999998</v>
      </c>
      <c r="K17" s="3">
        <f>$B$14*EXP(-$B$15/8.314/J17)</f>
        <v>15.157775865785638</v>
      </c>
      <c r="L17" s="3">
        <f t="shared" si="1"/>
        <v>0.65058336176738474</v>
      </c>
      <c r="M17" s="3">
        <f t="shared" si="2"/>
        <v>0.30790808596231012</v>
      </c>
      <c r="N17" s="3">
        <f t="shared" si="3"/>
        <v>0.34267527580507462</v>
      </c>
    </row>
    <row r="18" spans="1:14" x14ac:dyDescent="0.45">
      <c r="A18" s="5" t="s">
        <v>38</v>
      </c>
      <c r="B18" s="5">
        <v>75</v>
      </c>
      <c r="C18" s="5" t="s">
        <v>37</v>
      </c>
      <c r="I18" s="3">
        <f t="shared" si="4"/>
        <v>40</v>
      </c>
      <c r="J18" s="3">
        <f t="shared" si="0"/>
        <v>313.14999999999998</v>
      </c>
      <c r="K18" s="3">
        <f>$B$14*EXP(-$B$15/8.314/J18)</f>
        <v>16.561954220655032</v>
      </c>
      <c r="L18" s="3">
        <f t="shared" si="1"/>
        <v>0.67044511143229268</v>
      </c>
      <c r="M18" s="3">
        <f t="shared" si="2"/>
        <v>0.3283191689034024</v>
      </c>
      <c r="N18" s="3">
        <f t="shared" si="3"/>
        <v>0.34212594252889028</v>
      </c>
    </row>
    <row r="19" spans="1:14" x14ac:dyDescent="0.45">
      <c r="A19" s="5" t="s">
        <v>39</v>
      </c>
      <c r="B19" s="5">
        <v>192</v>
      </c>
      <c r="C19" s="5" t="s">
        <v>37</v>
      </c>
      <c r="I19" s="3">
        <f t="shared" si="4"/>
        <v>41</v>
      </c>
      <c r="J19" s="3">
        <f t="shared" si="0"/>
        <v>314.14999999999998</v>
      </c>
      <c r="K19" s="3">
        <f>$B$14*EXP(-$B$15/8.314/J19)</f>
        <v>18.08600826930331</v>
      </c>
      <c r="L19" s="3">
        <f t="shared" si="1"/>
        <v>0.68959560117019536</v>
      </c>
      <c r="M19" s="3">
        <f t="shared" si="2"/>
        <v>0.34871582371064402</v>
      </c>
      <c r="N19" s="3">
        <f t="shared" si="3"/>
        <v>0.34087977745955134</v>
      </c>
    </row>
    <row r="20" spans="1:14" x14ac:dyDescent="0.45">
      <c r="A20" s="5" t="s">
        <v>40</v>
      </c>
      <c r="B20" s="5">
        <v>82</v>
      </c>
      <c r="C20" s="5" t="s">
        <v>37</v>
      </c>
      <c r="I20" s="3">
        <f t="shared" si="4"/>
        <v>42</v>
      </c>
      <c r="J20" s="3">
        <f t="shared" si="0"/>
        <v>315.14999999999998</v>
      </c>
      <c r="K20" s="3">
        <f>$B$14*EXP(-$B$15/8.314/J20)</f>
        <v>19.739277312582242</v>
      </c>
      <c r="L20" s="3">
        <f t="shared" si="1"/>
        <v>0.70800225277323814</v>
      </c>
      <c r="M20" s="3">
        <f t="shared" si="2"/>
        <v>0.36909806567701309</v>
      </c>
      <c r="N20" s="3">
        <f t="shared" si="3"/>
        <v>0.33890418709622505</v>
      </c>
    </row>
    <row r="21" spans="1:14" x14ac:dyDescent="0.45">
      <c r="A21" s="5"/>
      <c r="B21" s="5"/>
      <c r="C21" s="5"/>
      <c r="I21" s="3">
        <f t="shared" si="4"/>
        <v>43</v>
      </c>
      <c r="J21" s="3">
        <f t="shared" si="0"/>
        <v>316.14999999999998</v>
      </c>
      <c r="K21" s="3">
        <f>$B$14*EXP(-$B$15/8.314/J21)</f>
        <v>21.531756118254982</v>
      </c>
      <c r="L21" s="3">
        <f t="shared" si="1"/>
        <v>0.72564133945122788</v>
      </c>
      <c r="M21" s="3">
        <f t="shared" si="2"/>
        <v>0.38946591007388243</v>
      </c>
      <c r="N21" s="3">
        <f t="shared" si="3"/>
        <v>0.33617542937734546</v>
      </c>
    </row>
    <row r="22" spans="1:14" x14ac:dyDescent="0.45">
      <c r="A22" s="5" t="s">
        <v>45</v>
      </c>
      <c r="B22" s="5">
        <f>20+273.15</f>
        <v>293.14999999999998</v>
      </c>
      <c r="C22" s="5" t="s">
        <v>46</v>
      </c>
      <c r="I22" s="3">
        <f t="shared" si="4"/>
        <v>44</v>
      </c>
      <c r="J22" s="3">
        <f t="shared" si="0"/>
        <v>317.14999999999998</v>
      </c>
      <c r="K22" s="3">
        <f>$B$14*EXP(-$B$15/8.314/J22)</f>
        <v>23.474135623107333</v>
      </c>
      <c r="L22" s="3">
        <f t="shared" si="1"/>
        <v>0.74249747966756308</v>
      </c>
      <c r="M22" s="3">
        <f t="shared" si="2"/>
        <v>0.4098193721510579</v>
      </c>
      <c r="N22" s="3">
        <f t="shared" si="3"/>
        <v>0.33267810751650517</v>
      </c>
    </row>
    <row r="23" spans="1:14" x14ac:dyDescent="0.45">
      <c r="A23" s="5" t="s">
        <v>34</v>
      </c>
      <c r="B23" s="5">
        <v>-148918</v>
      </c>
      <c r="C23" s="5" t="s">
        <v>25</v>
      </c>
      <c r="I23" s="3">
        <f t="shared" si="4"/>
        <v>45</v>
      </c>
      <c r="J23" s="3">
        <f t="shared" si="0"/>
        <v>318.14999999999998</v>
      </c>
      <c r="K23" s="3">
        <f>$B$14*EXP(-$B$15/8.314/J23)</f>
        <v>25.577845811817841</v>
      </c>
      <c r="L23" s="3">
        <f t="shared" si="1"/>
        <v>0.75856301091611422</v>
      </c>
      <c r="M23" s="3">
        <f t="shared" si="2"/>
        <v>0.43015846713681616</v>
      </c>
      <c r="N23" s="3">
        <f t="shared" si="3"/>
        <v>0.32840454377929806</v>
      </c>
    </row>
    <row r="24" spans="1:14" x14ac:dyDescent="0.45">
      <c r="A24" s="5" t="s">
        <v>35</v>
      </c>
      <c r="B24" s="5">
        <v>-275000</v>
      </c>
      <c r="C24" s="5" t="s">
        <v>25</v>
      </c>
      <c r="I24" s="3">
        <f t="shared" si="4"/>
        <v>46</v>
      </c>
      <c r="J24" s="3">
        <f t="shared" si="0"/>
        <v>319.14999999999998</v>
      </c>
      <c r="K24" s="3">
        <f>$B$14*EXP(-$B$15/8.314/J24)</f>
        <v>27.855100868434089</v>
      </c>
      <c r="L24" s="3">
        <f t="shared" si="1"/>
        <v>0.77383727846158279</v>
      </c>
      <c r="M24" s="3">
        <f t="shared" si="2"/>
        <v>0.45048321023794285</v>
      </c>
      <c r="N24" s="3">
        <f t="shared" si="3"/>
        <v>0.32335406822363993</v>
      </c>
    </row>
    <row r="25" spans="1:14" x14ac:dyDescent="0.45">
      <c r="A25" s="5" t="s">
        <v>36</v>
      </c>
      <c r="B25" s="5">
        <v>-505360</v>
      </c>
      <c r="C25" s="5" t="s">
        <v>25</v>
      </c>
      <c r="I25" s="3">
        <f t="shared" si="4"/>
        <v>47</v>
      </c>
      <c r="J25" s="3">
        <f t="shared" si="0"/>
        <v>320.14999999999998</v>
      </c>
      <c r="K25" s="3">
        <f>$B$14*EXP(-$B$15/8.314/J25)</f>
        <v>30.318946699470516</v>
      </c>
      <c r="L25" s="3">
        <f t="shared" si="1"/>
        <v>0.78832587174376678</v>
      </c>
      <c r="M25" s="3">
        <f t="shared" si="2"/>
        <v>0.47079361663977048</v>
      </c>
      <c r="N25" s="3">
        <f t="shared" si="3"/>
        <v>0.3175322551039963</v>
      </c>
    </row>
    <row r="26" spans="1:14" x14ac:dyDescent="0.45">
      <c r="I26" s="3">
        <f t="shared" si="4"/>
        <v>48</v>
      </c>
      <c r="J26" s="3">
        <f t="shared" si="0"/>
        <v>321.14999999999998</v>
      </c>
      <c r="K26" s="3">
        <f>$B$14*EXP(-$B$15/8.314/J26)</f>
        <v>32.983310930876094</v>
      </c>
      <c r="L26" s="3">
        <f t="shared" si="1"/>
        <v>0.8020398376722282</v>
      </c>
      <c r="M26" s="3">
        <f t="shared" si="2"/>
        <v>0.49108970150621617</v>
      </c>
      <c r="N26" s="3">
        <f t="shared" si="3"/>
        <v>0.31095013616601203</v>
      </c>
    </row>
    <row r="27" spans="1:14" x14ac:dyDescent="0.45">
      <c r="I27" s="3">
        <f t="shared" si="4"/>
        <v>49</v>
      </c>
      <c r="J27" s="3">
        <f t="shared" si="0"/>
        <v>322.14999999999998</v>
      </c>
      <c r="K27" s="3">
        <f>$B$14*EXP(-$B$15/8.314/J27)</f>
        <v>35.863055484408129</v>
      </c>
      <c r="L27" s="3">
        <f t="shared" si="1"/>
        <v>0.81499489584810236</v>
      </c>
      <c r="M27" s="3">
        <f t="shared" si="2"/>
        <v>0.51137147997981958</v>
      </c>
      <c r="N27" s="3">
        <f t="shared" si="3"/>
        <v>0.30362341586828279</v>
      </c>
    </row>
    <row r="28" spans="1:14" x14ac:dyDescent="0.45">
      <c r="I28" s="3">
        <f t="shared" si="4"/>
        <v>50</v>
      </c>
      <c r="J28" s="3">
        <f t="shared" si="0"/>
        <v>323.14999999999998</v>
      </c>
      <c r="K28" s="3">
        <f>$B$14*EXP(-$B$15/8.314/J28)</f>
        <v>38.974031842298324</v>
      </c>
      <c r="L28" s="3">
        <f t="shared" si="1"/>
        <v>0.82721067623280187</v>
      </c>
      <c r="M28" s="3">
        <f t="shared" si="2"/>
        <v>0.53163896718177994</v>
      </c>
      <c r="N28" s="3">
        <f t="shared" si="3"/>
        <v>0.29557170905102192</v>
      </c>
    </row>
    <row r="29" spans="1:14" x14ac:dyDescent="0.45">
      <c r="I29" s="3">
        <f t="shared" si="4"/>
        <v>51</v>
      </c>
      <c r="J29" s="3">
        <f t="shared" si="0"/>
        <v>324.14999999999998</v>
      </c>
      <c r="K29" s="3">
        <f>$B$14*EXP(-$B$15/8.314/J29)</f>
        <v>42.333139112500405</v>
      </c>
      <c r="L29" s="3">
        <f t="shared" si="1"/>
        <v>0.83870999526012735</v>
      </c>
      <c r="M29" s="3">
        <f t="shared" si="2"/>
        <v>0.55189217821199466</v>
      </c>
      <c r="N29" s="3">
        <f t="shared" si="3"/>
        <v>0.28681781704813269</v>
      </c>
    </row>
    <row r="30" spans="1:14" x14ac:dyDescent="0.45">
      <c r="I30" s="3">
        <f t="shared" si="4"/>
        <v>52</v>
      </c>
      <c r="J30" s="3">
        <f t="shared" si="0"/>
        <v>325.14999999999998</v>
      </c>
      <c r="K30" s="3">
        <f>$B$14*EXP(-$B$15/8.314/J30)</f>
        <v>45.9583850102726</v>
      </c>
      <c r="L30" s="3">
        <f t="shared" si="1"/>
        <v>0.84951818210395114</v>
      </c>
      <c r="M30" s="3">
        <f t="shared" si="2"/>
        <v>0.57213112814909584</v>
      </c>
      <c r="N30" s="3">
        <f t="shared" si="3"/>
        <v>0.2773870539548553</v>
      </c>
    </row>
    <row r="31" spans="1:14" x14ac:dyDescent="0.45">
      <c r="I31" s="3">
        <f t="shared" si="4"/>
        <v>53</v>
      </c>
      <c r="J31" s="3">
        <f t="shared" si="0"/>
        <v>326.14999999999998</v>
      </c>
      <c r="K31" s="3">
        <f>$B$14*EXP(-$B$15/8.314/J31)</f>
        <v>49.868949875364954</v>
      </c>
      <c r="L31" s="3">
        <f t="shared" si="1"/>
        <v>0.85966246293824045</v>
      </c>
      <c r="M31" s="3">
        <f t="shared" si="2"/>
        <v>0.59235583205048858</v>
      </c>
      <c r="N31" s="3">
        <f t="shared" si="3"/>
        <v>0.26730663088775186</v>
      </c>
    </row>
    <row r="32" spans="1:14" x14ac:dyDescent="0.45">
      <c r="I32" s="3">
        <f t="shared" si="4"/>
        <v>54</v>
      </c>
      <c r="J32" s="3">
        <f t="shared" si="0"/>
        <v>327.14999999999998</v>
      </c>
      <c r="K32" s="3">
        <f>$B$14*EXP(-$B$15/8.314/J32)</f>
        <v>54.085253847654776</v>
      </c>
      <c r="L32" s="3">
        <f t="shared" si="1"/>
        <v>0.86917140766197198</v>
      </c>
      <c r="M32" s="3">
        <f t="shared" si="2"/>
        <v>0.6125663049523874</v>
      </c>
      <c r="N32" s="3">
        <f t="shared" si="3"/>
        <v>0.25660510270958459</v>
      </c>
    </row>
    <row r="33" spans="9:14" x14ac:dyDescent="0.45">
      <c r="I33" s="3">
        <f t="shared" si="4"/>
        <v>55</v>
      </c>
      <c r="J33" s="3">
        <f t="shared" si="0"/>
        <v>328.15</v>
      </c>
      <c r="K33" s="3">
        <f>$B$14*EXP(-$B$15/8.314/J33)</f>
        <v>58.629027327700669</v>
      </c>
      <c r="L33" s="3">
        <f t="shared" si="1"/>
        <v>0.87807444075379049</v>
      </c>
      <c r="M33" s="3">
        <f t="shared" si="2"/>
        <v>0.63276256186985425</v>
      </c>
      <c r="N33" s="3">
        <f t="shared" si="3"/>
        <v>0.24531187888393624</v>
      </c>
    </row>
    <row r="34" spans="9:14" x14ac:dyDescent="0.45">
      <c r="I34" s="3">
        <f t="shared" si="4"/>
        <v>56</v>
      </c>
      <c r="J34" s="3">
        <f t="shared" si="0"/>
        <v>329.15</v>
      </c>
      <c r="K34" s="3">
        <f>$B$14*EXP(-$B$15/8.314/J34)</f>
        <v>63.523384852365574</v>
      </c>
      <c r="L34" s="3">
        <f t="shared" si="1"/>
        <v>0.88640141567102404</v>
      </c>
      <c r="M34" s="3">
        <f t="shared" si="2"/>
        <v>0.65294461779683521</v>
      </c>
      <c r="N34" s="3">
        <f t="shared" si="3"/>
        <v>0.23345679787418883</v>
      </c>
    </row>
    <row r="35" spans="9:14" x14ac:dyDescent="0.45">
      <c r="I35" s="3">
        <f t="shared" si="4"/>
        <v>57</v>
      </c>
      <c r="J35" s="3">
        <f t="shared" si="0"/>
        <v>330.15</v>
      </c>
      <c r="K35" s="3">
        <f>$B$14*EXP(-$B$15/8.314/J35)</f>
        <v>68.792902519388576</v>
      </c>
      <c r="L35" s="3">
        <f t="shared" si="1"/>
        <v>0.89418225048383126</v>
      </c>
      <c r="M35" s="3">
        <f t="shared" si="2"/>
        <v>0.67311248770619792</v>
      </c>
      <c r="N35" s="3">
        <f t="shared" si="3"/>
        <v>0.22106976277763335</v>
      </c>
    </row>
    <row r="36" spans="9:14" x14ac:dyDescent="0.45">
      <c r="I36" s="3">
        <f t="shared" si="4"/>
        <v>58</v>
      </c>
      <c r="J36" s="3">
        <f t="shared" si="0"/>
        <v>331.15</v>
      </c>
      <c r="K36" s="3">
        <f>$B$14*EXP(-$B$15/8.314/J36)</f>
        <v>74.463699098572832</v>
      </c>
      <c r="L36" s="3">
        <f t="shared" si="1"/>
        <v>0.9014466211858978</v>
      </c>
      <c r="M36" s="3">
        <f t="shared" si="2"/>
        <v>0.69326618654976868</v>
      </c>
      <c r="N36" s="3">
        <f t="shared" si="3"/>
        <v>0.20818043463612912</v>
      </c>
    </row>
    <row r="37" spans="9:14" x14ac:dyDescent="0.45">
      <c r="I37" s="3">
        <f t="shared" si="4"/>
        <v>59</v>
      </c>
      <c r="J37" s="3">
        <f t="shared" si="0"/>
        <v>332.15</v>
      </c>
      <c r="K37" s="3">
        <f>$B$14*EXP(-$B$15/8.314/J37)</f>
        <v>80.563520971081587</v>
      </c>
      <c r="L37" s="3">
        <f t="shared" si="1"/>
        <v>0.90822370828477239</v>
      </c>
      <c r="M37" s="3">
        <f t="shared" si="2"/>
        <v>0.71340572925836887</v>
      </c>
      <c r="N37" s="3">
        <f t="shared" si="3"/>
        <v>0.19481797902640352</v>
      </c>
    </row>
    <row r="38" spans="9:14" x14ac:dyDescent="0.45">
      <c r="I38" s="3">
        <f t="shared" si="4"/>
        <v>60</v>
      </c>
      <c r="J38" s="3">
        <f t="shared" si="0"/>
        <v>333.15</v>
      </c>
      <c r="K38" s="3">
        <f>$B$14*EXP(-$B$15/8.314/J38)</f>
        <v>87.121831042220151</v>
      </c>
      <c r="L38" s="3">
        <f t="shared" si="1"/>
        <v>0.91454199178002049</v>
      </c>
      <c r="M38" s="3">
        <f t="shared" si="2"/>
        <v>0.73353113074185206</v>
      </c>
      <c r="N38" s="3">
        <f t="shared" si="3"/>
        <v>0.18101086103816844</v>
      </c>
    </row>
    <row r="39" spans="9:14" x14ac:dyDescent="0.45">
      <c r="I39" s="3">
        <f t="shared" si="4"/>
        <v>61</v>
      </c>
      <c r="J39" s="3">
        <f t="shared" si="0"/>
        <v>334.15</v>
      </c>
      <c r="K39" s="3">
        <f>$B$14*EXP(-$B$15/8.314/J39)</f>
        <v>94.169901777003972</v>
      </c>
      <c r="L39" s="3">
        <f t="shared" si="1"/>
        <v>0.92042908941934543</v>
      </c>
      <c r="M39" s="3">
        <f t="shared" si="2"/>
        <v>0.75364240588914144</v>
      </c>
      <c r="N39" s="3">
        <f t="shared" si="3"/>
        <v>0.16678668353020398</v>
      </c>
    </row>
    <row r="40" spans="9:14" x14ac:dyDescent="0.45">
      <c r="I40" s="3">
        <f t="shared" si="4"/>
        <v>62</v>
      </c>
      <c r="J40" s="3">
        <f t="shared" si="0"/>
        <v>335.15</v>
      </c>
      <c r="K40" s="3">
        <f>$B$14*EXP(-$B$15/8.314/J40)</f>
        <v>101.74091251178889</v>
      </c>
      <c r="L40" s="3">
        <f t="shared" si="1"/>
        <v>0.92591163311991431</v>
      </c>
      <c r="M40" s="3">
        <f t="shared" si="2"/>
        <v>0.77373956956826551</v>
      </c>
      <c r="N40" s="3">
        <f t="shared" si="3"/>
        <v>0.15217206355164881</v>
      </c>
    </row>
    <row r="41" spans="9:14" x14ac:dyDescent="0.45">
      <c r="I41" s="3">
        <f t="shared" si="4"/>
        <v>63</v>
      </c>
      <c r="J41" s="3">
        <f t="shared" si="0"/>
        <v>336.15</v>
      </c>
      <c r="K41" s="3">
        <f>$B$14*EXP(-$B$15/8.314/J41)</f>
        <v>109.87005119924775</v>
      </c>
      <c r="L41" s="3">
        <f t="shared" si="1"/>
        <v>0.93101517859936889</v>
      </c>
      <c r="M41" s="3">
        <f t="shared" si="2"/>
        <v>0.79382263662639541</v>
      </c>
      <c r="N41" s="3">
        <f t="shared" si="3"/>
        <v>0.13719254197297348</v>
      </c>
    </row>
    <row r="42" spans="9:14" x14ac:dyDescent="0.45">
      <c r="I42" s="3">
        <f t="shared" si="4"/>
        <v>64</v>
      </c>
      <c r="J42" s="3">
        <f t="shared" si="0"/>
        <v>337.15</v>
      </c>
      <c r="K42" s="3">
        <f>$B$14*EXP(-$B$15/8.314/J42)</f>
        <v>118.59462074804502</v>
      </c>
      <c r="L42" s="3">
        <f t="shared" si="1"/>
        <v>0.93576414353134763</v>
      </c>
      <c r="M42" s="3">
        <f t="shared" si="2"/>
        <v>0.81389162188988118</v>
      </c>
      <c r="N42" s="3">
        <f t="shared" si="3"/>
        <v>0.12187252164146645</v>
      </c>
    </row>
    <row r="43" spans="9:14" x14ac:dyDescent="0.45">
      <c r="I43" s="3">
        <f t="shared" si="4"/>
        <v>65</v>
      </c>
      <c r="J43" s="3">
        <f t="shared" si="0"/>
        <v>338.15</v>
      </c>
      <c r="K43" s="3">
        <f>$B$14*EXP(-$B$15/8.314/J43)</f>
        <v>127.95415012264986</v>
      </c>
      <c r="L43" s="3">
        <f t="shared" si="1"/>
        <v>0.94018176988471736</v>
      </c>
      <c r="M43" s="3">
        <f t="shared" si="2"/>
        <v>0.83394654016428826</v>
      </c>
      <c r="N43" s="3">
        <f t="shared" si="3"/>
        <v>0.10623522972042909</v>
      </c>
    </row>
    <row r="44" spans="9:14" x14ac:dyDescent="0.45">
      <c r="I44" s="3">
        <f t="shared" si="4"/>
        <v>66</v>
      </c>
      <c r="J44" s="3">
        <f t="shared" si="0"/>
        <v>339.15</v>
      </c>
      <c r="K44" s="3">
        <f>$B$14*EXP(-$B$15/8.314/J44)</f>
        <v>137.99051037287336</v>
      </c>
      <c r="L44" s="3">
        <f t="shared" si="1"/>
        <v>0.94429010649278111</v>
      </c>
      <c r="M44" s="3">
        <f t="shared" si="2"/>
        <v>0.85398740623443437</v>
      </c>
      <c r="N44" s="3">
        <f t="shared" si="3"/>
        <v>9.0302700258346746E-2</v>
      </c>
    </row>
    <row r="45" spans="9:14" x14ac:dyDescent="0.45">
      <c r="I45" s="3">
        <f t="shared" si="4"/>
        <v>67</v>
      </c>
      <c r="J45" s="3">
        <f t="shared" si="0"/>
        <v>340.15</v>
      </c>
      <c r="K45" s="3">
        <f>$B$14*EXP(-$B$15/8.314/J45)</f>
        <v>148.74803576687677</v>
      </c>
      <c r="L45" s="3">
        <f t="shared" si="1"/>
        <v>0.94811000830405856</v>
      </c>
      <c r="M45" s="3">
        <f t="shared" si="2"/>
        <v>0.87401423486442509</v>
      </c>
      <c r="N45" s="3">
        <f t="shared" si="3"/>
        <v>7.4095773439633472E-2</v>
      </c>
    </row>
    <row r="46" spans="9:14" x14ac:dyDescent="0.45">
      <c r="I46" s="3">
        <f t="shared" si="4"/>
        <v>68</v>
      </c>
      <c r="J46" s="3">
        <f t="shared" si="0"/>
        <v>341.15</v>
      </c>
      <c r="K46" s="3">
        <f>$B$14*EXP(-$B$15/8.314/J46)</f>
        <v>160.27365020562999</v>
      </c>
      <c r="L46" s="3">
        <f t="shared" si="1"/>
        <v>0.95166114917151778</v>
      </c>
      <c r="M46" s="3">
        <f t="shared" si="2"/>
        <v>0.89402704079769058</v>
      </c>
      <c r="N46" s="3">
        <f t="shared" si="3"/>
        <v>5.7634108373827209E-2</v>
      </c>
    </row>
    <row r="47" spans="9:14" x14ac:dyDescent="0.45">
      <c r="I47" s="3">
        <f t="shared" si="4"/>
        <v>69</v>
      </c>
      <c r="J47" s="3">
        <f t="shared" si="0"/>
        <v>342.15</v>
      </c>
      <c r="K47" s="3">
        <f>$B$14*EXP(-$B$15/8.314/J47)</f>
        <v>172.61699910100813</v>
      </c>
      <c r="L47" s="3">
        <f t="shared" si="1"/>
        <v>0.95496204542913754</v>
      </c>
      <c r="M47" s="3">
        <f t="shared" si="2"/>
        <v>0.91402583875702159</v>
      </c>
      <c r="N47" s="3">
        <f t="shared" si="3"/>
        <v>4.0936206672115949E-2</v>
      </c>
    </row>
    <row r="48" spans="9:14" x14ac:dyDescent="0.45">
      <c r="I48" s="3">
        <f t="shared" si="4"/>
        <v>70</v>
      </c>
      <c r="J48" s="3">
        <f t="shared" si="0"/>
        <v>343.15</v>
      </c>
      <c r="K48" s="3">
        <f>$B$14*EXP(-$B$15/8.314/J48)</f>
        <v>185.83058690402632</v>
      </c>
      <c r="L48" s="3">
        <f t="shared" si="1"/>
        <v>0.95803008787441657</v>
      </c>
      <c r="M48" s="3">
        <f t="shared" si="2"/>
        <v>0.93401064344460571</v>
      </c>
      <c r="N48" s="3">
        <f t="shared" si="3"/>
        <v>2.4019444429810854E-2</v>
      </c>
    </row>
    <row r="49" spans="9:14" x14ac:dyDescent="0.45">
      <c r="I49" s="10">
        <f t="shared" si="4"/>
        <v>71</v>
      </c>
      <c r="J49" s="10">
        <f t="shared" si="0"/>
        <v>344.15</v>
      </c>
      <c r="K49" s="10">
        <f>$B$14*EXP(-$B$15/8.314/J49)</f>
        <v>199.96992047398132</v>
      </c>
      <c r="L49" s="10">
        <f t="shared" si="1"/>
        <v>0.96088158011723224</v>
      </c>
      <c r="M49" s="10">
        <f t="shared" si="2"/>
        <v>0.95398146954206331</v>
      </c>
      <c r="N49" s="10">
        <f t="shared" si="3"/>
        <v>6.9001105751689273E-3</v>
      </c>
    </row>
    <row r="50" spans="9:14" x14ac:dyDescent="0.45">
      <c r="I50" s="3">
        <f t="shared" si="4"/>
        <v>72</v>
      </c>
      <c r="J50" s="3">
        <f t="shared" si="0"/>
        <v>345.15</v>
      </c>
      <c r="K50" s="3">
        <f>$B$14*EXP(-$B$15/8.314/J50)</f>
        <v>215.09365848362773</v>
      </c>
      <c r="L50" s="3">
        <f t="shared" si="1"/>
        <v>0.96353178156624242</v>
      </c>
      <c r="M50" s="3">
        <f t="shared" si="2"/>
        <v>0.97393833171048361</v>
      </c>
      <c r="N50" s="3">
        <f t="shared" si="3"/>
        <v>-1.0406550144241189E-2</v>
      </c>
    </row>
    <row r="51" spans="9:14" x14ac:dyDescent="0.45">
      <c r="I51" s="3">
        <f t="shared" si="4"/>
        <v>73</v>
      </c>
      <c r="J51" s="3">
        <f t="shared" si="0"/>
        <v>346.15</v>
      </c>
      <c r="K51" s="3">
        <f>$B$14*EXP(-$B$15/8.314/J51)</f>
        <v>231.26376705984623</v>
      </c>
      <c r="L51" s="3">
        <f t="shared" si="1"/>
        <v>0.96599495360268128</v>
      </c>
      <c r="M51" s="3">
        <f t="shared" si="2"/>
        <v>0.99388124459046034</v>
      </c>
      <c r="N51" s="3">
        <f t="shared" si="3"/>
        <v>-2.7886290987779061E-2</v>
      </c>
    </row>
    <row r="52" spans="9:14" x14ac:dyDescent="0.45">
      <c r="I52" s="3">
        <f t="shared" si="4"/>
        <v>74</v>
      </c>
      <c r="J52" s="3">
        <f t="shared" si="0"/>
        <v>347.15</v>
      </c>
      <c r="K52" s="3">
        <f>$B$14*EXP(-$B$15/8.314/J52)</f>
        <v>248.54568186366765</v>
      </c>
      <c r="L52" s="3">
        <f t="shared" si="1"/>
        <v>0.96828440773825064</v>
      </c>
      <c r="M52" s="3">
        <f t="shared" si="2"/>
        <v>1.0138102228021273</v>
      </c>
      <c r="N52" s="3">
        <f t="shared" si="3"/>
        <v>-4.5525815063876651E-2</v>
      </c>
    </row>
    <row r="53" spans="9:14" x14ac:dyDescent="0.45">
      <c r="I53" s="3">
        <f t="shared" si="4"/>
        <v>75</v>
      </c>
      <c r="J53" s="3">
        <f t="shared" si="0"/>
        <v>348.15</v>
      </c>
      <c r="K53" s="3">
        <f>$B$14*EXP(-$B$15/8.314/J53)</f>
        <v>267.00847681789065</v>
      </c>
      <c r="L53" s="3">
        <f t="shared" si="1"/>
        <v>0.97041255477010435</v>
      </c>
      <c r="M53" s="3">
        <f t="shared" si="2"/>
        <v>1.0337252809451951</v>
      </c>
      <c r="N53" s="3">
        <f t="shared" si="3"/>
        <v>-6.3312726175090761E-2</v>
      </c>
    </row>
    <row r="54" spans="9:14" x14ac:dyDescent="0.45">
      <c r="I54" s="3">
        <f t="shared" si="4"/>
        <v>76</v>
      </c>
      <c r="J54" s="3">
        <f t="shared" si="0"/>
        <v>349.15</v>
      </c>
      <c r="K54" s="3">
        <f>$B$14*EXP(-$B$15/8.314/J54)</f>
        <v>286.72503969496961</v>
      </c>
      <c r="L54" s="3">
        <f t="shared" si="1"/>
        <v>0.97239095413362131</v>
      </c>
      <c r="M54" s="3">
        <f t="shared" si="2"/>
        <v>1.0536264335989856</v>
      </c>
      <c r="N54" s="3">
        <f t="shared" si="3"/>
        <v>-8.1235479465364246E-2</v>
      </c>
    </row>
    <row r="55" spans="9:14" x14ac:dyDescent="0.45">
      <c r="I55" s="3">
        <f t="shared" si="4"/>
        <v>77</v>
      </c>
      <c r="J55" s="3">
        <f t="shared" si="0"/>
        <v>350.15</v>
      </c>
      <c r="K55" s="3">
        <f>$B$14*EXP(-$B$15/8.314/J55)</f>
        <v>307.77225478227018</v>
      </c>
      <c r="L55" s="3">
        <f t="shared" si="1"/>
        <v>0.97423036281505559</v>
      </c>
      <c r="M55" s="3">
        <f t="shared" si="2"/>
        <v>1.0735136953224684</v>
      </c>
      <c r="N55" s="3">
        <f t="shared" si="3"/>
        <v>-9.9283332507412836E-2</v>
      </c>
    </row>
    <row r="56" spans="9:14" x14ac:dyDescent="0.45">
      <c r="I56" s="3">
        <f t="shared" si="4"/>
        <v>78</v>
      </c>
      <c r="J56" s="3">
        <f t="shared" si="0"/>
        <v>351.15</v>
      </c>
      <c r="K56" s="3">
        <f>$B$14*EXP(-$B$15/8.314/J56)</f>
        <v>330.23119284624698</v>
      </c>
      <c r="L56" s="3">
        <f t="shared" si="1"/>
        <v>0.97594078332373801</v>
      </c>
      <c r="M56" s="3">
        <f t="shared" si="2"/>
        <v>1.093387080654296</v>
      </c>
      <c r="N56" s="3">
        <f t="shared" si="3"/>
        <v>-0.117446297330558</v>
      </c>
    </row>
    <row r="57" spans="9:14" x14ac:dyDescent="0.45">
      <c r="I57" s="3">
        <f t="shared" si="4"/>
        <v>79</v>
      </c>
      <c r="J57" s="3">
        <f t="shared" si="0"/>
        <v>352.15</v>
      </c>
      <c r="K57" s="3">
        <f>$B$14*EXP(-$B$15/8.314/J57)</f>
        <v>354.18730862155195</v>
      </c>
      <c r="L57" s="3">
        <f t="shared" si="1"/>
        <v>0.97753151033981267</v>
      </c>
      <c r="M57" s="3">
        <f t="shared" si="2"/>
        <v>1.1132466041128386</v>
      </c>
      <c r="N57" s="3">
        <f t="shared" si="3"/>
        <v>-0.13571509377302593</v>
      </c>
    </row>
    <row r="58" spans="9:14" x14ac:dyDescent="0.45">
      <c r="I58" s="3">
        <f t="shared" si="4"/>
        <v>80</v>
      </c>
      <c r="J58" s="3">
        <f t="shared" si="0"/>
        <v>353.15</v>
      </c>
      <c r="K58" s="3">
        <f>$B$14*EXP(-$B$15/8.314/J58)</f>
        <v>379.73064605556073</v>
      </c>
      <c r="L58" s="3">
        <f t="shared" si="1"/>
        <v>0.97901117575100627</v>
      </c>
      <c r="M58" s="3">
        <f t="shared" si="2"/>
        <v>1.1330922801962209</v>
      </c>
      <c r="N58" s="3">
        <f t="shared" si="3"/>
        <v>-0.15408110444521461</v>
      </c>
    </row>
    <row r="59" spans="9:14" x14ac:dyDescent="0.45">
      <c r="I59" s="3">
        <f t="shared" si="4"/>
        <v>81</v>
      </c>
      <c r="J59" s="3">
        <f t="shared" si="0"/>
        <v>354.15</v>
      </c>
      <c r="K59" s="3">
        <f>$B$14*EXP(-$B$15/8.314/J59)</f>
        <v>406.95605154326114</v>
      </c>
      <c r="L59" s="3">
        <f t="shared" si="1"/>
        <v>0.98038779187298353</v>
      </c>
      <c r="M59" s="3">
        <f t="shared" si="2"/>
        <v>1.1529241233823562</v>
      </c>
      <c r="N59" s="3">
        <f t="shared" si="3"/>
        <v>-0.17253633150937264</v>
      </c>
    </row>
    <row r="60" spans="9:14" x14ac:dyDescent="0.45">
      <c r="I60" s="3">
        <f t="shared" si="4"/>
        <v>82</v>
      </c>
      <c r="J60" s="3">
        <f t="shared" si="0"/>
        <v>355.15</v>
      </c>
      <c r="K60" s="3">
        <f>$B$14*EXP(-$B$15/8.314/J60)</f>
        <v>435.9633953919614</v>
      </c>
      <c r="L60" s="3">
        <f t="shared" si="1"/>
        <v>0.98166879271462737</v>
      </c>
      <c r="M60" s="3">
        <f t="shared" si="2"/>
        <v>1.1727421481289815</v>
      </c>
      <c r="N60" s="3">
        <f t="shared" si="3"/>
        <v>-0.19107335541435411</v>
      </c>
    </row>
    <row r="61" spans="9:14" x14ac:dyDescent="0.45">
      <c r="I61" s="3">
        <f t="shared" si="4"/>
        <v>83</v>
      </c>
      <c r="J61" s="3">
        <f t="shared" si="0"/>
        <v>356.15</v>
      </c>
      <c r="K61" s="3">
        <f>$B$14*EXP(-$B$15/8.314/J61)</f>
        <v>466.85780175970723</v>
      </c>
      <c r="L61" s="3">
        <f t="shared" si="1"/>
        <v>0.98286107320408123</v>
      </c>
      <c r="M61" s="3">
        <f t="shared" si="2"/>
        <v>1.1925463688736937</v>
      </c>
      <c r="N61" s="3">
        <f t="shared" si="3"/>
        <v>-0.20968529566961247</v>
      </c>
    </row>
    <row r="62" spans="9:14" x14ac:dyDescent="0.45">
      <c r="I62" s="3">
        <f t="shared" si="4"/>
        <v>84</v>
      </c>
      <c r="J62" s="3">
        <f t="shared" si="0"/>
        <v>357.15</v>
      </c>
      <c r="K62" s="3">
        <f>$B$14*EXP(-$B$15/8.314/J62)</f>
        <v>499.74988731584068</v>
      </c>
      <c r="L62" s="3">
        <f t="shared" si="1"/>
        <v>0.9839710263353898</v>
      </c>
      <c r="M62" s="3">
        <f t="shared" si="2"/>
        <v>1.2123368000339838</v>
      </c>
      <c r="N62" s="3">
        <f t="shared" si="3"/>
        <v>-0.22836577369859401</v>
      </c>
    </row>
    <row r="63" spans="9:14" x14ac:dyDescent="0.45">
      <c r="I63" s="3">
        <f t="shared" si="4"/>
        <v>85</v>
      </c>
      <c r="J63" s="3">
        <f t="shared" si="0"/>
        <v>358.15</v>
      </c>
      <c r="K63" s="3">
        <f>$B$14*EXP(-$B$15/8.314/J63)</f>
        <v>534.75600887654207</v>
      </c>
      <c r="L63" s="3">
        <f t="shared" si="1"/>
        <v>0.98500457823067356</v>
      </c>
      <c r="M63" s="3">
        <f t="shared" si="2"/>
        <v>1.232113456007272</v>
      </c>
      <c r="N63" s="3">
        <f t="shared" si="3"/>
        <v>-0.2471088777765984</v>
      </c>
    </row>
    <row r="64" spans="9:14" x14ac:dyDescent="0.45">
      <c r="I64" s="3">
        <f t="shared" si="4"/>
        <v>86</v>
      </c>
      <c r="J64" s="3">
        <f t="shared" si="0"/>
        <v>359.15</v>
      </c>
      <c r="K64" s="3">
        <f>$B$14*EXP(-$B$15/8.314/J64)</f>
        <v>571.99852027272846</v>
      </c>
      <c r="L64" s="3">
        <f t="shared" si="1"/>
        <v>0.98596722114036062</v>
      </c>
      <c r="M64" s="3">
        <f t="shared" si="2"/>
        <v>1.2518763511709432</v>
      </c>
      <c r="N64" s="3">
        <f t="shared" si="3"/>
        <v>-0.26590913003058259</v>
      </c>
    </row>
    <row r="65" spans="9:14" x14ac:dyDescent="0.45">
      <c r="I65" s="3">
        <f t="shared" si="4"/>
        <v>87</v>
      </c>
      <c r="J65" s="3">
        <f t="shared" si="0"/>
        <v>360.15</v>
      </c>
      <c r="K65" s="3">
        <f>$B$14*EXP(-$B$15/8.314/J65)</f>
        <v>611.60603871209332</v>
      </c>
      <c r="L65" s="3">
        <f t="shared" si="1"/>
        <v>0.98686404442530773</v>
      </c>
      <c r="M65" s="3">
        <f t="shared" si="2"/>
        <v>1.2716254998823806</v>
      </c>
      <c r="N65" s="3">
        <f t="shared" si="3"/>
        <v>-0.28476145545707288</v>
      </c>
    </row>
    <row r="66" spans="9:14" x14ac:dyDescent="0.45">
      <c r="I66" s="3">
        <f t="shared" si="4"/>
        <v>88</v>
      </c>
      <c r="J66" s="3">
        <f t="shared" si="0"/>
        <v>361.15</v>
      </c>
      <c r="K66" s="3">
        <f>$B$14*EXP(-$B$15/8.314/J66)</f>
        <v>653.71372090156399</v>
      </c>
      <c r="L66" s="3">
        <f t="shared" si="1"/>
        <v>0.98769976358073175</v>
      </c>
      <c r="M66" s="3">
        <f t="shared" si="2"/>
        <v>1.2913609164790023</v>
      </c>
      <c r="N66" s="3">
        <f t="shared" si="3"/>
        <v>-0.30366115289827056</v>
      </c>
    </row>
    <row r="67" spans="9:14" x14ac:dyDescent="0.45">
      <c r="I67" s="3">
        <f t="shared" si="4"/>
        <v>89</v>
      </c>
      <c r="J67" s="3">
        <f t="shared" ref="J67:J68" si="6">I67+273.15</f>
        <v>362.15</v>
      </c>
      <c r="K67" s="3">
        <f>$B$14*EXP(-$B$15/8.314/J67)</f>
        <v>698.46354920084093</v>
      </c>
      <c r="L67" s="3">
        <f t="shared" ref="L67:L68" si="7">K67*$F$8/(1+K67*$F$8)</f>
        <v>0.98847874737364227</v>
      </c>
      <c r="M67" s="3">
        <f t="shared" ref="M67:M68" si="8">-$F$15*(J67-$B$3)/($F$17+$F$16*(J67-$B$22))</f>
        <v>1.3110826152782937</v>
      </c>
      <c r="N67" s="3">
        <f t="shared" ref="N67:N68" si="9">L67-M67</f>
        <v>-0.32260386790465145</v>
      </c>
    </row>
    <row r="68" spans="9:14" x14ac:dyDescent="0.45">
      <c r="I68" s="3">
        <f t="shared" si="4"/>
        <v>90</v>
      </c>
      <c r="J68" s="3">
        <f t="shared" si="6"/>
        <v>363.15</v>
      </c>
      <c r="K68" s="3">
        <f>$B$14*EXP(-$B$15/8.314/J68)</f>
        <v>746.00462808216162</v>
      </c>
      <c r="L68" s="3">
        <f t="shared" si="7"/>
        <v>0.98920504317371338</v>
      </c>
      <c r="M68" s="3">
        <f t="shared" si="8"/>
        <v>1.3307906105778446</v>
      </c>
      <c r="N68" s="3">
        <f t="shared" si="9"/>
        <v>-0.34158556740413126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Politecnico di Milano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Cuoci</dc:creator>
  <cp:lastModifiedBy>Alberto Cuoci</cp:lastModifiedBy>
  <dcterms:created xsi:type="dcterms:W3CDTF">2017-10-22T21:49:09Z</dcterms:created>
  <dcterms:modified xsi:type="dcterms:W3CDTF">2017-10-22T22:07:42Z</dcterms:modified>
</cp:coreProperties>
</file>