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6D85D49-2ED2-492F-AA2F-97EF5BCF905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E13" i="1"/>
  <c r="U4" i="1" l="1"/>
  <c r="U5" i="1"/>
  <c r="U6" i="1"/>
  <c r="U7" i="1"/>
  <c r="U8" i="1"/>
  <c r="U9" i="1"/>
  <c r="U10" i="1"/>
  <c r="U11" i="1"/>
  <c r="U12" i="1"/>
  <c r="U3" i="1"/>
  <c r="K6" i="1"/>
  <c r="K7" i="1"/>
  <c r="K8" i="1"/>
  <c r="K9" i="1"/>
  <c r="K10" i="1"/>
  <c r="K11" i="1"/>
  <c r="K12" i="1"/>
  <c r="K5" i="1"/>
  <c r="K4" i="1"/>
  <c r="K3" i="1"/>
  <c r="S3" i="1"/>
  <c r="S5" i="1" s="1"/>
  <c r="S6" i="1" s="1"/>
  <c r="H12" i="1"/>
  <c r="G13" i="1"/>
  <c r="H3" i="1"/>
  <c r="H4" i="1"/>
  <c r="H5" i="1"/>
  <c r="H7" i="1"/>
  <c r="H8" i="1"/>
  <c r="R3" i="1" l="1"/>
  <c r="Q3" i="1" s="1"/>
  <c r="H6" i="1"/>
  <c r="F13" i="1"/>
  <c r="H9" i="1"/>
  <c r="D13" i="1"/>
  <c r="R6" i="1" l="1"/>
  <c r="Q6" i="1" s="1"/>
  <c r="R5" i="1"/>
  <c r="S7" i="1"/>
  <c r="R7" i="1" s="1"/>
  <c r="Q5" i="1"/>
  <c r="H10" i="1"/>
  <c r="S8" i="1" l="1"/>
  <c r="S9" i="1" s="1"/>
  <c r="Q7" i="1"/>
  <c r="C13" i="1"/>
  <c r="N14" i="1" s="1"/>
  <c r="H11" i="1"/>
  <c r="L4" i="1" l="1"/>
  <c r="M4" i="1"/>
  <c r="N4" i="1"/>
  <c r="N5" i="1"/>
  <c r="N3" i="1"/>
  <c r="M3" i="1"/>
  <c r="M8" i="1" s="1"/>
  <c r="N9" i="1"/>
  <c r="N10" i="1"/>
  <c r="N11" i="1"/>
  <c r="N8" i="1"/>
  <c r="N12" i="1"/>
  <c r="N7" i="1"/>
  <c r="N6" i="1"/>
  <c r="L3" i="1"/>
  <c r="L11" i="1" s="1"/>
  <c r="R8" i="1"/>
  <c r="Q8" i="1" s="1"/>
  <c r="S10" i="1"/>
  <c r="R9" i="1"/>
  <c r="H13" i="1"/>
  <c r="L12" i="1" l="1"/>
  <c r="L5" i="1"/>
  <c r="V5" i="1" s="1"/>
  <c r="M5" i="1"/>
  <c r="L8" i="1"/>
  <c r="L10" i="1"/>
  <c r="L7" i="1"/>
  <c r="M7" i="1"/>
  <c r="M11" i="1"/>
  <c r="L6" i="1"/>
  <c r="M6" i="1"/>
  <c r="M10" i="1"/>
  <c r="M12" i="1"/>
  <c r="M9" i="1"/>
  <c r="L9" i="1"/>
  <c r="X10" i="1"/>
  <c r="V3" i="1"/>
  <c r="X3" i="1"/>
  <c r="Q9" i="1"/>
  <c r="S11" i="1"/>
  <c r="R10" i="1"/>
  <c r="V9" i="1" l="1"/>
  <c r="W3" i="1"/>
  <c r="W7" i="1"/>
  <c r="W9" i="1"/>
  <c r="Q10" i="1"/>
  <c r="V10" i="1" s="1"/>
  <c r="S12" i="1"/>
  <c r="R11" i="1"/>
  <c r="X6" i="1"/>
  <c r="X12" i="1"/>
  <c r="V7" i="1"/>
  <c r="X11" i="1"/>
  <c r="V8" i="1"/>
  <c r="W5" i="1"/>
  <c r="W11" i="1"/>
  <c r="W10" i="1"/>
  <c r="X5" i="1"/>
  <c r="X9" i="1"/>
  <c r="W8" i="1"/>
  <c r="X8" i="1"/>
  <c r="V6" i="1"/>
  <c r="W6" i="1"/>
  <c r="X7" i="1"/>
  <c r="N13" i="1" l="1"/>
  <c r="N15" i="1" s="1"/>
  <c r="Q11" i="1"/>
  <c r="V11" i="1" s="1"/>
  <c r="R12" i="1"/>
  <c r="W12" i="1" s="1"/>
  <c r="Q12" i="1" l="1"/>
  <c r="V12" i="1" s="1"/>
  <c r="X14" i="1" s="1"/>
  <c r="Q16" i="1" s="1"/>
  <c r="S4" i="1" l="1"/>
  <c r="X4" i="1" s="1"/>
  <c r="Q4" i="1"/>
  <c r="V4" i="1" s="1"/>
  <c r="R4" i="1"/>
  <c r="W4" i="1" s="1"/>
  <c r="X15" i="1" l="1"/>
</calcChain>
</file>

<file path=xl/sharedStrings.xml><?xml version="1.0" encoding="utf-8"?>
<sst xmlns="http://schemas.openxmlformats.org/spreadsheetml/2006/main" count="36" uniqueCount="35">
  <si>
    <t>Wild Tile</t>
  </si>
  <si>
    <t>Bonus Tile</t>
  </si>
  <si>
    <t>A</t>
  </si>
  <si>
    <t>K</t>
  </si>
  <si>
    <t>Q</t>
  </si>
  <si>
    <t>J</t>
  </si>
  <si>
    <t>Big Win</t>
  </si>
  <si>
    <t>Mid Win</t>
  </si>
  <si>
    <t>Small Win</t>
  </si>
  <si>
    <t>Theme</t>
  </si>
  <si>
    <t>Standard</t>
  </si>
  <si>
    <t>Reel #</t>
  </si>
  <si>
    <t>Payout Table</t>
  </si>
  <si>
    <t>Total</t>
  </si>
  <si>
    <t>Hit Probability</t>
  </si>
  <si>
    <t># Match</t>
  </si>
  <si>
    <t>Rules:</t>
  </si>
  <si>
    <t>Wild can substitute for all tiles except bonus</t>
  </si>
  <si>
    <t>Bonus pays for winning line and gives free spins</t>
  </si>
  <si>
    <t>RTP</t>
  </si>
  <si>
    <t>Hit Frequency</t>
  </si>
  <si>
    <t>Bet Size</t>
  </si>
  <si>
    <t>Num Lines</t>
  </si>
  <si>
    <t>Num Winning Lines</t>
  </si>
  <si>
    <t>Num Tot Combos</t>
  </si>
  <si>
    <t>Avg Return Per Spin</t>
  </si>
  <si>
    <t>Notes:</t>
  </si>
  <si>
    <t>Geo Avg</t>
  </si>
  <si>
    <t>Tile Frequency</t>
  </si>
  <si>
    <t>Match 3 Wild and Match 4 Wild have priority over Match 4 of any Tile and Match 5 of any Tile respectively</t>
  </si>
  <si>
    <t>Hit Frequency changes proportionally to the num of lines for slots with varying tile positions in reels</t>
  </si>
  <si>
    <t>Bonus Match Num Games</t>
  </si>
  <si>
    <t>RTP ex Bonus</t>
  </si>
  <si>
    <t>Winning bonus games from bonus games stacks</t>
  </si>
  <si>
    <t>RTP Bonus = 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</si>
</sst>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6" xfId="0" applyBorder="1"/>
    <xf numFmtId="0" fontId="1" fillId="0" borderId="1" xfId="0" applyFont="1" applyFill="1" applyBorder="1" applyAlignment="1">
      <alignment horizontal="center" vertical="center"/>
    </xf>
    <xf numFmtId="0" fontId="1" fillId="0" borderId="19" xfId="0" applyFont="1" applyBorder="1"/>
    <xf numFmtId="0" fontId="1" fillId="0" borderId="9" xfId="0" applyFont="1" applyBorder="1"/>
    <xf numFmtId="0" fontId="1" fillId="0" borderId="18" xfId="0" applyFont="1" applyBorder="1"/>
    <xf numFmtId="11" fontId="0" fillId="0" borderId="0" xfId="0" applyNumberForma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right"/>
    </xf>
    <xf numFmtId="11" fontId="0" fillId="0" borderId="12" xfId="0" applyNumberFormat="1" applyBorder="1" applyAlignment="1">
      <alignment horizontal="right"/>
    </xf>
    <xf numFmtId="11" fontId="0" fillId="0" borderId="13" xfId="0" applyNumberFormat="1" applyBorder="1" applyAlignment="1">
      <alignment horizontal="right"/>
    </xf>
    <xf numFmtId="11" fontId="0" fillId="0" borderId="14" xfId="0" applyNumberFormat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7" xfId="0" applyNumberFormat="1" applyBorder="1" applyAlignment="1">
      <alignment horizontal="right"/>
    </xf>
    <xf numFmtId="11" fontId="0" fillId="0" borderId="19" xfId="0" applyNumberFormat="1" applyBorder="1" applyAlignment="1">
      <alignment horizontal="right"/>
    </xf>
    <xf numFmtId="11" fontId="0" fillId="0" borderId="8" xfId="0" applyNumberFormat="1" applyBorder="1" applyAlignment="1">
      <alignment horizontal="right"/>
    </xf>
    <xf numFmtId="11" fontId="0" fillId="0" borderId="9" xfId="0" applyNumberFormat="1" applyBorder="1" applyAlignment="1">
      <alignment horizontal="right"/>
    </xf>
    <xf numFmtId="10" fontId="0" fillId="0" borderId="4" xfId="0" applyNumberForma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11" xfId="0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1" xfId="0" applyBorder="1"/>
    <xf numFmtId="0" fontId="0" fillId="0" borderId="19" xfId="0" applyBorder="1"/>
    <xf numFmtId="0" fontId="1" fillId="0" borderId="11" xfId="0" applyFont="1" applyBorder="1"/>
    <xf numFmtId="0" fontId="0" fillId="0" borderId="20" xfId="0" applyFill="1" applyBorder="1"/>
    <xf numFmtId="11" fontId="0" fillId="0" borderId="21" xfId="0" applyNumberFormat="1" applyBorder="1"/>
    <xf numFmtId="0" fontId="1" fillId="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15" xfId="0" applyFont="1" applyBorder="1" applyAlignment="1">
      <alignment vertical="center" textRotation="90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11" fontId="0" fillId="2" borderId="10" xfId="0" applyNumberFormat="1" applyFill="1" applyBorder="1"/>
    <xf numFmtId="11" fontId="0" fillId="2" borderId="5" xfId="0" applyNumberFormat="1" applyFill="1" applyBorder="1" applyAlignment="1">
      <alignment horizontal="right"/>
    </xf>
    <xf numFmtId="11" fontId="0" fillId="2" borderId="6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0" xfId="0" applyFill="1" applyBorder="1"/>
    <xf numFmtId="164" fontId="0" fillId="2" borderId="10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1" fontId="0" fillId="2" borderId="11" xfId="0" applyNumberFormat="1" applyFill="1" applyBorder="1" applyAlignment="1">
      <alignment horizontal="right"/>
    </xf>
    <xf numFmtId="11" fontId="0" fillId="2" borderId="0" xfId="0" applyNumberFormat="1" applyFill="1" applyBorder="1" applyAlignment="1">
      <alignment horizontal="right"/>
    </xf>
    <xf numFmtId="11" fontId="0" fillId="2" borderId="7" xfId="0" applyNumberFormat="1" applyFill="1" applyBorder="1" applyAlignment="1">
      <alignment horizontal="right"/>
    </xf>
    <xf numFmtId="0" fontId="0" fillId="2" borderId="11" xfId="0" applyFill="1" applyBorder="1"/>
    <xf numFmtId="164" fontId="0" fillId="2" borderId="11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0" fontId="1" fillId="2" borderId="15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1" xfId="0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0" borderId="7" xfId="0" applyNumberFormat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7" xfId="0" applyNumberFormat="1" applyFill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0" xfId="0" applyNumberFormat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1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14" sqref="X14"/>
    </sheetView>
  </sheetViews>
  <sheetFormatPr defaultRowHeight="15" x14ac:dyDescent="0.25"/>
  <cols>
    <col min="1" max="1" width="3.7109375" bestFit="1" customWidth="1"/>
    <col min="2" max="2" width="10.42578125" customWidth="1"/>
    <col min="8" max="8" width="9.42578125" customWidth="1"/>
    <col min="11" max="11" width="9" bestFit="1" customWidth="1"/>
    <col min="12" max="12" width="9" customWidth="1"/>
    <col min="13" max="13" width="9.140625" customWidth="1"/>
    <col min="14" max="14" width="10.140625" customWidth="1"/>
    <col min="17" max="17" width="10.42578125" customWidth="1"/>
    <col min="18" max="18" width="11.42578125" customWidth="1"/>
    <col min="19" max="19" width="11.5703125" customWidth="1"/>
    <col min="21" max="21" width="8" customWidth="1"/>
    <col min="22" max="22" width="8.85546875" customWidth="1"/>
    <col min="24" max="24" width="8.42578125" customWidth="1"/>
    <col min="26" max="26" width="7.28515625" customWidth="1"/>
  </cols>
  <sheetData>
    <row r="1" spans="1:26" ht="15.75" thickBot="1" x14ac:dyDescent="0.3">
      <c r="C1" s="55" t="s">
        <v>28</v>
      </c>
      <c r="D1" s="56"/>
      <c r="E1" s="56"/>
      <c r="F1" s="56"/>
      <c r="G1" s="57"/>
      <c r="H1" s="17"/>
      <c r="I1" s="17"/>
      <c r="J1" s="17"/>
      <c r="K1" s="55" t="s">
        <v>14</v>
      </c>
      <c r="L1" s="56"/>
      <c r="M1" s="56"/>
      <c r="N1" s="57"/>
      <c r="O1" s="17"/>
      <c r="P1" s="55" t="s">
        <v>12</v>
      </c>
      <c r="Q1" s="56"/>
      <c r="R1" s="56"/>
      <c r="S1" s="57"/>
      <c r="T1" s="17"/>
      <c r="U1" s="55" t="s">
        <v>25</v>
      </c>
      <c r="V1" s="56"/>
      <c r="W1" s="56"/>
      <c r="X1" s="57"/>
    </row>
    <row r="2" spans="1:26" ht="15.75" thickBot="1" x14ac:dyDescent="0.3">
      <c r="B2" s="50" t="s">
        <v>11</v>
      </c>
      <c r="C2" s="18">
        <v>1</v>
      </c>
      <c r="D2" s="19">
        <v>2</v>
      </c>
      <c r="E2" s="19">
        <v>3</v>
      </c>
      <c r="F2" s="19">
        <v>4</v>
      </c>
      <c r="G2" s="20">
        <v>5</v>
      </c>
      <c r="H2" s="20" t="s">
        <v>13</v>
      </c>
      <c r="J2" s="4" t="s">
        <v>15</v>
      </c>
      <c r="K2" s="9">
        <v>2</v>
      </c>
      <c r="L2" s="32">
        <v>3</v>
      </c>
      <c r="M2" s="32">
        <v>4</v>
      </c>
      <c r="N2" s="33">
        <v>5</v>
      </c>
      <c r="O2" s="21"/>
      <c r="P2" s="9">
        <v>2</v>
      </c>
      <c r="Q2" s="32">
        <v>3</v>
      </c>
      <c r="R2" s="32">
        <v>4</v>
      </c>
      <c r="S2" s="33">
        <v>5</v>
      </c>
      <c r="T2" s="21"/>
      <c r="U2" s="45">
        <v>2</v>
      </c>
      <c r="V2" s="34">
        <v>3</v>
      </c>
      <c r="W2" s="34">
        <v>4</v>
      </c>
      <c r="X2" s="35">
        <v>5</v>
      </c>
    </row>
    <row r="3" spans="1:26" s="68" customFormat="1" x14ac:dyDescent="0.25">
      <c r="A3" s="60" t="s">
        <v>9</v>
      </c>
      <c r="B3" s="64" t="s">
        <v>0</v>
      </c>
      <c r="C3" s="65">
        <v>30</v>
      </c>
      <c r="D3" s="66">
        <v>20</v>
      </c>
      <c r="E3" s="66">
        <v>15</v>
      </c>
      <c r="F3" s="66">
        <v>10</v>
      </c>
      <c r="G3" s="66">
        <v>10</v>
      </c>
      <c r="H3" s="67">
        <f t="shared" ref="H3:H11" si="0">SUM(C3:G3)</f>
        <v>85</v>
      </c>
      <c r="K3" s="69" t="str">
        <f>IF(P3&lt;&gt;0,C3*D3*(E$13-E3)*(F$13-F3)*(G$13-G3)/$N$14,"")</f>
        <v/>
      </c>
      <c r="L3" s="70">
        <f>C3*D3*E3*(F$13-F3)*(G$13)/$N$14</f>
        <v>8.0494087343402408E-4</v>
      </c>
      <c r="M3" s="70">
        <f>C3*D3*E3*F3*(G$13-G3)/N$14</f>
        <v>3.6763284780588312E-5</v>
      </c>
      <c r="N3" s="71">
        <f>C3*D3*E3*F3*G3/N$14</f>
        <v>1.7506326085994435E-6</v>
      </c>
      <c r="O3" s="72"/>
      <c r="P3" s="73"/>
      <c r="Q3" s="98">
        <f>0.5*R3</f>
        <v>25000</v>
      </c>
      <c r="R3" s="98">
        <f>0.5*S3</f>
        <v>50000</v>
      </c>
      <c r="S3" s="99">
        <f>1000*C15</f>
        <v>100000</v>
      </c>
      <c r="T3" s="72"/>
      <c r="U3" s="74" t="str">
        <f>IF(P3&lt;&gt;0,K3*P3,"")</f>
        <v/>
      </c>
      <c r="V3" s="75">
        <f t="shared" ref="V3:V12" si="1">L3*Q3</f>
        <v>20.123521835850603</v>
      </c>
      <c r="W3" s="75">
        <f t="shared" ref="W3:W12" si="2">M3*R3</f>
        <v>1.8381642390294155</v>
      </c>
      <c r="X3" s="76">
        <f t="shared" ref="X3:X12" si="3">N3*S3</f>
        <v>0.17506326085994434</v>
      </c>
    </row>
    <row r="4" spans="1:26" x14ac:dyDescent="0.25">
      <c r="A4" s="58"/>
      <c r="B4" s="1" t="s">
        <v>1</v>
      </c>
      <c r="C4" s="95">
        <v>20</v>
      </c>
      <c r="D4" s="95">
        <v>40</v>
      </c>
      <c r="E4" s="95">
        <v>40</v>
      </c>
      <c r="F4" s="95">
        <v>40</v>
      </c>
      <c r="G4" s="96">
        <v>20</v>
      </c>
      <c r="H4" s="16">
        <f t="shared" si="0"/>
        <v>160</v>
      </c>
      <c r="K4" s="22" t="str">
        <f>IF(P4&lt;&gt;0,C4*D4*(E$13-E4)*(F$13-F4)*(G$13-G4)/$N$14,"")</f>
        <v/>
      </c>
      <c r="L4" s="23">
        <f>C4*D4*E4*(F$13-F4)*(G$13)/$N$14</f>
        <v>2.4511968756140831E-3</v>
      </c>
      <c r="M4" s="23">
        <f>C4*D4*E4*F4*(G$13-G4)/N$14</f>
        <v>4.9795771977939726E-4</v>
      </c>
      <c r="N4" s="24">
        <f>C4*D4*E4*F4*G4/N$14</f>
        <v>4.9795771977939723E-5</v>
      </c>
      <c r="O4" s="21"/>
      <c r="P4" s="43"/>
      <c r="Q4" s="94">
        <f>Q14*$C$15*$Q$16</f>
        <v>950.78603297063501</v>
      </c>
      <c r="R4" s="94">
        <f>R14*$C$15*$Q$16</f>
        <v>1426.1790494559525</v>
      </c>
      <c r="S4" s="97">
        <f>S14*$C$15*$Q$16</f>
        <v>2376.9650824265877</v>
      </c>
      <c r="T4" s="21"/>
      <c r="U4" s="37" t="str">
        <f t="shared" ref="U4:U12" si="4">IF(P4&lt;&gt;0,K4*P4,"")</f>
        <v/>
      </c>
      <c r="V4" s="38">
        <f t="shared" si="1"/>
        <v>2.3305637533951291</v>
      </c>
      <c r="W4" s="38">
        <f t="shared" si="2"/>
        <v>0.71017686746423436</v>
      </c>
      <c r="X4" s="39">
        <f t="shared" si="3"/>
        <v>0.11836281124403907</v>
      </c>
    </row>
    <row r="5" spans="1:26" s="68" customFormat="1" x14ac:dyDescent="0.25">
      <c r="A5" s="58"/>
      <c r="B5" s="64" t="s">
        <v>6</v>
      </c>
      <c r="C5" s="77">
        <v>10</v>
      </c>
      <c r="D5" s="78">
        <v>9</v>
      </c>
      <c r="E5" s="78">
        <v>5</v>
      </c>
      <c r="F5" s="78">
        <v>4</v>
      </c>
      <c r="G5" s="79">
        <v>15</v>
      </c>
      <c r="H5" s="80">
        <f t="shared" si="0"/>
        <v>43</v>
      </c>
      <c r="K5" s="81" t="str">
        <f>IF(P5&lt;&gt;0,($C5+$C$3)*($D5+$D$3)*($E$13-E5-$E$3)*($F$13-F5-F$3)*(G$13-G5-G$3)/$N$14-K$3,"")</f>
        <v/>
      </c>
      <c r="L5" s="82">
        <f>($C5+$C$3)*($D5+$D$3)*($E5+$E$3)*($F$13-F5-F$3)*(G$13)/$N$14-L$3</f>
        <v>1.2303056943768313E-3</v>
      </c>
      <c r="M5" s="82">
        <f>($C5+$C$3)*($D5+$D$3)*($E5+$E$3)*($F5+$F$3)*(G$13-G5-G$3)/$N$14-$M$3-($C$3*$D$3*$E$3*F5*(G$13-G5-G$3))/$N$14</f>
        <v>7.2779632981507516E-5</v>
      </c>
      <c r="N5" s="83">
        <f>(($C5+$C$3)*($D5+$D$3)*($E5+$E$3)*($F5+$F$3)*($G5+$G$3)-(C$3*D$3*E$3*F$3*(G5+G$3)))/$N$14</f>
        <v>1.1418014902754149E-5</v>
      </c>
      <c r="O5" s="72"/>
      <c r="P5" s="84"/>
      <c r="Q5" s="100">
        <f t="shared" ref="Q5" si="5">Q3*0.5</f>
        <v>12500</v>
      </c>
      <c r="R5" s="100">
        <f>R3*0.5</f>
        <v>25000</v>
      </c>
      <c r="S5" s="101">
        <f>S3*0.4</f>
        <v>40000</v>
      </c>
      <c r="T5" s="72"/>
      <c r="U5" s="85" t="str">
        <f t="shared" si="4"/>
        <v/>
      </c>
      <c r="V5" s="86">
        <f t="shared" si="1"/>
        <v>15.378821179710391</v>
      </c>
      <c r="W5" s="86">
        <f t="shared" si="2"/>
        <v>1.819490824537688</v>
      </c>
      <c r="X5" s="87">
        <f t="shared" si="3"/>
        <v>0.45672059611016597</v>
      </c>
    </row>
    <row r="6" spans="1:26" x14ac:dyDescent="0.25">
      <c r="A6" s="58"/>
      <c r="B6" s="1" t="s">
        <v>7</v>
      </c>
      <c r="C6" s="6">
        <v>25</v>
      </c>
      <c r="D6" s="2">
        <v>20</v>
      </c>
      <c r="E6" s="2">
        <v>25</v>
      </c>
      <c r="F6" s="2">
        <v>10</v>
      </c>
      <c r="G6" s="2">
        <v>10</v>
      </c>
      <c r="H6" s="16">
        <f t="shared" si="0"/>
        <v>90</v>
      </c>
      <c r="K6" s="25" t="str">
        <f t="shared" ref="K6:K12" si="6">IF(P6&lt;&gt;0,($C6+$C$3)*($D6+$D$3)*($E$13-E6-$E$3)*($F$13-F6-F$3)*(G$13-G6-G$3)/$N$14-K$3,"")</f>
        <v/>
      </c>
      <c r="L6" s="26">
        <f t="shared" ref="L6:L12" si="7">($C6+$C$3)*($D6+$D$3)*($E6+$E$3)*($F$13-F6-F$3)*(G$13)/$N$14-L$3</f>
        <v>6.689011585671042E-3</v>
      </c>
      <c r="M6" s="26">
        <f t="shared" ref="M6:M12" si="8">($C6+$C$3)*($D6+$D$3)*($E6+$E$3)*($F6+$F$3)*(G$13-G6-G$3)/$N$14-$M$3-($C$3*$D$3*$E$3*F6*(G$13-G6-G$3))/$N$14</f>
        <v>6.1291592774409401E-4</v>
      </c>
      <c r="N6" s="27">
        <f t="shared" ref="N6:N12" si="9">(($C6+$C$3)*($D6+$D$3)*($E6+$E$3)*($F6+$F$3)*($G6+$G$3)-(C$3*D$3*E$3*F$3*(G6+G$3)))/$N$14</f>
        <v>6.4967921252468235E-5</v>
      </c>
      <c r="O6" s="21"/>
      <c r="P6" s="36"/>
      <c r="Q6" s="94">
        <f>0.5*R6</f>
        <v>4000</v>
      </c>
      <c r="R6" s="94">
        <f>0.5*S6</f>
        <v>8000</v>
      </c>
      <c r="S6" s="97">
        <f>0.4*S5</f>
        <v>16000</v>
      </c>
      <c r="T6" s="21"/>
      <c r="U6" s="37" t="str">
        <f t="shared" si="4"/>
        <v/>
      </c>
      <c r="V6" s="38">
        <f t="shared" si="1"/>
        <v>26.756046342684169</v>
      </c>
      <c r="W6" s="38">
        <f t="shared" si="2"/>
        <v>4.9033274219527518</v>
      </c>
      <c r="X6" s="39">
        <f t="shared" si="3"/>
        <v>1.0394867400394918</v>
      </c>
    </row>
    <row r="7" spans="1:26" s="68" customFormat="1" x14ac:dyDescent="0.25">
      <c r="A7" s="61"/>
      <c r="B7" s="88" t="s">
        <v>8</v>
      </c>
      <c r="C7" s="89">
        <v>25</v>
      </c>
      <c r="D7" s="90">
        <v>25</v>
      </c>
      <c r="E7" s="90">
        <v>25</v>
      </c>
      <c r="F7" s="90">
        <v>15</v>
      </c>
      <c r="G7" s="91">
        <v>15</v>
      </c>
      <c r="H7" s="92">
        <f t="shared" si="0"/>
        <v>105</v>
      </c>
      <c r="K7" s="81" t="str">
        <f t="shared" si="6"/>
        <v/>
      </c>
      <c r="L7" s="82">
        <f t="shared" si="7"/>
        <v>7.4139290974186431E-3</v>
      </c>
      <c r="M7" s="82">
        <f t="shared" si="8"/>
        <v>8.5080744777932954E-4</v>
      </c>
      <c r="N7" s="83">
        <f t="shared" si="9"/>
        <v>1.1597941031971312E-4</v>
      </c>
      <c r="O7" s="72"/>
      <c r="P7" s="84"/>
      <c r="Q7" s="100">
        <f t="shared" ref="Q7:Q12" si="10">0.5*R7</f>
        <v>1600</v>
      </c>
      <c r="R7" s="100">
        <f t="shared" ref="R7:R12" si="11">0.5*S7</f>
        <v>3200</v>
      </c>
      <c r="S7" s="101">
        <f t="shared" ref="S7:S12" si="12">0.4*S6</f>
        <v>6400</v>
      </c>
      <c r="T7" s="72"/>
      <c r="U7" s="85" t="str">
        <f t="shared" si="4"/>
        <v/>
      </c>
      <c r="V7" s="86">
        <f t="shared" si="1"/>
        <v>11.862286555869829</v>
      </c>
      <c r="W7" s="86">
        <f t="shared" si="2"/>
        <v>2.7225838328938545</v>
      </c>
      <c r="X7" s="87">
        <f t="shared" si="3"/>
        <v>0.74226822604616405</v>
      </c>
    </row>
    <row r="8" spans="1:26" x14ac:dyDescent="0.25">
      <c r="A8" s="58" t="s">
        <v>10</v>
      </c>
      <c r="B8" s="1" t="s">
        <v>2</v>
      </c>
      <c r="C8" s="2">
        <v>10</v>
      </c>
      <c r="D8" s="2">
        <v>10</v>
      </c>
      <c r="E8" s="2">
        <v>10</v>
      </c>
      <c r="F8" s="2">
        <v>20</v>
      </c>
      <c r="G8" s="3">
        <v>30</v>
      </c>
      <c r="H8" s="16">
        <f t="shared" si="0"/>
        <v>80</v>
      </c>
      <c r="K8" s="25" t="str">
        <f t="shared" si="6"/>
        <v/>
      </c>
      <c r="L8" s="26">
        <f>($C8+$C$3)*($D8+$D$3)*($E8+$E$3)*($F$13-F8-F$3)*(G$13)/$N$14-L$3</f>
        <v>1.6214359220848048E-3</v>
      </c>
      <c r="M8" s="26">
        <f t="shared" si="8"/>
        <v>2.1532781085773157E-4</v>
      </c>
      <c r="N8" s="27">
        <f t="shared" si="9"/>
        <v>6.3022773909579969E-5</v>
      </c>
      <c r="O8" s="21"/>
      <c r="P8" s="43"/>
      <c r="Q8" s="94">
        <f t="shared" si="10"/>
        <v>640</v>
      </c>
      <c r="R8" s="94">
        <f t="shared" si="11"/>
        <v>1280</v>
      </c>
      <c r="S8" s="97">
        <f t="shared" si="12"/>
        <v>2560</v>
      </c>
      <c r="T8" s="21"/>
      <c r="U8" s="37" t="str">
        <f t="shared" si="4"/>
        <v/>
      </c>
      <c r="V8" s="38">
        <f t="shared" si="1"/>
        <v>1.0377189901342752</v>
      </c>
      <c r="W8" s="38">
        <f t="shared" si="2"/>
        <v>0.27561959789789642</v>
      </c>
      <c r="X8" s="39">
        <f t="shared" si="3"/>
        <v>0.16133830120852471</v>
      </c>
    </row>
    <row r="9" spans="1:26" s="68" customFormat="1" x14ac:dyDescent="0.25">
      <c r="A9" s="58"/>
      <c r="B9" s="64" t="s">
        <v>3</v>
      </c>
      <c r="C9" s="78">
        <v>10</v>
      </c>
      <c r="D9" s="78">
        <v>10</v>
      </c>
      <c r="E9" s="78">
        <v>20</v>
      </c>
      <c r="F9" s="78">
        <v>20</v>
      </c>
      <c r="G9" s="79">
        <v>20</v>
      </c>
      <c r="H9" s="80">
        <f t="shared" si="0"/>
        <v>80</v>
      </c>
      <c r="K9" s="81" t="str">
        <f t="shared" si="6"/>
        <v/>
      </c>
      <c r="L9" s="82">
        <f t="shared" si="7"/>
        <v>2.5919866402923362E-3</v>
      </c>
      <c r="M9" s="82">
        <f t="shared" si="8"/>
        <v>3.6238094998008481E-4</v>
      </c>
      <c r="N9" s="83">
        <f t="shared" si="9"/>
        <v>6.827467173537829E-5</v>
      </c>
      <c r="O9" s="72"/>
      <c r="P9" s="93"/>
      <c r="Q9" s="100">
        <f t="shared" si="10"/>
        <v>256</v>
      </c>
      <c r="R9" s="100">
        <f t="shared" si="11"/>
        <v>512</v>
      </c>
      <c r="S9" s="101">
        <f t="shared" si="12"/>
        <v>1024</v>
      </c>
      <c r="T9" s="72"/>
      <c r="U9" s="85" t="str">
        <f t="shared" si="4"/>
        <v/>
      </c>
      <c r="V9" s="86">
        <f t="shared" si="1"/>
        <v>0.66354857991483807</v>
      </c>
      <c r="W9" s="86">
        <f t="shared" si="2"/>
        <v>0.18553904638980342</v>
      </c>
      <c r="X9" s="87">
        <f t="shared" si="3"/>
        <v>6.9913263857027369E-2</v>
      </c>
    </row>
    <row r="10" spans="1:26" x14ac:dyDescent="0.25">
      <c r="A10" s="58"/>
      <c r="B10" s="1" t="s">
        <v>4</v>
      </c>
      <c r="C10" s="95">
        <v>10</v>
      </c>
      <c r="D10" s="95">
        <v>20</v>
      </c>
      <c r="E10" s="95">
        <v>20</v>
      </c>
      <c r="F10" s="95">
        <v>20</v>
      </c>
      <c r="G10" s="96">
        <v>20</v>
      </c>
      <c r="H10" s="16">
        <f t="shared" si="0"/>
        <v>90</v>
      </c>
      <c r="K10" s="25" t="str">
        <f t="shared" si="6"/>
        <v/>
      </c>
      <c r="L10" s="26">
        <f t="shared" si="7"/>
        <v>3.7242958115344563E-3</v>
      </c>
      <c r="M10" s="26">
        <f t="shared" si="8"/>
        <v>5.1760370794256877E-4</v>
      </c>
      <c r="N10" s="27">
        <f t="shared" si="9"/>
        <v>9.2783528255770503E-5</v>
      </c>
      <c r="O10" s="21"/>
      <c r="P10" s="43"/>
      <c r="Q10" s="94">
        <f t="shared" si="10"/>
        <v>102.4</v>
      </c>
      <c r="R10" s="94">
        <f t="shared" si="11"/>
        <v>204.8</v>
      </c>
      <c r="S10" s="97">
        <f t="shared" si="12"/>
        <v>409.6</v>
      </c>
      <c r="T10" s="21"/>
      <c r="U10" s="37" t="str">
        <f t="shared" si="4"/>
        <v/>
      </c>
      <c r="V10" s="38">
        <f t="shared" si="1"/>
        <v>0.38136789110112834</v>
      </c>
      <c r="W10" s="38">
        <f t="shared" si="2"/>
        <v>0.10600523938663808</v>
      </c>
      <c r="X10" s="39">
        <f t="shared" si="3"/>
        <v>3.8004133173563603E-2</v>
      </c>
    </row>
    <row r="11" spans="1:26" s="68" customFormat="1" x14ac:dyDescent="0.25">
      <c r="A11" s="58"/>
      <c r="B11" s="64" t="s">
        <v>5</v>
      </c>
      <c r="C11" s="78">
        <v>20</v>
      </c>
      <c r="D11" s="78">
        <v>40</v>
      </c>
      <c r="E11" s="78">
        <v>40</v>
      </c>
      <c r="F11" s="78">
        <v>40</v>
      </c>
      <c r="G11" s="79">
        <v>40</v>
      </c>
      <c r="H11" s="80">
        <f t="shared" si="0"/>
        <v>180</v>
      </c>
      <c r="K11" s="81" t="str">
        <f t="shared" si="6"/>
        <v/>
      </c>
      <c r="L11" s="82">
        <f t="shared" si="7"/>
        <v>1.1127954530982649E-2</v>
      </c>
      <c r="M11" s="82">
        <f t="shared" si="8"/>
        <v>2.572262846235449E-3</v>
      </c>
      <c r="N11" s="83">
        <f t="shared" si="9"/>
        <v>7.9362011589841444E-4</v>
      </c>
      <c r="O11" s="72"/>
      <c r="P11" s="84"/>
      <c r="Q11" s="100">
        <f t="shared" si="10"/>
        <v>40.960000000000008</v>
      </c>
      <c r="R11" s="100">
        <f t="shared" si="11"/>
        <v>81.920000000000016</v>
      </c>
      <c r="S11" s="101">
        <f t="shared" si="12"/>
        <v>163.84000000000003</v>
      </c>
      <c r="T11" s="72"/>
      <c r="U11" s="85" t="str">
        <f t="shared" si="4"/>
        <v/>
      </c>
      <c r="V11" s="86">
        <f t="shared" si="1"/>
        <v>0.4558010175890494</v>
      </c>
      <c r="W11" s="86">
        <f t="shared" si="2"/>
        <v>0.21071977236360803</v>
      </c>
      <c r="X11" s="87">
        <f t="shared" si="3"/>
        <v>0.13002671978879624</v>
      </c>
    </row>
    <row r="12" spans="1:26" ht="15.75" thickBot="1" x14ac:dyDescent="0.3">
      <c r="A12" s="59"/>
      <c r="B12" s="5">
        <v>10</v>
      </c>
      <c r="C12" s="95">
        <v>30</v>
      </c>
      <c r="D12" s="95">
        <v>40</v>
      </c>
      <c r="E12" s="95">
        <v>40</v>
      </c>
      <c r="F12" s="95">
        <v>40</v>
      </c>
      <c r="G12" s="96">
        <v>40</v>
      </c>
      <c r="H12" s="16">
        <f>SUM(C12:G12)</f>
        <v>190</v>
      </c>
      <c r="K12" s="28" t="str">
        <f t="shared" si="6"/>
        <v/>
      </c>
      <c r="L12" s="29">
        <f>($C12+$C$3)*($D12+$D$3)*($E12+$E$3)*($F$13-F12-F$3)*(G$13)/$N$14-L$3</f>
        <v>1.3514533611865984E-2</v>
      </c>
      <c r="M12" s="29">
        <f t="shared" si="8"/>
        <v>3.117876675915609E-3</v>
      </c>
      <c r="N12" s="30">
        <f t="shared" si="9"/>
        <v>9.540947716866967E-4</v>
      </c>
      <c r="O12" s="21"/>
      <c r="P12" s="44"/>
      <c r="Q12" s="102">
        <f t="shared" si="10"/>
        <v>16.384000000000004</v>
      </c>
      <c r="R12" s="102">
        <f t="shared" si="11"/>
        <v>32.768000000000008</v>
      </c>
      <c r="S12" s="103">
        <f t="shared" si="12"/>
        <v>65.536000000000016</v>
      </c>
      <c r="T12" s="21"/>
      <c r="U12" s="40" t="str">
        <f t="shared" si="4"/>
        <v/>
      </c>
      <c r="V12" s="41">
        <f t="shared" si="1"/>
        <v>0.22142211869681233</v>
      </c>
      <c r="W12" s="41">
        <f t="shared" si="2"/>
        <v>0.1021665829164027</v>
      </c>
      <c r="X12" s="42">
        <f t="shared" si="3"/>
        <v>6.2527554957259368E-2</v>
      </c>
    </row>
    <row r="13" spans="1:26" ht="15.75" thickBot="1" x14ac:dyDescent="0.3">
      <c r="A13" s="7"/>
      <c r="B13" s="8" t="s">
        <v>13</v>
      </c>
      <c r="C13" s="13">
        <f>SUM(C3:C12)</f>
        <v>190</v>
      </c>
      <c r="D13" s="13">
        <f t="shared" ref="D13:F13" si="13">SUM(D3:D12)</f>
        <v>234</v>
      </c>
      <c r="E13" s="13">
        <f>SUM(E3:E12)</f>
        <v>240</v>
      </c>
      <c r="F13" s="13">
        <f t="shared" si="13"/>
        <v>219</v>
      </c>
      <c r="G13" s="14">
        <f>SUM(G3:G12)</f>
        <v>220</v>
      </c>
      <c r="H13" s="15">
        <f>SUM(C13:G13)</f>
        <v>1103</v>
      </c>
      <c r="K13" s="62" t="s">
        <v>23</v>
      </c>
      <c r="L13" s="63"/>
      <c r="M13" s="63"/>
      <c r="N13" s="47">
        <f>SUM(K3:N12)*N14</f>
        <v>31998591000.000004</v>
      </c>
      <c r="W13" s="9" t="s">
        <v>19</v>
      </c>
      <c r="X13" s="31">
        <f>SUM(U3:X12)/C15</f>
        <v>0.95078603297063513</v>
      </c>
      <c r="Y13" s="104"/>
      <c r="Z13" s="12"/>
    </row>
    <row r="14" spans="1:26" ht="15.75" thickBot="1" x14ac:dyDescent="0.3">
      <c r="K14" s="51" t="s">
        <v>24</v>
      </c>
      <c r="L14" s="52"/>
      <c r="M14" s="52"/>
      <c r="N14" s="46">
        <f>C$13*D$13*E$13*F$13*G$13</f>
        <v>514099872000</v>
      </c>
      <c r="P14" s="105" t="s">
        <v>31</v>
      </c>
      <c r="Q14" s="106">
        <v>10</v>
      </c>
      <c r="R14" s="106">
        <v>15</v>
      </c>
      <c r="S14" s="107">
        <v>25</v>
      </c>
      <c r="W14" s="9" t="s">
        <v>32</v>
      </c>
      <c r="X14" s="31">
        <f>SUM(U5:X12,U3:X3)/C15</f>
        <v>0.91919499864960097</v>
      </c>
    </row>
    <row r="15" spans="1:26" ht="15.75" thickBot="1" x14ac:dyDescent="0.3">
      <c r="B15" s="49" t="s">
        <v>21</v>
      </c>
      <c r="C15" s="11">
        <v>100</v>
      </c>
      <c r="K15" s="53" t="s">
        <v>20</v>
      </c>
      <c r="L15" s="54"/>
      <c r="M15" s="54"/>
      <c r="N15" s="31">
        <f>C16*N13/N14</f>
        <v>6.2241974259818533E-2</v>
      </c>
      <c r="W15" s="4" t="s">
        <v>27</v>
      </c>
      <c r="X15" s="4">
        <f>SUM(V3:X12)^(1/17)</f>
        <v>1.3072474741766298</v>
      </c>
    </row>
    <row r="16" spans="1:26" ht="15.75" thickBot="1" x14ac:dyDescent="0.3">
      <c r="B16" s="48" t="s">
        <v>22</v>
      </c>
      <c r="C16" s="10">
        <v>1</v>
      </c>
      <c r="P16" s="105" t="s">
        <v>34</v>
      </c>
      <c r="Q16" s="108">
        <f>X14/(1-L4*Q14-M4*R14-N4*S14)</f>
        <v>0.95078603297063502</v>
      </c>
    </row>
    <row r="18" spans="2:3" x14ac:dyDescent="0.25">
      <c r="B18" s="4" t="s">
        <v>16</v>
      </c>
      <c r="C18" t="s">
        <v>17</v>
      </c>
    </row>
    <row r="19" spans="2:3" x14ac:dyDescent="0.25">
      <c r="C19" t="s">
        <v>18</v>
      </c>
    </row>
    <row r="21" spans="2:3" x14ac:dyDescent="0.25">
      <c r="B21" s="4" t="s">
        <v>26</v>
      </c>
      <c r="C21" t="s">
        <v>30</v>
      </c>
    </row>
    <row r="22" spans="2:3" x14ac:dyDescent="0.25">
      <c r="C22" t="s">
        <v>29</v>
      </c>
    </row>
    <row r="23" spans="2:3" x14ac:dyDescent="0.25">
      <c r="C23" t="s">
        <v>33</v>
      </c>
    </row>
  </sheetData>
  <mergeCells count="9">
    <mergeCell ref="K14:M14"/>
    <mergeCell ref="K15:M15"/>
    <mergeCell ref="U1:X1"/>
    <mergeCell ref="C1:G1"/>
    <mergeCell ref="A8:A12"/>
    <mergeCell ref="A3:A7"/>
    <mergeCell ref="K1:N1"/>
    <mergeCell ref="P1:S1"/>
    <mergeCell ref="K13: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2018-08-10T08:36:21Z</dcterms:modified>
</cp:coreProperties>
</file>